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s1-jpd\users\Ilze.Ungure\Desktop\IP_groziijumi_18.10.2018\Domes_sede_18102018\"/>
    </mc:Choice>
  </mc:AlternateContent>
  <bookViews>
    <workbookView xWindow="0" yWindow="0" windowWidth="28800" windowHeight="11700"/>
  </bookViews>
  <sheets>
    <sheet name="ATSKAITE_2.cet." sheetId="1" r:id="rId1"/>
  </sheets>
  <definedNames>
    <definedName name="_xlnm._FilterDatabase" localSheetId="0" hidden="1">ATSKAITE_2.cet.!$A$12:$CG$287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3" i="1" l="1"/>
  <c r="J86" i="1" l="1"/>
  <c r="D202" i="1" l="1"/>
  <c r="K200" i="1" l="1"/>
  <c r="K273" i="1" l="1"/>
  <c r="L271" i="1"/>
  <c r="K271" i="1"/>
  <c r="M271" i="1" s="1"/>
  <c r="L269" i="1"/>
  <c r="K269" i="1"/>
  <c r="J269" i="1"/>
  <c r="J275" i="1" l="1"/>
  <c r="D276" i="1"/>
  <c r="J57" i="1"/>
  <c r="J53" i="1"/>
  <c r="J38" i="1"/>
  <c r="K38" i="1"/>
  <c r="H160" i="1"/>
  <c r="H40" i="1"/>
  <c r="M122" i="1"/>
  <c r="I120" i="1"/>
  <c r="M120" i="1" s="1"/>
  <c r="H15" i="1"/>
  <c r="M18" i="1" l="1"/>
  <c r="J278" i="1"/>
  <c r="I278" i="1"/>
  <c r="L277" i="1"/>
  <c r="K277" i="1"/>
  <c r="J277" i="1"/>
  <c r="I277" i="1"/>
  <c r="J212" i="1"/>
  <c r="K191" i="1"/>
  <c r="I191" i="1"/>
  <c r="K190" i="1"/>
  <c r="I190" i="1"/>
  <c r="M190" i="1" s="1"/>
  <c r="L135" i="1"/>
  <c r="M277" i="1" l="1"/>
  <c r="M278" i="1"/>
  <c r="M191" i="1"/>
  <c r="D255" i="1" l="1"/>
  <c r="E232" i="1" l="1"/>
  <c r="D232" i="1"/>
  <c r="D168" i="1"/>
  <c r="D137" i="1"/>
  <c r="D38" i="1"/>
  <c r="D15" i="1" s="1"/>
  <c r="D105" i="1" l="1"/>
  <c r="D275" i="1"/>
  <c r="D238" i="1"/>
  <c r="D222" i="1"/>
  <c r="D214" i="1"/>
  <c r="D212" i="1"/>
  <c r="D200" i="1"/>
  <c r="D174" i="1"/>
  <c r="E170" i="1"/>
  <c r="D135" i="1"/>
  <c r="D103" i="1"/>
  <c r="D166" i="1"/>
  <c r="J74" i="1" l="1"/>
  <c r="K73" i="1"/>
  <c r="J73" i="1"/>
  <c r="I250" i="1" l="1"/>
  <c r="M128" i="1"/>
  <c r="I118" i="1"/>
  <c r="M118" i="1" s="1"/>
  <c r="I109" i="1"/>
  <c r="M109" i="1" s="1"/>
  <c r="D80" i="1" l="1"/>
  <c r="D79" i="1" s="1"/>
  <c r="D77" i="1"/>
  <c r="I62" i="1"/>
  <c r="I276" i="1" l="1"/>
  <c r="M276" i="1" s="1"/>
  <c r="K275" i="1"/>
  <c r="I275" i="1"/>
  <c r="D274" i="1"/>
  <c r="I274" i="1" s="1"/>
  <c r="M274" i="1" s="1"/>
  <c r="D273" i="1"/>
  <c r="I273" i="1" s="1"/>
  <c r="D270" i="1"/>
  <c r="I270" i="1" s="1"/>
  <c r="M270" i="1" s="1"/>
  <c r="D269" i="1"/>
  <c r="I269" i="1" s="1"/>
  <c r="D264" i="1"/>
  <c r="I264" i="1" s="1"/>
  <c r="K263" i="1"/>
  <c r="J263" i="1"/>
  <c r="D263" i="1"/>
  <c r="I263" i="1" s="1"/>
  <c r="J262" i="1"/>
  <c r="I262" i="1"/>
  <c r="M262" i="1" s="1"/>
  <c r="J261" i="1"/>
  <c r="G261" i="1"/>
  <c r="F261" i="1"/>
  <c r="E261" i="1"/>
  <c r="D260" i="1"/>
  <c r="I260" i="1" s="1"/>
  <c r="M260" i="1" s="1"/>
  <c r="J259" i="1"/>
  <c r="D259" i="1"/>
  <c r="I259" i="1" s="1"/>
  <c r="I252" i="1"/>
  <c r="M252" i="1" s="1"/>
  <c r="D251" i="1"/>
  <c r="I251" i="1" s="1"/>
  <c r="D215" i="1"/>
  <c r="I215" i="1" s="1"/>
  <c r="M215" i="1" s="1"/>
  <c r="K214" i="1"/>
  <c r="J214" i="1"/>
  <c r="I214" i="1"/>
  <c r="D213" i="1"/>
  <c r="I213" i="1" s="1"/>
  <c r="G212" i="1"/>
  <c r="F212" i="1"/>
  <c r="E212" i="1"/>
  <c r="D211" i="1"/>
  <c r="I211" i="1" s="1"/>
  <c r="J210" i="1"/>
  <c r="G210" i="1"/>
  <c r="F210" i="1"/>
  <c r="E210" i="1"/>
  <c r="D210" i="1"/>
  <c r="D160" i="1" s="1"/>
  <c r="I205" i="1"/>
  <c r="D201" i="1"/>
  <c r="I201" i="1" s="1"/>
  <c r="M201" i="1" s="1"/>
  <c r="I200" i="1"/>
  <c r="J200" i="1" s="1"/>
  <c r="J173" i="1"/>
  <c r="M173" i="1" s="1"/>
  <c r="L172" i="1"/>
  <c r="K150" i="1"/>
  <c r="L149" i="1"/>
  <c r="I149" i="1"/>
  <c r="J146" i="1"/>
  <c r="M146" i="1" s="1"/>
  <c r="L145" i="1"/>
  <c r="J145" i="1"/>
  <c r="K145" i="1" s="1"/>
  <c r="I136" i="1"/>
  <c r="M136" i="1" s="1"/>
  <c r="K135" i="1"/>
  <c r="J135" i="1"/>
  <c r="I135" i="1"/>
  <c r="J117" i="1"/>
  <c r="M117" i="1" s="1"/>
  <c r="L116" i="1"/>
  <c r="J116" i="1"/>
  <c r="I104" i="1"/>
  <c r="M104" i="1" s="1"/>
  <c r="K103" i="1"/>
  <c r="J103" i="1"/>
  <c r="G103" i="1"/>
  <c r="F103" i="1"/>
  <c r="E103" i="1"/>
  <c r="J89" i="1"/>
  <c r="M89" i="1" s="1"/>
  <c r="L88" i="1"/>
  <c r="K88" i="1"/>
  <c r="J88" i="1"/>
  <c r="D87" i="1"/>
  <c r="I87" i="1" s="1"/>
  <c r="M87" i="1" s="1"/>
  <c r="D84" i="1"/>
  <c r="I84" i="1" s="1"/>
  <c r="M64" i="1"/>
  <c r="L63" i="1"/>
  <c r="J63" i="1"/>
  <c r="D58" i="1"/>
  <c r="I58" i="1" s="1"/>
  <c r="M58" i="1" s="1"/>
  <c r="G57" i="1"/>
  <c r="F57" i="1"/>
  <c r="E57" i="1"/>
  <c r="D57" i="1"/>
  <c r="D54" i="1"/>
  <c r="I54" i="1" s="1"/>
  <c r="M54" i="1" s="1"/>
  <c r="G53" i="1"/>
  <c r="F53" i="1"/>
  <c r="E53" i="1"/>
  <c r="M51" i="1"/>
  <c r="I220" i="1"/>
  <c r="J273" i="1" l="1"/>
  <c r="M273" i="1" s="1"/>
  <c r="M116" i="1"/>
  <c r="M264" i="1"/>
  <c r="M220" i="1"/>
  <c r="E160" i="1"/>
  <c r="M211" i="1"/>
  <c r="F160" i="1"/>
  <c r="M251" i="1"/>
  <c r="E40" i="1"/>
  <c r="M84" i="1"/>
  <c r="G160" i="1"/>
  <c r="M205" i="1"/>
  <c r="I86" i="1"/>
  <c r="M149" i="1"/>
  <c r="M145" i="1"/>
  <c r="I53" i="1"/>
  <c r="I204" i="1"/>
  <c r="J204" i="1" s="1"/>
  <c r="I57" i="1"/>
  <c r="M57" i="1" s="1"/>
  <c r="M135" i="1"/>
  <c r="I210" i="1"/>
  <c r="I261" i="1"/>
  <c r="M275" i="1"/>
  <c r="M214" i="1"/>
  <c r="M259" i="1"/>
  <c r="M263" i="1"/>
  <c r="M269" i="1"/>
  <c r="K63" i="1"/>
  <c r="M63" i="1" s="1"/>
  <c r="M88" i="1"/>
  <c r="I103" i="1"/>
  <c r="M200" i="1"/>
  <c r="I202" i="1"/>
  <c r="J202" i="1" s="1"/>
  <c r="I212" i="1"/>
  <c r="J172" i="1"/>
  <c r="M172" i="1" s="1"/>
  <c r="K86" i="1" l="1"/>
  <c r="M86" i="1" s="1"/>
  <c r="M210" i="1"/>
  <c r="M53" i="1"/>
  <c r="M261" i="1"/>
  <c r="M202" i="1"/>
  <c r="M204" i="1"/>
  <c r="M212" i="1"/>
  <c r="M103" i="1"/>
  <c r="I256" i="1"/>
  <c r="M256" i="1" s="1"/>
  <c r="I255" i="1"/>
  <c r="D235" i="1"/>
  <c r="I235" i="1" s="1"/>
  <c r="M235" i="1" s="1"/>
  <c r="I246" i="1"/>
  <c r="I156" i="1"/>
  <c r="M156" i="1" s="1"/>
  <c r="I234" i="1"/>
  <c r="M253" i="1"/>
  <c r="I170" i="1"/>
  <c r="M246" i="1" l="1"/>
  <c r="M234" i="1"/>
  <c r="M255" i="1"/>
  <c r="M170" i="1"/>
  <c r="M244" i="1"/>
  <c r="I33" i="1"/>
  <c r="I32" i="1"/>
  <c r="M32" i="1" s="1"/>
  <c r="J31" i="1"/>
  <c r="I31" i="1"/>
  <c r="M30" i="1"/>
  <c r="J29" i="1"/>
  <c r="M29" i="1" s="1"/>
  <c r="I222" i="1"/>
  <c r="I196" i="1"/>
  <c r="M31" i="1" l="1"/>
  <c r="M33" i="1"/>
  <c r="M196" i="1"/>
  <c r="M222" i="1"/>
  <c r="I287" i="1"/>
  <c r="I284" i="1"/>
  <c r="M284" i="1" s="1"/>
  <c r="I279" i="1"/>
  <c r="M272" i="1"/>
  <c r="L160" i="1"/>
  <c r="K160" i="1"/>
  <c r="J271" i="1"/>
  <c r="I266" i="1"/>
  <c r="M250" i="1"/>
  <c r="M249" i="1"/>
  <c r="M248" i="1"/>
  <c r="I243" i="1"/>
  <c r="M243" i="1" s="1"/>
  <c r="J242" i="1"/>
  <c r="I242" i="1"/>
  <c r="I241" i="1"/>
  <c r="M241" i="1" s="1"/>
  <c r="J240" i="1"/>
  <c r="I240" i="1"/>
  <c r="I238" i="1"/>
  <c r="M237" i="1"/>
  <c r="M236" i="1"/>
  <c r="I232" i="1"/>
  <c r="J230" i="1"/>
  <c r="M230" i="1" s="1"/>
  <c r="J229" i="1"/>
  <c r="M229" i="1" s="1"/>
  <c r="J227" i="1"/>
  <c r="I227" i="1"/>
  <c r="M226" i="1"/>
  <c r="I225" i="1"/>
  <c r="I224" i="1"/>
  <c r="M218" i="1"/>
  <c r="M217" i="1"/>
  <c r="M216" i="1"/>
  <c r="M208" i="1"/>
  <c r="I207" i="1"/>
  <c r="M207" i="1" s="1"/>
  <c r="I206" i="1"/>
  <c r="M206" i="1" s="1"/>
  <c r="M199" i="1"/>
  <c r="M198" i="1"/>
  <c r="M195" i="1"/>
  <c r="M194" i="1"/>
  <c r="M193" i="1"/>
  <c r="I192" i="1"/>
  <c r="M189" i="1"/>
  <c r="M188" i="1"/>
  <c r="M187" i="1"/>
  <c r="M186" i="1"/>
  <c r="M185" i="1"/>
  <c r="M184" i="1"/>
  <c r="I182" i="1"/>
  <c r="I180" i="1"/>
  <c r="M180" i="1" s="1"/>
  <c r="I178" i="1"/>
  <c r="J174" i="1"/>
  <c r="M174" i="1" s="1"/>
  <c r="I174" i="1"/>
  <c r="I168" i="1"/>
  <c r="I167" i="1"/>
  <c r="M167" i="1" s="1"/>
  <c r="I166" i="1"/>
  <c r="I165" i="1"/>
  <c r="I164" i="1"/>
  <c r="J163" i="1"/>
  <c r="I158" i="1"/>
  <c r="M155" i="1"/>
  <c r="M154" i="1"/>
  <c r="I153" i="1"/>
  <c r="M152" i="1"/>
  <c r="M151" i="1"/>
  <c r="I148" i="1"/>
  <c r="M148" i="1" s="1"/>
  <c r="J147" i="1"/>
  <c r="I147" i="1"/>
  <c r="I144" i="1"/>
  <c r="I143" i="1"/>
  <c r="M143" i="1" s="1"/>
  <c r="I141" i="1"/>
  <c r="I139" i="1"/>
  <c r="I138" i="1"/>
  <c r="M138" i="1" s="1"/>
  <c r="J137" i="1"/>
  <c r="I137" i="1"/>
  <c r="M132" i="1"/>
  <c r="M130" i="1"/>
  <c r="M124" i="1"/>
  <c r="I115" i="1"/>
  <c r="I113" i="1"/>
  <c r="I111" i="1"/>
  <c r="I107" i="1"/>
  <c r="I106" i="1"/>
  <c r="I105" i="1"/>
  <c r="M105" i="1" s="1"/>
  <c r="I101" i="1"/>
  <c r="M101" i="1" s="1"/>
  <c r="I99" i="1"/>
  <c r="I97" i="1"/>
  <c r="M97" i="1" s="1"/>
  <c r="I95" i="1"/>
  <c r="I94" i="1"/>
  <c r="I93" i="1"/>
  <c r="I90" i="1"/>
  <c r="M90" i="1" s="1"/>
  <c r="D82" i="1"/>
  <c r="I80" i="1"/>
  <c r="M80" i="1" s="1"/>
  <c r="I78" i="1"/>
  <c r="M78" i="1" s="1"/>
  <c r="I77" i="1"/>
  <c r="M77" i="1" s="1"/>
  <c r="J76" i="1"/>
  <c r="I76" i="1"/>
  <c r="J75" i="1"/>
  <c r="I75" i="1"/>
  <c r="D74" i="1"/>
  <c r="I74" i="1" s="1"/>
  <c r="M74" i="1" s="1"/>
  <c r="I73" i="1"/>
  <c r="M73" i="1" s="1"/>
  <c r="J72" i="1"/>
  <c r="M72" i="1" s="1"/>
  <c r="K71" i="1"/>
  <c r="J71" i="1"/>
  <c r="D71" i="1"/>
  <c r="M69" i="1"/>
  <c r="I69" i="1"/>
  <c r="M67" i="1"/>
  <c r="I67" i="1"/>
  <c r="I66" i="1"/>
  <c r="M66" i="1" s="1"/>
  <c r="I65" i="1"/>
  <c r="M62" i="1"/>
  <c r="I61" i="1"/>
  <c r="M61" i="1" s="1"/>
  <c r="I59" i="1"/>
  <c r="I55" i="1"/>
  <c r="M49" i="1"/>
  <c r="M47" i="1"/>
  <c r="J46" i="1"/>
  <c r="G46" i="1"/>
  <c r="F46" i="1"/>
  <c r="L45" i="1"/>
  <c r="K45" i="1"/>
  <c r="J45" i="1"/>
  <c r="G45" i="1"/>
  <c r="G40" i="1" s="1"/>
  <c r="F45" i="1"/>
  <c r="F40" i="1" s="1"/>
  <c r="M43" i="1"/>
  <c r="I39" i="1"/>
  <c r="G38" i="1"/>
  <c r="G15" i="1" s="1"/>
  <c r="F38" i="1"/>
  <c r="F15" i="1" s="1"/>
  <c r="E38" i="1"/>
  <c r="M37" i="1"/>
  <c r="M36" i="1"/>
  <c r="J28" i="1"/>
  <c r="J27" i="1" s="1"/>
  <c r="J15" i="1" s="1"/>
  <c r="I28" i="1"/>
  <c r="L27" i="1"/>
  <c r="K27" i="1"/>
  <c r="I27" i="1"/>
  <c r="M25" i="1"/>
  <c r="M22" i="1"/>
  <c r="M95" i="1" l="1"/>
  <c r="M113" i="1"/>
  <c r="M45" i="1"/>
  <c r="J40" i="1"/>
  <c r="M55" i="1"/>
  <c r="M65" i="1"/>
  <c r="M106" i="1"/>
  <c r="M115" i="1"/>
  <c r="M141" i="1"/>
  <c r="M153" i="1"/>
  <c r="J160" i="1"/>
  <c r="M178" i="1"/>
  <c r="M287" i="1"/>
  <c r="M139" i="1"/>
  <c r="M242" i="1"/>
  <c r="M39" i="1"/>
  <c r="E15" i="1"/>
  <c r="E14" i="1" s="1"/>
  <c r="K40" i="1"/>
  <c r="M59" i="1"/>
  <c r="M93" i="1"/>
  <c r="M99" i="1"/>
  <c r="M107" i="1"/>
  <c r="I160" i="1"/>
  <c r="M192" i="1"/>
  <c r="M224" i="1"/>
  <c r="M266" i="1"/>
  <c r="D81" i="1"/>
  <c r="I81" i="1" s="1"/>
  <c r="M158" i="1"/>
  <c r="M27" i="1"/>
  <c r="I71" i="1"/>
  <c r="M71" i="1" s="1"/>
  <c r="M111" i="1"/>
  <c r="M144" i="1"/>
  <c r="M165" i="1"/>
  <c r="M182" i="1"/>
  <c r="M225" i="1"/>
  <c r="M279" i="1"/>
  <c r="M238" i="1"/>
  <c r="M232" i="1"/>
  <c r="M168" i="1"/>
  <c r="M166" i="1"/>
  <c r="K15" i="1"/>
  <c r="G14" i="1"/>
  <c r="F14" i="1"/>
  <c r="L15" i="1"/>
  <c r="M163" i="1"/>
  <c r="I20" i="1"/>
  <c r="H14" i="1"/>
  <c r="M28" i="1"/>
  <c r="M164" i="1"/>
  <c r="I46" i="1"/>
  <c r="M46" i="1" s="1"/>
  <c r="I82" i="1"/>
  <c r="M82" i="1" s="1"/>
  <c r="M137" i="1"/>
  <c r="M227" i="1"/>
  <c r="M240" i="1"/>
  <c r="M147" i="1"/>
  <c r="I45" i="1"/>
  <c r="I38" i="1"/>
  <c r="I79" i="1"/>
  <c r="M79" i="1" s="1"/>
  <c r="L75" i="1"/>
  <c r="M75" i="1" s="1"/>
  <c r="L76" i="1"/>
  <c r="M76" i="1" s="1"/>
  <c r="M81" i="1" l="1"/>
  <c r="I40" i="1"/>
  <c r="D40" i="1"/>
  <c r="D14" i="1" s="1"/>
  <c r="M160" i="1"/>
  <c r="K14" i="1"/>
  <c r="M38" i="1"/>
  <c r="I15" i="1"/>
  <c r="M20" i="1"/>
  <c r="L40" i="1"/>
  <c r="J14" i="1"/>
  <c r="M40" i="1" l="1"/>
  <c r="M15" i="1"/>
  <c r="L14" i="1"/>
  <c r="I14" i="1"/>
  <c r="M14" i="1" l="1"/>
</calcChain>
</file>

<file path=xl/sharedStrings.xml><?xml version="1.0" encoding="utf-8"?>
<sst xmlns="http://schemas.openxmlformats.org/spreadsheetml/2006/main" count="947" uniqueCount="389">
  <si>
    <t>N.p.k.</t>
  </si>
  <si>
    <t>Projekta nosaukums</t>
  </si>
  <si>
    <t>Jūrmalas pilsētas attīstības programmas 2014.-2020.gadam prioritāte</t>
  </si>
  <si>
    <t>Projekta izmaksas KOPĀ</t>
  </si>
  <si>
    <t>Prognozējamie sagaidāmie projekta rezultāti/ piezīmes</t>
  </si>
  <si>
    <t>Projekta ieviešanas laiks</t>
  </si>
  <si>
    <t>Par projekta ieviešanu atbildīgā struktūrvienība, iestāde, kapitālsabiedrība</t>
  </si>
  <si>
    <t>Finanšu instrumenti</t>
  </si>
  <si>
    <t>Pašvaldības budžeta līdzekļi</t>
  </si>
  <si>
    <t>Pašvaldības ņemtie kredītlīdzekļi</t>
  </si>
  <si>
    <t>Eiropas Savienības un cits ārējais finansējums</t>
  </si>
  <si>
    <t>Valsts finansējums</t>
  </si>
  <si>
    <t>cits finansējums</t>
  </si>
  <si>
    <t xml:space="preserve">Kopā </t>
  </si>
  <si>
    <t>KOPĀ INVESTĪCIJAS</t>
  </si>
  <si>
    <t>M1 : Kūrorts un tikšanās vieta</t>
  </si>
  <si>
    <t>Īpatsvars no kopējām investīcijām(%)</t>
  </si>
  <si>
    <t>Veselības tūrisma attīstība</t>
  </si>
  <si>
    <t>P.1.5.</t>
  </si>
  <si>
    <t>Jūrmalas slimnīcas ēkas atjaunošana (Bauskas iela 5A, Jūrmala)</t>
  </si>
  <si>
    <t>P1.5.</t>
  </si>
  <si>
    <t>Veikta Jūrmalas slimnīcas ēkas atjaunošana - nodrošināti rehabilitācijas pakalpojumi, kā arī attīstīti sportistu rehabilitācijas pakalpojumi.</t>
  </si>
  <si>
    <t>2016-2019</t>
  </si>
  <si>
    <t>SIA ''Jūrmalas slimnīca'', Īpašumu pārvaldes Kapitāla daļu pārvaldīšanas nodaļa</t>
  </si>
  <si>
    <t>t.sk.  projektēšana</t>
  </si>
  <si>
    <t>Veselības tūrisma infrastruktūras uzlabošana Jūrmalas slimnīcā</t>
  </si>
  <si>
    <t>Veikta laboratorijas, sonogrāfijas telpu renovācija. Iegādātas medicīniskās iekārtas, t.sk., endoskopijas pakalpojumu veikšanai un Dzemdību nodaļai, mēbeles un datorprogrammas.
2018.gadā veikta radioloģijas telpu renovācija un iegādātas mēbeles.
2019.gadā veikta elektromobiļu iegāde (3 gab.) mājas aprūpes pakalpojumu nodrošināšanai, veikta Ķirurģijas nodaļas telpu renovācija.
2020.gadā veikta slimnīcas C korpusa būvniecības tehniskā projekta izstrāde.</t>
  </si>
  <si>
    <t>2016-2020</t>
  </si>
  <si>
    <t>Norobežotu peldceliņu izveide Lielupē</t>
  </si>
  <si>
    <t>50 m garu peldceliņu izveide Lielupē. Izveidots sporta aktivitāšu piesaistes objekts.</t>
  </si>
  <si>
    <t>2019-2020</t>
  </si>
  <si>
    <t>Īpašumu pārvaldes Pilsētsaimniecības un labiekārtošanas nodaļa</t>
  </si>
  <si>
    <t>Aktīvā un dabas tūrisma attīstība</t>
  </si>
  <si>
    <t>P.1.6.</t>
  </si>
  <si>
    <t>Trenažieru, informācijas stendu un citu vides elementu aktīvam dzīvesveidam izveide pilsētas vidē</t>
  </si>
  <si>
    <t>P1.6.</t>
  </si>
  <si>
    <t xml:space="preserve">Uzstādīti 4-6 jauni aktīvās atpūtas elementi pilsētas iedzīvotājiem un viesiem. </t>
  </si>
  <si>
    <t>2019</t>
  </si>
  <si>
    <t>Īpašumu pārvaldes Pilsētsaimniecības un labiekārtošanas nodaļa, Tūrisma nodaļa</t>
  </si>
  <si>
    <t>Daudzfunkcionāla dabas tūrisma centra jaunbūve un meža parka labiekārtojums Ķemeros (ITI SAM 5.6.2.)</t>
  </si>
  <si>
    <t xml:space="preserve">Izveidots daudzfunkcionāls un interaktīvs dabas tūrisma centrs. Veikta degradētās teritorijas revitalizācija 13.9 ha platībā. Indikatīvā projekta kopsumma ITI SAM ietvaros 13 058 823.53 EUR, t.sk. ERAF 6 000 000.00 EUR un nefinanšu investīcijas 6 000 000.00 EUR.                                                                                                                                                                                                                                                                                                                                   </t>
  </si>
  <si>
    <t>2016-2021</t>
  </si>
  <si>
    <t>Sanitāro mezglu (WC) izveide un uzturēšana pilsētas viesu koncentrēšanās vietās, t.sk. ārpus vasaras sezonas</t>
  </si>
  <si>
    <t>2019.gadā projekta izstrāde jauno sanitāro mezglu (WC) izveidošanai. 2019.-2020.gadā sanitāro mezglu izbūve.</t>
  </si>
  <si>
    <t>Kultūras tūrisma attīstība</t>
  </si>
  <si>
    <t>P.1.7.</t>
  </si>
  <si>
    <t xml:space="preserve">Interaktīvā kioska izbūve </t>
  </si>
  <si>
    <t>P1.7.</t>
  </si>
  <si>
    <t>Izbūvēts un uzstādīts interaktīvais kiosks pie Tūrisma informācijas centra (Lienes iela 5, Jūrmala).</t>
  </si>
  <si>
    <t>2020</t>
  </si>
  <si>
    <t>Informācijas un komunikācijas tehnoloģiju pārvalde, Tūrisma nodaļa</t>
  </si>
  <si>
    <t>Ķemeru parka pārbūve un restaurācija (ITI SAM 5.6.2.)</t>
  </si>
  <si>
    <t>2017-2020</t>
  </si>
  <si>
    <t>M2 : Komunālā un transporta infrastruktūra</t>
  </si>
  <si>
    <t>Ceļu un ielu kvalitātes uzlabošana, satiksmes drošības uzlabojumi, veloceliņu un gājēju celiņu attīstība</t>
  </si>
  <si>
    <t>P2.1.</t>
  </si>
  <si>
    <t>Infrastruktūras atjaunošana izejās uz jūru</t>
  </si>
  <si>
    <t>2019.gadā veikti kāpņu remonti izejā uz jūru Kaiju ielā un izejā uz jūru Rūjienas ielā.</t>
  </si>
  <si>
    <t xml:space="preserve"> Kauguru-Slokas apvedceļa posma dzelzceļa dienvidu pusē izbūve (1.kārta, pieslēgums A10 / E22 ceļam) (SAM 6.1.4.2.)</t>
  </si>
  <si>
    <t>2017-2022</t>
  </si>
  <si>
    <t>Tilta ielas krasta stiprināšana un atbalstsienas atjaunošana zem dzelzceļa tilta</t>
  </si>
  <si>
    <t xml:space="preserve">Krasta stiprināšana, veicot jaunu materiālu piebērumu krasta posmos, kur atsegts stiprinājuma ģeorežģis.  Atbalstsienas remonts saskaņā ar 2016.gada apsekošanas darbu atskaiti . </t>
  </si>
  <si>
    <t>t.sk. projektēšana</t>
  </si>
  <si>
    <t>Jaundubultu tilta būvniecība</t>
  </si>
  <si>
    <t>Jauna autotilta tehniski ekonomiskā pamatojuma izstrāde</t>
  </si>
  <si>
    <t>Ielu infrastruktūras atjaunošana Ķemeros (alternatīva ITI SAM 5.6.2.)</t>
  </si>
  <si>
    <t>2019-2021</t>
  </si>
  <si>
    <t>Ceļu infrastruktūras atjaunošana un autostāvvietas izbūve Ķemeros (ITI SAM 5.6.2.)</t>
  </si>
  <si>
    <t xml:space="preserve">Ielu asfalta seguma kapitālais remonts </t>
  </si>
  <si>
    <t xml:space="preserve">Veikts seguma kapitālais remonts (virskārtas atjaunošana) ielām, kurām izstrādāti projekti. </t>
  </si>
  <si>
    <t>Pilsētas centrālās daļas ielu brauktuvju un gājēju celiņu atjaunošana un autostāvvietu izbūve (ITI SAM 3.3.1.)</t>
  </si>
  <si>
    <t>Grantēto ielu asfaltēšana</t>
  </si>
  <si>
    <t xml:space="preserve">2018.gadā plānoti asfaltēšanas darbi saskaņā ar izstrādātājiem projektiem 1) Pļaviņu ielā, Slokā no Tērbatas ielas līdz Ventspils šosejai; 2) A.Upīša ielā, Ķemeros no Robežu ielas līdz Puškina ielai; 3) Kadiķu ielā, Mellužos no dzelzceļa upes virzienā.     Ir izstrādāti projekti, bet realizācija atbilstoši finansējumam 2019.- 2021. gads 1) Atbalss ielā, Vaivaros no Asaru prospekta līdz dzelzceļam; 2) Žubītes ielā, Mellužos no dzelzceļa līdz Mētru ielai; 3) Puķu ielā, Mellužos no dzelzceļa līdz Mētru ielai, kā arī plānoti projektēšanas un asfaltēšanas darbi: 1) Baltezera ielā, Jaundubultu posmā; 2) Silu ielā, Mellužos no Mellužu prospekta līdz Kāpu ielai.  </t>
  </si>
  <si>
    <t>Dubultu satiksmes mezgla pie Slokas ielas pārbūve un satiksmes drošības uzlabošana</t>
  </si>
  <si>
    <t>Regulējamas pārejas izbūve Dubultu prospekta un Kļavu ielas krustojumā.</t>
  </si>
  <si>
    <t>2017-2018</t>
  </si>
  <si>
    <t>Jaunu autostāvvietu izbūve pilsētas satiksmes infrastruktūras pilnveidei (alternatīva ITI SAM 3.3.1.)</t>
  </si>
  <si>
    <t>Trotuāru izbūve un esošo trotuāru atjaunošana</t>
  </si>
  <si>
    <t xml:space="preserve">2018.gadā plānota trotuāru izbūve Ventspils šosejas posmā pie DUS "Latvijas nafta" saskaņā ar projektu, kā arī trotuāra atjaunošana: 1) 5.līnijā, Bulduros, no Edinburgas prospekta līdz Bulduru prospektam; 2) pie Dubultu poliklīnikas; 3) Bulduru prospektā no 2.līnijas līdz 11.līnijai abas puses neatjaunotajos posmos; 3) Slokas ielā no dzelzceļa līdz Strēlnieku prospektam; 4)  Bulduru prospektā no K.Barona ielas līdz 1.līnijai; 5) no Dubultu prospekta posmos Z.A.Meierovica prospekta Mellužu virzienā; 6) Ventspils šosejā no Raiņa ielas līdz Jēkabpils ielai; 7) no Poruka prospekta līdz Pumpuru stacijai; 8) Kronvalda ielā no Dubultu prospekta līdz Strēlnieku prospektam; 8) Strēlnieku prospektā no Upes ielas līdz Lielupes ielai posmos; 9) Robežu ielā no Alejas līdz Tukuma ielai; 10) Ceriņu ielā no Dubultu prospekta pludmales virzienā. 2018.gadā trotuāra projektēšana: 1) Jūrkalnes ielā, Mežmalas ielā; 2) Slokas ielā no Druvciema līdz Valtera prospektam; 3) Tukuma iela no dzelzceļa līdz  A10 autoceļam. Veloceliņa atjaunošana Ķemeri no Alejas ielas līdz Robežu ielai.  </t>
  </si>
  <si>
    <t>2017-2021</t>
  </si>
  <si>
    <t>Seguma remonts, atjaunošana publiskās vietās un pašvaldības teritorijās</t>
  </si>
  <si>
    <t>Parku, laukumu, autobusu platformu  un stāvvietu kabatu segumu atjaunošana pašvaldības teritorijās. 2018.gadā plānota pautobusu platformu atjaunošana Indras un Salas ielās.</t>
  </si>
  <si>
    <t>Seguma atjaunošana, teritorijas labiekārtošana pilsētas iekškvartālos</t>
  </si>
  <si>
    <t>Atjaunoti gājēju celiņi, atjaunota brauktuves daļa un veikta teritorijas labiekārtošana pilsētas iekškvartālos (Iebrauktuves atjaunošana gar Skolas ielu 39a, seguma atjaunošana gar Skolas ielu 35 un 37, Engures ielas atjaunošana pie Skolas ielas 69 un Engures ielas 11, stāvvietas atjaunošana - Talsu šosejā 31, Mazpulku ielā pie Tallinas ielas 44).</t>
  </si>
  <si>
    <t>2018-2021</t>
  </si>
  <si>
    <t>Jūrmalas pilsētas satiksmes drošības uzlabošana</t>
  </si>
  <si>
    <t>2018.gadā veikti būvdarbi luksofora objekta uzstādīšanai Strēlnieku prospekta un Ceriņu ielas krustojumā, izveidota regulējama gājēju pāreja Lienes ielā pie Pliekšāna ielas, Dubultu prospektā pie Ceriņu un Kļavu ielas, izbūvēts apgaismojums pie gājēju pārejas Rīgas un Promenādes ielu krustojumā. 2018.gadā veikti projektēšanas darbi regulējamai gājēju pārejai Lienes ielā pie Pliekšāna ielas, Dubultu prospektā pie Ceriņu un Kļavu ielas, projektēšnas darbi un luksofora izbūve Asaru prospekta un Stacijas ielas krustojumā, projektēšanas darbi regulējamai gājēju pārejai Asaru prospektā pie Valteru prospekta.</t>
  </si>
  <si>
    <t>Tiltu atjaunošana</t>
  </si>
  <si>
    <t xml:space="preserve">Pakāpeniska visu pilsētas 17 tiltu atjaunošana saskaņā ar veikto visu tiltu inspekciju. 2018.gadā plānots Dzintaru ceļa pārvada projektēšana un projekta ekspertīze. </t>
  </si>
  <si>
    <t>Ielu apgaismošanas elektriskā tīkla renovācija</t>
  </si>
  <si>
    <t>2018.gadā renovēts ielu apgaismpojums Mellužu prospektā un veikta renovācijas darbu projektu izstrāde Asaru prospektam.</t>
  </si>
  <si>
    <t>SIA "Jūrmalas gaisma", Īpašumu pārvaldes Kapitāla daļu pārvaldīšanas nodaļa</t>
  </si>
  <si>
    <t>Ielu apgaismojuma ierīkošana Jūrmalas pilsētas neapgaismotajās ielās</t>
  </si>
  <si>
    <t>2018.gadā izbūvēts apgaismojums Tirgus ielā, Noliktavas ielā (t.sk. projektēšana), izstrādāts projekts apgaismojuma ierīkošanai Zivju, Niedru un Rubeņu ielās.</t>
  </si>
  <si>
    <t>Ielu apgaismošanas elektrisko tīklu atjaunošana sakarā ar AS ''Sadales tīkli'' veikto inženiertīklu pārbūvi</t>
  </si>
  <si>
    <t>Jūrmalas ostas attīstība un kuģošanas infrastruktūras attīstība Lielupē</t>
  </si>
  <si>
    <t>P.2.4.</t>
  </si>
  <si>
    <t>P2.4.</t>
  </si>
  <si>
    <t>Jūrmalas ostas pārvalde</t>
  </si>
  <si>
    <t>Jūrmalas ūdenstūrisma pakalpojumu infrastruktūras attīstība atbilstoši pilsētas ekonomiskajai specializācijai (ITI SAM 3.3.1.)</t>
  </si>
  <si>
    <t>Lielupes kuģošanas infrastruktūras attīstība uzņēmējdarbības veicināšanai (alternatīva ITI SAM 3.3.1.)</t>
  </si>
  <si>
    <t>Ostas salas Buļļuciemā projekta ieceres izstrāde</t>
  </si>
  <si>
    <t>Jūrmalas ostas teritorijas attīstība, labiekārtojot Ostas salu un nodrošinot rekreācijas pakalpojumus. Attīstīta piekrastes zvejniecība.</t>
  </si>
  <si>
    <t>2018</t>
  </si>
  <si>
    <t>Ūdensapgādes un notekūdeņu apsaimniekošanas sistēmu pilnveide</t>
  </si>
  <si>
    <t>P.2.5.</t>
  </si>
  <si>
    <t>Jūrmalas ūdenssaimniecības attīstības projekts IV kārta (t.sk. tīklu izbūves Buļļuciemā)</t>
  </si>
  <si>
    <t>P2.5.</t>
  </si>
  <si>
    <t>Attīstīta un uzlabota ūdensapgādes un kanalizācijas sistēmas pakalpojumu kvalitāte un nodrošinātas pieslēgšanas iespējas. Projekta realizācija paredzēta līdz 31.01.2022.četrās kārtās: 1) ūdenssaimniecības tīklu paplašināšana Buļļuciemā (prioritāte), 2) ūdenssaimniecības tīklu paplašināšana Priedainē – Majoros, 3) ūdenssaimniecības tīklu paplašināšana Majoros – Krastciemā; 4 ūdenssaimniecības tīklu paplašināšana Krastciemā – Ķemeros). 2021.gadā plānotās izmaksas ir 4 648 017 EUR. Kopējās projekta izmaksas no 2016.gada līdz 2021.gadam ir 47 119 00 EUR.</t>
  </si>
  <si>
    <t>2016-2022</t>
  </si>
  <si>
    <t>SIA "Jūrmalas ūdens", Īpašumu pārvaldes Kapitāla daļu pārvaldīšanas nodaļa</t>
  </si>
  <si>
    <t>Meliorācijas sistēmas atjaunošana</t>
  </si>
  <si>
    <t xml:space="preserve">Pašvaldības meliorācijas sistēmu izbūve, renovācija un atjaunošana 2018.gadā: 1)  Esošās grāvja sistēmas atjaunošana, betona teknes izbūve posmā no Lielupes līdz Gulbju ielai, Jūrmalā (1.kārta 100 tūkst. 2) Maģistrālā novadgrāvja mezgla izbūve Skautu un Zemgales ielas krustojumā pie Vaivaru stacijas ( 22 tūkst.); 3) Novadgrāvja no Robežu līdz Durbes ielai atjaunošana (28 tūkst.); 4) Novadgrāvja no Ziedoņa līdz Augļu ielai atjaunošana (27 tūkst.); 5) Meliorācijas maģistrālā grāvja pārnešana pa Kanālu ielu ar izvadu jūrā Magoņu ielas galā, projektēšana (13 tūkst.). Meliorācijas sistēmu uzturēšana.
</t>
  </si>
  <si>
    <t>2013-2021</t>
  </si>
  <si>
    <t>Asenizācijas notekūdeņu savākšana un uzskaite</t>
  </si>
  <si>
    <t>Tiks iegādātas septisko dūņu pieņemšanas stacijas, kuras tiks uzstādītas pilsētā un tajās tiks novadīti un precīzi uzskaitīti asenizācijas notekūdeņi, kas tiek savākti no patērētājiem, kas neizmanto centralizētos tīklus. Šāda uzskaite ilgtermiņā ļauj norēķināties pēc faktiskajiem apjomiem un dod iespēju nepārmaksāt septisko dūņu piegādātājiem.</t>
  </si>
  <si>
    <t>Lietus ūdens savākšanas un attīrīšanas sistēmas uzlabošana ar mērķi nodrošināt augstu virszemes ūdens kvalitāti, izmantojot jaunākos tehnoloģiskos risinājumus. Likvidētas esošās lietus ūdeņu noplūdes vietas Rīgas jūras līcī.</t>
  </si>
  <si>
    <t>Atmosfēras nokrišņu infiltrācijas sistēmas sakārtošana.</t>
  </si>
  <si>
    <t>Samazināta Slokas NAI hidrauliskā slodze un samazināts pārsūknējamo notekūdeņu apjoms uz Daugavgrīvas NAI.</t>
  </si>
  <si>
    <t>2013-2020</t>
  </si>
  <si>
    <t>Lietus ūdens kanalizācijas sistēmas attīstība</t>
  </si>
  <si>
    <t>Lietus ūdens savākšanas un attīrīšanas sistēmas uzlabošana ar mērķi nodrošināt augstu virszemes ūdens kvalitāti. Lietus kanalizācijas sistēmas izbūve O.Kalpaka prospektā. Lietus ūdens kanalizācijas projektēšana tīklu izbūvei no Upes ielas pa Dubultu prospektu un Mellužu prospektu līdz Puķu ielai.</t>
  </si>
  <si>
    <t>Ūdenssaimniecības infrastruktūras attīstība un uzturēšana</t>
  </si>
  <si>
    <t>Ūdenssaimniecības infrastruktūras attīstības un uzturēšanas darbu veikšana, t.sk.:
1) kanalizācijas pārsūknēšanas staciju atjaunošana;
2) ūdensvada un kanalizācijas tīklu atjaunošana;
3)  sūkņu atjaunošana artēziskajās akās; 
4) spiediena kontroles sistēmas izveide Kauguru artēziskā sistēmā;
5) video novērošanas sistēmas izveide.</t>
  </si>
  <si>
    <t>Interaktīvas ūdenssaimniecības pārvaldības īstenošana (IWAMA projekts)</t>
  </si>
  <si>
    <t xml:space="preserve">Projekta mērķis - sadzīves notekūdeņu radīto dūņu pārstrāde. 2016. gadā veikta priekšizpēte Slokas notekūdeņu attīrīšanas ietaisēs dūņu apstrādes tehnoloģijām, izvērtējot dažādas iespējamās versijas dūņu apjoma samazināšanai Slokas notekūdeņu attīrīšanas ietaisēs. </t>
  </si>
  <si>
    <t>Energoapgādes un sakaru attīstība</t>
  </si>
  <si>
    <t>P2.6.</t>
  </si>
  <si>
    <t xml:space="preserve">Esošā datu centra modernizācija </t>
  </si>
  <si>
    <t>Modernizēts datu centrs Jomas ielā 1/5, Jūrmalā. Iegādātas papildus glabāšanas iekārtas iebraukšanas nodevas kontrolei.</t>
  </si>
  <si>
    <t>Informācijas un komunikācijas tehnoloģiju pārvalde</t>
  </si>
  <si>
    <t>Informācijas sistēmu un datu pārraides tīkla drošības nodrošināšana</t>
  </si>
  <si>
    <t>Uzstādīta tīkla pretielaušanās sistēma, veikts datu pārraides tīkla un IS drošības audits visā pašvaldības teritorijā. 2018.gadā - programmas atjauninājums, audits un 2 ugunsmūra iekārtu iegāde.</t>
  </si>
  <si>
    <t>Datortehnikas iegāde</t>
  </si>
  <si>
    <t>Uzlabots tehniskais nodrošinājums Jūrmalas pilsētas domes administrācijai. 2018.gadā iegādāti stacionārie datori 60 gab, portatīvie datori 10 gab, printeri 2 gab, skeneri 5 gab.</t>
  </si>
  <si>
    <t>Jūrmalas pilsētas domes administratīvās ēkas energoefektivitātes paaugstināšana Dubultu prospektā 1, lit.1 (alternatīva ITI SAM 4.2.2.)</t>
  </si>
  <si>
    <t>Siltumtīklu atjaunošana un pārbūve</t>
  </si>
  <si>
    <t xml:space="preserve">Siltumtīklu atjaunošana Brīvības prospektā, Aizputes ielā, Rēzeknes pulka ielā, Saldus ielā, Ceriņu ielā 29, 31, Slokas ielā 36, 42, Drosmas ielā 2, Ievu ielā 6, no Slokas ielas 47a līdz Slokas 61, no Kameras siltumkameras-4 Tallinas ielas rajonā, Jūras, Teātra un Jomas ielās, Slokas ielā no siltumkameras - 4a gar Baznīcas ielu, līdz Z.A. Mierovica prospektam 11.  Siltumtīklu pārbūve Slokas ielā 63 korp. 1-8; 65 korp. 1; 
Slokas ielā no siltumkameras Aspazijas ielā līdz siltumkamerai pie Jomas ielas 1/5, no siltumkameras-3 Slokas ielā līdz siltumkamerai-4a un no siltumkameras-3 līdz siltumkamerai-3a-3 pie Baznīcas ielas; Oškalna ielā, Nometņu ielā un Engures ielā, Jūrmālā; Lībiešu, Oškalna, Mazā Nometņu, Tērbatas, Tallinas, Rūpniecības ielās.
</t>
  </si>
  <si>
    <t>2018-2020</t>
  </si>
  <si>
    <t xml:space="preserve">SIA "Jūrmalas siltums", Īpašumu pārvaldes Kapitāla daļu pārvaldīšanas nodaļa </t>
  </si>
  <si>
    <t>Šķeldas katlu māju izbūve</t>
  </si>
  <si>
    <t>Izbūvētas 2 šķeldas katlu mājas 1.5 MW un 5 MW.  Siltumenerģija tiks ražota ar atjaunojamajiem energoresursiem, kā rezultātā samazinās dabasgāzes saražotais apjoms par 7 256 MWh , CO2 emisiju samazinājums gadā 1980t.</t>
  </si>
  <si>
    <t>Katlu māju atjaunošana</t>
  </si>
  <si>
    <t>Katlu mājas atjaunošana Pliekšānas ielā un Aizputes ielā. Gāzes katlu nomaiņa Lībiešu ielā 9.</t>
  </si>
  <si>
    <t>Elektrosaimniecības atjaunošana, sakārtošana Slokas ielā 47a, SIA "Jūrmalas siltums"</t>
  </si>
  <si>
    <t xml:space="preserve">Drošas, nepātrauktas ražošanas nodrošināšana, elektromagnētiskā riska mazināšana biroja darbiniekiem </t>
  </si>
  <si>
    <t>Administrtaīvo telpu (klientu apkalpošana) izbūve Slokas sielā 47a, SIA "Jūrmalas siltums"</t>
  </si>
  <si>
    <t>Piekļuve klientu apkalpošnas speciālistiem visām iedzīvotāju grupām, kas veicinātu proaktīvu sadarbību  starp pakalpojuma sniedzēju un klientu.</t>
  </si>
  <si>
    <t>Jaunas norēķinu sistēmas ieviešana SIA "Jūrmalas siltums"</t>
  </si>
  <si>
    <t>Debitoru uzskaites modernizācija, debitoru parādu piedziņas uzlabošana</t>
  </si>
  <si>
    <t>Atjaunojamo energoresursu izpēte (eksperimentālo saules paneļu uzstādīšana)</t>
  </si>
  <si>
    <t>Atjaunojamās energoenerģijas izmatošanu iespēju izpēte Centralizētajā siltumapgādes sistēmā, kas ļautu būtiski kompensēt siltuma zudumums un elektronerģijas ražošanu</t>
  </si>
  <si>
    <t>Energoefektivitātes pasākumu ieviešana CO2 samazināšanai</t>
  </si>
  <si>
    <t>Piesārņojuma zonējuma kartes izstrāde, energoefektivitātes platformas izstrāde, ISO 5001 uzturēšana, apmācība</t>
  </si>
  <si>
    <t>Publiskās telpas labiekārtošana</t>
  </si>
  <si>
    <t>P.2.8.</t>
  </si>
  <si>
    <t>P2.8.</t>
  </si>
  <si>
    <t>Jauno Slokas kapu izbūve un labiekārtošana</t>
  </si>
  <si>
    <t>Paplašināta kapu teritorija, jaunu kapavietu izveide - ceļa izbūve, žoga izbūve. 2018.gadā - žoga izbūve un pārcelšana</t>
  </si>
  <si>
    <t>2017-2019</t>
  </si>
  <si>
    <t>Kapteiņa Zolta piemiņas vietas teritorijas labiekārtošana Kaugurciema ielā, Jūrmalā</t>
  </si>
  <si>
    <t>Labiekārtota Kapteiņa Zolta piemiņas vietas teritorija Kaugurciema ielā, Jūrmalā - veikta laukuma pie pieminekļa paplašināšana, izbūvējot laukuma konstruktīvos slāņus bez seguma.</t>
  </si>
  <si>
    <t xml:space="preserve">Bērnu rotaļu un sporta laukumu atjaunošana un izveide un sintētiskā seguma ieklāšana </t>
  </si>
  <si>
    <t>Izveidoti bērnu rotaļu un sporta laukumi un ieklāts sintētiskais segums daudzdzīvokļu namu iekšpagalmos. 2018.gadā plānots uzstādīt jaunus rotaļu laukumus: pludmalē Bulduru peldvietā un iekšpagalmos -  Kauguri 1209; Atjaunot esošos rotaļu laukumus Kauguri 1106, Skolas iela 23/25; Kauguri 3116, Kauguri 0814;  Kauguri 0726. 2019.gadā paredzēts  uzstādīt jaunus rotaļu laukumus: pludmalē Mellužos pie Puķu ielas izejas uz jūru un iekšpagalmos Kauguri 6406; Kauguri 3305; Kauguri 1820. Atjaunot esošos rotaļu laukumus Kauguri 0808; Kauguros z/g Talsu šosejas un Raiņa ielas stūrī; Skolas ielā 31b - "Zīmuļu parks",  Dubulti 3748, Ķemeros Robežu ielā 19.</t>
  </si>
  <si>
    <t>2018-2019</t>
  </si>
  <si>
    <t>Sabiedriskā centra Valtera prospektā 54, Jūrmalā, attīstība</t>
  </si>
  <si>
    <t>Mellužu glābšanas stacijas pārbūve un siltināšana</t>
  </si>
  <si>
    <t>Veikta ēkas ekspertīze, projektēšana, pārbūve. Izveidota Dzimtsarakstu nodaļa.</t>
  </si>
  <si>
    <t>Majoru muižas kompleksa atjaunošana, t.sk. teritorijas labiekārtošana (alternatīva ITI SAM 5.6.2.)</t>
  </si>
  <si>
    <t>Domes ēkas pārbūve un energoefektivitātes paaugstināšana Jomas ielā 1/5, Jūrmalā</t>
  </si>
  <si>
    <t>Pārbūvēta domes ēka un īstenoti pasākumi ēkas energoefektivitātes paaugstināšanai projekta "Accelerate SUNShINE" ietvaros. Indikatīvā projekta kopsumma 1974566 EUR, t.sk. JPD līdzfinansējums 394913 EUR.</t>
  </si>
  <si>
    <t>Dzintaru Mežaparkā esošo koka laipu atjaunošana</t>
  </si>
  <si>
    <t xml:space="preserve">Veikta Dzintaru Mežaparkā esošo koka laipu nomaiņa. </t>
  </si>
  <si>
    <t>Jaunu modernizētu autobusu pieturu tehniskā projekta izstrāde</t>
  </si>
  <si>
    <t>Tehniskā projekta izstrāde jaunu modernizētu autobusu pieturu izbūvei atbilstoši  izstrādātajam Jūrmalas sabiedriskā transporta pieturvietu modernizācijas dizaina projektam.</t>
  </si>
  <si>
    <t>Daudzdzīvokļu dzīvojamo ēku energoefektivitātes pasākumu atbalsta programmas īstenošana</t>
  </si>
  <si>
    <t>P2.9</t>
  </si>
  <si>
    <t>Atbalsts daudzdzīvokļu dzīvojamo ēku renovācijai. Projekta "Accelerate SUNShINE" ietvaros (kopā EUR 22500) sniegts finansējums energoaudita veikšanai (aptuveni 20 ēkās). Pašvaldības budžeta ietvaros plānots līdzfinansēt ēkas pārbūves vai renovācijas tehnisko projektu izstrādi un būvdarbu veikšanu ēkās.</t>
  </si>
  <si>
    <t>Attīstības pārvaldes Stratēģiskās plānošanas nodaļa</t>
  </si>
  <si>
    <t>M3 : Sociālā infrastruktūra</t>
  </si>
  <si>
    <t>Uz nākotni orientēta pilsētas pārvaldība, kas atbalsta pilsonisko iniciatīvu</t>
  </si>
  <si>
    <t>P3.1.</t>
  </si>
  <si>
    <t>Lietotāju darbastaciju standartizācija, t.sk. lietojumu virtializācija, universālāka lietotāja darbastacija, lietojumu drošības paaugstināšana</t>
  </si>
  <si>
    <t>IP telefonijas izveide, lietotāju darbastaciju standartizācija un centralizēta pārvaldība</t>
  </si>
  <si>
    <t>Optiskā kabeļu tīkla izveide</t>
  </si>
  <si>
    <t>Izveidots optiskais datu pārraides tīkls. Datortīkla aktīvās aparatūras, tīkla iekārtu iegāde un uzstādīšana. Esošā datu pārraides un publiskā videonovērošanas  tīkla paplašināšana Kauguros. 2018.gadā - 17 komutatori JPD nodaļās, 7 maršrutētāji ietādēs</t>
  </si>
  <si>
    <t>Domes administratīvo ēku infrastruktūras attīstība</t>
  </si>
  <si>
    <t>Administratīvās ēkas pārbūve sociālo funkciju nodrošināšanai</t>
  </si>
  <si>
    <t>2018. un 2019.gadā veikta Labklājības pārvaldes ēkas rekonstrukcija Talsu šosejā 31.</t>
  </si>
  <si>
    <t>Jūrmalas pilsētas domes administratīvās ēkas energoefektivitātes paaugstināšana Rūpniecības ielā 19 (alternatīva ITI SAM 4.2.2.)</t>
  </si>
  <si>
    <t>Jūrmalas kartes ieviešana</t>
  </si>
  <si>
    <t>Izvietotas pieejas kontroles sistēmas vismaz 2 izglītības iestādēs, iegādātas 14 000 bezkontakta kartes, veikta to apdruka atbilstoši apstiprinātajam dizainam. Izveidots datu apmaiņas tunelis datu sinhronizēšanai un izveidota e-pakalpojumu vide ar iespēju pieteikties Jūrmalas iedzīvotāja kartei elektroniski. 2019.gadā uzstādīti sabiedriskā transporta biļešu apmaksas automāti  un pilsētas iebraukšanas caurlaižu iegādes automāti (5 gab.), iegādāti 21 000 bezkontatkta karšu, veikta to apdruka un uzstādītas pieejas kontroles sistēmas 13 vispārējās izglītības iestādēs. Līdz 2020.gadam sistēmas uzturēšana.</t>
  </si>
  <si>
    <t>Attīstības pārvaldes Uzņēmējdarbības attīstības nodaļa, Informācijas un komunikācijas tehnoloģiju pārvalde</t>
  </si>
  <si>
    <t>Iebraukšanas nodevas Jūrmalas pilsētā kontroles sistēmas ieviešana un attīstīšana</t>
  </si>
  <si>
    <t xml:space="preserve"> Izbūvēts datu pārraides tīkls. Uzstādītas kameras un automatizētā iebraukšanas kontroles sistēma visos iebraukšanas posteņos Jūrmalas pilsētas administratīvajā teritorijā. Izveidots e-pakalpojumu portāls, papildinot ar informāciju, kas saistīta ar iebraukšanas nodevas administrēšanu (izsniegšana un kontrole).</t>
  </si>
  <si>
    <t>Ģeogrāfiskās informācijas sistēmas ieviešana</t>
  </si>
  <si>
    <t>2018.gadā plānota IT platformas izstrāde infrastruktūras attīstības plānošanas vajadzībām (ielas un ceļi, ūdensapgāde, kanalizācija, ielu apgaismojums, siltumtrases, veloceliņi, meliorācijas grāvji un sistēmas, satiksmes drošības elementi, A/S "Sadales tīkli" investīciju projekti, datu pārraides tīkli u.tml.). IT platforma būs savietojama ar pašvaldības teritorijas plānojumu, kadastru, aktuālo ortofoto karti, Būvniecības informācijas sistēmu, citiem tiešsaistes datiem, kuri pieejami nacionālā līmenī.</t>
  </si>
  <si>
    <t>Kvalitatīva un sociāli pieejama izglītība</t>
  </si>
  <si>
    <t>P3.2.</t>
  </si>
  <si>
    <t xml:space="preserve">Izveidoti jauni bērnu rotaļu laukumi Pumpuru vidusskolā un PII  “Taurenītis". 2019.gadā uzstādīt  PII "Ābelīte", PII "Lācītis" un Mežmalas vidusskolā. </t>
  </si>
  <si>
    <t>Pirmsskolas izglītības iestāžu pieejamības uzlabošana</t>
  </si>
  <si>
    <t>Pieejamības nodrošināšana personām ar kustību traucējumiem PII ''Zvaniņš'', PII ''Lācītis'', PII ''Katrīna'', PII ''Saulīte''.</t>
  </si>
  <si>
    <t>Pirmsskolas izglītības pakalpojumu pieejamības uzlabošana Jūrmalas pilsētas centrālajā daļā</t>
  </si>
  <si>
    <t>Pirmsskolas izglītības pakalpojumu nodrošināšana, piemēram, paplašinot PII "Namiņš" vai citu šajā pilsētas daļā esošu izglītības iestādi. Jaunu telpu platība - ap 400 m2. Nepieciešamais papildus vietu skaits - 30 - 35.</t>
  </si>
  <si>
    <t xml:space="preserve">Pirmsskolas izglītības iestādes "Madara"  ēkas energoefektivitātes paaugstināšana Tērbatas iela 1, Jūrmalā </t>
  </si>
  <si>
    <t xml:space="preserve">Pārbūvēta ēka un īstenoti pasākumi ēkas energoefektivitātes paaugstināšana projekta "Accelerate SUNShINE" ietvaros. Indikatīvā projekta kopsumma 223 869 EUR, t.sk. pašvaldības līdzfinansējums 44 773 EUR. </t>
  </si>
  <si>
    <t>Pirmsskolas izglītības iestādes ''Mārīte' pārbūve</t>
  </si>
  <si>
    <t>Neapmierinošā stāvoklī esošās izglītības iestādes pārbūve, t.sk. atjaunojot iekšējo un ārējo apdari, ūdensapgādes, kanalizācijas, apkures un elektroapgādes sistēmas, veicot teritorijas labiekārtošanu un ārējā apgaismojuma uzlabošanu.</t>
  </si>
  <si>
    <t>Pirmsskolas izglītības iestādes ''Bitīte'' pārbūve</t>
  </si>
  <si>
    <t>Pirmsskolas izglītības iestādes ''Saulīte'' pārbūve</t>
  </si>
  <si>
    <t xml:space="preserve">Sākumskolas "Atvase" ēkas energoefektivitātes paaugstināšana Raiņa ielā 53, Jūrmalā </t>
  </si>
  <si>
    <t xml:space="preserve">Pārbūvēta ēka un īstenoti pasākumi ēkas energoefektivitātes paaugstināšana projekta "Accelerate SUNShINE" ietvaros. Indikatīvā projekta kopsumma 239680 EUR, t.sk. JPD līdzfinansējums 47 936 EUR. </t>
  </si>
  <si>
    <t>2020-2021</t>
  </si>
  <si>
    <t>Jūrmalas pilsētas Ķemeru pamatskolas ēkas pārbūve un energoefektivitātes paaugstināšana (ITI SAM 4.2.2.)</t>
  </si>
  <si>
    <t>Jūrmalas pilsētas Jaundubultu vidusskolas ēkas energoefektivitātes paaugstināšana (ITI SAM 4.2.2.)</t>
  </si>
  <si>
    <t>Jūrmalas pilsētas Jaundubultu vidusskolas ēkas k-1 (autoskolas ēka) energoefektivitātes paaugstināšana (ITI SAM 4.2.2.)</t>
  </si>
  <si>
    <t>Lielupes pamatskolas pārbūve un sporta zāles piebūve</t>
  </si>
  <si>
    <t>Veikta Jūrmalas pilsētas Lielupes pamatskolas un Jūrmalas Valsts ģimnāzijas telpu (skolas 3.stāvā) pārbūve un infrastruktūras pilnveide, radot modernu un ergonomisku mācību vidi. Papildus veikta sporta zāles piebūve un telpu pielāgošana Bērnu un jauniešu interešu centra darbības nodrošināšanai.</t>
  </si>
  <si>
    <t>2014-2020</t>
  </si>
  <si>
    <t>Lielupes ledus halles izbūve</t>
  </si>
  <si>
    <t>2019.gadā izstrādāts tehniski ekonomiskais pamatojums halles izbūvei. 2019.gadā izstrādāts privātās-publiskās partnerības projekts. 2020.gadā uzsākta halles būvniecība</t>
  </si>
  <si>
    <t>Jūrmalas pilsētas Kauguru vidusskolas ēkas  energoefektivitātes paaugstināšana un telpu atjaunošana (ITI SAM 4.2.2. un ITI SAM 8.1.2.)</t>
  </si>
  <si>
    <t>Jūrmalas Sporta skolas peldbaseinu ēkas pārbūve un energoefektivitātes paaugstināšana (ITI SAM 4.2.2.)</t>
  </si>
  <si>
    <t>Jūrmalas Valsts ģimnāzijas ēkas Raiņa ielā 55, Jūrmalā, pārbūve (ITI SAM 8.1.2.)</t>
  </si>
  <si>
    <t>Izglītības iestāžu pieejamības uzlabošana</t>
  </si>
  <si>
    <t>Pieejamības uzlabošana personām ar kustību traucējumiem šādās izglītības iestādēs: sākumskola “Ābelīte”, sākumskola “Atvase”, sākumskola “Taurenītis”, Jūrmalas internātpamatskola, Kauguru vidusskola, Mežmalas vidusskola.</t>
  </si>
  <si>
    <t>Vaivaru pamatskolas atjaunošana</t>
  </si>
  <si>
    <t>Datortehnikas, sakaru un citas biroja tehnikas atjaunošana</t>
  </si>
  <si>
    <t>Datortehnikas iegāde un informācijas un komunikācijas tehnoloģiskā aprīkojuma iegāde Jūrmalas pilsētas pašvaldības iestāžu vajadzībām (izglītības iestādēm 277.8 EUR, kultūras iestādēm 29.8EUR,
sociālā virziena iestādēm 15.4EUR,
pilsētsaimniecības un drošības iestādēm 11.9EUR)</t>
  </si>
  <si>
    <t>Informācijas un komunikācijas tehnoloģiju pārvalde sadarbībā ar attiecīgajām Jūrmalas pilsētas pašvaldības iestādēm</t>
  </si>
  <si>
    <t>Majoru vidusskolas ēkas energoefektivitātes paaugstināšana Rīgas ielā 3, Jūrmalā</t>
  </si>
  <si>
    <t xml:space="preserve">2018.gadā veikta skolas siltummezgla pārbūve, nodrošinot attālinātu siltuma patēriņa kontroli un uzskaiti. 2019.-2020.gadā pārbūvēta ēka un īstenoti citi nepieciešamie pasākumi ēkas energoefektivitātes paaugstināšanai projekta "Accelerate SUNShINE" ietvaros. Indikatīvā projekta kopsumma 1845000 EUR, t.sk. pašvaldības budžeta līdzfinansējums 369000 EUR. </t>
  </si>
  <si>
    <t>Datu tīklu atjaunošana un lokālās videonovērošanas sistēmas izbūve</t>
  </si>
  <si>
    <t>Veikta datu tīkla atjaunošana un ierīkota videonovērošana Jaundubultu vidusskolā (2018.gadā) , Pumpuru vidusskolā, sporta namā "Taurenītis", PII "Lācītis", "Katrīna", iestādes "Veselības veicināšanas un sociālo pakalpojumu centrs" objektos, Pašvaldības policijā</t>
  </si>
  <si>
    <t>Pumpuru peldbaseina izbūve</t>
  </si>
  <si>
    <t>Izbūvēts peldbaseins.</t>
  </si>
  <si>
    <t>Daudzveidīga kultūras un sporta vide</t>
  </si>
  <si>
    <t>P3.3.</t>
  </si>
  <si>
    <t>Izbūvētas Jūrmalas Mūzikas skolas un Jūrmalas Centrālās bibliotēkas ēkas.</t>
  </si>
  <si>
    <t>2016-2018</t>
  </si>
  <si>
    <t>Dubultu pludmales sporta centra izveide (glābšanas stacija)</t>
  </si>
  <si>
    <t>Izveidots Dubultu sporta centrs, nodrošinot arī Dubultu glābšanas stacijas funkcijas.</t>
  </si>
  <si>
    <t>Sprota zāles grīdas remonts. Nesošo koka konstukciju pārbaude - remonts. Kāpņu telpas sienu pārbaude - remonts. Nesošo koka konstukciju apstrāde ar ugunsdrošo pārklājumu</t>
  </si>
  <si>
    <t>Jumta konstrukcijas (polikarbonāta) maiņa. Ledus saldēšanas gumijas paklāja nomaiņa pret iebūvētu ledus saldēšanas (betona pīrāgu) sistēmu.</t>
  </si>
  <si>
    <t xml:space="preserve"> Vieglatlētikas skrejceliņa un augstlekšanas sektora renovācija 2018.gadā. Sintētiskā futbola laukuma pagarināšana un seguma nomaiņa Slokas stadionā 2019.gadā. Stadiona dabīgā zālāja laistīšanas automatizētas sistēmas ierīkošana 2020.gadā. Gāzes apkures sistēmas pārbūve - siltā ūdens nodrošināšanai - 2019.gadā. </t>
  </si>
  <si>
    <t>Jūrmalas bibliotēku atjaunošana</t>
  </si>
  <si>
    <t>Slokas, Asaru, Ķemeru, Bulduru, Kauguru bibliotēku remontdarbi.</t>
  </si>
  <si>
    <t>Dzintaru koncertzāles attīstība</t>
  </si>
  <si>
    <t>Nodrošināta kultūras pakalpojumu pieejamība un kvalitātes paaugstināšana. 2018.gadā rīkots Metu konkurss par Dzintaru koncertzāles lielās zāles pārbūves un teritorijas labiekārtošanas attīstības priekšlikumiem. 2019.-2022.gadā veikta Dzintaru koncertzāles Lielās zāles pārbūves un teritorijas labiekārtošanas būvprojekta izstrāde, veikta pārbūve un labiekārtota teritorija.</t>
  </si>
  <si>
    <t>Dzintaru koncertzāles mūzikas instrumentu iegāde</t>
  </si>
  <si>
    <t>Digitālo ērģeļu iegāde. Pamatlīdzekļu iegāde.</t>
  </si>
  <si>
    <t>SIA ''Dzintaru koncertzāle'', Īpašumu pārvaldes Kapitāla daļu pārvaldīšanas nodaļa</t>
  </si>
  <si>
    <t>Jūrmalas pilsētas brīvdabas muzeja infrastruktūras attīstība (EJZF projekts)</t>
  </si>
  <si>
    <t>Jūrmalas Kultūras centra infrastruktūras pilnveide</t>
  </si>
  <si>
    <t>Kauguru kultūras nama infrastruktūras pilnveide</t>
  </si>
  <si>
    <t>Kauguru kultūras nama piebūves projektēšana un būvniecība.</t>
  </si>
  <si>
    <t>2021</t>
  </si>
  <si>
    <t xml:space="preserve">Jūrmalas teātra ēkas energoefektivitātes paaugstināšana (ITI SAM 4.2.2.) </t>
  </si>
  <si>
    <t>2015-2019</t>
  </si>
  <si>
    <t>Ķemeru ūdenstorņa pārbūve un restaurācija                     (SAM 5.5.1.)</t>
  </si>
  <si>
    <t>Droša dzīves vide</t>
  </si>
  <si>
    <t>P3.4.</t>
  </si>
  <si>
    <t>Jūrmalas pilsētas videonovērošanas sistēmas izveidošana</t>
  </si>
  <si>
    <t xml:space="preserve">Videonovērošanas sistēmu uzstādīšana un paplašināšana sabiedriskās vietās, transporta mezglos un pašvaldības iestādēs. </t>
  </si>
  <si>
    <t>Informācijas un komunikācijas tehnoloģiju pārvalde, Jūrmalas pilsētas Pašvaldības policija</t>
  </si>
  <si>
    <t>Kvalitatīvs sociālais atbalsts</t>
  </si>
  <si>
    <t>P3.5.</t>
  </si>
  <si>
    <t>Infrastruktūras pilnveide sabiedrībā balstītu pakalpojumu sniegšanai personām ar garīga rakstura traucējumiem (ITI SAM 9.3.1.)</t>
  </si>
  <si>
    <t>Infrastruktūras pilnveide pakalpojumu sniegšanai bērniem ar funkcionāliem traucējumiem (ITI SAM 9.3.1.)</t>
  </si>
  <si>
    <t>Jūrmalas veselības veicināšanas un sociālo pakalpojumu centra ēku pārbūve un energoefektivitātes paaugstināšana (ITI SAM 4.2.2.)</t>
  </si>
  <si>
    <t>SIA ''Veselības un sociālās aprūpes centrs - Sloka'' infrastruktūras uzlabošana</t>
  </si>
  <si>
    <t xml:space="preserve"> Nodrošināts pieslēgums centralizētajai ūdensapgādei un veikta kanalizācijas sistēmas pieslēguma centralizētajiem tīkliem projektēšana 2018.gadā. Metāla ugunsdrosības durvju uzstādīšana. Veikta apkures sistēmas renovācija. Veikta ārējo siltumtrašu un ūdensvadu, kanalizācijas rekonstrukcija, apkures sistēmas un ūdensvadu skalošana. Uzstādīta medicīnas personāla izsaukumu iekšējo sakaru ierīču sistēma. Apgaismojuma ķermeņu nomaiņa (stabi - 12 gab., lampas, kabeļi). Jauna žoga uzstādīšana teritorijai 120 m. Teritorijas asfalta seguma nomaiņa un bruģēšanas darbi. Gaisa attīrīšanas un jonizācijas iekārtu iegāde.  Klientu pacēlāju iegāde un uzstādīšana. </t>
  </si>
  <si>
    <t>SIA ''Veselības un sociālās aprūpes centrs - Sloka'', Īpašumu pārvaldes Kapitāla daļu pārvaldīšanas nodaļa</t>
  </si>
  <si>
    <t>Kvalitatīvi veselības aprūpes pakalpojumi</t>
  </si>
  <si>
    <t>P3.6.</t>
  </si>
  <si>
    <t>Pakalpojuma infrastruktūras izveide personām ar demenci</t>
  </si>
  <si>
    <t>Infrastruktūras attīstība, pakalpojumu strukturēšana un nodrošināšana atbilstoši spēkā esošo normatīvo aktu prasībām un jaunākajiem zinātniskajiem atklājumiem medicīnā un sociālajā labklājībā. Klientu drošības un nodrošināšana.</t>
  </si>
  <si>
    <t>SIA ''Veselības un sociālās aprūpes centrs - Sloka'' sniegto pakalpojumu uzlabošana</t>
  </si>
  <si>
    <t xml:space="preserve">Ultrasonogrāfijas diagnostikas un citas medicīniskās aparatūras iegāde. E-veselības sistēmas ieviešana. </t>
  </si>
  <si>
    <t>SIA ''Veselības un sociālās aprūpes centrs - Sloka'' mācību klases ierīkošana</t>
  </si>
  <si>
    <t>Pakalpojuma kvalitātes celšana, uzņēmuma attīstība, pakalpojumu klāsta paplašināšana. Mūsdienīgas un nomatīvo aktu prasībām atbilstošas multifunkcionālas mācību klases izveide ar modernu interaktīvo tehnoloģisko nodrošinājumu (lit.005 pārbūve/kapitālais remonts)</t>
  </si>
  <si>
    <t>SIA ''Kauguru veselības centrs'' infrastruktūras uzlabošana</t>
  </si>
  <si>
    <t>SIA ''Kauguru veselības centrs'', Īpašumu pārvaldes Kapitāla daļu pārvaldīšanas nodaļa</t>
  </si>
  <si>
    <t xml:space="preserve">Jūrmalas pilsētas attīstības programmas 2014.–2020.gadam 2.daļas „Stratēģiskā daļa un rīcības plāns” II.nodaļas "Rīcības plāns" h) apkšnodaļa </t>
  </si>
  <si>
    <t>Pirmsskolas izglītības iestāžu atjaunošana</t>
  </si>
  <si>
    <t>Vispārējās izglītības iestāžu atjaunošana</t>
  </si>
  <si>
    <t>Interešu un profesionālās ievirzes izglītības iestāžu atjaunošana</t>
  </si>
  <si>
    <t>Sociālo iestāžu atjaunošana</t>
  </si>
  <si>
    <t xml:space="preserve">Pašvaldības dzīvojamā fonda remonts </t>
  </si>
  <si>
    <t>Pašvaldības īpašumā esošo dzīvokļu remondarbi.</t>
  </si>
  <si>
    <t xml:space="preserve">Veikta domes administratīvo ēku infrastruktūras uzlabošana. Centralizētās gaisa kondicionēšanas sistēma izbūves 2.kārta Jomas ielā 1/5. Uzstādīta siltummaiņu un attālinātās kontroles sistēma P.Stradiņa ielā 6. Veikti būvdarbi Jomas ielā 10k-1. Dzimtsarakstu nodaļas remontdarbi. </t>
  </si>
  <si>
    <t>Jūrmalas pilsētas pašvaldības iestādes "Sprīdītis" remontdarbi - apkures katla nomaiņa. Veselības veicināšanas un sociālo pakalpojumu centra siltumtrases un norobežojošo konstrukciju remontdarbi.</t>
  </si>
  <si>
    <t>Jūrmalas bibliotēku remonts</t>
  </si>
  <si>
    <t>Jūrmalas pilsētas muzeja atjaunošana un paplašināšana</t>
  </si>
  <si>
    <t>Jūrmalas pilsētas muzeja siltummezgla pārbūve. Esošā muzeja atjaunošana. Muzeja paplašināšanas projekta izstrāde un ekspertīze Jomas ielā 15.</t>
  </si>
  <si>
    <t>Jūrmalas Kultūras centra ēku remonts</t>
  </si>
  <si>
    <t xml:space="preserve">Kultūras centra piebūves projektēšana un būvniecība. </t>
  </si>
  <si>
    <t>Kauguru kultūras nama, Jūrmalas teātra un Jūrmalas Mākslinieku nama remontdarbi.</t>
  </si>
  <si>
    <t xml:space="preserve">Remontdarbi pirmsskolas izglītības iestādēs: "Austras koks", "Katrīna", "Madara", "Mārīte", "Saulīte", "Zvaniņš" un "Lācītis". </t>
  </si>
  <si>
    <t>Pieslēguma izveide pie A10/E22, pilsētas infrastruktūras pārrāvuma novēršanai, radot alternatīvu transporta plūsmas maršrutu, nodalot sabiedriskā transporta plūsmu no kravas transporta plūsmas. SAM 6.1.4.2. projekta "Apvedceļa Kauguri-Sloka Jūrmalā izbūve (I kārta, pieslēgums A10/E22)" kopsumma 3 400 000.00 EUR, t.sk. KF 2 711 205.00EUR. 
Iecere tiks īstenota projekta iesnieguma apstiprināšanas gadījumā.</t>
  </si>
  <si>
    <t xml:space="preserve">Remontdarbi vispārējās izglītības iestādēs: Vakara vidusskolā, Pumpuru vidusskolā, Jūmalas pilsētas Mežmalas vidusskolā, Slokas pamatskolā, Jūrmalas pilsētas internātpamatskolā, Majoru vidusskolā, Jūrmalas pilsētas Kauguru vidusskolā, Jūrmalas pilsētas Jaundubultu vidusskolā, Ķemeru pamatskolā, Jūrmalas sākumskolā "Ābelīte", Jūrmalas sākumskolā "Atvase". Pēc nepieciešamības arī citās vispārējās izglītības iestādēs. </t>
  </si>
  <si>
    <t>Remontdarbi interešu un profesionālās ievirzes izglītības iestādēs: Jūrmalas Sporta skolā, Jūrmalas Bērnu un jauniešu interešu centrā Zemgales ielā 4.</t>
  </si>
  <si>
    <t xml:space="preserve">
Atjaunota Emīla Dārziņa iela posmā no Tūristu ielas līdz Katedrāles ielai. Veikta degradētās teritorijas revitalizācija 0.8 ha platībā. Indikatīvā projekta kopsumma ITI SAM ietvaros 1 322 490.26 EUR, t.sk. ERAF 607 630.66 EUR un nefinanšu investīcijas 607 630.66 EUR.
Būvprojekts - Emīla Dārziņa ielas infrastruktūras atjaunošana (tiks izstrādāts 2019.gadā).</t>
  </si>
  <si>
    <t>Izbūvēta jauna autostāvvieta un ar to saistītā infrastruktūra, t.sk. gājēju ietves, velo celiņi, apgaismojums un lietus ūdens kanalizācija, pie Mellužu estrādes (alternatīva ITI SAM 3.3.1.).
Indikatīvā projekta kopsumma ITI SAM ietvaros 609 975.38 EUR, t.sk. ERAF 279 110.31 EUR un nefinanšu investīcijas 279 110.31 EUR.</t>
  </si>
  <si>
    <t>Uzlabota jahtu ostu infrastruktūra un ostu tīkla attīstība Igaunijā un Latvijā/ EST-LAT Harbours</t>
  </si>
  <si>
    <t>Izveidota publiska Jūrmalas ostas piestātne, uzstādīta videonovērošanas sistēma, Tīklu ielā 10, kā arī uzstādīta viedā boja un navigācijas zīmes. EST-LAT projekta kopsumma ir 410 600.00 EUR, t.sk. ERAF 349 010.00 EUR.</t>
  </si>
  <si>
    <t>Izbūvēts ūdenstūrisma servisa centrs Vikingu ielā 40a un izbūvēta kuģošanai nepieciešamā infrastruktūra uzņēmējdarbības vides veicināšanai. Indikatīvā projekta kopsumma ITI SAM ietvaros 179 787.79 EUR, t.sk. ERAF 82 605.20 EUR un nefinanšu investīcijas 82 605.20 EUR.</t>
  </si>
  <si>
    <t>Īstenoti pasākumi ēkas energoefektivitātes paaugstināšanai. Indikatīvā projekta kopsumma ITI SAM ietvaros 27 651.98 EUR, t.sk. ERAF 23 504.18 EUR. Būvprojekts - Jūrmalas pilsētas domes administratīvās ēkas energoefektivitātes paaugstināšana Dubultu prospektā 1, lit.1, Jūrmalā.</t>
  </si>
  <si>
    <t>Pilsētas atpūtas parka un jauniešu mājas izveide Kauguros (ITI SAM 3.3.1.)</t>
  </si>
  <si>
    <t>Ķemeru pasta ēkas pārbūve un energoefektivitātes paaugstināšana (alternatīva ITI SAM 4.2.2., alternatīva ITI SAM 5.6.2.)</t>
  </si>
  <si>
    <t>Pārbūvēta pasta ēka un īstenoti pasākumi ēkas energoefektivitātes paaugstināšanai. Indikatīvā projekta kopsumma ITI SAM 4.2.2. ietvaros 115 487.81 EUR, t.sk. ERAF 72 268.00 EUR. Indikatīvā projekta kopsumma ITI SAM 5.6.2. ietvaros 187 755.81 EUR, t.sk. ERAF 72 268.00 EUR un nefinanšu investīcijas 72 268.00 EUR. Būvprojekts - Pasta ēkas pārbūve un energoefektivitātes paaugstināšana Tukuma ielā 30, Jūrmalā.</t>
  </si>
  <si>
    <t xml:space="preserve">Majoru muižas kompleksa ikdienas uzturēšana un konservācijas pasākumi.
Atjaunots Majoru muižas komplekss. Veikta degradētas teritorijas revitalizācija 2.5ha platībā apmērā. Indikatīvā projekta kopsumma ITI SAM ietvaros 10 822 352.95 EUR, t.sk. ERAF 5 000 000.00 EUR un nefinanšu investīcijas 5 000 000.00 EUR. </t>
  </si>
  <si>
    <t>2015-2022</t>
  </si>
  <si>
    <t>Īstenoti pasākumi ēkas energoefektivitātes paaugstināšanai. 
Indikatīvā projekta kopsumma ITI SAM ietvaros 170 768.12 EUR, t.sk. ERAF 132 402.90 EUR.
Būvprojekts - Jūrmalas pilsētas domes administratīvās ēkas energoefektivitātes paaugstināšana Rūpniecības ielā 19, Jūrmalā.</t>
  </si>
  <si>
    <t>Bērnu rotaļu laukumu izveide pirmsskolas izglītības iestādēs un vispārizglītojošās iestādēs</t>
  </si>
  <si>
    <t>Īstenoti pasākumi skolas ēkas energoefektivitātes paaugstināšanai. Veikta skolas ēkas telpu modernizācija izveidojot ergonomisku un mūsdienīgu mācību vidi. Indikatīvā projekta kopsumma ITI SAM 4.2.2. ietvaros 1 096 887.54 EUR, t.sk. ERAF 512 648.60 EUR, projekta nosaukums "Jūrmalas pilsētas Kauguru vidusskolas ēkas energoefektivitātes paaugstināšana". Indikatīvā projekta darbības kopsumma ITI SAM 8.1.2. ietvaros 1 141 909.45 EUR, t.sk. ERAF 917 657.71 EUR, projekta nosaukums "Jūrmalas pilsētas vispārējās vidējās izglītības iestāžu infrastruktūras pilnveide". Divi būvprojekti - Jūrmalas pilsētas Kauguru vidusskolas ēkas vienkāršotās fasādes atjaunošanas un iekšējo inženiertīklu vienkāršotās atjaunošanas projekts; Jūrmalas pilsētas Kauguru vidusskolas telpu atjaunošana.</t>
  </si>
  <si>
    <t>Veikta skolas ēkas pārbūve un infrastruktūras pilnveide, radot pilnībā modernizētu un ergonomisku mācību vidi. Izveidots metodiskais centrs. Indikatīvā projekta darbības kopsumma ITI SAM ietvaros 6 534 113.28 EUR, t.sk. ERAF 5 553 996.29 EUR.  ITI projekta nosaukums "Jūrmalas pilsētas vispārējās vidējās izglītības iestāžu infrastruktūras pilnveide".</t>
  </si>
  <si>
    <t>Dubultu kultūras un izglītības centrs Strēlnieku prospektā 30, Jūrmalā</t>
  </si>
  <si>
    <t>Sporta nams "Taurenītis"</t>
  </si>
  <si>
    <t xml:space="preserve">Majoru sporta laukums </t>
  </si>
  <si>
    <t>Slokas stadions</t>
  </si>
  <si>
    <t>Sekmēta Jūrmalas brīvdabas muzeja attīstība, kā arī zvejas un jūras kultūras mantojuma saglabāšana - veikta autostāvvietas pārbūve Tīklu ielā 1 un Tīklu ielā 1b, inženiertīklu atjaunošana, kā arī muzeja eksponāta, baļķu zāģēšanas iekārtas, atjaunošana. 
EJZF projekta "Jūrmalas brīvdabas muzeja infrastruktūras attīstība, veicinot zvejas un jūras kultūras mantojuma saglabāšanu" kopsumma 138 946.31 EUR, t.sk. EJZF 106 430.77 EUR.</t>
  </si>
  <si>
    <t>Īstenoti pasākumi Jūrmalas teātra ēkas energoefektivitātes paaugstināšanai.
Indikatīvā projekta kopsumma ITI SAM ietvaros 154 792.13 EUR, t.sk. ERAF 84 156.03 EUR. 
Būvprojekts - Jūrmalas teātra ēkas vienkāršotās fasādes atjaunošanas un iekšējo inženiertīklu vienkāršotās atjaunošanas projekts.</t>
  </si>
  <si>
    <t>Mellužu estrādes ēkas restaurācija un bāra ēkas pārbūve, teritorijas labiekārtojums (SAM 5.5.1.)</t>
  </si>
  <si>
    <t xml:space="preserve">Atjaunots vietējas nozīmes kultūras piemineklis un veikta teritorijas labiekārtošana - nodrošināta kultūras pakalpojumu pieejamība un kvalitātes pilnveide, veicināts apmeklējumu skaita pieaugums. Projekta iznākuma rādītāji uz 31.12.2023. – objekta apmeklējumu skaita paredzamais pieaugums 6000 apmeklējumi; atbalstīts 1 kultūras mantojuma objekts; jaunradīts 1 pakalpojums. SAM 5.5.1. projekts "Jaunu dabas un kultūras tūrisma pakalpojumu radīšana Rīgas jūras līča rietumu piekrastē".                                                                                                                                                                                                                                                                                                                                                              </t>
  </si>
  <si>
    <t xml:space="preserve">Atjaunots valsts nozīmes kultūras piemineklis saglabājot tā pamatfunkciju, nodrošināta jaunradītu pakalpojumu - tūrisma informācijas punkta, galerijas un skatu platformas pieejamība, veicināts apmeklējumu skaita pieaugums. Projekta iznākuma rādītāji uz 31.12.2023. – objekta apmeklējumu skaita paredzamais pieaugums 8000 apmeklējumi; atbalstīts 1 kultūras mantojuma objekts; jaunradīti 3 pakalpojumi. SAM 5.5.1. projekts "Jaunu dabas un kultūras tūrisma pakalojumu radīšana Rīgas jūras līča rietumu piekrastē".                                                                                                                                                                                                                                                                                                                                                   </t>
  </si>
  <si>
    <t xml:space="preserve">Infrastruktūras izveide bez vecāku gādības palikušu bērnu un jauniešu aprūpei ģimeniskā vidē (ITI SAM 9.3.1.) </t>
  </si>
  <si>
    <t>Veikta Jūrmalas veselības veicināšanas un sociālo pakalpojumu centra ēku, t.sk. baseina pārbūve un īstenoti pasākumi energoefektivitātes paaugstināšanai. Indikatīvā projekta kopsumma ITI SAM ietvaros 3 000 000.00 EUR, t.sk. ERAF 840 774.26 EUR. Būvprojekts - Jūrmalas pilsētas pašvaldības iestādes “Jūrmalas veselības veicināšanas un sociālo pakalpojumu centrs” ēku energoefektivitātes paaugstināšanas pasākumi un ēku pārbūve.</t>
  </si>
  <si>
    <t>Kauguru, Bulduru un Mellužu glābšanas staciju atjaunošana un remontdarbi, t.sk. logu nomaiņa.</t>
  </si>
  <si>
    <t>Glābšanas stacijas</t>
  </si>
  <si>
    <t>Veikta ēkas pārbūve 2019.-2020.gadā.</t>
  </si>
  <si>
    <t>Attīstības pārvaldes Stratēģiskās plānošanas nodaļa, Informācijas un komunikācijas tehnoloģiju pārvalde</t>
  </si>
  <si>
    <t>Informācijas un komunikācijas tehnoloģiju pārvalde, Administratīvi juridiskās pārvaldes Administratīvā nodaļa</t>
  </si>
  <si>
    <t>Jūrmalas bibliotēku ēku atjaunošana.</t>
  </si>
  <si>
    <t>Attīstības pārvaldes Infrastruktūras investīciju projektu nodaļa</t>
  </si>
  <si>
    <t>Īpašumu pārvaldes Pašvaldības īpašumu nodaļa</t>
  </si>
  <si>
    <t>Nodrošināt  kvalitatīvu ambulatoro veselības aprūpes pakalpojumu pieejamību, to starp nodrošināt zobārstniecības pakalpojumu  pieejamība, vienlaikus  uzlabojot arī  infrastruktūru, t.sk.uzturēšanās, higiēniskos apstākļus pacientiem  un darbiniekiem:
1) medicīnas iekārtu iegāde - EUR 243 620;
2) mājas vizīšu uzlabošana - EUR 30 000;
3) infrastruktūras uzlabošana - EUR 29 000.</t>
  </si>
  <si>
    <t>Lietus ūdens attīrīšanas sistēmas infrastruktūras attīstība</t>
  </si>
  <si>
    <t>Projekts iekļauts 2017.-2019.gada investīciju plānā (Jā/Nē)</t>
  </si>
  <si>
    <t>Jā</t>
  </si>
  <si>
    <t>Nē</t>
  </si>
  <si>
    <t xml:space="preserve">Jā </t>
  </si>
  <si>
    <t>"Jūrmalas pilsētas investīciju plāns 2018.-2020. gadam" (tūkstoši EUR)</t>
  </si>
  <si>
    <t>Jūrmalas pilsētas domes</t>
  </si>
  <si>
    <t>Pielikums</t>
  </si>
  <si>
    <t>Attīstības pārvaldes Infrastruktūras investīciju projektu nodaļa, Uzņēmējdarbības attīstības nodaļa</t>
  </si>
  <si>
    <t xml:space="preserve">Atjaunots Ķemeru kultūrvēsturiskais parks. Veikta degradētās teritorijas revitalizācija 20.4ha platībā. Indikatīvā projekta kopsumma ITI SAM ietvaros 14 544 121.69 EUR, t.sk. ERAF 5 780 000.00 EUR un nefinanšu investīcijas 5 780 000.00 EUR.
Izmaksas precizētas pamatojoties uz Jūrmalas pilsētas domes 26.04.2018. lēmumu Nr.161.
                                                                                                                                                                                                                                                                                                                                             </t>
  </si>
  <si>
    <t>Attīstības pārvaldes Infrastruktūras investīciju projektu nodaļa, Pilsētplānošanas nodaļa</t>
  </si>
  <si>
    <t>Atjaunota Tūristu iela, t.sk. skvērs Tūristu ielā 2A un izbūvēta autostāvvieta E.Dārziņa ielā 17. Veikta degradētās teritorijas revitalizācija 2.5 ha platībā. Indikatīvā projekta kopsumma ITI SAM ietvaros 2 767 799.18 EUR, t.sk. ERAF 1 220 000.00 EUR un nefinanšu investīcijas 1 220 000.00 EUR. Divi būvprojekti - Stāvvietas izbūve Emīla Dārziņa ielā 17 un Tūristu ielas posma atjaunošana; Skvēra Tūristu ielā 2A, Ķemeros atjaunošana. 
Izmaksas precizētas pamatojoties uz Jūrmalas pilsētas domes 15.02.2018. Nr.47</t>
  </si>
  <si>
    <t>Divu pilsētas centrālās daļas ielu – Teātra ielas un Viktorijas ielas (posmā no Jomas ielas līdz Lienes ielai) infrastruktūras atjaunošana, t.sk. ielu brauktuvju, gājēju celiņu un ielu apgaismojuma atjaunošanu, un lietus ūdens kanalizācijas un autostāvvietu izbūvi ielu malās. Indikatīvā projekta kopsumma ITI SAM ietvaros 607 475.38 EUR, t.sk. ERAF 279 110.31 EUR un nefinanšu investīcijas 279 110.31 EUR.
Būvprojekts - Teātra ielas un Viktorijas ielas infrastruktūras atjaunošana un autostāvvietu izbūve.
Izmaksas precizētas pamatojoties uz Jūrmalas pilsētas domes 15.03.2018. lēmumu Nr.96.</t>
  </si>
  <si>
    <t>Attīstības pārvaldes Infrastruktūras investīciju projektu nodaļa, SIA "Jūrmalas gaisma", Īpašumu pārvaldes Kapitāla daļu pārvaldīšanas nodaļa</t>
  </si>
  <si>
    <t xml:space="preserve">2018.gadā plānots veikt veloceliņa atjaunošanu Strēlnieku prospektā no Lielupes ielas līdz Upes ielai un veloceliņa projektēšanu  Babītes ielā. 2019.gadā plānots veikt: 1) veloceliņa projektēšanu Vikingu ielā no Mastu ielas līdz Tīklu ielai; 2) ceļa zīmju sakārtošanu Jūras ielas velomaršrutā; 3) velojoslas ierīkošanu Meža prospektā - satiksmes organizācijas dokumentācijas izstrāde. 2018.-2020.gadā paredzēta Centrālās Baltijas jūras reģiona pārrobežu sadarbības projekta "HEAT" īstenošana. Projekta kopējais finansējums Jūrmalai 21 500.00 EUR, kur ERAF līdzfinansējums ir 85% (18 275.00 EUR), Jūrmalas pilsētas pašvaldības līdzfinansējums ir 15% (3 225.00 EUR). Projekta ietvaros paredzēta velobraukšanas apmācību laukuma bērniem vizualizācijas izstrāde 2019.gadā ar finansējumu 6 500 EUR apmērā.  </t>
  </si>
  <si>
    <t>Pilsētplānošanas nodaļa, Attīstības pārvaldes Infrastruktūras investīciju projektu nodaļa, Stratēģiskās plānošanas nodaļa</t>
  </si>
  <si>
    <t>SIA "Jūrmalas gaisma", Īpašumu pārvaldes Kapitāla daļu pārvaldīšanas nodaļa, Attīstības pārvaldes Infrastruktūras investīciju projektu nodaļa</t>
  </si>
  <si>
    <t xml:space="preserve"> 2018.gadā veikti tīklu atjaunošanas darbi Raiņa, Slokas, Kļavu un Olgas ielās, Vidus prospektā. 2018.gadā veikti tīklu renovācijas projektēšanas darbi Jēkabpils, Daugavpils, Slokas ielās, Vidus prospektā, Kļavu, Olgas, Kārsas, L.Paegles un Valkas ielās.</t>
  </si>
  <si>
    <t>Attīstības pārvaldes Infrastruktūras investīciju projektu nodaļa, Jūrmalas ostas pārvalde</t>
  </si>
  <si>
    <t>Attīstības pārvaldes Infrastruktūras investīciju projektu nodaļa, Uzņēmējdarbības attīstības nodaļa, Jūrmalas ostas pārvalde</t>
  </si>
  <si>
    <t xml:space="preserve">Jaunas aizsargbūves izveide un esošās pārbūve Lielupes krasta nostiprināšanai pilsētas centrālajā daļā (Dubulti - Majori-Dzintari), krasta erozijas un plūdu draudu novēršanai. 
Projekta kopsumma SAM  5.1.1. ietvaros 4 838 108.09 EUR, t.sk. attiecināmās projekta izmaksas 4 641 252.07 EUR, no tām ERAF 3 230 000EUR. Būvprojekts - Lielupes radīto plūdu un krasta erozijas risku apdraudējumu novēršanas pasākumi Dzintaros un Majoros. Otrs būvprojekts Lielupes gultnes/ zemūdens nogāzes nostiprināšana (atjaunošana) pie esošā krasta stiprinājuma posmā Majori-Dubulti, Jūrmalas pilsētā.
Izmaksas precizētas pamatojoties uz Jūrmalas pilsētas domes 26.05.2018. lēmumu Nr.229.
</t>
  </si>
  <si>
    <t xml:space="preserve">Attīstības pārvaldes Vides nodaļa, Infrastruktūras investīciju projektu nodaļa, Jūrmalas ostas pārvalde  </t>
  </si>
  <si>
    <t xml:space="preserve">Attīstības pārvaldes Infrastruktūras investīciju projektu nodaļa, Uzņēmējdarbības attīstības nodaļa   </t>
  </si>
  <si>
    <t>Mellužu glābšanas stacijas pārbūve un siltināšana - Dublē 7.pozīciju.</t>
  </si>
  <si>
    <t>Īpašumu pārvaldes Pilsētsaimniecības un labiekārtošanas nodaļa, Pašvaldības īpašumu nodaļa, Infrastruktūras investīciju projektu nodaļa</t>
  </si>
  <si>
    <t>Attīstības pārvaldes Stratēģiskās plānošanas nodaļa, Infrastruktūras investīciju projektu nodaļa</t>
  </si>
  <si>
    <t>Attīstības pārvaldes Infrastruktūras investīciju projektu nodaļa, Izglītības pārvalde</t>
  </si>
  <si>
    <t>Veikta Jūrmalas Sporta skolas ēkas, t.sk. peldbaseinu pārbūve un īstenoti pasākumi energoefektivitātes paaugstināšanai. 
Indikatīvā projekta kopsumma ITI SAM ietvaros 2 817 286.06 EUR, t.sk. ERAF 471 756.78 EUR. Būvprojekts - Jūrmalas Sporta skolas peldbaseina ēkas Rūpniecības ielā 13, k-4, Jūrmalā, pārbūve.
Izmaksas precizētas pamatojoties uz Jūrmalas pilsētas domes 14.06.2018. lēmumu Nr.287.</t>
  </si>
  <si>
    <t>Īpašumu pārvaldes Pašvaldības īpašumu nodaļa, Stratēģiskās plānošanas nodaļa, Izglītības pārvalde, Infrastruktūras investīciju projektu nodaļa</t>
  </si>
  <si>
    <t>Attīstības pārvaldes Uzņēmējdarbības attīstības  nodaļa, Infrastruktūras investīciju projektu nodaļa, SIA ''Dzintaru koncertzāle'', Īpašumu pārvaldes Kapitāla daļu pārvaldīšanas nodaļa</t>
  </si>
  <si>
    <t>Attīstības pārvaldes Infrastruktūras investīciju projektu nodaļa, Kultūras nodaļa, Jūrmalas pilsētas muzejs</t>
  </si>
  <si>
    <t>Attīstības pārvaldes Infrastruktūras investīciju projektu nodaļa, Kultūras nodaļa</t>
  </si>
  <si>
    <t>Īpašumu pārvaldes Pašvaldības īpašumu nodaļa, Kultūras nodaļa</t>
  </si>
  <si>
    <t>Attīstības pārvaldes Infrastruktūras investīciju projektu nodaļa, Labklājības pārvalde</t>
  </si>
  <si>
    <t>Veikta ēkas pārbūve un īstenoti energoefektivitātes paaugstināšanas pasākumi projekta "Accelerate SUNShINE" ietvaros. Indikatīvā projekta kopsumma 3 317 000 EUR, t.sk. pašvaldības līdzfinansējums 663400 EUR.
Alternatīva ITI SAM 4.2.2. projekta ideja. Indikatīvā projekta kopsumma ITI SAM ietvaros 3 317 000 EUR, t.sk. ERAF 840 774.26 EUR.</t>
  </si>
  <si>
    <t xml:space="preserve">Pašvaldības ēkas Raiņa ielā 62, Jūrmalā pārbūve un energoefektivitātes paaugstināšana </t>
  </si>
  <si>
    <t>Izveidota ģimeniskai videi pietuvināta pakalpojuma infrastruktūra 8 bērniem un 8 jauniešiem Jūrmalā, Sēravotu ielā 9 (Ķemeros), veicot esošās PI "Sprīdītis" ēkas pārbūvi, telpu aprīkošanu un teritorijas labiekārtošanu.
Indikatīvā projekta darbības kopsumma ITI SAM ietvaros 683 496.48 EUR, t.sk. ERAF 580 972.00 EUR.  ITI projekta nosaukums " Infrastruktūras pilnveide sabiedrībā balstītu sociālo pakalpojumu nodrošināšanai".</t>
  </si>
  <si>
    <t>Paplašinās Dienas aprūpes centrā pieejamo sociālo pakalpojumu klāsts, veicot telpu pārbūvi, atjaunošanu un aprīkošanu, un nodrošinot pakalpojumu pieejamību  30 personām ar garīga rakstura traucējumiem, Dūņu ceļā 2, Ķemeros.
Papildus izveidots jauns Grupu dzīvoklis 8 personām ar garīga rakstura traucējumiem Dzirnavu ielā 36, Slokā.
Indikatīvā projekta darbību kopsumma ITI SAM ietvaros 604 724.11 EUR, t.sk. ERAF 514 015.49 EUR.  ITI projekta nosaukums " Infrastruktūras pilnveide sabiedrībā balstītu sociālo pakalpojumu nodrošināšanai".</t>
  </si>
  <si>
    <t>Izveidota rehabilitācijas pakalpojumu infrastruktūra 63 bērniem ar funkcionāliem traucējumiem PII "Podziņa", Lībiešu ielā 21, Kauguros, veicot telpu aprīkošanu, teritorijas labiekārtošanu, t.sk. nojumju izbūvi.
Indikatīvā projekta darbības kopsumma ITI SAM ietvaros 124 369.41 EUR, t.sk. ERAF 105 714.00 EUR.  ITI projekta nosaukums "Infrastruktūras pilnveide sabiedrībā balstītu sociālo pakalpojumu nodrošināšanai".</t>
  </si>
  <si>
    <t>Īstenoti pasākumi skolas ēkas k-1 (autoskola) energoefektivitātes paaugstināšanai. 
Indikatīvā projekta kopsumma ITI SAM ietvaros 167 876.54 EUR, t.sk. ERAF 78 773.39 EUR. 
Būvprojekts - Jūrmalas pilsētas Jaundubultu vidusskolas ēkas k-1 (autoskolas ēka) vienkāršotās fasādes atjaunošanas un iekšējo inženiertīklu vienkāršotās atjaunošanas projekts. 2017.gadā veikti norēķini 1088.09 EUR apmērā.</t>
  </si>
  <si>
    <t>2016-2010</t>
  </si>
  <si>
    <t>Izveidots sabiedriskais centrs.</t>
  </si>
  <si>
    <r>
      <t>Investīciju limits (kontrolskaitļi)</t>
    </r>
    <r>
      <rPr>
        <b/>
        <i/>
        <sz val="10"/>
        <rFont val="Arial"/>
        <family val="2"/>
        <charset val="186"/>
      </rPr>
      <t xml:space="preserve"> T.sk. atlikums no 2017.gada</t>
    </r>
  </si>
  <si>
    <r>
      <t>Veloceliņu tīkla attīstība Jūrmalas pilsētā (</t>
    </r>
    <r>
      <rPr>
        <strike/>
        <sz val="10"/>
        <rFont val="Arial"/>
        <family val="2"/>
        <charset val="186"/>
      </rPr>
      <t>CBJR pārrobežu sadarbības projekts)</t>
    </r>
  </si>
  <si>
    <t>Izveidots ūdenstūrisma pakalpojumu centrs Straumes ielā 1a, un izbūvēta infrastruktūra atbilstoši pilsētas ekonomiskajai specializācijai. Indikatīvā projekta kopsumma ITI SAM ietvaros 2 519 819.16 EUR, t.sk. ERAF 629 310.21 EUR un nefinanšu investīcijas 629 310.21 EUR. 
Būvprojekts - Ūdenstūrisma pakalpojumu centrs "Majori".
2016. un 2017.gadā veikti norēķini  43 683.42 EUR apmērā.
Izmaksas precizētas pamatojoties uz Jūrmalas pilsētas domes 18.10.2018. lēmumu Nr.503.</t>
  </si>
  <si>
    <r>
      <rPr>
        <strike/>
        <sz val="10"/>
        <rFont val="Arial"/>
        <family val="2"/>
        <charset val="186"/>
      </rPr>
      <t>Jūrmalas pašvaldības,</t>
    </r>
    <r>
      <rPr>
        <sz val="10"/>
        <rFont val="Arial"/>
        <family val="2"/>
        <charset val="186"/>
      </rPr>
      <t xml:space="preserve"> Lielupes radīto plūdu un krasta erozijas risku apdraudējumu novēršanas pasākumi Dubultos–Majoros–Dzintaros (SAM 5.1.1.)</t>
    </r>
  </si>
  <si>
    <t>Izbūvēta atpūtai, mazo un vidējo komersantu komercdarbības īstenošanai nepieciešamā infrastruktūra, kā arī jauniešu mājas izbūve uzņēmējdarbības vides attīstībai, jauniešu nodarbinātībai un brīvā laika pavadīšanai. Indikatīvā projekta kopsumma ITI SAM ietvaros 5 822 400.26 EUR, t.sk. ERAF 1 091 579.48 EUR un nefinanšu investīcijas 1 091 579.48 EUR.
Izmaksas precizētas pamatojoties uz Jūrmalas pilsētas domes 18.10.2018. lēmumu Nr.503.</t>
  </si>
  <si>
    <r>
      <t xml:space="preserve">Attīstības pārvaldes Stratēģiskās plānošanas nodaļa, </t>
    </r>
    <r>
      <rPr>
        <b/>
        <sz val="10"/>
        <rFont val="Arial"/>
        <family val="2"/>
        <charset val="186"/>
      </rPr>
      <t>I</t>
    </r>
    <r>
      <rPr>
        <sz val="10"/>
        <rFont val="Arial"/>
        <family val="2"/>
        <charset val="186"/>
      </rPr>
      <t>nfrastruktūras investīciju projektu nodaļa</t>
    </r>
  </si>
  <si>
    <t>Veikta skolas ēkas pārbūve atbilstoši tehniskā izpētes atzinumā norādītajam un īstenoti pasākumi ēkas energoefektivitātes paaugstināšanai. 
Indikatīvā projekta kopsumma ITI SAM ietvaros 1 284 703.13 EUR, t.sk. ERAF 150 611.80 EUR.
Būvprojekts - Ķemeru pamatskolas ēka Tukuma ielā 10, Jūrmalā.</t>
  </si>
  <si>
    <t>Īstenoti pasākumi skolas ēkas energoefektivitātes paaugstināšanai. Indikatīvā projekta kopsumma ITI SAM ietvaros 1 095 092.73 EUR, t.sk. ERAF 613 490.14 EUR. Būvprojekts - Jūrmalas pilsētas Jaundubultu vidusskolas ēkas vienkāršotās fasādes atjaunošanas un iekšējo inženiertīklu vienkāršotās atjaunošanas projekts. 2017.gadā veikti norēķini  4171.64 EUR apmērā.</t>
  </si>
  <si>
    <t>2018.gada 18.oktobra lēmumam Nr.508</t>
  </si>
  <si>
    <t>(protokols Nr.15, 10.punkts)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</si>
</sst>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_-;\-* #,##0.0_-;_-* &quot;-&quot;??_-;_-@_-"/>
    <numFmt numFmtId="165" formatCode="0_ ;\-0\ "/>
    <numFmt numFmtId="166" formatCode="#,##0.0"/>
    <numFmt numFmtId="167" formatCode="_-* #,##0_-;\-* #,##0_-;_-* &quot;-&quot;??_-;_-@_-"/>
    <numFmt numFmtId="168" formatCode="#,##0.000"/>
  </numFmts>
  <fonts count="15" x14ac:knownFonts="1">
    <font>
      <sz val="11"/>
      <color theme="1"/>
      <name val="Calibri"/>
      <family val="2"/>
      <charset val="186"/>
      <scheme val="minor"/>
    </font>
    <font>
      <sz val="11"/>
      <color theme="1"/>
      <name val="Calibri"/>
      <family val="2"/>
      <charset val="186"/>
      <scheme val="minor"/>
    </font>
    <font>
      <sz val="12"/>
      <name val="Arial"/>
      <family val="2"/>
      <charset val="186"/>
    </font>
    <font>
      <sz val="10"/>
      <name val="Arial"/>
      <family val="2"/>
      <charset val="186"/>
    </font>
    <font>
      <b/>
      <sz val="10"/>
      <name val="Arial"/>
      <family val="2"/>
      <charset val="186"/>
    </font>
    <font>
      <i/>
      <sz val="10"/>
      <name val="Arial"/>
      <family val="2"/>
      <charset val="186"/>
    </font>
    <font>
      <sz val="14"/>
      <name val="Calibri Light"/>
      <family val="2"/>
      <charset val="186"/>
      <scheme val="major"/>
    </font>
    <font>
      <sz val="10"/>
      <name val="Calibri Light"/>
      <family val="1"/>
      <charset val="186"/>
      <scheme val="major"/>
    </font>
    <font>
      <b/>
      <sz val="14"/>
      <name val="Arial"/>
      <family val="2"/>
      <charset val="186"/>
    </font>
    <font>
      <b/>
      <sz val="12"/>
      <name val="Arial"/>
      <family val="2"/>
      <charset val="186"/>
    </font>
    <font>
      <sz val="9"/>
      <name val="Arial"/>
      <family val="2"/>
      <charset val="186"/>
    </font>
    <font>
      <b/>
      <sz val="9"/>
      <name val="Arial"/>
      <family val="2"/>
      <charset val="186"/>
    </font>
    <font>
      <b/>
      <i/>
      <sz val="10"/>
      <name val="Arial"/>
      <family val="2"/>
      <charset val="186"/>
    </font>
    <font>
      <strike/>
      <sz val="10"/>
      <name val="Arial"/>
      <family val="2"/>
      <charset val="186"/>
    </font>
    <font>
      <sz val="11"/>
      <name val="Calibri"/>
      <family val="2"/>
      <charset val="186"/>
      <scheme val="minor"/>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1" fillId="0" borderId="0" applyFont="0" applyFill="0" applyBorder="0" applyAlignment="0" applyProtection="0"/>
  </cellStyleXfs>
  <cellXfs count="289">
    <xf numFmtId="0" fontId="0" fillId="0" borderId="0" xfId="0"/>
    <xf numFmtId="164" fontId="3" fillId="2"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4" fillId="0" borderId="0" xfId="0" applyNumberFormat="1" applyFont="1" applyFill="1" applyBorder="1" applyAlignment="1">
      <alignment vertical="center"/>
    </xf>
    <xf numFmtId="164" fontId="4" fillId="2" borderId="0" xfId="0" applyNumberFormat="1" applyFont="1" applyFill="1" applyBorder="1" applyAlignment="1">
      <alignment vertical="center"/>
    </xf>
    <xf numFmtId="164" fontId="3" fillId="2" borderId="0" xfId="0" applyNumberFormat="1" applyFont="1" applyFill="1" applyBorder="1" applyAlignment="1">
      <alignment vertical="center"/>
    </xf>
    <xf numFmtId="164" fontId="3" fillId="0" borderId="0" xfId="0" applyNumberFormat="1" applyFont="1" applyFill="1" applyBorder="1"/>
    <xf numFmtId="164" fontId="3" fillId="0" borderId="0" xfId="0" applyNumberFormat="1" applyFont="1" applyBorder="1"/>
    <xf numFmtId="164" fontId="3" fillId="0" borderId="0" xfId="2" applyNumberFormat="1" applyFont="1" applyFill="1" applyBorder="1"/>
    <xf numFmtId="164" fontId="3" fillId="2" borderId="0" xfId="2" applyNumberFormat="1" applyFont="1" applyFill="1" applyBorder="1"/>
    <xf numFmtId="164" fontId="3" fillId="0" borderId="0" xfId="2" applyNumberFormat="1" applyFont="1" applyBorder="1"/>
    <xf numFmtId="164" fontId="4" fillId="0" borderId="0" xfId="0" applyNumberFormat="1" applyFont="1" applyBorder="1" applyAlignment="1">
      <alignment vertical="center" wrapText="1"/>
    </xf>
    <xf numFmtId="166" fontId="4" fillId="0" borderId="0" xfId="0" applyNumberFormat="1" applyFont="1" applyBorder="1" applyAlignment="1">
      <alignment horizontal="left" vertical="center"/>
    </xf>
    <xf numFmtId="166" fontId="4" fillId="0" borderId="0" xfId="2" applyNumberFormat="1" applyFont="1" applyFill="1" applyBorder="1" applyAlignment="1">
      <alignment horizontal="center" vertical="center"/>
    </xf>
    <xf numFmtId="166" fontId="4" fillId="0" borderId="0" xfId="0" applyNumberFormat="1" applyFont="1" applyBorder="1" applyAlignment="1">
      <alignment horizontal="center" vertical="center"/>
    </xf>
    <xf numFmtId="166" fontId="3" fillId="0" borderId="0" xfId="2" applyNumberFormat="1" applyFont="1" applyFill="1" applyBorder="1" applyAlignment="1">
      <alignment horizontal="center" vertical="center"/>
    </xf>
    <xf numFmtId="166" fontId="3" fillId="0" borderId="0"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3" fillId="0" borderId="0" xfId="3" applyFont="1"/>
    <xf numFmtId="166"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xf>
    <xf numFmtId="164" fontId="3" fillId="0" borderId="0" xfId="0" applyNumberFormat="1" applyFont="1" applyBorder="1" applyAlignment="1">
      <alignment vertical="center" wrapText="1"/>
    </xf>
    <xf numFmtId="164" fontId="3" fillId="2" borderId="0" xfId="0" applyNumberFormat="1" applyFont="1" applyFill="1" applyBorder="1"/>
    <xf numFmtId="165"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wrapText="1"/>
    </xf>
    <xf numFmtId="166"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1" xfId="2" applyNumberFormat="1" applyFont="1" applyFill="1" applyBorder="1" applyAlignment="1">
      <alignment vertical="top" wrapText="1"/>
    </xf>
    <xf numFmtId="164" fontId="5" fillId="2" borderId="1" xfId="2" applyNumberFormat="1" applyFont="1" applyFill="1" applyBorder="1" applyAlignment="1">
      <alignment horizontal="right" vertical="top" wrapText="1"/>
    </xf>
    <xf numFmtId="166" fontId="3" fillId="0" borderId="7" xfId="2" applyNumberFormat="1" applyFont="1" applyFill="1" applyBorder="1" applyAlignment="1" applyProtection="1">
      <alignment horizontal="center" vertical="center"/>
      <protection locked="0"/>
    </xf>
    <xf numFmtId="166" fontId="3" fillId="0" borderId="7" xfId="2"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166" fontId="3" fillId="0" borderId="8" xfId="1" applyNumberFormat="1" applyFont="1" applyFill="1" applyBorder="1" applyAlignment="1">
      <alignment horizontal="center" vertical="center"/>
    </xf>
    <xf numFmtId="166" fontId="3" fillId="0" borderId="6" xfId="2" applyNumberFormat="1" applyFont="1" applyFill="1" applyBorder="1" applyAlignment="1">
      <alignment horizontal="center" vertical="center"/>
    </xf>
    <xf numFmtId="164" fontId="7" fillId="0" borderId="0" xfId="0" applyNumberFormat="1" applyFont="1" applyFill="1" applyBorder="1" applyAlignment="1">
      <alignment vertical="center"/>
    </xf>
    <xf numFmtId="164" fontId="7" fillId="0" borderId="0" xfId="0" applyNumberFormat="1" applyFont="1" applyBorder="1" applyAlignment="1">
      <alignment vertical="center"/>
    </xf>
    <xf numFmtId="164" fontId="6" fillId="0" borderId="0" xfId="0" applyNumberFormat="1" applyFont="1" applyBorder="1" applyAlignment="1">
      <alignment horizontal="right" vertical="center" wrapText="1"/>
    </xf>
    <xf numFmtId="165" fontId="3" fillId="3" borderId="1" xfId="0" applyNumberFormat="1" applyFont="1" applyFill="1" applyBorder="1" applyAlignment="1">
      <alignment horizontal="center" vertical="center" textRotation="90" wrapText="1"/>
    </xf>
    <xf numFmtId="164" fontId="4" fillId="3" borderId="1" xfId="0" applyNumberFormat="1" applyFont="1" applyFill="1" applyBorder="1" applyAlignment="1">
      <alignment horizontal="left" vertical="center" wrapText="1"/>
    </xf>
    <xf numFmtId="164" fontId="4" fillId="3" borderId="2" xfId="0"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166" fontId="4" fillId="3" borderId="8" xfId="0" applyNumberFormat="1" applyFont="1" applyFill="1" applyBorder="1" applyAlignment="1">
      <alignment horizontal="center" vertical="center" wrapText="1"/>
    </xf>
    <xf numFmtId="166" fontId="4" fillId="3" borderId="6"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xf>
    <xf numFmtId="164" fontId="4" fillId="3" borderId="1" xfId="0" applyNumberFormat="1" applyFont="1" applyFill="1" applyBorder="1" applyAlignment="1">
      <alignment vertical="center" wrapText="1"/>
    </xf>
    <xf numFmtId="164" fontId="3" fillId="3" borderId="2" xfId="0" applyNumberFormat="1" applyFont="1" applyFill="1" applyBorder="1" applyAlignment="1">
      <alignment vertical="center"/>
    </xf>
    <xf numFmtId="166" fontId="4" fillId="3" borderId="7"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6" fontId="4" fillId="3" borderId="8" xfId="0" applyNumberFormat="1" applyFont="1" applyFill="1" applyBorder="1" applyAlignment="1">
      <alignment horizontal="center" vertical="center"/>
    </xf>
    <xf numFmtId="166" fontId="4" fillId="3" borderId="6" xfId="0" applyNumberFormat="1" applyFont="1" applyFill="1" applyBorder="1" applyAlignment="1">
      <alignment horizontal="center" vertical="center"/>
    </xf>
    <xf numFmtId="164" fontId="4" fillId="4" borderId="2" xfId="0" applyNumberFormat="1" applyFont="1" applyFill="1" applyBorder="1" applyAlignment="1">
      <alignment vertical="center"/>
    </xf>
    <xf numFmtId="166" fontId="4" fillId="4" borderId="24"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166" fontId="4" fillId="4" borderId="25" xfId="0" applyNumberFormat="1" applyFont="1" applyFill="1" applyBorder="1" applyAlignment="1">
      <alignment horizontal="center" vertical="center"/>
    </xf>
    <xf numFmtId="166" fontId="4" fillId="4" borderId="2" xfId="0" applyNumberFormat="1" applyFont="1" applyFill="1" applyBorder="1" applyAlignment="1">
      <alignment horizontal="center" vertical="center"/>
    </xf>
    <xf numFmtId="166" fontId="4" fillId="4" borderId="7"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167"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4" fillId="5" borderId="2" xfId="0" applyNumberFormat="1" applyFont="1" applyFill="1" applyBorder="1" applyAlignment="1">
      <alignment vertical="center"/>
    </xf>
    <xf numFmtId="166" fontId="4" fillId="5" borderId="9" xfId="0" applyNumberFormat="1" applyFont="1" applyFill="1" applyBorder="1" applyAlignment="1">
      <alignment horizontal="center" vertical="center"/>
    </xf>
    <xf numFmtId="166" fontId="4" fillId="5" borderId="1" xfId="0" applyNumberFormat="1" applyFont="1" applyFill="1" applyBorder="1" applyAlignment="1">
      <alignment horizontal="center" vertical="center"/>
    </xf>
    <xf numFmtId="166" fontId="4" fillId="5" borderId="2" xfId="0" applyNumberFormat="1" applyFont="1" applyFill="1" applyBorder="1" applyAlignment="1">
      <alignment horizontal="center" vertical="center"/>
    </xf>
    <xf numFmtId="166" fontId="4" fillId="5" borderId="10" xfId="0" applyNumberFormat="1" applyFont="1" applyFill="1" applyBorder="1" applyAlignment="1">
      <alignment horizontal="center" vertical="center"/>
    </xf>
    <xf numFmtId="166"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vertical="center" wrapText="1"/>
    </xf>
    <xf numFmtId="167" fontId="4"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xf>
    <xf numFmtId="164" fontId="3" fillId="6" borderId="1" xfId="0" applyNumberFormat="1" applyFont="1" applyFill="1" applyBorder="1" applyAlignment="1">
      <alignment horizontal="left" vertical="center" wrapText="1"/>
    </xf>
    <xf numFmtId="164" fontId="3" fillId="6" borderId="2" xfId="1" applyNumberFormat="1" applyFont="1" applyFill="1" applyBorder="1" applyAlignment="1">
      <alignment horizontal="center" vertical="center" wrapText="1"/>
    </xf>
    <xf numFmtId="166" fontId="3" fillId="6" borderId="7" xfId="1" applyNumberFormat="1" applyFont="1" applyFill="1" applyBorder="1" applyAlignment="1">
      <alignment horizontal="center" vertical="center"/>
    </xf>
    <xf numFmtId="166" fontId="3" fillId="6" borderId="1" xfId="1" applyNumberFormat="1" applyFont="1" applyFill="1" applyBorder="1" applyAlignment="1">
      <alignment horizontal="center" vertical="center"/>
    </xf>
    <xf numFmtId="166" fontId="3" fillId="6" borderId="10" xfId="1" applyNumberFormat="1" applyFont="1" applyFill="1" applyBorder="1" applyAlignment="1">
      <alignment horizontal="center" vertical="center"/>
    </xf>
    <xf numFmtId="166" fontId="3" fillId="6" borderId="6" xfId="1" applyNumberFormat="1" applyFont="1" applyFill="1" applyBorder="1" applyAlignment="1">
      <alignment horizontal="center" vertical="center"/>
    </xf>
    <xf numFmtId="49" fontId="3" fillId="6" borderId="1" xfId="0" applyNumberFormat="1" applyFont="1" applyFill="1" applyBorder="1" applyAlignment="1">
      <alignment horizontal="center" vertical="center" wrapText="1"/>
    </xf>
    <xf numFmtId="167" fontId="3"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164" fontId="3" fillId="2" borderId="1" xfId="2" applyNumberFormat="1" applyFont="1" applyFill="1" applyBorder="1" applyAlignment="1">
      <alignment vertical="top" wrapText="1"/>
    </xf>
    <xf numFmtId="166" fontId="3" fillId="2" borderId="7" xfId="2" applyNumberFormat="1" applyFont="1" applyFill="1" applyBorder="1" applyAlignment="1">
      <alignment horizontal="center" vertical="center"/>
    </xf>
    <xf numFmtId="166" fontId="3" fillId="2" borderId="1" xfId="2" applyNumberFormat="1" applyFont="1" applyFill="1" applyBorder="1" applyAlignment="1">
      <alignment horizontal="center" vertical="center"/>
    </xf>
    <xf numFmtId="166" fontId="3" fillId="2" borderId="8" xfId="1" applyNumberFormat="1" applyFont="1" applyFill="1" applyBorder="1" applyAlignment="1">
      <alignment horizontal="center" vertical="center"/>
    </xf>
    <xf numFmtId="166" fontId="3" fillId="2" borderId="6" xfId="2" applyNumberFormat="1" applyFont="1" applyFill="1" applyBorder="1" applyAlignment="1">
      <alignment horizontal="center" vertical="center"/>
    </xf>
    <xf numFmtId="4" fontId="3" fillId="2" borderId="7" xfId="2" applyNumberFormat="1" applyFont="1" applyFill="1" applyBorder="1" applyAlignment="1">
      <alignment horizontal="center" vertical="center"/>
    </xf>
    <xf numFmtId="168" fontId="3" fillId="2" borderId="1" xfId="2" applyNumberFormat="1" applyFont="1" applyFill="1" applyBorder="1" applyAlignment="1">
      <alignment horizontal="center" vertical="center"/>
    </xf>
    <xf numFmtId="4" fontId="3" fillId="2" borderId="1" xfId="2" applyNumberFormat="1" applyFont="1" applyFill="1" applyBorder="1" applyAlignment="1">
      <alignment horizontal="center" vertical="center"/>
    </xf>
    <xf numFmtId="4" fontId="3" fillId="2" borderId="8" xfId="1" applyNumberFormat="1" applyFont="1" applyFill="1" applyBorder="1" applyAlignment="1">
      <alignment horizontal="center" vertical="center"/>
    </xf>
    <xf numFmtId="168" fontId="3" fillId="2" borderId="7" xfId="2" applyNumberFormat="1" applyFont="1" applyFill="1" applyBorder="1" applyAlignment="1">
      <alignment horizontal="center" vertical="center"/>
    </xf>
    <xf numFmtId="164" fontId="5" fillId="0" borderId="1" xfId="2" applyNumberFormat="1" applyFont="1" applyFill="1" applyBorder="1" applyAlignment="1">
      <alignment horizontal="right" vertical="top" wrapText="1"/>
    </xf>
    <xf numFmtId="166" fontId="3" fillId="6" borderId="8" xfId="1" applyNumberFormat="1" applyFont="1" applyFill="1" applyBorder="1" applyAlignment="1">
      <alignment horizontal="center" vertical="center"/>
    </xf>
    <xf numFmtId="166" fontId="3" fillId="6" borderId="1" xfId="2" applyNumberFormat="1" applyFont="1" applyFill="1" applyBorder="1" applyAlignment="1">
      <alignment horizontal="center" vertical="center"/>
    </xf>
    <xf numFmtId="164" fontId="3" fillId="2" borderId="1" xfId="2" applyNumberFormat="1" applyFont="1" applyFill="1" applyBorder="1" applyAlignment="1">
      <alignment horizontal="left" vertical="top" wrapText="1"/>
    </xf>
    <xf numFmtId="165"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left" vertical="top" wrapText="1"/>
    </xf>
    <xf numFmtId="166" fontId="3" fillId="2" borderId="7"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6" fontId="3" fillId="2" borderId="6" xfId="1" applyNumberFormat="1" applyFont="1" applyFill="1" applyBorder="1" applyAlignment="1">
      <alignment horizontal="center" vertical="center" wrapText="1"/>
    </xf>
    <xf numFmtId="164" fontId="5" fillId="2" borderId="1" xfId="0" applyNumberFormat="1" applyFont="1" applyFill="1" applyBorder="1" applyAlignment="1">
      <alignment horizontal="right" vertical="center" wrapText="1"/>
    </xf>
    <xf numFmtId="166" fontId="3" fillId="2" borderId="3" xfId="2" applyNumberFormat="1" applyFont="1" applyFill="1" applyBorder="1" applyAlignment="1">
      <alignment horizontal="center" vertical="center"/>
    </xf>
    <xf numFmtId="166" fontId="3" fillId="2" borderId="4" xfId="2" applyNumberFormat="1" applyFont="1" applyFill="1" applyBorder="1" applyAlignment="1">
      <alignment horizontal="center" vertical="center"/>
    </xf>
    <xf numFmtId="166" fontId="3" fillId="2" borderId="5" xfId="1" applyNumberFormat="1" applyFont="1" applyFill="1" applyBorder="1" applyAlignment="1">
      <alignment horizontal="center" vertical="center"/>
    </xf>
    <xf numFmtId="166" fontId="4" fillId="4" borderId="6" xfId="0" applyNumberFormat="1" applyFont="1" applyFill="1" applyBorder="1" applyAlignment="1">
      <alignment horizontal="center" vertical="center"/>
    </xf>
    <xf numFmtId="166" fontId="4" fillId="4" borderId="8" xfId="0" applyNumberFormat="1" applyFont="1" applyFill="1" applyBorder="1" applyAlignment="1">
      <alignment horizontal="center" vertical="center"/>
    </xf>
    <xf numFmtId="166" fontId="4" fillId="5" borderId="11" xfId="0" applyNumberFormat="1" applyFont="1" applyFill="1" applyBorder="1" applyAlignment="1">
      <alignment horizontal="center" vertical="center"/>
    </xf>
    <xf numFmtId="166" fontId="4" fillId="5" borderId="1" xfId="2" applyNumberFormat="1" applyFont="1" applyFill="1" applyBorder="1" applyAlignment="1">
      <alignment horizontal="center" vertical="center"/>
    </xf>
    <xf numFmtId="164" fontId="3" fillId="0" borderId="1" xfId="2" applyNumberFormat="1" applyFont="1" applyFill="1" applyBorder="1" applyAlignment="1">
      <alignment horizontal="left" vertical="top" wrapText="1"/>
    </xf>
    <xf numFmtId="164" fontId="3" fillId="0" borderId="1" xfId="0" applyNumberFormat="1" applyFont="1" applyFill="1" applyBorder="1" applyAlignment="1">
      <alignment horizontal="left" vertical="center" wrapText="1"/>
    </xf>
    <xf numFmtId="166" fontId="3" fillId="0" borderId="7" xfId="1"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166" fontId="3" fillId="0" borderId="6" xfId="1" applyNumberFormat="1" applyFont="1" applyFill="1" applyBorder="1" applyAlignment="1">
      <alignment horizontal="center" vertical="center"/>
    </xf>
    <xf numFmtId="164" fontId="5" fillId="0" borderId="1" xfId="0" applyNumberFormat="1" applyFont="1" applyFill="1" applyBorder="1" applyAlignment="1">
      <alignment horizontal="right" vertical="center" wrapText="1"/>
    </xf>
    <xf numFmtId="166" fontId="3" fillId="0" borderId="1" xfId="2"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164" fontId="3" fillId="0" borderId="1" xfId="2" applyNumberFormat="1" applyFont="1" applyFill="1" applyBorder="1" applyAlignment="1">
      <alignment horizontal="left" vertical="center" wrapText="1"/>
    </xf>
    <xf numFmtId="164" fontId="5" fillId="0" borderId="1" xfId="2" applyNumberFormat="1" applyFont="1" applyFill="1" applyBorder="1" applyAlignment="1">
      <alignment horizontal="right" vertical="center" wrapText="1"/>
    </xf>
    <xf numFmtId="166" fontId="3" fillId="0" borderId="6" xfId="2" applyNumberFormat="1" applyFont="1" applyFill="1" applyBorder="1" applyAlignment="1">
      <alignment horizontal="left" vertical="center" wrapText="1"/>
    </xf>
    <xf numFmtId="165" fontId="3" fillId="0" borderId="1" xfId="0" applyNumberFormat="1" applyFont="1" applyFill="1" applyBorder="1" applyAlignment="1">
      <alignment horizontal="center" vertical="center"/>
    </xf>
    <xf numFmtId="164" fontId="3" fillId="0" borderId="2" xfId="2"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xf>
    <xf numFmtId="164" fontId="3" fillId="2" borderId="2" xfId="1"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wrapText="1"/>
    </xf>
    <xf numFmtId="168" fontId="3" fillId="0" borderId="6" xfId="2" applyNumberFormat="1" applyFont="1" applyFill="1" applyBorder="1" applyAlignment="1">
      <alignment horizontal="center" vertical="center"/>
    </xf>
    <xf numFmtId="168" fontId="3" fillId="0" borderId="1" xfId="2"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0" fontId="14" fillId="0" borderId="0" xfId="0" applyFont="1" applyFill="1"/>
    <xf numFmtId="166" fontId="3" fillId="0" borderId="3" xfId="1" applyNumberFormat="1" applyFont="1" applyFill="1" applyBorder="1" applyAlignment="1">
      <alignment horizontal="center" vertical="center"/>
    </xf>
    <xf numFmtId="166" fontId="3" fillId="0" borderId="4" xfId="1" applyNumberFormat="1" applyFont="1" applyFill="1" applyBorder="1" applyAlignment="1">
      <alignment horizontal="center" vertical="center"/>
    </xf>
    <xf numFmtId="166" fontId="3" fillId="0" borderId="5" xfId="1" applyNumberFormat="1" applyFont="1" applyFill="1" applyBorder="1" applyAlignment="1">
      <alignment horizontal="center" vertical="center"/>
    </xf>
    <xf numFmtId="164" fontId="3" fillId="0" borderId="2" xfId="2" applyNumberFormat="1" applyFont="1" applyFill="1" applyBorder="1" applyAlignment="1">
      <alignment vertical="center" wrapText="1"/>
    </xf>
    <xf numFmtId="165" fontId="3" fillId="6" borderId="1" xfId="0" applyNumberFormat="1" applyFont="1" applyFill="1" applyBorder="1" applyAlignment="1">
      <alignment horizontal="center" vertical="center" wrapText="1"/>
    </xf>
    <xf numFmtId="164" fontId="3" fillId="6" borderId="1" xfId="0" applyNumberFormat="1" applyFont="1" applyFill="1" applyBorder="1" applyAlignment="1">
      <alignment vertical="center" wrapText="1"/>
    </xf>
    <xf numFmtId="164" fontId="3" fillId="6" borderId="2" xfId="0" applyNumberFormat="1" applyFont="1" applyFill="1" applyBorder="1" applyAlignment="1">
      <alignment horizontal="center" vertical="center"/>
    </xf>
    <xf numFmtId="164" fontId="3" fillId="2" borderId="2" xfId="2" applyNumberFormat="1" applyFont="1" applyFill="1" applyBorder="1" applyAlignment="1">
      <alignment horizontal="center" vertical="center" wrapText="1"/>
    </xf>
    <xf numFmtId="167" fontId="3" fillId="2" borderId="1" xfId="2"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wrapText="1"/>
    </xf>
    <xf numFmtId="49" fontId="3" fillId="2" borderId="4" xfId="2" applyNumberFormat="1" applyFont="1" applyFill="1" applyBorder="1" applyAlignment="1">
      <alignment horizontal="center" vertical="center" wrapText="1"/>
    </xf>
    <xf numFmtId="0" fontId="3" fillId="2" borderId="4" xfId="2" applyNumberFormat="1"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49" fontId="3" fillId="0" borderId="1" xfId="2" applyNumberFormat="1" applyFont="1" applyFill="1" applyBorder="1" applyAlignment="1">
      <alignment vertical="top" wrapText="1"/>
    </xf>
    <xf numFmtId="165" fontId="3" fillId="7" borderId="1" xfId="0" applyNumberFormat="1" applyFont="1" applyFill="1" applyBorder="1" applyAlignment="1">
      <alignment horizontal="center" vertical="center" wrapText="1"/>
    </xf>
    <xf numFmtId="164" fontId="3" fillId="7" borderId="1" xfId="0" applyNumberFormat="1" applyFont="1" applyFill="1" applyBorder="1" applyAlignment="1">
      <alignment vertical="center" wrapText="1"/>
    </xf>
    <xf numFmtId="164" fontId="3" fillId="7" borderId="2" xfId="0" applyNumberFormat="1" applyFont="1" applyFill="1" applyBorder="1" applyAlignment="1">
      <alignment horizontal="center" vertical="center"/>
    </xf>
    <xf numFmtId="166" fontId="3" fillId="7" borderId="7" xfId="1" applyNumberFormat="1" applyFont="1" applyFill="1" applyBorder="1" applyAlignment="1">
      <alignment horizontal="center" vertical="center"/>
    </xf>
    <xf numFmtId="166" fontId="3" fillId="7" borderId="1" xfId="1" applyNumberFormat="1" applyFont="1" applyFill="1" applyBorder="1" applyAlignment="1">
      <alignment horizontal="center" vertical="center"/>
    </xf>
    <xf numFmtId="166" fontId="3" fillId="7" borderId="8" xfId="1" applyNumberFormat="1" applyFont="1" applyFill="1" applyBorder="1" applyAlignment="1">
      <alignment horizontal="center" vertical="center"/>
    </xf>
    <xf numFmtId="166" fontId="3" fillId="7" borderId="6" xfId="1" applyNumberFormat="1" applyFont="1" applyFill="1" applyBorder="1" applyAlignment="1">
      <alignment horizontal="center" vertical="center"/>
    </xf>
    <xf numFmtId="166" fontId="3" fillId="7" borderId="1" xfId="2" applyNumberFormat="1" applyFont="1" applyFill="1" applyBorder="1" applyAlignment="1">
      <alignment horizontal="center" vertical="center"/>
    </xf>
    <xf numFmtId="49" fontId="3" fillId="7" borderId="1" xfId="0" applyNumberFormat="1" applyFont="1" applyFill="1" applyBorder="1" applyAlignment="1">
      <alignment horizontal="center" vertical="center" wrapText="1"/>
    </xf>
    <xf numFmtId="167" fontId="3"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9" fontId="3" fillId="2" borderId="1" xfId="0" applyNumberFormat="1" applyFont="1" applyFill="1" applyBorder="1" applyAlignment="1">
      <alignment horizontal="center" vertical="center"/>
    </xf>
    <xf numFmtId="166" fontId="3" fillId="2" borderId="15" xfId="2" applyNumberFormat="1" applyFont="1" applyFill="1" applyBorder="1" applyAlignment="1">
      <alignment horizontal="center" vertical="center"/>
    </xf>
    <xf numFmtId="166" fontId="3" fillId="2" borderId="16" xfId="1" applyNumberFormat="1" applyFont="1" applyFill="1" applyBorder="1" applyAlignment="1">
      <alignment horizontal="center" vertical="center"/>
    </xf>
    <xf numFmtId="166" fontId="3" fillId="2" borderId="17" xfId="2" applyNumberFormat="1" applyFont="1" applyFill="1" applyBorder="1" applyAlignment="1">
      <alignment horizontal="center" vertical="center"/>
    </xf>
    <xf numFmtId="166" fontId="3" fillId="2" borderId="18" xfId="2" applyNumberFormat="1" applyFont="1" applyFill="1" applyBorder="1" applyAlignment="1">
      <alignment horizontal="center" vertical="center"/>
    </xf>
    <xf numFmtId="166" fontId="3" fillId="2" borderId="20" xfId="2" applyNumberFormat="1" applyFont="1" applyFill="1" applyBorder="1" applyAlignment="1">
      <alignment horizontal="center" vertical="center"/>
    </xf>
    <xf numFmtId="166" fontId="3" fillId="2" borderId="21" xfId="2" applyNumberFormat="1" applyFont="1" applyFill="1" applyBorder="1" applyAlignment="1">
      <alignment horizontal="center" vertical="center"/>
    </xf>
    <xf numFmtId="166" fontId="3" fillId="2" borderId="22" xfId="2" applyNumberFormat="1" applyFont="1" applyFill="1" applyBorder="1" applyAlignment="1">
      <alignment horizontal="center" vertical="center"/>
    </xf>
    <xf numFmtId="164" fontId="3" fillId="2" borderId="1" xfId="0" applyNumberFormat="1" applyFont="1" applyFill="1" applyBorder="1" applyAlignment="1">
      <alignment horizontal="left" vertical="center" wrapText="1"/>
    </xf>
    <xf numFmtId="165"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0" borderId="0" xfId="3" applyNumberFormat="1" applyFont="1"/>
    <xf numFmtId="164" fontId="3" fillId="0" borderId="4" xfId="2" applyNumberFormat="1" applyFont="1" applyFill="1" applyBorder="1" applyAlignment="1">
      <alignment horizontal="center" vertical="center" wrapText="1"/>
    </xf>
    <xf numFmtId="164" fontId="3" fillId="0" borderId="11" xfId="2" applyNumberFormat="1"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164" fontId="3" fillId="2" borderId="11" xfId="2"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11" xfId="0" applyNumberFormat="1" applyFont="1" applyFill="1" applyBorder="1" applyAlignment="1">
      <alignment horizontal="center" vertical="center"/>
    </xf>
    <xf numFmtId="164" fontId="3" fillId="2" borderId="27" xfId="2"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xf>
    <xf numFmtId="164" fontId="3" fillId="2" borderId="2"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4" fontId="3" fillId="0" borderId="2" xfId="2"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1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167" fontId="3" fillId="2" borderId="1" xfId="2"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4" xfId="2"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64" fontId="3" fillId="2" borderId="14" xfId="2" applyNumberFormat="1"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3" fillId="2" borderId="19" xfId="2" applyNumberFormat="1" applyFont="1" applyFill="1" applyBorder="1" applyAlignment="1">
      <alignment horizontal="center" vertical="center" wrapText="1"/>
    </xf>
    <xf numFmtId="0" fontId="3" fillId="2" borderId="0" xfId="3" applyNumberFormat="1" applyFont="1" applyFill="1" applyAlignment="1">
      <alignment horizontal="center" vertical="center" wrapText="1"/>
    </xf>
    <xf numFmtId="165" fontId="3" fillId="0" borderId="1" xfId="2"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xf>
    <xf numFmtId="166" fontId="3" fillId="2" borderId="8" xfId="2" applyNumberFormat="1" applyFont="1" applyFill="1" applyBorder="1" applyAlignment="1">
      <alignment horizontal="center" vertical="center"/>
    </xf>
    <xf numFmtId="166" fontId="3" fillId="2" borderId="6" xfId="2" applyNumberFormat="1" applyFont="1" applyFill="1" applyBorder="1" applyAlignment="1">
      <alignment horizontal="center" vertical="center"/>
    </xf>
    <xf numFmtId="164" fontId="3" fillId="2" borderId="1" xfId="2" applyNumberFormat="1" applyFont="1" applyFill="1" applyBorder="1" applyAlignment="1">
      <alignment horizontal="left" vertical="top" wrapText="1"/>
    </xf>
    <xf numFmtId="166" fontId="3" fillId="2" borderId="7" xfId="2"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164" fontId="12" fillId="5" borderId="1" xfId="0" applyNumberFormat="1" applyFont="1" applyFill="1" applyBorder="1" applyAlignment="1">
      <alignment horizontal="right" vertical="center" wrapText="1"/>
    </xf>
    <xf numFmtId="0" fontId="3" fillId="0" borderId="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0" xfId="3" applyNumberFormat="1" applyFont="1" applyFill="1" applyAlignment="1">
      <alignment horizontal="center" vertical="center" wrapText="1"/>
    </xf>
    <xf numFmtId="0" fontId="13" fillId="0" borderId="1" xfId="2"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49" fontId="3" fillId="0" borderId="11" xfId="2"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5" fontId="3" fillId="0" borderId="4" xfId="2" applyNumberFormat="1" applyFont="1" applyFill="1" applyBorder="1" applyAlignment="1">
      <alignment horizontal="center" vertical="center"/>
    </xf>
    <xf numFmtId="165" fontId="3" fillId="0" borderId="11" xfId="2" applyNumberFormat="1" applyFont="1" applyFill="1" applyBorder="1" applyAlignment="1">
      <alignment horizontal="center" vertical="center"/>
    </xf>
    <xf numFmtId="164" fontId="3" fillId="0" borderId="12" xfId="2" applyNumberFormat="1" applyFont="1" applyFill="1" applyBorder="1" applyAlignment="1">
      <alignment horizontal="center" vertical="center" wrapText="1"/>
    </xf>
    <xf numFmtId="164" fontId="3" fillId="0" borderId="13" xfId="2" applyNumberFormat="1" applyFont="1" applyFill="1" applyBorder="1" applyAlignment="1">
      <alignment horizontal="center" vertical="center" wrapText="1"/>
    </xf>
    <xf numFmtId="49" fontId="3" fillId="2" borderId="4" xfId="2" applyNumberFormat="1" applyFont="1" applyFill="1" applyBorder="1" applyAlignment="1">
      <alignment horizontal="center" vertical="center" wrapText="1"/>
    </xf>
    <xf numFmtId="49" fontId="3" fillId="2" borderId="11" xfId="2" applyNumberFormat="1" applyFont="1" applyFill="1" applyBorder="1" applyAlignment="1">
      <alignment horizontal="center" vertical="center" wrapText="1"/>
    </xf>
    <xf numFmtId="166" fontId="11" fillId="0" borderId="8"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164" fontId="6" fillId="0" borderId="0" xfId="0" applyNumberFormat="1" applyFont="1" applyBorder="1" applyAlignment="1">
      <alignment horizontal="right" vertical="center" wrapText="1"/>
    </xf>
    <xf numFmtId="164" fontId="6" fillId="2" borderId="0" xfId="0" applyNumberFormat="1" applyFont="1" applyFill="1" applyBorder="1" applyAlignment="1">
      <alignment horizontal="right" vertical="center" wrapText="1"/>
    </xf>
    <xf numFmtId="164" fontId="4" fillId="0" borderId="7"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6" fontId="10" fillId="0" borderId="7" xfId="0" applyNumberFormat="1" applyFont="1" applyFill="1" applyBorder="1" applyAlignment="1">
      <alignment horizontal="center" vertical="center" wrapText="1"/>
    </xf>
    <xf numFmtId="166" fontId="10" fillId="0" borderId="1" xfId="2"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textRotation="90" wrapText="1"/>
    </xf>
    <xf numFmtId="164" fontId="9"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2" fillId="0" borderId="0" xfId="0" applyNumberFormat="1" applyFont="1" applyBorder="1" applyAlignment="1">
      <alignment horizontal="right" vertical="center" wrapText="1"/>
    </xf>
    <xf numFmtId="164" fontId="2" fillId="2" borderId="0" xfId="0" applyNumberFormat="1" applyFont="1" applyFill="1" applyBorder="1" applyAlignment="1">
      <alignment horizontal="right" vertical="center" wrapText="1"/>
    </xf>
    <xf numFmtId="164" fontId="8" fillId="0" borderId="0" xfId="0" applyNumberFormat="1" applyFont="1" applyBorder="1" applyAlignment="1">
      <alignment horizontal="center" vertical="center"/>
    </xf>
    <xf numFmtId="164" fontId="2" fillId="2" borderId="0" xfId="0" applyNumberFormat="1" applyFont="1" applyFill="1" applyBorder="1" applyAlignment="1">
      <alignment horizontal="right" vertical="top" wrapText="1"/>
    </xf>
    <xf numFmtId="164" fontId="8" fillId="0" borderId="26" xfId="0" applyNumberFormat="1" applyFont="1" applyBorder="1" applyAlignment="1">
      <alignment horizontal="center" vertical="center"/>
    </xf>
    <xf numFmtId="164" fontId="4" fillId="0" borderId="1" xfId="2" applyNumberFormat="1" applyFont="1" applyFill="1" applyBorder="1" applyAlignment="1">
      <alignment horizontal="center" vertical="center" wrapText="1"/>
    </xf>
    <xf numFmtId="164" fontId="3" fillId="2" borderId="4" xfId="2" applyNumberFormat="1" applyFont="1" applyFill="1" applyBorder="1" applyAlignment="1">
      <alignment horizontal="center" vertical="center"/>
    </xf>
    <xf numFmtId="164" fontId="3" fillId="2" borderId="11" xfId="2" applyNumberFormat="1" applyFont="1" applyFill="1" applyBorder="1" applyAlignment="1">
      <alignment horizontal="center" vertical="center"/>
    </xf>
    <xf numFmtId="164" fontId="3" fillId="2" borderId="1" xfId="2"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cellXfs>
  <cellStyles count="5">
    <cellStyle name="Comma" xfId="1" builtinId="3"/>
    <cellStyle name="Comma 2" xfId="4"/>
    <cellStyle name="Normal" xfId="0" builtinId="0"/>
    <cellStyle name="Normal 2" xfId="3"/>
    <cellStyle name="Normal 3" xfId="2"/>
  </cellStyles>
  <dxfs count="0"/>
  <tableStyles count="0" defaultTableStyle="TableStyleMedium2" defaultPivotStyle="PivotStyleLight16"/>
  <colors>
    <mruColors>
      <color rgb="FF99FF66"/>
      <color rgb="FFFF3399"/>
      <color rgb="FFCCFF66"/>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97"/>
  <sheetViews>
    <sheetView tabSelected="1" zoomScale="73" zoomScaleNormal="73" workbookViewId="0">
      <selection activeCell="O7" sqref="O7:U8"/>
    </sheetView>
  </sheetViews>
  <sheetFormatPr defaultColWidth="9.140625" defaultRowHeight="12.75" x14ac:dyDescent="0.25"/>
  <cols>
    <col min="1" max="1" width="6.140625" style="22" customWidth="1"/>
    <col min="2" max="2" width="42.5703125" style="23" customWidth="1"/>
    <col min="3" max="3" width="14.28515625" style="3" customWidth="1"/>
    <col min="4" max="4" width="17.7109375" style="17" customWidth="1"/>
    <col min="5" max="5" width="11.28515625" style="16" customWidth="1"/>
    <col min="6" max="9" width="11.28515625" style="17" customWidth="1"/>
    <col min="10" max="12" width="12.7109375" style="17" customWidth="1"/>
    <col min="13" max="13" width="15.5703125" style="17" customWidth="1"/>
    <col min="14" max="14" width="45.7109375" style="18" customWidth="1"/>
    <col min="15" max="15" width="12.28515625" style="19" customWidth="1"/>
    <col min="16" max="16" width="23.42578125" style="187" customWidth="1"/>
    <col min="17" max="17" width="13.42578125" style="1" customWidth="1"/>
    <col min="18" max="44" width="9.140625" style="2"/>
    <col min="45" max="16384" width="9.140625" style="3"/>
  </cols>
  <sheetData>
    <row r="1" spans="1:50" s="39" customFormat="1" ht="24.75" customHeight="1" x14ac:dyDescent="0.25">
      <c r="A1" s="256" t="s">
        <v>344</v>
      </c>
      <c r="B1" s="256"/>
      <c r="C1" s="256"/>
      <c r="D1" s="256"/>
      <c r="E1" s="256"/>
      <c r="F1" s="256"/>
      <c r="G1" s="256"/>
      <c r="H1" s="256"/>
      <c r="I1" s="256"/>
      <c r="J1" s="256"/>
      <c r="K1" s="256"/>
      <c r="L1" s="256"/>
      <c r="M1" s="256"/>
      <c r="N1" s="256"/>
      <c r="O1" s="256"/>
      <c r="P1" s="256"/>
      <c r="Q1" s="256"/>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row>
    <row r="2" spans="1:50" s="39" customFormat="1" ht="24.75" customHeight="1" x14ac:dyDescent="0.25">
      <c r="A2" s="40"/>
      <c r="B2" s="40"/>
      <c r="C2" s="40"/>
      <c r="D2" s="40"/>
      <c r="E2" s="40"/>
      <c r="F2" s="40"/>
      <c r="G2" s="40"/>
      <c r="H2" s="40"/>
      <c r="I2" s="40"/>
      <c r="J2" s="40"/>
      <c r="K2" s="40"/>
      <c r="L2" s="40"/>
      <c r="M2" s="40"/>
      <c r="N2" s="40"/>
      <c r="O2" s="256" t="s">
        <v>343</v>
      </c>
      <c r="P2" s="256"/>
      <c r="Q2" s="256"/>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row>
    <row r="3" spans="1:50" s="39" customFormat="1" ht="19.5" customHeight="1" x14ac:dyDescent="0.25">
      <c r="A3" s="257" t="s">
        <v>387</v>
      </c>
      <c r="B3" s="257"/>
      <c r="C3" s="257"/>
      <c r="D3" s="257"/>
      <c r="E3" s="257"/>
      <c r="F3" s="257"/>
      <c r="G3" s="257"/>
      <c r="H3" s="257"/>
      <c r="I3" s="257"/>
      <c r="J3" s="257"/>
      <c r="K3" s="257"/>
      <c r="L3" s="257"/>
      <c r="M3" s="257"/>
      <c r="N3" s="257"/>
      <c r="O3" s="257"/>
      <c r="P3" s="257"/>
      <c r="Q3" s="257"/>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39" customFormat="1" ht="20.25" customHeight="1" x14ac:dyDescent="0.25">
      <c r="A4" s="257" t="s">
        <v>388</v>
      </c>
      <c r="B4" s="257"/>
      <c r="C4" s="257"/>
      <c r="D4" s="257"/>
      <c r="E4" s="257"/>
      <c r="F4" s="257"/>
      <c r="G4" s="257"/>
      <c r="H4" s="257"/>
      <c r="I4" s="257"/>
      <c r="J4" s="257"/>
      <c r="K4" s="257"/>
      <c r="L4" s="257"/>
      <c r="M4" s="257"/>
      <c r="N4" s="257"/>
      <c r="O4" s="257"/>
      <c r="P4" s="257"/>
      <c r="Q4" s="257"/>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50" ht="12.75" customHeight="1" x14ac:dyDescent="0.25">
      <c r="A5" s="273"/>
      <c r="B5" s="273"/>
      <c r="C5" s="273"/>
      <c r="D5" s="273"/>
      <c r="E5" s="273"/>
      <c r="F5" s="273"/>
      <c r="G5" s="273"/>
      <c r="H5" s="273"/>
      <c r="I5" s="273"/>
      <c r="J5" s="273"/>
      <c r="K5" s="273"/>
      <c r="L5" s="273"/>
      <c r="M5" s="273"/>
      <c r="N5" s="273"/>
      <c r="O5" s="273"/>
      <c r="P5" s="273"/>
      <c r="Q5" s="273"/>
      <c r="R5" s="273"/>
      <c r="S5" s="273"/>
      <c r="T5" s="273"/>
      <c r="U5" s="273"/>
      <c r="V5" s="1"/>
      <c r="AS5" s="2"/>
      <c r="AT5" s="2"/>
      <c r="AU5" s="2"/>
      <c r="AV5" s="2"/>
      <c r="AW5" s="2"/>
    </row>
    <row r="6" spans="1:50" ht="16.5" customHeight="1" x14ac:dyDescent="0.25">
      <c r="A6" s="274"/>
      <c r="B6" s="274"/>
      <c r="C6" s="274"/>
      <c r="D6" s="274"/>
      <c r="E6" s="274"/>
      <c r="F6" s="274"/>
      <c r="G6" s="274"/>
      <c r="H6" s="274"/>
      <c r="I6" s="274"/>
      <c r="J6" s="274"/>
      <c r="K6" s="274"/>
      <c r="L6" s="274"/>
      <c r="M6" s="274"/>
      <c r="N6" s="274"/>
      <c r="O6" s="274"/>
      <c r="P6" s="274"/>
      <c r="Q6" s="274"/>
      <c r="R6" s="274"/>
      <c r="S6" s="274"/>
      <c r="T6" s="274"/>
      <c r="U6" s="274"/>
      <c r="V6" s="1"/>
      <c r="AS6" s="2"/>
      <c r="AT6" s="2"/>
      <c r="AU6" s="2"/>
      <c r="AV6" s="2"/>
      <c r="AW6" s="2"/>
    </row>
    <row r="7" spans="1:50" ht="60" customHeight="1" x14ac:dyDescent="0.25">
      <c r="A7" s="275" t="s">
        <v>283</v>
      </c>
      <c r="B7" s="275"/>
      <c r="C7" s="275"/>
      <c r="D7" s="275"/>
      <c r="E7" s="275"/>
      <c r="F7" s="275"/>
      <c r="G7" s="275"/>
      <c r="H7" s="275"/>
      <c r="I7" s="275"/>
      <c r="J7" s="275"/>
      <c r="K7" s="275"/>
      <c r="L7" s="275"/>
      <c r="M7" s="275"/>
      <c r="N7" s="275"/>
      <c r="O7" s="276"/>
      <c r="P7" s="276"/>
      <c r="Q7" s="276"/>
      <c r="R7" s="276"/>
      <c r="S7" s="276"/>
      <c r="T7" s="276"/>
      <c r="U7" s="276"/>
      <c r="V7" s="1"/>
      <c r="AS7" s="2"/>
      <c r="AT7" s="2"/>
      <c r="AU7" s="2"/>
      <c r="AV7" s="2"/>
      <c r="AW7" s="2"/>
    </row>
    <row r="8" spans="1:50" ht="43.5" customHeight="1" x14ac:dyDescent="0.25">
      <c r="A8" s="277" t="s">
        <v>342</v>
      </c>
      <c r="B8" s="277"/>
      <c r="C8" s="277"/>
      <c r="D8" s="277"/>
      <c r="E8" s="277"/>
      <c r="F8" s="277"/>
      <c r="G8" s="277"/>
      <c r="H8" s="277"/>
      <c r="I8" s="277"/>
      <c r="J8" s="277"/>
      <c r="K8" s="277"/>
      <c r="L8" s="277"/>
      <c r="M8" s="277"/>
      <c r="N8" s="277"/>
      <c r="O8" s="276"/>
      <c r="P8" s="276"/>
      <c r="Q8" s="276"/>
      <c r="R8" s="276"/>
      <c r="S8" s="276"/>
      <c r="T8" s="276"/>
      <c r="U8" s="276"/>
      <c r="V8" s="1"/>
      <c r="AS8" s="2"/>
      <c r="AT8" s="2"/>
      <c r="AU8" s="2"/>
      <c r="AV8" s="2"/>
      <c r="AW8" s="2"/>
    </row>
    <row r="9" spans="1:50" ht="12.75" customHeight="1" x14ac:dyDescent="0.25">
      <c r="A9" s="270" t="s">
        <v>0</v>
      </c>
      <c r="B9" s="271" t="s">
        <v>1</v>
      </c>
      <c r="C9" s="272" t="s">
        <v>2</v>
      </c>
      <c r="D9" s="267">
        <v>2018</v>
      </c>
      <c r="E9" s="268"/>
      <c r="F9" s="268"/>
      <c r="G9" s="268"/>
      <c r="H9" s="268"/>
      <c r="I9" s="269"/>
      <c r="J9" s="253">
        <v>2019</v>
      </c>
      <c r="K9" s="254">
        <v>2020</v>
      </c>
      <c r="L9" s="254">
        <v>2021</v>
      </c>
      <c r="M9" s="263" t="s">
        <v>3</v>
      </c>
      <c r="N9" s="264" t="s">
        <v>4</v>
      </c>
      <c r="O9" s="265" t="s">
        <v>5</v>
      </c>
      <c r="P9" s="266" t="s">
        <v>6</v>
      </c>
      <c r="Q9" s="278" t="s">
        <v>338</v>
      </c>
    </row>
    <row r="10" spans="1:50" ht="12.75" customHeight="1" x14ac:dyDescent="0.25">
      <c r="A10" s="270"/>
      <c r="B10" s="271"/>
      <c r="C10" s="272"/>
      <c r="D10" s="258" t="s">
        <v>7</v>
      </c>
      <c r="E10" s="259"/>
      <c r="F10" s="259"/>
      <c r="G10" s="259"/>
      <c r="H10" s="259"/>
      <c r="I10" s="260"/>
      <c r="J10" s="253"/>
      <c r="K10" s="254"/>
      <c r="L10" s="254"/>
      <c r="M10" s="263"/>
      <c r="N10" s="264"/>
      <c r="O10" s="265"/>
      <c r="P10" s="266"/>
      <c r="Q10" s="278"/>
    </row>
    <row r="11" spans="1:50" ht="15" customHeight="1" x14ac:dyDescent="0.25">
      <c r="A11" s="270"/>
      <c r="B11" s="271"/>
      <c r="C11" s="272"/>
      <c r="D11" s="261" t="s">
        <v>8</v>
      </c>
      <c r="E11" s="262" t="s">
        <v>9</v>
      </c>
      <c r="F11" s="255" t="s">
        <v>10</v>
      </c>
      <c r="G11" s="255" t="s">
        <v>11</v>
      </c>
      <c r="H11" s="255" t="s">
        <v>12</v>
      </c>
      <c r="I11" s="251" t="s">
        <v>13</v>
      </c>
      <c r="J11" s="253"/>
      <c r="K11" s="254"/>
      <c r="L11" s="254"/>
      <c r="M11" s="263"/>
      <c r="N11" s="264"/>
      <c r="O11" s="265"/>
      <c r="P11" s="266"/>
      <c r="Q11" s="278"/>
    </row>
    <row r="12" spans="1:50" ht="107.25" customHeight="1" x14ac:dyDescent="0.25">
      <c r="A12" s="270"/>
      <c r="B12" s="271"/>
      <c r="C12" s="272"/>
      <c r="D12" s="261"/>
      <c r="E12" s="262"/>
      <c r="F12" s="255"/>
      <c r="G12" s="255"/>
      <c r="H12" s="255"/>
      <c r="I12" s="252"/>
      <c r="J12" s="253"/>
      <c r="K12" s="254"/>
      <c r="L12" s="254"/>
      <c r="M12" s="263"/>
      <c r="N12" s="264"/>
      <c r="O12" s="265"/>
      <c r="P12" s="266"/>
      <c r="Q12" s="278"/>
    </row>
    <row r="13" spans="1:50" s="5" customFormat="1" ht="26.25" customHeight="1" x14ac:dyDescent="0.25">
      <c r="A13" s="41"/>
      <c r="B13" s="42" t="s">
        <v>379</v>
      </c>
      <c r="C13" s="43"/>
      <c r="D13" s="44"/>
      <c r="E13" s="45"/>
      <c r="F13" s="45"/>
      <c r="G13" s="45"/>
      <c r="H13" s="46"/>
      <c r="I13" s="47"/>
      <c r="J13" s="48"/>
      <c r="K13" s="45"/>
      <c r="L13" s="45"/>
      <c r="M13" s="49"/>
      <c r="N13" s="264"/>
      <c r="O13" s="265"/>
      <c r="P13" s="266"/>
      <c r="Q13" s="278"/>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50" s="6" customFormat="1" ht="16.5" customHeight="1" x14ac:dyDescent="0.25">
      <c r="A14" s="50"/>
      <c r="B14" s="51" t="s">
        <v>14</v>
      </c>
      <c r="C14" s="52"/>
      <c r="D14" s="53">
        <f>D15+D40+D160</f>
        <v>9604.9779999999992</v>
      </c>
      <c r="E14" s="54">
        <f t="shared" ref="E14:M14" si="0">E15+E40+E160</f>
        <v>8633.19</v>
      </c>
      <c r="F14" s="54">
        <f t="shared" si="0"/>
        <v>12496.99</v>
      </c>
      <c r="G14" s="54">
        <f t="shared" si="0"/>
        <v>187.5</v>
      </c>
      <c r="H14" s="54">
        <f t="shared" si="0"/>
        <v>9351.9999999999982</v>
      </c>
      <c r="I14" s="55">
        <f t="shared" si="0"/>
        <v>40274.657999999989</v>
      </c>
      <c r="J14" s="56">
        <f t="shared" si="0"/>
        <v>75488.630169999989</v>
      </c>
      <c r="K14" s="54">
        <f t="shared" si="0"/>
        <v>63740.74929</v>
      </c>
      <c r="L14" s="54">
        <f t="shared" si="0"/>
        <v>51328.12797999999</v>
      </c>
      <c r="M14" s="54">
        <f t="shared" si="0"/>
        <v>230832.16543999998</v>
      </c>
      <c r="N14" s="264"/>
      <c r="O14" s="265"/>
      <c r="P14" s="266"/>
      <c r="Q14" s="278"/>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50" s="6" customFormat="1" ht="38.25" customHeight="1" x14ac:dyDescent="0.25">
      <c r="A15" s="235" t="s">
        <v>15</v>
      </c>
      <c r="B15" s="235"/>
      <c r="C15" s="57"/>
      <c r="D15" s="58">
        <f>D18+D20+D22+D25+D27+D29+D31+D33+D36+D38</f>
        <v>548</v>
      </c>
      <c r="E15" s="59">
        <f t="shared" ref="E15:I15" si="1">E18+E20+E22+E25+E27+E29+E31+E33+E36+E38</f>
        <v>610.15000000000009</v>
      </c>
      <c r="F15" s="60">
        <f t="shared" si="1"/>
        <v>2311.23</v>
      </c>
      <c r="G15" s="59">
        <f t="shared" si="1"/>
        <v>53.49</v>
      </c>
      <c r="H15" s="59">
        <f t="shared" si="1"/>
        <v>491.8</v>
      </c>
      <c r="I15" s="61">
        <f t="shared" si="1"/>
        <v>4014.67</v>
      </c>
      <c r="J15" s="62">
        <f t="shared" ref="J15:M15" si="2">J18+J20+J22+J25+J27+J29+J31+J33+J36+J38</f>
        <v>14271.032999999999</v>
      </c>
      <c r="K15" s="59">
        <f t="shared" si="2"/>
        <v>6356.9072900000001</v>
      </c>
      <c r="L15" s="59">
        <f t="shared" si="2"/>
        <v>6643.61</v>
      </c>
      <c r="M15" s="59">
        <f t="shared" si="2"/>
        <v>31286.220290000005</v>
      </c>
      <c r="N15" s="63"/>
      <c r="O15" s="64"/>
      <c r="P15" s="65"/>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50" s="6" customFormat="1" ht="15" customHeight="1" x14ac:dyDescent="0.25">
      <c r="A16" s="236" t="s">
        <v>16</v>
      </c>
      <c r="B16" s="236"/>
      <c r="C16" s="67"/>
      <c r="D16" s="68"/>
      <c r="E16" s="69"/>
      <c r="F16" s="69"/>
      <c r="G16" s="69"/>
      <c r="H16" s="70"/>
      <c r="I16" s="71"/>
      <c r="J16" s="72"/>
      <c r="K16" s="69"/>
      <c r="L16" s="69"/>
      <c r="M16" s="69"/>
      <c r="N16" s="73"/>
      <c r="O16" s="74"/>
      <c r="P16" s="75"/>
      <c r="Q16" s="7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85" s="6" customFormat="1" ht="26.25" customHeight="1" x14ac:dyDescent="0.25">
      <c r="A17" s="77"/>
      <c r="B17" s="78" t="s">
        <v>17</v>
      </c>
      <c r="C17" s="79" t="s">
        <v>18</v>
      </c>
      <c r="D17" s="80"/>
      <c r="E17" s="81"/>
      <c r="F17" s="81"/>
      <c r="G17" s="81"/>
      <c r="H17" s="81"/>
      <c r="I17" s="82"/>
      <c r="J17" s="83"/>
      <c r="K17" s="81"/>
      <c r="L17" s="81"/>
      <c r="M17" s="81"/>
      <c r="N17" s="84"/>
      <c r="O17" s="85"/>
      <c r="P17" s="86"/>
      <c r="Q17" s="87"/>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85" s="6" customFormat="1" ht="80.25" customHeight="1" x14ac:dyDescent="0.25">
      <c r="A18" s="204">
        <v>1</v>
      </c>
      <c r="B18" s="88" t="s">
        <v>19</v>
      </c>
      <c r="C18" s="199" t="s">
        <v>20</v>
      </c>
      <c r="D18" s="89"/>
      <c r="E18" s="90"/>
      <c r="F18" s="90"/>
      <c r="G18" s="90"/>
      <c r="H18" s="90">
        <v>0</v>
      </c>
      <c r="I18" s="91">
        <v>0</v>
      </c>
      <c r="J18" s="92">
        <v>561.16300000000001</v>
      </c>
      <c r="K18" s="90"/>
      <c r="L18" s="90"/>
      <c r="M18" s="90">
        <f>I18+J18+K18+L18</f>
        <v>561.16300000000001</v>
      </c>
      <c r="N18" s="200" t="s">
        <v>21</v>
      </c>
      <c r="O18" s="203" t="s">
        <v>22</v>
      </c>
      <c r="P18" s="201" t="s">
        <v>23</v>
      </c>
      <c r="Q18" s="281" t="s">
        <v>339</v>
      </c>
    </row>
    <row r="19" spans="1:85" s="6" customFormat="1" x14ac:dyDescent="0.25">
      <c r="A19" s="204"/>
      <c r="B19" s="32" t="s">
        <v>24</v>
      </c>
      <c r="C19" s="199"/>
      <c r="D19" s="89"/>
      <c r="E19" s="90"/>
      <c r="F19" s="90"/>
      <c r="G19" s="90"/>
      <c r="H19" s="90">
        <v>0</v>
      </c>
      <c r="I19" s="91">
        <v>0</v>
      </c>
      <c r="J19" s="92"/>
      <c r="K19" s="90"/>
      <c r="L19" s="90"/>
      <c r="M19" s="90">
        <v>0</v>
      </c>
      <c r="N19" s="200"/>
      <c r="O19" s="203"/>
      <c r="P19" s="201"/>
      <c r="Q19" s="281"/>
    </row>
    <row r="20" spans="1:85" s="24" customFormat="1" ht="200.25" customHeight="1" x14ac:dyDescent="0.2">
      <c r="A20" s="204">
        <v>2</v>
      </c>
      <c r="B20" s="88" t="s">
        <v>25</v>
      </c>
      <c r="C20" s="199" t="s">
        <v>20</v>
      </c>
      <c r="D20" s="93"/>
      <c r="E20" s="94"/>
      <c r="F20" s="95">
        <v>290.5</v>
      </c>
      <c r="G20" s="90"/>
      <c r="H20" s="95">
        <v>491.8</v>
      </c>
      <c r="I20" s="96">
        <f>H20+F20+D20</f>
        <v>782.3</v>
      </c>
      <c r="J20" s="92">
        <v>998.8</v>
      </c>
      <c r="K20" s="90">
        <v>50</v>
      </c>
      <c r="L20" s="90"/>
      <c r="M20" s="90">
        <f>I20+J20+K20+L20</f>
        <v>1831.1</v>
      </c>
      <c r="N20" s="200" t="s">
        <v>26</v>
      </c>
      <c r="O20" s="203" t="s">
        <v>27</v>
      </c>
      <c r="P20" s="201" t="s">
        <v>23</v>
      </c>
      <c r="Q20" s="281" t="s">
        <v>339</v>
      </c>
    </row>
    <row r="21" spans="1:85" s="24" customFormat="1" ht="15" customHeight="1" x14ac:dyDescent="0.2">
      <c r="A21" s="204"/>
      <c r="B21" s="32" t="s">
        <v>24</v>
      </c>
      <c r="C21" s="199"/>
      <c r="D21" s="97"/>
      <c r="E21" s="90"/>
      <c r="F21" s="95">
        <v>0</v>
      </c>
      <c r="G21" s="90"/>
      <c r="H21" s="95">
        <v>0</v>
      </c>
      <c r="I21" s="96">
        <v>0</v>
      </c>
      <c r="J21" s="92"/>
      <c r="K21" s="90">
        <v>0</v>
      </c>
      <c r="L21" s="90"/>
      <c r="M21" s="95">
        <v>0</v>
      </c>
      <c r="N21" s="200"/>
      <c r="O21" s="203"/>
      <c r="P21" s="201"/>
      <c r="Q21" s="281"/>
    </row>
    <row r="22" spans="1:85" s="10" customFormat="1" ht="51" customHeight="1" x14ac:dyDescent="0.2">
      <c r="A22" s="193">
        <v>3</v>
      </c>
      <c r="B22" s="88" t="s">
        <v>28</v>
      </c>
      <c r="C22" s="247" t="s">
        <v>20</v>
      </c>
      <c r="D22" s="89"/>
      <c r="E22" s="90"/>
      <c r="F22" s="90"/>
      <c r="G22" s="90"/>
      <c r="H22" s="90"/>
      <c r="I22" s="91"/>
      <c r="J22" s="92">
        <v>5</v>
      </c>
      <c r="K22" s="90">
        <v>1</v>
      </c>
      <c r="L22" s="90"/>
      <c r="M22" s="90">
        <f>J22+K22+L22</f>
        <v>6</v>
      </c>
      <c r="N22" s="242" t="s">
        <v>29</v>
      </c>
      <c r="O22" s="242" t="s">
        <v>30</v>
      </c>
      <c r="P22" s="237" t="s">
        <v>31</v>
      </c>
      <c r="Q22" s="279" t="s">
        <v>340</v>
      </c>
    </row>
    <row r="23" spans="1:85" x14ac:dyDescent="0.25">
      <c r="A23" s="194"/>
      <c r="B23" s="98" t="s">
        <v>24</v>
      </c>
      <c r="C23" s="248"/>
      <c r="D23" s="34"/>
      <c r="E23" s="35"/>
      <c r="F23" s="35"/>
      <c r="G23" s="35"/>
      <c r="H23" s="35"/>
      <c r="I23" s="36"/>
      <c r="J23" s="37"/>
      <c r="K23" s="35"/>
      <c r="L23" s="35"/>
      <c r="M23" s="35"/>
      <c r="N23" s="243"/>
      <c r="O23" s="243"/>
      <c r="P23" s="238"/>
      <c r="Q23" s="280"/>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row>
    <row r="24" spans="1:85" s="6" customFormat="1" ht="26.25" customHeight="1" x14ac:dyDescent="0.25">
      <c r="A24" s="77"/>
      <c r="B24" s="78" t="s">
        <v>32</v>
      </c>
      <c r="C24" s="79" t="s">
        <v>33</v>
      </c>
      <c r="D24" s="80"/>
      <c r="E24" s="81"/>
      <c r="F24" s="81"/>
      <c r="G24" s="81"/>
      <c r="H24" s="81"/>
      <c r="I24" s="99"/>
      <c r="J24" s="83"/>
      <c r="K24" s="81"/>
      <c r="L24" s="81"/>
      <c r="M24" s="100"/>
      <c r="N24" s="84"/>
      <c r="O24" s="85"/>
      <c r="P24" s="86"/>
      <c r="Q24" s="87"/>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85" s="10" customFormat="1" ht="39.75" customHeight="1" x14ac:dyDescent="0.2">
      <c r="A25" s="193">
        <v>4</v>
      </c>
      <c r="B25" s="31" t="s">
        <v>34</v>
      </c>
      <c r="C25" s="206" t="s">
        <v>35</v>
      </c>
      <c r="D25" s="34"/>
      <c r="E25" s="35"/>
      <c r="F25" s="35"/>
      <c r="G25" s="35"/>
      <c r="H25" s="35"/>
      <c r="I25" s="36"/>
      <c r="J25" s="37">
        <v>20</v>
      </c>
      <c r="K25" s="35"/>
      <c r="L25" s="35"/>
      <c r="M25" s="35">
        <f>J25</f>
        <v>20</v>
      </c>
      <c r="N25" s="242" t="s">
        <v>36</v>
      </c>
      <c r="O25" s="242" t="s">
        <v>37</v>
      </c>
      <c r="P25" s="237" t="s">
        <v>38</v>
      </c>
      <c r="Q25" s="281" t="s">
        <v>340</v>
      </c>
    </row>
    <row r="26" spans="1:85" s="6" customFormat="1" x14ac:dyDescent="0.25">
      <c r="A26" s="194"/>
      <c r="B26" s="98" t="s">
        <v>24</v>
      </c>
      <c r="C26" s="206"/>
      <c r="D26" s="34"/>
      <c r="E26" s="35"/>
      <c r="F26" s="35"/>
      <c r="G26" s="35"/>
      <c r="H26" s="35"/>
      <c r="I26" s="36"/>
      <c r="J26" s="37"/>
      <c r="K26" s="35"/>
      <c r="L26" s="35"/>
      <c r="M26" s="35"/>
      <c r="N26" s="243"/>
      <c r="O26" s="243"/>
      <c r="P26" s="238"/>
      <c r="Q26" s="281"/>
    </row>
    <row r="27" spans="1:85" s="6" customFormat="1" ht="285" customHeight="1" x14ac:dyDescent="0.25">
      <c r="A27" s="204">
        <v>5</v>
      </c>
      <c r="B27" s="88" t="s">
        <v>39</v>
      </c>
      <c r="C27" s="199" t="s">
        <v>35</v>
      </c>
      <c r="D27" s="89">
        <v>290.60000000000002</v>
      </c>
      <c r="E27" s="90"/>
      <c r="F27" s="90"/>
      <c r="G27" s="90"/>
      <c r="H27" s="90"/>
      <c r="I27" s="91">
        <f t="shared" ref="I27:I28" si="3">SUM(D27:H27)</f>
        <v>290.60000000000002</v>
      </c>
      <c r="J27" s="92">
        <f>ROUND(((2632795.28+6887.52+29241.1+7260)/1000),2)+J28</f>
        <v>2924.1299999999997</v>
      </c>
      <c r="K27" s="90">
        <f>ROUND(((3223830.96+16530.04+70178.64+600000)/1000),2)</f>
        <v>3910.54</v>
      </c>
      <c r="L27" s="90">
        <f>ROUND(((591035.65+17907.54+32165.2+2500)/1000),2)+ROUND((6000000/1000),2)</f>
        <v>6643.61</v>
      </c>
      <c r="M27" s="90">
        <f>SUM(I27:L27)</f>
        <v>13768.88</v>
      </c>
      <c r="N27" s="200" t="s">
        <v>40</v>
      </c>
      <c r="O27" s="213" t="s">
        <v>41</v>
      </c>
      <c r="P27" s="201" t="s">
        <v>345</v>
      </c>
      <c r="Q27" s="282" t="s">
        <v>339</v>
      </c>
    </row>
    <row r="28" spans="1:85" s="6" customFormat="1" x14ac:dyDescent="0.25">
      <c r="A28" s="204"/>
      <c r="B28" s="32" t="s">
        <v>24</v>
      </c>
      <c r="C28" s="199"/>
      <c r="D28" s="89">
        <v>265.3</v>
      </c>
      <c r="E28" s="90"/>
      <c r="F28" s="90"/>
      <c r="G28" s="90"/>
      <c r="H28" s="90"/>
      <c r="I28" s="91">
        <f t="shared" si="3"/>
        <v>265.3</v>
      </c>
      <c r="J28" s="92">
        <f>ROUND((247950.6/1000),2)</f>
        <v>247.95</v>
      </c>
      <c r="K28" s="90"/>
      <c r="L28" s="90"/>
      <c r="M28" s="90">
        <f>I28+J28</f>
        <v>513.25</v>
      </c>
      <c r="N28" s="200"/>
      <c r="O28" s="213"/>
      <c r="P28" s="201"/>
      <c r="Q28" s="282"/>
    </row>
    <row r="29" spans="1:85" s="10" customFormat="1" ht="59.25" customHeight="1" x14ac:dyDescent="0.2">
      <c r="A29" s="195">
        <v>6</v>
      </c>
      <c r="B29" s="101" t="s">
        <v>42</v>
      </c>
      <c r="C29" s="199" t="s">
        <v>35</v>
      </c>
      <c r="D29" s="89"/>
      <c r="E29" s="90"/>
      <c r="F29" s="90"/>
      <c r="G29" s="90"/>
      <c r="H29" s="90"/>
      <c r="I29" s="91"/>
      <c r="J29" s="92">
        <f>142.5+15</f>
        <v>157.5</v>
      </c>
      <c r="K29" s="90">
        <v>142.5</v>
      </c>
      <c r="L29" s="90"/>
      <c r="M29" s="90">
        <f>I29+J29+K29</f>
        <v>300</v>
      </c>
      <c r="N29" s="249" t="s">
        <v>43</v>
      </c>
      <c r="O29" s="249" t="s">
        <v>30</v>
      </c>
      <c r="P29" s="215" t="s">
        <v>38</v>
      </c>
      <c r="Q29" s="281" t="s">
        <v>340</v>
      </c>
    </row>
    <row r="30" spans="1:85" s="6" customFormat="1" x14ac:dyDescent="0.25">
      <c r="A30" s="196"/>
      <c r="B30" s="32" t="s">
        <v>24</v>
      </c>
      <c r="C30" s="199"/>
      <c r="D30" s="89"/>
      <c r="E30" s="90"/>
      <c r="F30" s="90"/>
      <c r="G30" s="90"/>
      <c r="H30" s="90"/>
      <c r="I30" s="91"/>
      <c r="J30" s="92">
        <v>15</v>
      </c>
      <c r="K30" s="90"/>
      <c r="L30" s="90"/>
      <c r="M30" s="90">
        <f>J30</f>
        <v>15</v>
      </c>
      <c r="N30" s="250"/>
      <c r="O30" s="250"/>
      <c r="P30" s="216"/>
      <c r="Q30" s="281"/>
    </row>
    <row r="31" spans="1:85" s="10" customFormat="1" ht="113.25" customHeight="1" x14ac:dyDescent="0.2">
      <c r="A31" s="198">
        <v>7</v>
      </c>
      <c r="B31" s="88" t="s">
        <v>166</v>
      </c>
      <c r="C31" s="199" t="s">
        <v>35</v>
      </c>
      <c r="D31" s="89">
        <v>15</v>
      </c>
      <c r="E31" s="90"/>
      <c r="F31" s="90"/>
      <c r="G31" s="90"/>
      <c r="H31" s="90"/>
      <c r="I31" s="91">
        <f t="shared" ref="I31:I32" si="4">SUM(D31:H31)</f>
        <v>15</v>
      </c>
      <c r="J31" s="92">
        <f>22+100</f>
        <v>122</v>
      </c>
      <c r="K31" s="90">
        <v>150</v>
      </c>
      <c r="L31" s="90"/>
      <c r="M31" s="90">
        <f>K31+J31+I31+L31</f>
        <v>287</v>
      </c>
      <c r="N31" s="200" t="s">
        <v>167</v>
      </c>
      <c r="O31" s="203" t="s">
        <v>138</v>
      </c>
      <c r="P31" s="201" t="s">
        <v>334</v>
      </c>
      <c r="Q31" s="281" t="s">
        <v>339</v>
      </c>
    </row>
    <row r="32" spans="1:85" s="10" customFormat="1" x14ac:dyDescent="0.2">
      <c r="A32" s="198"/>
      <c r="B32" s="32" t="s">
        <v>24</v>
      </c>
      <c r="C32" s="199"/>
      <c r="D32" s="89">
        <v>13</v>
      </c>
      <c r="E32" s="90"/>
      <c r="F32" s="90"/>
      <c r="G32" s="90"/>
      <c r="H32" s="90"/>
      <c r="I32" s="91">
        <f t="shared" si="4"/>
        <v>13</v>
      </c>
      <c r="J32" s="92">
        <v>27</v>
      </c>
      <c r="K32" s="90"/>
      <c r="L32" s="90"/>
      <c r="M32" s="90">
        <f>I32+J32</f>
        <v>40</v>
      </c>
      <c r="N32" s="200"/>
      <c r="O32" s="203"/>
      <c r="P32" s="201"/>
      <c r="Q32" s="281"/>
    </row>
    <row r="33" spans="1:44" s="10" customFormat="1" ht="201.75" customHeight="1" x14ac:dyDescent="0.2">
      <c r="A33" s="102">
        <v>8</v>
      </c>
      <c r="B33" s="101" t="s">
        <v>329</v>
      </c>
      <c r="C33" s="199" t="s">
        <v>35</v>
      </c>
      <c r="D33" s="89">
        <v>46.9</v>
      </c>
      <c r="E33" s="90"/>
      <c r="F33" s="90"/>
      <c r="G33" s="90"/>
      <c r="H33" s="90"/>
      <c r="I33" s="91">
        <f>D33</f>
        <v>46.9</v>
      </c>
      <c r="J33" s="92"/>
      <c r="K33" s="90"/>
      <c r="L33" s="90"/>
      <c r="M33" s="90">
        <f>L33+K33+J33+I33</f>
        <v>46.9</v>
      </c>
      <c r="N33" s="249" t="s">
        <v>328</v>
      </c>
      <c r="O33" s="249" t="s">
        <v>103</v>
      </c>
      <c r="P33" s="201" t="s">
        <v>335</v>
      </c>
      <c r="Q33" s="281" t="s">
        <v>340</v>
      </c>
    </row>
    <row r="34" spans="1:44" s="6" customFormat="1" x14ac:dyDescent="0.25">
      <c r="A34" s="102"/>
      <c r="B34" s="32" t="s">
        <v>24</v>
      </c>
      <c r="C34" s="199"/>
      <c r="D34" s="89"/>
      <c r="E34" s="90"/>
      <c r="F34" s="90"/>
      <c r="G34" s="90"/>
      <c r="H34" s="90"/>
      <c r="I34" s="91"/>
      <c r="J34" s="92"/>
      <c r="K34" s="90"/>
      <c r="L34" s="90"/>
      <c r="M34" s="90"/>
      <c r="N34" s="250"/>
      <c r="O34" s="250"/>
      <c r="P34" s="201"/>
      <c r="Q34" s="281"/>
    </row>
    <row r="35" spans="1:44" s="6" customFormat="1" ht="26.25" customHeight="1" x14ac:dyDescent="0.25">
      <c r="A35" s="77"/>
      <c r="B35" s="78" t="s">
        <v>44</v>
      </c>
      <c r="C35" s="79" t="s">
        <v>45</v>
      </c>
      <c r="D35" s="80"/>
      <c r="E35" s="81"/>
      <c r="F35" s="81"/>
      <c r="G35" s="81"/>
      <c r="H35" s="81"/>
      <c r="I35" s="99"/>
      <c r="J35" s="83"/>
      <c r="K35" s="81"/>
      <c r="L35" s="81"/>
      <c r="M35" s="100"/>
      <c r="N35" s="84"/>
      <c r="O35" s="85"/>
      <c r="P35" s="86"/>
      <c r="Q35" s="87"/>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s="10" customFormat="1" ht="53.25" customHeight="1" x14ac:dyDescent="0.2">
      <c r="A36" s="198">
        <v>9</v>
      </c>
      <c r="B36" s="103" t="s">
        <v>46</v>
      </c>
      <c r="C36" s="199" t="s">
        <v>47</v>
      </c>
      <c r="D36" s="104"/>
      <c r="E36" s="105"/>
      <c r="F36" s="105"/>
      <c r="G36" s="105"/>
      <c r="H36" s="105"/>
      <c r="I36" s="91"/>
      <c r="J36" s="106"/>
      <c r="K36" s="105">
        <v>22.5</v>
      </c>
      <c r="L36" s="105"/>
      <c r="M36" s="90">
        <f>L36+K36+J36</f>
        <v>22.5</v>
      </c>
      <c r="N36" s="214" t="s">
        <v>48</v>
      </c>
      <c r="O36" s="214" t="s">
        <v>49</v>
      </c>
      <c r="P36" s="219" t="s">
        <v>50</v>
      </c>
      <c r="Q36" s="283" t="s">
        <v>339</v>
      </c>
    </row>
    <row r="37" spans="1:44" s="10" customFormat="1" ht="15" customHeight="1" x14ac:dyDescent="0.2">
      <c r="A37" s="198"/>
      <c r="B37" s="107" t="s">
        <v>24</v>
      </c>
      <c r="C37" s="199"/>
      <c r="D37" s="104"/>
      <c r="E37" s="105"/>
      <c r="F37" s="105"/>
      <c r="G37" s="105"/>
      <c r="H37" s="105"/>
      <c r="I37" s="91"/>
      <c r="J37" s="106"/>
      <c r="K37" s="105">
        <v>5</v>
      </c>
      <c r="L37" s="105"/>
      <c r="M37" s="90">
        <f>L37+K37+J37</f>
        <v>5</v>
      </c>
      <c r="N37" s="214"/>
      <c r="O37" s="214"/>
      <c r="P37" s="219"/>
      <c r="Q37" s="283"/>
    </row>
    <row r="38" spans="1:44" s="9" customFormat="1" ht="219.75" customHeight="1" x14ac:dyDescent="0.2">
      <c r="A38" s="204">
        <v>10</v>
      </c>
      <c r="B38" s="31" t="s">
        <v>51</v>
      </c>
      <c r="C38" s="199" t="s">
        <v>47</v>
      </c>
      <c r="D38" s="34">
        <f>193.8+1.7</f>
        <v>195.5</v>
      </c>
      <c r="E38" s="35">
        <f>ROUND(((2354271.13+2178+20883.3)*0.1275/1000),2)+ROUND(((304482.04+242+2320.37)/1000),2)</f>
        <v>610.15000000000009</v>
      </c>
      <c r="F38" s="35">
        <f>ROUND(((2354271.13+2178+20883.3)*0.85/1000),2)</f>
        <v>2020.73</v>
      </c>
      <c r="G38" s="35">
        <f>ROUND(((2354271.13+2178+20883.3)*0.0225/1000),2)</f>
        <v>53.49</v>
      </c>
      <c r="H38" s="35"/>
      <c r="I38" s="36">
        <f>SUM(D38:H38)</f>
        <v>2879.87</v>
      </c>
      <c r="J38" s="37">
        <f>ROUND((3702443.47/1000),2)+ROUND((5780000/1000),2)</f>
        <v>9482.44</v>
      </c>
      <c r="K38" s="35">
        <f>ROUND((1025094.09/1000),2)+1055277.29/1000</f>
        <v>2080.3672900000001</v>
      </c>
      <c r="L38" s="35"/>
      <c r="M38" s="35">
        <f>J38+I38+K38+L38</f>
        <v>14442.677290000001</v>
      </c>
      <c r="N38" s="200" t="s">
        <v>346</v>
      </c>
      <c r="O38" s="213" t="s">
        <v>52</v>
      </c>
      <c r="P38" s="201" t="s">
        <v>345</v>
      </c>
      <c r="Q38" s="282" t="s">
        <v>339</v>
      </c>
    </row>
    <row r="39" spans="1:44" s="10" customFormat="1" ht="15" customHeight="1" x14ac:dyDescent="0.2">
      <c r="A39" s="204"/>
      <c r="B39" s="32" t="s">
        <v>24</v>
      </c>
      <c r="C39" s="199"/>
      <c r="D39" s="108">
        <v>178.8</v>
      </c>
      <c r="E39" s="109"/>
      <c r="F39" s="90"/>
      <c r="G39" s="90"/>
      <c r="H39" s="90"/>
      <c r="I39" s="110">
        <f>SUM(D39:H39)</f>
        <v>178.8</v>
      </c>
      <c r="J39" s="92"/>
      <c r="K39" s="90"/>
      <c r="L39" s="90"/>
      <c r="M39" s="90">
        <f>I39+J39+K39+L39</f>
        <v>178.8</v>
      </c>
      <c r="N39" s="200"/>
      <c r="O39" s="213"/>
      <c r="P39" s="201"/>
      <c r="Q39" s="282"/>
    </row>
    <row r="40" spans="1:44" ht="39" customHeight="1" x14ac:dyDescent="0.25">
      <c r="A40" s="235" t="s">
        <v>53</v>
      </c>
      <c r="B40" s="235"/>
      <c r="C40" s="57"/>
      <c r="D40" s="58">
        <f>D43+D45+D47+D49+D51+D53+D55+D57+D59+D61+D63+D65+D67+D69+D71+D73+D75+D77+D79+D81+D84+D86+D88+D90+D93+D95+D97+D99+D101+D103+D105+D107+D109+D111+D113+D115+D116+D118+D120+D122+D124+D126+D128+D130+D132+D135+D137+D139+D141+D143+D145+D147+D149+D151+D153+D154+D156+D158</f>
        <v>3888.2579999999998</v>
      </c>
      <c r="E40" s="59">
        <f t="shared" ref="E40:L40" si="5">E43+E45+E47+E49+E51+E53+E55+E57+E59+E61+E63+E65+E67+E69+E71+E73+E75+E77+E79+E81+E84+E86+E88+E90+E93+E95+E97+E99+E101+E103+E105+E107+E109+E111+E113+E115+E116+E118+E120+E122+E124+E126+E128+E130+E132+E135+E137+E139+E141+E143+E145+E147+E149+E151+E153+E154+E156+E158</f>
        <v>2421.38</v>
      </c>
      <c r="F40" s="111">
        <f t="shared" si="5"/>
        <v>9125.58</v>
      </c>
      <c r="G40" s="59">
        <f t="shared" si="5"/>
        <v>53.03</v>
      </c>
      <c r="H40" s="59">
        <f t="shared" si="5"/>
        <v>8658.4</v>
      </c>
      <c r="I40" s="112">
        <f t="shared" si="5"/>
        <v>24146.647999999994</v>
      </c>
      <c r="J40" s="111">
        <f t="shared" si="5"/>
        <v>40375.39</v>
      </c>
      <c r="K40" s="59">
        <f t="shared" si="5"/>
        <v>37630.714999999997</v>
      </c>
      <c r="L40" s="61">
        <f t="shared" si="5"/>
        <v>28846.370979999996</v>
      </c>
      <c r="M40" s="59">
        <f>J40+K40+L40+I40</f>
        <v>130999.12397999997</v>
      </c>
      <c r="N40" s="63"/>
      <c r="O40" s="64"/>
      <c r="P40" s="65"/>
      <c r="Q40" s="66"/>
    </row>
    <row r="41" spans="1:44" s="11" customFormat="1" x14ac:dyDescent="0.2">
      <c r="A41" s="236" t="s">
        <v>16</v>
      </c>
      <c r="B41" s="236"/>
      <c r="C41" s="67"/>
      <c r="D41" s="68"/>
      <c r="E41" s="113"/>
      <c r="F41" s="113"/>
      <c r="G41" s="113"/>
      <c r="H41" s="113"/>
      <c r="I41" s="71"/>
      <c r="J41" s="72"/>
      <c r="K41" s="69"/>
      <c r="L41" s="69"/>
      <c r="M41" s="114"/>
      <c r="N41" s="73"/>
      <c r="O41" s="74"/>
      <c r="P41" s="75"/>
      <c r="Q41" s="76"/>
    </row>
    <row r="42" spans="1:44" s="6" customFormat="1" ht="39.75" customHeight="1" x14ac:dyDescent="0.25">
      <c r="A42" s="77"/>
      <c r="B42" s="78" t="s">
        <v>54</v>
      </c>
      <c r="C42" s="79" t="s">
        <v>55</v>
      </c>
      <c r="D42" s="80"/>
      <c r="E42" s="81"/>
      <c r="F42" s="81"/>
      <c r="G42" s="81"/>
      <c r="H42" s="81"/>
      <c r="I42" s="99"/>
      <c r="J42" s="83"/>
      <c r="K42" s="81"/>
      <c r="L42" s="81"/>
      <c r="M42" s="100"/>
      <c r="N42" s="84"/>
      <c r="O42" s="85"/>
      <c r="P42" s="86"/>
      <c r="Q42" s="87"/>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s="10" customFormat="1" ht="42.75" customHeight="1" x14ac:dyDescent="0.2">
      <c r="A43" s="193">
        <v>11</v>
      </c>
      <c r="B43" s="115" t="s">
        <v>56</v>
      </c>
      <c r="C43" s="206" t="s">
        <v>55</v>
      </c>
      <c r="D43" s="34"/>
      <c r="E43" s="35"/>
      <c r="F43" s="35"/>
      <c r="G43" s="35"/>
      <c r="H43" s="35"/>
      <c r="I43" s="36"/>
      <c r="J43" s="37">
        <v>73.400000000000006</v>
      </c>
      <c r="K43" s="35"/>
      <c r="L43" s="35"/>
      <c r="M43" s="35">
        <f>J43</f>
        <v>73.400000000000006</v>
      </c>
      <c r="N43" s="242" t="s">
        <v>57</v>
      </c>
      <c r="O43" s="242" t="s">
        <v>37</v>
      </c>
      <c r="P43" s="237" t="s">
        <v>38</v>
      </c>
      <c r="Q43" s="281" t="s">
        <v>340</v>
      </c>
    </row>
    <row r="44" spans="1:44" s="6" customFormat="1" x14ac:dyDescent="0.25">
      <c r="A44" s="194"/>
      <c r="B44" s="98" t="s">
        <v>24</v>
      </c>
      <c r="C44" s="206"/>
      <c r="D44" s="34"/>
      <c r="E44" s="35"/>
      <c r="F44" s="35"/>
      <c r="G44" s="35"/>
      <c r="H44" s="35"/>
      <c r="I44" s="36"/>
      <c r="J44" s="37"/>
      <c r="K44" s="35"/>
      <c r="L44" s="35"/>
      <c r="M44" s="35"/>
      <c r="N44" s="243"/>
      <c r="O44" s="243"/>
      <c r="P44" s="238"/>
      <c r="Q44" s="281"/>
    </row>
    <row r="45" spans="1:44" s="2" customFormat="1" ht="141" customHeight="1" x14ac:dyDescent="0.25">
      <c r="A45" s="228">
        <v>12</v>
      </c>
      <c r="B45" s="31" t="s">
        <v>58</v>
      </c>
      <c r="C45" s="206" t="s">
        <v>55</v>
      </c>
      <c r="D45" s="34">
        <v>4.5999999999999996</v>
      </c>
      <c r="E45" s="35"/>
      <c r="F45" s="35">
        <f>ROUND((126690*0.2*0.7974/1000),2)</f>
        <v>20.2</v>
      </c>
      <c r="G45" s="35">
        <f>ROUND((126690*0.2*0.0225/1000),2)</f>
        <v>0.56999999999999995</v>
      </c>
      <c r="H45" s="35"/>
      <c r="I45" s="36">
        <f>SUM(D45:H45)</f>
        <v>25.369999999999997</v>
      </c>
      <c r="J45" s="37">
        <f>ROUND(((113914.14)/1000),2)</f>
        <v>113.91</v>
      </c>
      <c r="K45" s="35">
        <f>ROUND((1373857.4/1000),2)</f>
        <v>1373.86</v>
      </c>
      <c r="L45" s="35">
        <f>ROUND((983863.2+918089.4)/1000,2)</f>
        <v>1901.95</v>
      </c>
      <c r="M45" s="35">
        <f>J45+K45+L45</f>
        <v>3389.7200000000003</v>
      </c>
      <c r="N45" s="217" t="s">
        <v>299</v>
      </c>
      <c r="O45" s="218" t="s">
        <v>59</v>
      </c>
      <c r="P45" s="212" t="s">
        <v>334</v>
      </c>
      <c r="Q45" s="284" t="s">
        <v>339</v>
      </c>
    </row>
    <row r="46" spans="1:44" s="2" customFormat="1" ht="24" customHeight="1" x14ac:dyDescent="0.25">
      <c r="A46" s="228"/>
      <c r="B46" s="98" t="s">
        <v>24</v>
      </c>
      <c r="C46" s="206"/>
      <c r="D46" s="34">
        <v>4.5999999999999996</v>
      </c>
      <c r="E46" s="35"/>
      <c r="F46" s="35">
        <f>ROUND((20204.85/1000),2)</f>
        <v>20.2</v>
      </c>
      <c r="G46" s="35">
        <f>ROUND((570.11/1000),2)</f>
        <v>0.56999999999999995</v>
      </c>
      <c r="H46" s="35"/>
      <c r="I46" s="36">
        <f>SUM(D46:H46)</f>
        <v>25.369999999999997</v>
      </c>
      <c r="J46" s="37">
        <f>ROUND((101352/1000),2)</f>
        <v>101.35</v>
      </c>
      <c r="K46" s="35"/>
      <c r="L46" s="35"/>
      <c r="M46" s="35">
        <f t="shared" ref="M46" si="6">L46+K46+J46+I46</f>
        <v>126.72</v>
      </c>
      <c r="N46" s="217"/>
      <c r="O46" s="218"/>
      <c r="P46" s="212"/>
      <c r="Q46" s="284"/>
    </row>
    <row r="47" spans="1:44" s="2" customFormat="1" ht="88.5" customHeight="1" x14ac:dyDescent="0.25">
      <c r="A47" s="228">
        <v>13</v>
      </c>
      <c r="B47" s="116" t="s">
        <v>60</v>
      </c>
      <c r="C47" s="206" t="s">
        <v>55</v>
      </c>
      <c r="D47" s="117"/>
      <c r="E47" s="118"/>
      <c r="F47" s="118"/>
      <c r="G47" s="118"/>
      <c r="H47" s="118"/>
      <c r="I47" s="36"/>
      <c r="J47" s="119">
        <v>50</v>
      </c>
      <c r="K47" s="118"/>
      <c r="L47" s="118"/>
      <c r="M47" s="35">
        <f>J47</f>
        <v>50</v>
      </c>
      <c r="N47" s="220" t="s">
        <v>61</v>
      </c>
      <c r="O47" s="229">
        <v>2019</v>
      </c>
      <c r="P47" s="212" t="s">
        <v>334</v>
      </c>
      <c r="Q47" s="285" t="s">
        <v>340</v>
      </c>
    </row>
    <row r="48" spans="1:44" s="2" customFormat="1" x14ac:dyDescent="0.25">
      <c r="A48" s="228"/>
      <c r="B48" s="120" t="s">
        <v>62</v>
      </c>
      <c r="C48" s="206"/>
      <c r="D48" s="117"/>
      <c r="E48" s="118"/>
      <c r="F48" s="118"/>
      <c r="G48" s="118"/>
      <c r="H48" s="118"/>
      <c r="I48" s="36"/>
      <c r="J48" s="119"/>
      <c r="K48" s="118"/>
      <c r="L48" s="118"/>
      <c r="M48" s="35"/>
      <c r="N48" s="220"/>
      <c r="O48" s="229"/>
      <c r="P48" s="212"/>
      <c r="Q48" s="285"/>
    </row>
    <row r="49" spans="1:17" s="2" customFormat="1" ht="78.75" customHeight="1" x14ac:dyDescent="0.25">
      <c r="A49" s="228">
        <v>14</v>
      </c>
      <c r="B49" s="31" t="s">
        <v>63</v>
      </c>
      <c r="C49" s="206" t="s">
        <v>55</v>
      </c>
      <c r="D49" s="34"/>
      <c r="E49" s="121"/>
      <c r="F49" s="35"/>
      <c r="G49" s="35"/>
      <c r="H49" s="35"/>
      <c r="I49" s="36"/>
      <c r="J49" s="37">
        <v>42</v>
      </c>
      <c r="K49" s="35"/>
      <c r="L49" s="35"/>
      <c r="M49" s="35">
        <f>J49</f>
        <v>42</v>
      </c>
      <c r="N49" s="217" t="s">
        <v>64</v>
      </c>
      <c r="O49" s="217" t="s">
        <v>37</v>
      </c>
      <c r="P49" s="212" t="s">
        <v>347</v>
      </c>
      <c r="Q49" s="286" t="s">
        <v>340</v>
      </c>
    </row>
    <row r="50" spans="1:17" s="2" customFormat="1" x14ac:dyDescent="0.25">
      <c r="A50" s="228"/>
      <c r="B50" s="98" t="s">
        <v>24</v>
      </c>
      <c r="C50" s="206"/>
      <c r="D50" s="34"/>
      <c r="E50" s="35"/>
      <c r="F50" s="35"/>
      <c r="G50" s="35"/>
      <c r="H50" s="35"/>
      <c r="I50" s="36"/>
      <c r="J50" s="37"/>
      <c r="K50" s="35"/>
      <c r="L50" s="35"/>
      <c r="M50" s="35"/>
      <c r="N50" s="217"/>
      <c r="O50" s="217"/>
      <c r="P50" s="212"/>
      <c r="Q50" s="286"/>
    </row>
    <row r="51" spans="1:17" s="9" customFormat="1" ht="116.25" customHeight="1" x14ac:dyDescent="0.2">
      <c r="A51" s="228">
        <v>15</v>
      </c>
      <c r="B51" s="31" t="s">
        <v>65</v>
      </c>
      <c r="C51" s="206" t="s">
        <v>55</v>
      </c>
      <c r="D51" s="34"/>
      <c r="E51" s="35"/>
      <c r="F51" s="35"/>
      <c r="G51" s="35"/>
      <c r="H51" s="35"/>
      <c r="I51" s="36"/>
      <c r="J51" s="37">
        <v>400</v>
      </c>
      <c r="K51" s="35">
        <v>897.5</v>
      </c>
      <c r="L51" s="35">
        <v>897.5</v>
      </c>
      <c r="M51" s="35">
        <f t="shared" ref="M51" si="7">L51+K51+J51+I51</f>
        <v>2195</v>
      </c>
      <c r="N51" s="217" t="s">
        <v>302</v>
      </c>
      <c r="O51" s="218" t="s">
        <v>66</v>
      </c>
      <c r="P51" s="212" t="s">
        <v>345</v>
      </c>
      <c r="Q51" s="286" t="s">
        <v>339</v>
      </c>
    </row>
    <row r="52" spans="1:17" s="9" customFormat="1" x14ac:dyDescent="0.2">
      <c r="A52" s="228"/>
      <c r="B52" s="98" t="s">
        <v>24</v>
      </c>
      <c r="C52" s="206"/>
      <c r="D52" s="34"/>
      <c r="E52" s="35"/>
      <c r="F52" s="35"/>
      <c r="G52" s="35"/>
      <c r="H52" s="35"/>
      <c r="I52" s="36"/>
      <c r="J52" s="37">
        <v>50</v>
      </c>
      <c r="K52" s="35"/>
      <c r="L52" s="35"/>
      <c r="M52" s="35">
        <v>50</v>
      </c>
      <c r="N52" s="217"/>
      <c r="O52" s="218"/>
      <c r="P52" s="212"/>
      <c r="Q52" s="286"/>
    </row>
    <row r="53" spans="1:17" s="2" customFormat="1" ht="172.5" customHeight="1" x14ac:dyDescent="0.25">
      <c r="A53" s="228">
        <v>16</v>
      </c>
      <c r="B53" s="122" t="s">
        <v>67</v>
      </c>
      <c r="C53" s="206" t="s">
        <v>55</v>
      </c>
      <c r="D53" s="34">
        <v>64.900000000000006</v>
      </c>
      <c r="E53" s="118">
        <f>ROUND((170203.06/1000),2)</f>
        <v>170.2</v>
      </c>
      <c r="F53" s="118">
        <f>ROUND((715050.42/1000),2)</f>
        <v>715.05</v>
      </c>
      <c r="G53" s="118">
        <f>ROUND((18927.8/1000),2)</f>
        <v>18.93</v>
      </c>
      <c r="H53" s="118"/>
      <c r="I53" s="36">
        <f t="shared" ref="I53:I54" si="8">SUM(D53:H53)</f>
        <v>969.07999999999993</v>
      </c>
      <c r="J53" s="119">
        <f>ROUND((564786.4/1000),2)+ROUND((1220000/1000),2)</f>
        <v>1784.79</v>
      </c>
      <c r="K53" s="118"/>
      <c r="L53" s="118"/>
      <c r="M53" s="35">
        <f>I53+J53+K53</f>
        <v>2753.87</v>
      </c>
      <c r="N53" s="220" t="s">
        <v>348</v>
      </c>
      <c r="O53" s="244" t="s">
        <v>159</v>
      </c>
      <c r="P53" s="212" t="s">
        <v>345</v>
      </c>
      <c r="Q53" s="284" t="s">
        <v>339</v>
      </c>
    </row>
    <row r="54" spans="1:17" s="2" customFormat="1" ht="15" customHeight="1" x14ac:dyDescent="0.25">
      <c r="A54" s="228"/>
      <c r="B54" s="120" t="s">
        <v>24</v>
      </c>
      <c r="C54" s="206"/>
      <c r="D54" s="34">
        <f>ROUND((64916.5/1000),2)</f>
        <v>64.92</v>
      </c>
      <c r="E54" s="118"/>
      <c r="F54" s="118"/>
      <c r="G54" s="118"/>
      <c r="H54" s="118"/>
      <c r="I54" s="36">
        <f t="shared" si="8"/>
        <v>64.92</v>
      </c>
      <c r="J54" s="119"/>
      <c r="K54" s="118"/>
      <c r="L54" s="118"/>
      <c r="M54" s="35">
        <f t="shared" ref="M54" si="9">L54+K54+J54+I54</f>
        <v>64.92</v>
      </c>
      <c r="N54" s="220"/>
      <c r="O54" s="244"/>
      <c r="P54" s="212"/>
      <c r="Q54" s="284"/>
    </row>
    <row r="55" spans="1:17" s="2" customFormat="1" ht="125.25" customHeight="1" x14ac:dyDescent="0.25">
      <c r="A55" s="228">
        <v>17</v>
      </c>
      <c r="B55" s="122" t="s">
        <v>68</v>
      </c>
      <c r="C55" s="206" t="s">
        <v>55</v>
      </c>
      <c r="D55" s="117">
        <v>375</v>
      </c>
      <c r="E55" s="118">
        <v>1125</v>
      </c>
      <c r="F55" s="118"/>
      <c r="G55" s="118"/>
      <c r="H55" s="118"/>
      <c r="I55" s="36">
        <f t="shared" ref="I55:I82" si="10">SUM(D55:H55)</f>
        <v>1500</v>
      </c>
      <c r="J55" s="119">
        <v>4975</v>
      </c>
      <c r="K55" s="118">
        <v>2087</v>
      </c>
      <c r="L55" s="118">
        <v>2087</v>
      </c>
      <c r="M55" s="35">
        <f>I55+J55+K55+L55</f>
        <v>10649</v>
      </c>
      <c r="N55" s="220" t="s">
        <v>69</v>
      </c>
      <c r="O55" s="244" t="s">
        <v>41</v>
      </c>
      <c r="P55" s="212" t="s">
        <v>334</v>
      </c>
      <c r="Q55" s="285" t="s">
        <v>341</v>
      </c>
    </row>
    <row r="56" spans="1:17" s="2" customFormat="1" ht="15" customHeight="1" x14ac:dyDescent="0.25">
      <c r="A56" s="228"/>
      <c r="B56" s="120" t="s">
        <v>24</v>
      </c>
      <c r="C56" s="206"/>
      <c r="D56" s="117"/>
      <c r="E56" s="118"/>
      <c r="F56" s="118"/>
      <c r="G56" s="118"/>
      <c r="H56" s="118"/>
      <c r="I56" s="36"/>
      <c r="J56" s="119"/>
      <c r="K56" s="118"/>
      <c r="L56" s="118"/>
      <c r="M56" s="35"/>
      <c r="N56" s="220"/>
      <c r="O56" s="244"/>
      <c r="P56" s="212"/>
      <c r="Q56" s="285"/>
    </row>
    <row r="57" spans="1:17" s="2" customFormat="1" ht="345.75" customHeight="1" x14ac:dyDescent="0.25">
      <c r="A57" s="228">
        <v>18</v>
      </c>
      <c r="B57" s="123" t="s">
        <v>70</v>
      </c>
      <c r="C57" s="206" t="s">
        <v>55</v>
      </c>
      <c r="D57" s="117">
        <f>ROUND((27975.4/1000),2)</f>
        <v>27.98</v>
      </c>
      <c r="E57" s="118">
        <f>ROUND((25085.02/1000),2)</f>
        <v>25.09</v>
      </c>
      <c r="F57" s="118">
        <f>ROUND((167233.47/1000),2)</f>
        <v>167.23</v>
      </c>
      <c r="G57" s="118">
        <f>ROUND((4426.77/1000),2)</f>
        <v>4.43</v>
      </c>
      <c r="H57" s="118"/>
      <c r="I57" s="36">
        <f>SUM(D57:H57)</f>
        <v>224.73</v>
      </c>
      <c r="J57" s="119">
        <f>ROUND((102175.61/1000),2)+280.6</f>
        <v>382.78000000000003</v>
      </c>
      <c r="K57" s="118"/>
      <c r="L57" s="118"/>
      <c r="M57" s="35">
        <f>I57+J57+K57</f>
        <v>607.51</v>
      </c>
      <c r="N57" s="220" t="s">
        <v>349</v>
      </c>
      <c r="O57" s="244" t="s">
        <v>159</v>
      </c>
      <c r="P57" s="212" t="s">
        <v>345</v>
      </c>
      <c r="Q57" s="285" t="s">
        <v>341</v>
      </c>
    </row>
    <row r="58" spans="1:17" s="2" customFormat="1" ht="15" customHeight="1" x14ac:dyDescent="0.25">
      <c r="A58" s="228"/>
      <c r="B58" s="120" t="s">
        <v>24</v>
      </c>
      <c r="C58" s="206"/>
      <c r="D58" s="117">
        <f>ROUND((15875.2/1000),2)</f>
        <v>15.88</v>
      </c>
      <c r="E58" s="118"/>
      <c r="F58" s="118"/>
      <c r="G58" s="118"/>
      <c r="H58" s="118"/>
      <c r="I58" s="36">
        <f>SUM(D58:H58)</f>
        <v>15.88</v>
      </c>
      <c r="J58" s="119"/>
      <c r="K58" s="118"/>
      <c r="L58" s="118"/>
      <c r="M58" s="35">
        <f>I58+J58+K58+L58</f>
        <v>15.88</v>
      </c>
      <c r="N58" s="220"/>
      <c r="O58" s="244"/>
      <c r="P58" s="212"/>
      <c r="Q58" s="285"/>
    </row>
    <row r="59" spans="1:17" s="2" customFormat="1" ht="222.75" customHeight="1" x14ac:dyDescent="0.25">
      <c r="A59" s="228">
        <v>19</v>
      </c>
      <c r="B59" s="122" t="s">
        <v>71</v>
      </c>
      <c r="C59" s="206" t="s">
        <v>55</v>
      </c>
      <c r="D59" s="117">
        <v>175</v>
      </c>
      <c r="E59" s="118">
        <v>525</v>
      </c>
      <c r="F59" s="118"/>
      <c r="G59" s="118"/>
      <c r="H59" s="118"/>
      <c r="I59" s="36">
        <f t="shared" si="10"/>
        <v>700</v>
      </c>
      <c r="J59" s="119">
        <v>1002</v>
      </c>
      <c r="K59" s="118">
        <v>822</v>
      </c>
      <c r="L59" s="118">
        <v>822</v>
      </c>
      <c r="M59" s="35">
        <f>L59+K59+J59+I59</f>
        <v>3346</v>
      </c>
      <c r="N59" s="220" t="s">
        <v>72</v>
      </c>
      <c r="O59" s="220" t="s">
        <v>41</v>
      </c>
      <c r="P59" s="212" t="s">
        <v>334</v>
      </c>
      <c r="Q59" s="285" t="s">
        <v>341</v>
      </c>
    </row>
    <row r="60" spans="1:17" s="9" customFormat="1" ht="15.75" customHeight="1" x14ac:dyDescent="0.2">
      <c r="A60" s="228"/>
      <c r="B60" s="120" t="s">
        <v>24</v>
      </c>
      <c r="C60" s="206"/>
      <c r="D60" s="117"/>
      <c r="E60" s="118"/>
      <c r="F60" s="118"/>
      <c r="G60" s="118"/>
      <c r="H60" s="118"/>
      <c r="I60" s="36"/>
      <c r="J60" s="119"/>
      <c r="K60" s="118"/>
      <c r="L60" s="118"/>
      <c r="M60" s="35"/>
      <c r="N60" s="220"/>
      <c r="O60" s="220"/>
      <c r="P60" s="212"/>
      <c r="Q60" s="285"/>
    </row>
    <row r="61" spans="1:17" s="2" customFormat="1" ht="84" customHeight="1" x14ac:dyDescent="0.25">
      <c r="A61" s="228">
        <v>20</v>
      </c>
      <c r="B61" s="31" t="s">
        <v>73</v>
      </c>
      <c r="C61" s="206" t="s">
        <v>55</v>
      </c>
      <c r="D61" s="34">
        <v>17.899999999999999</v>
      </c>
      <c r="E61" s="35"/>
      <c r="F61" s="35"/>
      <c r="G61" s="35"/>
      <c r="H61" s="35"/>
      <c r="I61" s="36">
        <f t="shared" si="10"/>
        <v>17.899999999999999</v>
      </c>
      <c r="J61" s="37"/>
      <c r="K61" s="35"/>
      <c r="L61" s="35"/>
      <c r="M61" s="35">
        <f>I61</f>
        <v>17.899999999999999</v>
      </c>
      <c r="N61" s="217" t="s">
        <v>74</v>
      </c>
      <c r="O61" s="223" t="s">
        <v>159</v>
      </c>
      <c r="P61" s="212" t="s">
        <v>350</v>
      </c>
      <c r="Q61" s="284" t="s">
        <v>339</v>
      </c>
    </row>
    <row r="62" spans="1:17" s="2" customFormat="1" ht="15" customHeight="1" x14ac:dyDescent="0.25">
      <c r="A62" s="228"/>
      <c r="B62" s="98" t="s">
        <v>24</v>
      </c>
      <c r="C62" s="206"/>
      <c r="D62" s="34">
        <v>10</v>
      </c>
      <c r="E62" s="35"/>
      <c r="F62" s="35"/>
      <c r="G62" s="35"/>
      <c r="H62" s="35"/>
      <c r="I62" s="36">
        <f t="shared" si="10"/>
        <v>10</v>
      </c>
      <c r="J62" s="37"/>
      <c r="K62" s="35"/>
      <c r="L62" s="35"/>
      <c r="M62" s="35">
        <f>I62</f>
        <v>10</v>
      </c>
      <c r="N62" s="217"/>
      <c r="O62" s="223"/>
      <c r="P62" s="212"/>
      <c r="Q62" s="284"/>
    </row>
    <row r="63" spans="1:17" s="9" customFormat="1" ht="106.5" customHeight="1" x14ac:dyDescent="0.2">
      <c r="A63" s="228">
        <v>21</v>
      </c>
      <c r="B63" s="122" t="s">
        <v>76</v>
      </c>
      <c r="C63" s="206" t="s">
        <v>55</v>
      </c>
      <c r="D63" s="34"/>
      <c r="E63" s="118"/>
      <c r="F63" s="118"/>
      <c r="G63" s="118"/>
      <c r="H63" s="118"/>
      <c r="I63" s="36"/>
      <c r="J63" s="119">
        <f>J64</f>
        <v>34</v>
      </c>
      <c r="K63" s="118">
        <f>ROUND((609975.38/1000),2)-L63-J63</f>
        <v>296.87</v>
      </c>
      <c r="L63" s="118">
        <f>ROUND((279110.31/1000),2)</f>
        <v>279.11</v>
      </c>
      <c r="M63" s="35">
        <f>SUM(J63:L63)</f>
        <v>609.98</v>
      </c>
      <c r="N63" s="220" t="s">
        <v>303</v>
      </c>
      <c r="O63" s="244" t="s">
        <v>66</v>
      </c>
      <c r="P63" s="212" t="s">
        <v>345</v>
      </c>
      <c r="Q63" s="284" t="s">
        <v>339</v>
      </c>
    </row>
    <row r="64" spans="1:17" s="9" customFormat="1" x14ac:dyDescent="0.2">
      <c r="A64" s="228"/>
      <c r="B64" s="120" t="s">
        <v>24</v>
      </c>
      <c r="C64" s="206"/>
      <c r="D64" s="34"/>
      <c r="E64" s="118"/>
      <c r="F64" s="118"/>
      <c r="G64" s="118"/>
      <c r="H64" s="118"/>
      <c r="I64" s="36"/>
      <c r="J64" s="119">
        <v>34</v>
      </c>
      <c r="K64" s="118"/>
      <c r="L64" s="118"/>
      <c r="M64" s="35">
        <f>34</f>
        <v>34</v>
      </c>
      <c r="N64" s="220"/>
      <c r="O64" s="244"/>
      <c r="P64" s="212"/>
      <c r="Q64" s="284"/>
    </row>
    <row r="65" spans="1:17" s="9" customFormat="1" ht="336" customHeight="1" x14ac:dyDescent="0.2">
      <c r="A65" s="228">
        <v>22</v>
      </c>
      <c r="B65" s="116" t="s">
        <v>77</v>
      </c>
      <c r="C65" s="206" t="s">
        <v>55</v>
      </c>
      <c r="D65" s="117">
        <v>150</v>
      </c>
      <c r="E65" s="118">
        <v>450</v>
      </c>
      <c r="F65" s="118"/>
      <c r="G65" s="118"/>
      <c r="H65" s="118"/>
      <c r="I65" s="36">
        <f t="shared" si="10"/>
        <v>600</v>
      </c>
      <c r="J65" s="119">
        <v>743</v>
      </c>
      <c r="K65" s="118">
        <v>658</v>
      </c>
      <c r="L65" s="118">
        <v>658</v>
      </c>
      <c r="M65" s="35">
        <f>I65+L65+K65+J65</f>
        <v>2659</v>
      </c>
      <c r="N65" s="220" t="s">
        <v>78</v>
      </c>
      <c r="O65" s="244" t="s">
        <v>79</v>
      </c>
      <c r="P65" s="212" t="s">
        <v>334</v>
      </c>
      <c r="Q65" s="284" t="s">
        <v>339</v>
      </c>
    </row>
    <row r="66" spans="1:17" s="9" customFormat="1" x14ac:dyDescent="0.2">
      <c r="A66" s="228"/>
      <c r="B66" s="120" t="s">
        <v>24</v>
      </c>
      <c r="C66" s="206"/>
      <c r="D66" s="117">
        <v>10</v>
      </c>
      <c r="E66" s="118"/>
      <c r="F66" s="118"/>
      <c r="G66" s="118"/>
      <c r="H66" s="118"/>
      <c r="I66" s="36">
        <f t="shared" si="10"/>
        <v>10</v>
      </c>
      <c r="J66" s="119"/>
      <c r="K66" s="118"/>
      <c r="L66" s="118"/>
      <c r="M66" s="35">
        <f>I66</f>
        <v>10</v>
      </c>
      <c r="N66" s="220"/>
      <c r="O66" s="244"/>
      <c r="P66" s="212"/>
      <c r="Q66" s="284"/>
    </row>
    <row r="67" spans="1:17" s="2" customFormat="1" ht="110.25" customHeight="1" x14ac:dyDescent="0.25">
      <c r="A67" s="228">
        <v>23</v>
      </c>
      <c r="B67" s="116" t="s">
        <v>80</v>
      </c>
      <c r="C67" s="206" t="s">
        <v>55</v>
      </c>
      <c r="D67" s="117">
        <v>15</v>
      </c>
      <c r="E67" s="118"/>
      <c r="F67" s="118"/>
      <c r="G67" s="118"/>
      <c r="H67" s="118"/>
      <c r="I67" s="36">
        <f t="shared" si="10"/>
        <v>15</v>
      </c>
      <c r="J67" s="119">
        <v>200</v>
      </c>
      <c r="K67" s="118">
        <v>85</v>
      </c>
      <c r="L67" s="118">
        <v>85</v>
      </c>
      <c r="M67" s="35">
        <f>D67+L67+K67+J67</f>
        <v>385</v>
      </c>
      <c r="N67" s="220" t="s">
        <v>81</v>
      </c>
      <c r="O67" s="244" t="s">
        <v>41</v>
      </c>
      <c r="P67" s="212" t="s">
        <v>334</v>
      </c>
      <c r="Q67" s="284" t="s">
        <v>339</v>
      </c>
    </row>
    <row r="68" spans="1:17" s="2" customFormat="1" x14ac:dyDescent="0.25">
      <c r="A68" s="228"/>
      <c r="B68" s="120" t="s">
        <v>24</v>
      </c>
      <c r="C68" s="206"/>
      <c r="D68" s="117"/>
      <c r="E68" s="118"/>
      <c r="F68" s="118"/>
      <c r="G68" s="118"/>
      <c r="H68" s="118"/>
      <c r="I68" s="36"/>
      <c r="J68" s="119"/>
      <c r="K68" s="118"/>
      <c r="L68" s="118"/>
      <c r="M68" s="35"/>
      <c r="N68" s="220"/>
      <c r="O68" s="244"/>
      <c r="P68" s="212"/>
      <c r="Q68" s="284"/>
    </row>
    <row r="69" spans="1:17" s="2" customFormat="1" ht="108" customHeight="1" x14ac:dyDescent="0.25">
      <c r="A69" s="228">
        <v>24</v>
      </c>
      <c r="B69" s="116" t="s">
        <v>82</v>
      </c>
      <c r="C69" s="206" t="s">
        <v>55</v>
      </c>
      <c r="D69" s="117">
        <v>168</v>
      </c>
      <c r="E69" s="118"/>
      <c r="F69" s="118"/>
      <c r="G69" s="118"/>
      <c r="H69" s="118"/>
      <c r="I69" s="36">
        <f t="shared" si="10"/>
        <v>168</v>
      </c>
      <c r="J69" s="119"/>
      <c r="K69" s="118"/>
      <c r="L69" s="118"/>
      <c r="M69" s="35">
        <f>D69</f>
        <v>168</v>
      </c>
      <c r="N69" s="220" t="s">
        <v>83</v>
      </c>
      <c r="O69" s="229">
        <v>2018</v>
      </c>
      <c r="P69" s="212" t="s">
        <v>334</v>
      </c>
      <c r="Q69" s="284" t="s">
        <v>339</v>
      </c>
    </row>
    <row r="70" spans="1:17" s="2" customFormat="1" x14ac:dyDescent="0.25">
      <c r="A70" s="228"/>
      <c r="B70" s="120" t="s">
        <v>24</v>
      </c>
      <c r="C70" s="206"/>
      <c r="D70" s="117"/>
      <c r="E70" s="118"/>
      <c r="F70" s="118"/>
      <c r="G70" s="118"/>
      <c r="H70" s="118"/>
      <c r="I70" s="36"/>
      <c r="J70" s="119"/>
      <c r="K70" s="118"/>
      <c r="L70" s="118"/>
      <c r="M70" s="35"/>
      <c r="N70" s="220"/>
      <c r="O70" s="229"/>
      <c r="P70" s="212"/>
      <c r="Q70" s="284"/>
    </row>
    <row r="71" spans="1:17" s="2" customFormat="1" ht="338.25" customHeight="1" x14ac:dyDescent="0.25">
      <c r="A71" s="228">
        <v>25</v>
      </c>
      <c r="B71" s="124" t="s">
        <v>380</v>
      </c>
      <c r="C71" s="206" t="s">
        <v>55</v>
      </c>
      <c r="D71" s="117">
        <f>210+15</f>
        <v>225</v>
      </c>
      <c r="E71" s="118"/>
      <c r="F71" s="118">
        <v>0</v>
      </c>
      <c r="G71" s="118"/>
      <c r="H71" s="118"/>
      <c r="I71" s="36">
        <f>D71</f>
        <v>225</v>
      </c>
      <c r="J71" s="119">
        <f>67+60.2</f>
        <v>127.2</v>
      </c>
      <c r="K71" s="118">
        <f>500+6.8</f>
        <v>506.8</v>
      </c>
      <c r="L71" s="118">
        <v>500</v>
      </c>
      <c r="M71" s="35">
        <f>L71+K71+J71+I71</f>
        <v>1359</v>
      </c>
      <c r="N71" s="220" t="s">
        <v>351</v>
      </c>
      <c r="O71" s="244" t="s">
        <v>84</v>
      </c>
      <c r="P71" s="212" t="s">
        <v>352</v>
      </c>
      <c r="Q71" s="285" t="s">
        <v>339</v>
      </c>
    </row>
    <row r="72" spans="1:17" s="2" customFormat="1" ht="30.75" customHeight="1" x14ac:dyDescent="0.25">
      <c r="A72" s="228"/>
      <c r="B72" s="120" t="s">
        <v>62</v>
      </c>
      <c r="C72" s="206"/>
      <c r="D72" s="117">
        <v>15</v>
      </c>
      <c r="E72" s="118"/>
      <c r="F72" s="118"/>
      <c r="G72" s="118"/>
      <c r="H72" s="118"/>
      <c r="I72" s="36">
        <v>15</v>
      </c>
      <c r="J72" s="119">
        <f>32+6.5</f>
        <v>38.5</v>
      </c>
      <c r="K72" s="118">
        <v>10</v>
      </c>
      <c r="L72" s="118">
        <v>10</v>
      </c>
      <c r="M72" s="35">
        <f>L72+K72+J72+I72</f>
        <v>73.5</v>
      </c>
      <c r="N72" s="220"/>
      <c r="O72" s="244"/>
      <c r="P72" s="212"/>
      <c r="Q72" s="285"/>
    </row>
    <row r="73" spans="1:17" s="2" customFormat="1" ht="305.25" customHeight="1" x14ac:dyDescent="0.25">
      <c r="A73" s="245">
        <v>26</v>
      </c>
      <c r="B73" s="115" t="s">
        <v>85</v>
      </c>
      <c r="C73" s="206" t="s">
        <v>55</v>
      </c>
      <c r="D73" s="34">
        <v>122.5</v>
      </c>
      <c r="E73" s="35"/>
      <c r="F73" s="35"/>
      <c r="G73" s="35"/>
      <c r="H73" s="35"/>
      <c r="I73" s="36">
        <f t="shared" ref="I73:I74" si="11">SUM(D73:H73)</f>
        <v>122.5</v>
      </c>
      <c r="J73" s="119">
        <f>67+60.2+6.5</f>
        <v>133.69999999999999</v>
      </c>
      <c r="K73" s="118">
        <f>500+6.8</f>
        <v>506.8</v>
      </c>
      <c r="L73" s="118">
        <v>500</v>
      </c>
      <c r="M73" s="35">
        <f>L73+K73+J73+I73</f>
        <v>1263</v>
      </c>
      <c r="N73" s="217" t="s">
        <v>86</v>
      </c>
      <c r="O73" s="218" t="s">
        <v>84</v>
      </c>
      <c r="P73" s="212" t="s">
        <v>353</v>
      </c>
      <c r="Q73" s="286" t="s">
        <v>340</v>
      </c>
    </row>
    <row r="74" spans="1:17" s="2" customFormat="1" ht="15" customHeight="1" x14ac:dyDescent="0.25">
      <c r="A74" s="246"/>
      <c r="B74" s="98" t="s">
        <v>24</v>
      </c>
      <c r="C74" s="206"/>
      <c r="D74" s="34">
        <f>6+3+5+3</f>
        <v>17</v>
      </c>
      <c r="E74" s="35"/>
      <c r="F74" s="35"/>
      <c r="G74" s="35"/>
      <c r="H74" s="35"/>
      <c r="I74" s="36">
        <f t="shared" si="11"/>
        <v>17</v>
      </c>
      <c r="J74" s="119">
        <f>32+6.5</f>
        <v>38.5</v>
      </c>
      <c r="K74" s="118">
        <v>10</v>
      </c>
      <c r="L74" s="118">
        <v>10</v>
      </c>
      <c r="M74" s="35">
        <f>L74+K74+J74+I74</f>
        <v>75.5</v>
      </c>
      <c r="N74" s="217"/>
      <c r="O74" s="218"/>
      <c r="P74" s="212"/>
      <c r="Q74" s="286"/>
    </row>
    <row r="75" spans="1:17" s="2" customFormat="1" ht="225" customHeight="1" x14ac:dyDescent="0.25">
      <c r="A75" s="228">
        <v>27</v>
      </c>
      <c r="B75" s="116" t="s">
        <v>87</v>
      </c>
      <c r="C75" s="206" t="s">
        <v>55</v>
      </c>
      <c r="D75" s="117">
        <v>40</v>
      </c>
      <c r="E75" s="118"/>
      <c r="F75" s="118"/>
      <c r="G75" s="118"/>
      <c r="H75" s="118"/>
      <c r="I75" s="36">
        <f t="shared" ref="I75" si="12">SUM(D75:H75)</f>
        <v>40</v>
      </c>
      <c r="J75" s="119">
        <f>281+72</f>
        <v>353</v>
      </c>
      <c r="K75" s="118">
        <v>2506</v>
      </c>
      <c r="L75" s="35">
        <f t="shared" ref="L75:L76" si="13">H75+I75+J75+K75</f>
        <v>2899</v>
      </c>
      <c r="M75" s="35">
        <f>I75+J75+K75+L75</f>
        <v>5798</v>
      </c>
      <c r="N75" s="220" t="s">
        <v>88</v>
      </c>
      <c r="O75" s="244" t="s">
        <v>84</v>
      </c>
      <c r="P75" s="212" t="s">
        <v>334</v>
      </c>
      <c r="Q75" s="285" t="s">
        <v>339</v>
      </c>
    </row>
    <row r="76" spans="1:17" s="2" customFormat="1" x14ac:dyDescent="0.25">
      <c r="A76" s="228"/>
      <c r="B76" s="120" t="s">
        <v>62</v>
      </c>
      <c r="C76" s="206"/>
      <c r="D76" s="117">
        <v>40</v>
      </c>
      <c r="E76" s="118"/>
      <c r="F76" s="118"/>
      <c r="G76" s="118"/>
      <c r="H76" s="118"/>
      <c r="I76" s="36">
        <f>D76</f>
        <v>40</v>
      </c>
      <c r="J76" s="119">
        <f>150+60</f>
        <v>210</v>
      </c>
      <c r="K76" s="118">
        <v>6</v>
      </c>
      <c r="L76" s="35">
        <f t="shared" si="13"/>
        <v>256</v>
      </c>
      <c r="M76" s="35">
        <f>I76+J76+K76+L76</f>
        <v>512</v>
      </c>
      <c r="N76" s="220"/>
      <c r="O76" s="244"/>
      <c r="P76" s="212"/>
      <c r="Q76" s="285"/>
    </row>
    <row r="77" spans="1:17" s="2" customFormat="1" ht="90" customHeight="1" x14ac:dyDescent="0.25">
      <c r="A77" s="228">
        <v>28</v>
      </c>
      <c r="B77" s="31" t="s">
        <v>89</v>
      </c>
      <c r="C77" s="206" t="s">
        <v>55</v>
      </c>
      <c r="D77" s="34">
        <f>161.8+D78+0.2-0.3</f>
        <v>169.6</v>
      </c>
      <c r="E77" s="121"/>
      <c r="F77" s="35"/>
      <c r="G77" s="35"/>
      <c r="H77" s="35"/>
      <c r="I77" s="36">
        <f t="shared" si="10"/>
        <v>169.6</v>
      </c>
      <c r="J77" s="37">
        <v>158.4</v>
      </c>
      <c r="K77" s="35">
        <v>174.3</v>
      </c>
      <c r="L77" s="35">
        <v>729.3</v>
      </c>
      <c r="M77" s="35">
        <f t="shared" ref="M77:M78" si="14">I77+J77+K77+L77</f>
        <v>1231.5999999999999</v>
      </c>
      <c r="N77" s="217" t="s">
        <v>90</v>
      </c>
      <c r="O77" s="217" t="s">
        <v>41</v>
      </c>
      <c r="P77" s="212" t="s">
        <v>91</v>
      </c>
      <c r="Q77" s="286" t="s">
        <v>339</v>
      </c>
    </row>
    <row r="78" spans="1:17" s="2" customFormat="1" x14ac:dyDescent="0.25">
      <c r="A78" s="228"/>
      <c r="B78" s="98" t="s">
        <v>24</v>
      </c>
      <c r="C78" s="206"/>
      <c r="D78" s="34">
        <v>7.9</v>
      </c>
      <c r="E78" s="35"/>
      <c r="F78" s="35"/>
      <c r="G78" s="35"/>
      <c r="H78" s="35"/>
      <c r="I78" s="36">
        <f t="shared" si="10"/>
        <v>7.9</v>
      </c>
      <c r="J78" s="37">
        <v>7.3</v>
      </c>
      <c r="K78" s="35">
        <v>33.799999999999997</v>
      </c>
      <c r="L78" s="35">
        <v>3.7</v>
      </c>
      <c r="M78" s="35">
        <f t="shared" si="14"/>
        <v>52.7</v>
      </c>
      <c r="N78" s="217"/>
      <c r="O78" s="217"/>
      <c r="P78" s="212"/>
      <c r="Q78" s="286"/>
    </row>
    <row r="79" spans="1:17" s="2" customFormat="1" ht="54.75" customHeight="1" x14ac:dyDescent="0.25">
      <c r="A79" s="228">
        <v>29</v>
      </c>
      <c r="B79" s="31" t="s">
        <v>92</v>
      </c>
      <c r="C79" s="206" t="s">
        <v>55</v>
      </c>
      <c r="D79" s="34">
        <f>6.5+15.6+D80-13.1-2.5</f>
        <v>14.399999999999999</v>
      </c>
      <c r="E79" s="35"/>
      <c r="F79" s="35"/>
      <c r="G79" s="35"/>
      <c r="H79" s="35"/>
      <c r="I79" s="36">
        <f t="shared" si="10"/>
        <v>14.399999999999999</v>
      </c>
      <c r="J79" s="37">
        <v>66.900000000000006</v>
      </c>
      <c r="K79" s="35">
        <v>88.4</v>
      </c>
      <c r="L79" s="35">
        <v>868</v>
      </c>
      <c r="M79" s="35">
        <f>I79+J79+K79+L79</f>
        <v>1037.7</v>
      </c>
      <c r="N79" s="217" t="s">
        <v>93</v>
      </c>
      <c r="O79" s="218" t="s">
        <v>41</v>
      </c>
      <c r="P79" s="212" t="s">
        <v>91</v>
      </c>
      <c r="Q79" s="286" t="s">
        <v>339</v>
      </c>
    </row>
    <row r="80" spans="1:17" s="2" customFormat="1" x14ac:dyDescent="0.25">
      <c r="A80" s="228"/>
      <c r="B80" s="98" t="s">
        <v>24</v>
      </c>
      <c r="C80" s="206"/>
      <c r="D80" s="34">
        <f>2.9+2.9+1.6+3.4-2.9</f>
        <v>7.9</v>
      </c>
      <c r="E80" s="35"/>
      <c r="F80" s="35"/>
      <c r="G80" s="35"/>
      <c r="H80" s="35"/>
      <c r="I80" s="36">
        <f t="shared" si="10"/>
        <v>7.9</v>
      </c>
      <c r="J80" s="37"/>
      <c r="K80" s="35"/>
      <c r="L80" s="35">
        <v>74.2</v>
      </c>
      <c r="M80" s="35">
        <f>I80+L80</f>
        <v>82.100000000000009</v>
      </c>
      <c r="N80" s="217"/>
      <c r="O80" s="218"/>
      <c r="P80" s="212"/>
      <c r="Q80" s="286"/>
    </row>
    <row r="81" spans="1:44" s="2" customFormat="1" ht="70.5" customHeight="1" x14ac:dyDescent="0.25">
      <c r="A81" s="228">
        <v>30</v>
      </c>
      <c r="B81" s="31" t="s">
        <v>94</v>
      </c>
      <c r="C81" s="206" t="s">
        <v>55</v>
      </c>
      <c r="D81" s="34">
        <f>40+15+32+28+D82+15.8-5.702</f>
        <v>139.56800000000001</v>
      </c>
      <c r="E81" s="35"/>
      <c r="F81" s="35"/>
      <c r="G81" s="35"/>
      <c r="H81" s="35"/>
      <c r="I81" s="36">
        <f t="shared" si="10"/>
        <v>139.56800000000001</v>
      </c>
      <c r="J81" s="37">
        <v>132.9</v>
      </c>
      <c r="K81" s="35">
        <v>588.79999999999995</v>
      </c>
      <c r="L81" s="35">
        <v>1177.3</v>
      </c>
      <c r="M81" s="35">
        <f>I81+J81+K81+L81</f>
        <v>2038.568</v>
      </c>
      <c r="N81" s="217" t="s">
        <v>354</v>
      </c>
      <c r="O81" s="217" t="s">
        <v>41</v>
      </c>
      <c r="P81" s="212" t="s">
        <v>91</v>
      </c>
      <c r="Q81" s="286" t="s">
        <v>339</v>
      </c>
    </row>
    <row r="82" spans="1:44" s="2" customFormat="1" x14ac:dyDescent="0.25">
      <c r="A82" s="228"/>
      <c r="B82" s="98" t="s">
        <v>24</v>
      </c>
      <c r="C82" s="206"/>
      <c r="D82" s="34">
        <f>1.97+2+1+2+1.5+1.5+1+1.5+2</f>
        <v>14.469999999999999</v>
      </c>
      <c r="E82" s="35"/>
      <c r="F82" s="35"/>
      <c r="G82" s="35"/>
      <c r="H82" s="35"/>
      <c r="I82" s="36">
        <f t="shared" si="10"/>
        <v>14.469999999999999</v>
      </c>
      <c r="J82" s="37">
        <v>29.4</v>
      </c>
      <c r="K82" s="35">
        <v>19.5</v>
      </c>
      <c r="L82" s="35">
        <v>36.799999999999997</v>
      </c>
      <c r="M82" s="35">
        <f>I82+J82+K82+L82</f>
        <v>100.16999999999999</v>
      </c>
      <c r="N82" s="217"/>
      <c r="O82" s="217"/>
      <c r="P82" s="212"/>
      <c r="Q82" s="286"/>
    </row>
    <row r="83" spans="1:44" ht="29.25" customHeight="1" x14ac:dyDescent="0.25">
      <c r="A83" s="77"/>
      <c r="B83" s="78" t="s">
        <v>95</v>
      </c>
      <c r="C83" s="79" t="s">
        <v>96</v>
      </c>
      <c r="D83" s="80"/>
      <c r="E83" s="81"/>
      <c r="F83" s="81"/>
      <c r="G83" s="81"/>
      <c r="H83" s="81"/>
      <c r="I83" s="99"/>
      <c r="J83" s="83"/>
      <c r="K83" s="81"/>
      <c r="L83" s="81"/>
      <c r="M83" s="100"/>
      <c r="N83" s="84"/>
      <c r="O83" s="85"/>
      <c r="P83" s="86"/>
      <c r="Q83" s="87"/>
    </row>
    <row r="84" spans="1:44" s="7" customFormat="1" ht="264" customHeight="1" x14ac:dyDescent="0.2">
      <c r="A84" s="205">
        <v>31</v>
      </c>
      <c r="B84" s="115" t="s">
        <v>304</v>
      </c>
      <c r="C84" s="206" t="s">
        <v>97</v>
      </c>
      <c r="D84" s="34">
        <f>21.6</f>
        <v>21.6</v>
      </c>
      <c r="E84" s="35"/>
      <c r="F84" s="35">
        <v>204.8</v>
      </c>
      <c r="G84" s="35">
        <v>12</v>
      </c>
      <c r="H84" s="35">
        <v>2.5</v>
      </c>
      <c r="I84" s="36">
        <f>SUM(D84:H84)</f>
        <v>240.9</v>
      </c>
      <c r="J84" s="37">
        <v>169.7</v>
      </c>
      <c r="K84" s="35"/>
      <c r="L84" s="35"/>
      <c r="M84" s="35">
        <f>K84+J84+I84</f>
        <v>410.6</v>
      </c>
      <c r="N84" s="217" t="s">
        <v>305</v>
      </c>
      <c r="O84" s="218" t="s">
        <v>258</v>
      </c>
      <c r="P84" s="212" t="s">
        <v>98</v>
      </c>
      <c r="Q84" s="284" t="s">
        <v>339</v>
      </c>
    </row>
    <row r="85" spans="1:44" s="7" customFormat="1" x14ac:dyDescent="0.2">
      <c r="A85" s="205"/>
      <c r="B85" s="98" t="s">
        <v>24</v>
      </c>
      <c r="C85" s="206"/>
      <c r="D85" s="34"/>
      <c r="E85" s="35"/>
      <c r="F85" s="35"/>
      <c r="G85" s="35"/>
      <c r="H85" s="35"/>
      <c r="I85" s="36"/>
      <c r="J85" s="37"/>
      <c r="K85" s="35"/>
      <c r="L85" s="35"/>
      <c r="M85" s="35"/>
      <c r="N85" s="217"/>
      <c r="O85" s="218"/>
      <c r="P85" s="212"/>
      <c r="Q85" s="284"/>
    </row>
    <row r="86" spans="1:44" s="2" customFormat="1" ht="150.75" customHeight="1" x14ac:dyDescent="0.25">
      <c r="A86" s="205">
        <v>32</v>
      </c>
      <c r="B86" s="115" t="s">
        <v>99</v>
      </c>
      <c r="C86" s="206" t="s">
        <v>97</v>
      </c>
      <c r="D86" s="34">
        <v>15.1</v>
      </c>
      <c r="E86" s="35"/>
      <c r="F86" s="35"/>
      <c r="G86" s="35"/>
      <c r="H86" s="35"/>
      <c r="I86" s="36">
        <f>D86+E86+F86+G86</f>
        <v>15.1</v>
      </c>
      <c r="J86" s="37">
        <f>795.1</f>
        <v>795.1</v>
      </c>
      <c r="K86" s="35">
        <f>2519.819-I86-21.134-22.56-J86</f>
        <v>1665.9250000000002</v>
      </c>
      <c r="L86" s="35"/>
      <c r="M86" s="35">
        <f>I86+J86+K86</f>
        <v>2476.125</v>
      </c>
      <c r="N86" s="217" t="s">
        <v>381</v>
      </c>
      <c r="O86" s="218" t="s">
        <v>377</v>
      </c>
      <c r="P86" s="212" t="s">
        <v>355</v>
      </c>
      <c r="Q86" s="284" t="s">
        <v>339</v>
      </c>
    </row>
    <row r="87" spans="1:44" s="2" customFormat="1" x14ac:dyDescent="0.25">
      <c r="A87" s="205"/>
      <c r="B87" s="98" t="s">
        <v>24</v>
      </c>
      <c r="C87" s="206"/>
      <c r="D87" s="34">
        <f>ROUND((5035.97/1000),2)</f>
        <v>5.04</v>
      </c>
      <c r="E87" s="35"/>
      <c r="F87" s="35"/>
      <c r="G87" s="35"/>
      <c r="H87" s="35"/>
      <c r="I87" s="36">
        <f>SUM(D87:H87)</f>
        <v>5.04</v>
      </c>
      <c r="J87" s="37"/>
      <c r="K87" s="35"/>
      <c r="L87" s="35"/>
      <c r="M87" s="35">
        <f>I87</f>
        <v>5.04</v>
      </c>
      <c r="N87" s="217"/>
      <c r="O87" s="218"/>
      <c r="P87" s="212"/>
      <c r="Q87" s="284"/>
    </row>
    <row r="88" spans="1:44" s="2" customFormat="1" ht="197.25" customHeight="1" x14ac:dyDescent="0.25">
      <c r="A88" s="205">
        <v>33</v>
      </c>
      <c r="B88" s="115" t="s">
        <v>100</v>
      </c>
      <c r="C88" s="206" t="s">
        <v>97</v>
      </c>
      <c r="D88" s="34"/>
      <c r="E88" s="35"/>
      <c r="F88" s="35"/>
      <c r="G88" s="35"/>
      <c r="H88" s="35"/>
      <c r="I88" s="36"/>
      <c r="J88" s="37">
        <f>ROUND(((35000+12098.79)/1000),2)</f>
        <v>47.1</v>
      </c>
      <c r="K88" s="35">
        <f>ROUND((((97182.59-35000-12098.79)*0.6)/1000),2)</f>
        <v>30.05</v>
      </c>
      <c r="L88" s="35">
        <f>ROUND((((97182.59-35000-12098.79)*0.4+82605.2)/1000),2)</f>
        <v>102.64</v>
      </c>
      <c r="M88" s="35">
        <f>I88+J88+K88+L88</f>
        <v>179.79000000000002</v>
      </c>
      <c r="N88" s="217" t="s">
        <v>306</v>
      </c>
      <c r="O88" s="217" t="s">
        <v>66</v>
      </c>
      <c r="P88" s="212" t="s">
        <v>356</v>
      </c>
      <c r="Q88" s="284" t="s">
        <v>339</v>
      </c>
    </row>
    <row r="89" spans="1:44" s="2" customFormat="1" x14ac:dyDescent="0.25">
      <c r="A89" s="205"/>
      <c r="B89" s="98" t="s">
        <v>24</v>
      </c>
      <c r="C89" s="206"/>
      <c r="D89" s="34"/>
      <c r="E89" s="35"/>
      <c r="F89" s="35"/>
      <c r="G89" s="35"/>
      <c r="H89" s="35"/>
      <c r="I89" s="36"/>
      <c r="J89" s="37">
        <f>ROUND((35000/1000),2)</f>
        <v>35</v>
      </c>
      <c r="K89" s="35"/>
      <c r="L89" s="35"/>
      <c r="M89" s="35">
        <f>J89</f>
        <v>35</v>
      </c>
      <c r="N89" s="217"/>
      <c r="O89" s="217"/>
      <c r="P89" s="212"/>
      <c r="Q89" s="284"/>
    </row>
    <row r="90" spans="1:44" s="2" customFormat="1" ht="57" customHeight="1" x14ac:dyDescent="0.25">
      <c r="A90" s="205">
        <v>34</v>
      </c>
      <c r="B90" s="125" t="s">
        <v>101</v>
      </c>
      <c r="C90" s="206" t="s">
        <v>97</v>
      </c>
      <c r="D90" s="34"/>
      <c r="E90" s="35"/>
      <c r="F90" s="35"/>
      <c r="G90" s="35"/>
      <c r="H90" s="35">
        <v>10</v>
      </c>
      <c r="I90" s="36">
        <f t="shared" ref="I90" si="15">SUM(D90:H90)</f>
        <v>10</v>
      </c>
      <c r="J90" s="37"/>
      <c r="K90" s="35"/>
      <c r="L90" s="35"/>
      <c r="M90" s="35">
        <f>I90</f>
        <v>10</v>
      </c>
      <c r="N90" s="217" t="s">
        <v>102</v>
      </c>
      <c r="O90" s="217" t="s">
        <v>103</v>
      </c>
      <c r="P90" s="212" t="s">
        <v>98</v>
      </c>
      <c r="Q90" s="284" t="s">
        <v>339</v>
      </c>
    </row>
    <row r="91" spans="1:44" s="2" customFormat="1" x14ac:dyDescent="0.25">
      <c r="A91" s="205"/>
      <c r="B91" s="126" t="s">
        <v>24</v>
      </c>
      <c r="C91" s="206"/>
      <c r="D91" s="34"/>
      <c r="E91" s="35"/>
      <c r="F91" s="35"/>
      <c r="G91" s="35"/>
      <c r="H91" s="35"/>
      <c r="I91" s="36"/>
      <c r="J91" s="37"/>
      <c r="K91" s="35"/>
      <c r="L91" s="35"/>
      <c r="M91" s="35"/>
      <c r="N91" s="217"/>
      <c r="O91" s="217"/>
      <c r="P91" s="212"/>
      <c r="Q91" s="284"/>
    </row>
    <row r="92" spans="1:44" ht="30" customHeight="1" x14ac:dyDescent="0.25">
      <c r="A92" s="77"/>
      <c r="B92" s="78" t="s">
        <v>104</v>
      </c>
      <c r="C92" s="79" t="s">
        <v>105</v>
      </c>
      <c r="D92" s="80"/>
      <c r="E92" s="81"/>
      <c r="F92" s="81"/>
      <c r="G92" s="81"/>
      <c r="H92" s="81"/>
      <c r="I92" s="99"/>
      <c r="J92" s="83"/>
      <c r="K92" s="81"/>
      <c r="L92" s="81"/>
      <c r="M92" s="100"/>
      <c r="N92" s="84"/>
      <c r="O92" s="85"/>
      <c r="P92" s="86"/>
      <c r="Q92" s="87"/>
    </row>
    <row r="93" spans="1:44" s="2" customFormat="1" ht="225.75" customHeight="1" x14ac:dyDescent="0.25">
      <c r="A93" s="204">
        <v>35</v>
      </c>
      <c r="B93" s="31" t="s">
        <v>106</v>
      </c>
      <c r="C93" s="199" t="s">
        <v>107</v>
      </c>
      <c r="D93" s="117"/>
      <c r="E93" s="118"/>
      <c r="F93" s="118">
        <v>6479</v>
      </c>
      <c r="G93" s="35"/>
      <c r="H93" s="35">
        <v>6573.5</v>
      </c>
      <c r="I93" s="36">
        <f t="shared" ref="I93:I105" si="16">SUM(D93:H93)</f>
        <v>13052.5</v>
      </c>
      <c r="J93" s="37">
        <v>15154</v>
      </c>
      <c r="K93" s="35">
        <v>11861</v>
      </c>
      <c r="L93" s="35">
        <v>4902</v>
      </c>
      <c r="M93" s="35">
        <f>I93+J93+K93+L93</f>
        <v>44969.5</v>
      </c>
      <c r="N93" s="200" t="s">
        <v>108</v>
      </c>
      <c r="O93" s="203" t="s">
        <v>109</v>
      </c>
      <c r="P93" s="201" t="s">
        <v>110</v>
      </c>
      <c r="Q93" s="282" t="s">
        <v>339</v>
      </c>
    </row>
    <row r="94" spans="1:44" s="6" customFormat="1" x14ac:dyDescent="0.25">
      <c r="A94" s="204"/>
      <c r="B94" s="32" t="s">
        <v>24</v>
      </c>
      <c r="C94" s="199"/>
      <c r="D94" s="89"/>
      <c r="E94" s="90"/>
      <c r="F94" s="90"/>
      <c r="G94" s="90"/>
      <c r="H94" s="90">
        <v>468</v>
      </c>
      <c r="I94" s="91">
        <f t="shared" si="16"/>
        <v>468</v>
      </c>
      <c r="J94" s="92"/>
      <c r="K94" s="90"/>
      <c r="L94" s="90"/>
      <c r="M94" s="90">
        <v>1252</v>
      </c>
      <c r="N94" s="200"/>
      <c r="O94" s="203"/>
      <c r="P94" s="201"/>
      <c r="Q94" s="28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s="6" customFormat="1" ht="216" customHeight="1" x14ac:dyDescent="0.25">
      <c r="A95" s="204">
        <v>36</v>
      </c>
      <c r="B95" s="88" t="s">
        <v>111</v>
      </c>
      <c r="C95" s="199" t="s">
        <v>107</v>
      </c>
      <c r="D95" s="89">
        <v>349.1</v>
      </c>
      <c r="E95" s="90"/>
      <c r="F95" s="90"/>
      <c r="G95" s="90"/>
      <c r="H95" s="90"/>
      <c r="I95" s="91">
        <f t="shared" ref="I95" si="17">SUM(D95:H95)</f>
        <v>349.1</v>
      </c>
      <c r="J95" s="92">
        <v>345</v>
      </c>
      <c r="K95" s="90">
        <v>200</v>
      </c>
      <c r="L95" s="90">
        <v>200</v>
      </c>
      <c r="M95" s="90">
        <f>I95+J95+K95+L95</f>
        <v>1094.0999999999999</v>
      </c>
      <c r="N95" s="200" t="s">
        <v>112</v>
      </c>
      <c r="O95" s="200" t="s">
        <v>113</v>
      </c>
      <c r="P95" s="201" t="s">
        <v>110</v>
      </c>
      <c r="Q95" s="282" t="s">
        <v>339</v>
      </c>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s="6" customFormat="1" ht="18" customHeight="1" x14ac:dyDescent="0.25">
      <c r="A96" s="204"/>
      <c r="B96" s="32" t="s">
        <v>24</v>
      </c>
      <c r="C96" s="199"/>
      <c r="D96" s="89"/>
      <c r="E96" s="90"/>
      <c r="F96" s="90"/>
      <c r="G96" s="90"/>
      <c r="H96" s="90"/>
      <c r="I96" s="91"/>
      <c r="J96" s="92"/>
      <c r="K96" s="90"/>
      <c r="L96" s="90"/>
      <c r="M96" s="90"/>
      <c r="N96" s="200"/>
      <c r="O96" s="200"/>
      <c r="P96" s="201"/>
      <c r="Q96" s="28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s="6" customFormat="1" ht="97.5" customHeight="1" x14ac:dyDescent="0.25">
      <c r="A97" s="205">
        <v>37</v>
      </c>
      <c r="B97" s="31" t="s">
        <v>114</v>
      </c>
      <c r="C97" s="206" t="s">
        <v>107</v>
      </c>
      <c r="D97" s="34"/>
      <c r="E97" s="35"/>
      <c r="F97" s="35"/>
      <c r="G97" s="35"/>
      <c r="H97" s="35">
        <v>60.5</v>
      </c>
      <c r="I97" s="36">
        <f t="shared" ref="I97" si="18">SUM(D97:H97)</f>
        <v>60.5</v>
      </c>
      <c r="J97" s="37"/>
      <c r="K97" s="35"/>
      <c r="L97" s="35"/>
      <c r="M97" s="35">
        <f>I97</f>
        <v>60.5</v>
      </c>
      <c r="N97" s="217" t="s">
        <v>115</v>
      </c>
      <c r="O97" s="217" t="s">
        <v>75</v>
      </c>
      <c r="P97" s="212" t="s">
        <v>110</v>
      </c>
      <c r="Q97" s="282" t="s">
        <v>339</v>
      </c>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1:44" s="6" customFormat="1" ht="15" customHeight="1" x14ac:dyDescent="0.25">
      <c r="A98" s="205"/>
      <c r="B98" s="98" t="s">
        <v>24</v>
      </c>
      <c r="C98" s="206"/>
      <c r="D98" s="34"/>
      <c r="E98" s="35"/>
      <c r="F98" s="35"/>
      <c r="G98" s="35"/>
      <c r="H98" s="35"/>
      <c r="I98" s="36"/>
      <c r="J98" s="37"/>
      <c r="K98" s="35"/>
      <c r="L98" s="35"/>
      <c r="M98" s="35"/>
      <c r="N98" s="217"/>
      <c r="O98" s="217"/>
      <c r="P98" s="212"/>
      <c r="Q98" s="28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s="6" customFormat="1" ht="81.75" customHeight="1" x14ac:dyDescent="0.25">
      <c r="A99" s="205">
        <v>38</v>
      </c>
      <c r="B99" s="31" t="s">
        <v>337</v>
      </c>
      <c r="C99" s="199" t="s">
        <v>107</v>
      </c>
      <c r="D99" s="89"/>
      <c r="E99" s="90"/>
      <c r="F99" s="90"/>
      <c r="G99" s="90"/>
      <c r="H99" s="90">
        <v>206</v>
      </c>
      <c r="I99" s="91">
        <f t="shared" ref="I99" si="19">SUM(D99:H99)</f>
        <v>206</v>
      </c>
      <c r="J99" s="92">
        <v>100</v>
      </c>
      <c r="K99" s="90">
        <v>100</v>
      </c>
      <c r="L99" s="90">
        <v>100</v>
      </c>
      <c r="M99" s="90">
        <f>I99+J99+K99+L99</f>
        <v>506</v>
      </c>
      <c r="N99" s="200" t="s">
        <v>116</v>
      </c>
      <c r="O99" s="200" t="s">
        <v>41</v>
      </c>
      <c r="P99" s="201" t="s">
        <v>110</v>
      </c>
      <c r="Q99" s="282" t="s">
        <v>339</v>
      </c>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4" s="6" customFormat="1" ht="15" customHeight="1" x14ac:dyDescent="0.25">
      <c r="A100" s="205"/>
      <c r="B100" s="98" t="s">
        <v>24</v>
      </c>
      <c r="C100" s="199"/>
      <c r="D100" s="89"/>
      <c r="E100" s="90"/>
      <c r="F100" s="90"/>
      <c r="G100" s="90"/>
      <c r="H100" s="90"/>
      <c r="I100" s="91"/>
      <c r="J100" s="92"/>
      <c r="K100" s="90"/>
      <c r="L100" s="90"/>
      <c r="M100" s="90"/>
      <c r="N100" s="200"/>
      <c r="O100" s="200"/>
      <c r="P100" s="201"/>
      <c r="Q100" s="28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1:44" s="2" customFormat="1" ht="165" customHeight="1" x14ac:dyDescent="0.25">
      <c r="A101" s="205">
        <v>39</v>
      </c>
      <c r="B101" s="31" t="s">
        <v>117</v>
      </c>
      <c r="C101" s="206" t="s">
        <v>107</v>
      </c>
      <c r="D101" s="34"/>
      <c r="E101" s="35"/>
      <c r="F101" s="35"/>
      <c r="G101" s="35"/>
      <c r="H101" s="35">
        <v>0</v>
      </c>
      <c r="I101" s="36">
        <f t="shared" ref="I101" si="20">SUM(D101:H101)</f>
        <v>0</v>
      </c>
      <c r="J101" s="37">
        <v>100</v>
      </c>
      <c r="K101" s="35">
        <v>95</v>
      </c>
      <c r="L101" s="35"/>
      <c r="M101" s="35">
        <f>I101+J101+K101</f>
        <v>195</v>
      </c>
      <c r="N101" s="217" t="s">
        <v>118</v>
      </c>
      <c r="O101" s="217" t="s">
        <v>119</v>
      </c>
      <c r="P101" s="212" t="s">
        <v>110</v>
      </c>
      <c r="Q101" s="286" t="s">
        <v>340</v>
      </c>
    </row>
    <row r="102" spans="1:44" s="2" customFormat="1" ht="165" customHeight="1" x14ac:dyDescent="0.25">
      <c r="A102" s="205"/>
      <c r="B102" s="98" t="s">
        <v>24</v>
      </c>
      <c r="C102" s="206"/>
      <c r="D102" s="34"/>
      <c r="E102" s="35"/>
      <c r="F102" s="35"/>
      <c r="G102" s="35"/>
      <c r="H102" s="35"/>
      <c r="I102" s="36"/>
      <c r="J102" s="37"/>
      <c r="K102" s="35"/>
      <c r="L102" s="35"/>
      <c r="M102" s="35"/>
      <c r="N102" s="217"/>
      <c r="O102" s="217"/>
      <c r="P102" s="212"/>
      <c r="Q102" s="286"/>
    </row>
    <row r="103" spans="1:44" s="2" customFormat="1" ht="165" customHeight="1" x14ac:dyDescent="0.25">
      <c r="A103" s="205">
        <v>40</v>
      </c>
      <c r="B103" s="127" t="s">
        <v>382</v>
      </c>
      <c r="C103" s="206" t="s">
        <v>107</v>
      </c>
      <c r="D103" s="34">
        <f>ROUND((62811/1000),2)+12.1</f>
        <v>74.91</v>
      </c>
      <c r="E103" s="35">
        <f>ROUND((126090.17/1000),2)</f>
        <v>126.09</v>
      </c>
      <c r="F103" s="35">
        <f>ROUND((646000/1000),2)</f>
        <v>646</v>
      </c>
      <c r="G103" s="35">
        <f>ROUND((17100/1000),2)</f>
        <v>17.100000000000001</v>
      </c>
      <c r="H103" s="35"/>
      <c r="I103" s="36">
        <f>D103+E103+F103+G103</f>
        <v>864.1</v>
      </c>
      <c r="J103" s="37">
        <f>ROUND((1547103.62/1000),2)</f>
        <v>1547.1</v>
      </c>
      <c r="K103" s="35">
        <f>ROUND((1755049.52/1000),2)</f>
        <v>1755.05</v>
      </c>
      <c r="L103" s="35"/>
      <c r="M103" s="35">
        <f>L103+K103+J103+I103</f>
        <v>4166.25</v>
      </c>
      <c r="N103" s="217" t="s">
        <v>357</v>
      </c>
      <c r="O103" s="217" t="s">
        <v>27</v>
      </c>
      <c r="P103" s="212" t="s">
        <v>358</v>
      </c>
      <c r="Q103" s="286" t="s">
        <v>339</v>
      </c>
    </row>
    <row r="104" spans="1:44" s="2" customFormat="1" ht="165" customHeight="1" x14ac:dyDescent="0.25">
      <c r="A104" s="205"/>
      <c r="B104" s="37" t="s">
        <v>24</v>
      </c>
      <c r="C104" s="206"/>
      <c r="D104" s="34">
        <v>50.2</v>
      </c>
      <c r="E104" s="35"/>
      <c r="F104" s="35"/>
      <c r="G104" s="35"/>
      <c r="H104" s="35"/>
      <c r="I104" s="36">
        <f>SUM(D104:H104)</f>
        <v>50.2</v>
      </c>
      <c r="J104" s="37"/>
      <c r="K104" s="35"/>
      <c r="L104" s="35"/>
      <c r="M104" s="35">
        <f>L104+K104+J104+I104</f>
        <v>50.2</v>
      </c>
      <c r="N104" s="217"/>
      <c r="O104" s="217"/>
      <c r="P104" s="212"/>
      <c r="Q104" s="286"/>
    </row>
    <row r="105" spans="1:44" s="2" customFormat="1" ht="165" customHeight="1" x14ac:dyDescent="0.25">
      <c r="A105" s="205">
        <v>41</v>
      </c>
      <c r="B105" s="31" t="s">
        <v>120</v>
      </c>
      <c r="C105" s="206" t="s">
        <v>107</v>
      </c>
      <c r="D105" s="34">
        <f>218.1+83.5</f>
        <v>301.60000000000002</v>
      </c>
      <c r="E105" s="35"/>
      <c r="F105" s="35"/>
      <c r="G105" s="35"/>
      <c r="H105" s="35"/>
      <c r="I105" s="36">
        <f t="shared" si="16"/>
        <v>301.60000000000002</v>
      </c>
      <c r="J105" s="37"/>
      <c r="K105" s="35"/>
      <c r="L105" s="35"/>
      <c r="M105" s="35">
        <f>I105+J105+K105+L105</f>
        <v>301.60000000000002</v>
      </c>
      <c r="N105" s="217" t="s">
        <v>121</v>
      </c>
      <c r="O105" s="217" t="s">
        <v>103</v>
      </c>
      <c r="P105" s="212" t="s">
        <v>110</v>
      </c>
      <c r="Q105" s="286" t="s">
        <v>340</v>
      </c>
    </row>
    <row r="106" spans="1:44" s="2" customFormat="1" x14ac:dyDescent="0.25">
      <c r="A106" s="205"/>
      <c r="B106" s="98" t="s">
        <v>24</v>
      </c>
      <c r="C106" s="206"/>
      <c r="D106" s="34">
        <v>19.600000000000001</v>
      </c>
      <c r="E106" s="35"/>
      <c r="F106" s="35"/>
      <c r="G106" s="35"/>
      <c r="H106" s="35"/>
      <c r="I106" s="36">
        <f>D106</f>
        <v>19.600000000000001</v>
      </c>
      <c r="J106" s="37"/>
      <c r="K106" s="35"/>
      <c r="L106" s="35"/>
      <c r="M106" s="35">
        <f>I106</f>
        <v>19.600000000000001</v>
      </c>
      <c r="N106" s="217"/>
      <c r="O106" s="217"/>
      <c r="P106" s="212"/>
      <c r="Q106" s="286"/>
    </row>
    <row r="107" spans="1:44" s="2" customFormat="1" ht="153" customHeight="1" x14ac:dyDescent="0.25">
      <c r="A107" s="193">
        <v>42</v>
      </c>
      <c r="B107" s="115" t="s">
        <v>122</v>
      </c>
      <c r="C107" s="206" t="s">
        <v>107</v>
      </c>
      <c r="D107" s="34"/>
      <c r="E107" s="35"/>
      <c r="F107" s="35"/>
      <c r="G107" s="35"/>
      <c r="H107" s="35">
        <v>580</v>
      </c>
      <c r="I107" s="36">
        <f>H107</f>
        <v>580</v>
      </c>
      <c r="J107" s="37">
        <v>600</v>
      </c>
      <c r="K107" s="35">
        <v>630</v>
      </c>
      <c r="L107" s="35">
        <v>650</v>
      </c>
      <c r="M107" s="35">
        <f>I107+J107+K107+L107</f>
        <v>2460</v>
      </c>
      <c r="N107" s="242" t="s">
        <v>123</v>
      </c>
      <c r="O107" s="242" t="s">
        <v>84</v>
      </c>
      <c r="P107" s="222" t="s">
        <v>110</v>
      </c>
      <c r="Q107" s="287" t="s">
        <v>340</v>
      </c>
    </row>
    <row r="108" spans="1:44" s="2" customFormat="1" ht="15" customHeight="1" x14ac:dyDescent="0.25">
      <c r="A108" s="194"/>
      <c r="B108" s="98" t="s">
        <v>24</v>
      </c>
      <c r="C108" s="206"/>
      <c r="D108" s="34"/>
      <c r="E108" s="35"/>
      <c r="F108" s="35"/>
      <c r="G108" s="35"/>
      <c r="H108" s="35"/>
      <c r="I108" s="36"/>
      <c r="J108" s="37"/>
      <c r="K108" s="35"/>
      <c r="L108" s="35"/>
      <c r="M108" s="35"/>
      <c r="N108" s="243"/>
      <c r="O108" s="243"/>
      <c r="P108" s="211"/>
      <c r="Q108" s="288"/>
    </row>
    <row r="109" spans="1:44" s="2" customFormat="1" ht="125.25" customHeight="1" x14ac:dyDescent="0.25">
      <c r="A109" s="128">
        <v>43</v>
      </c>
      <c r="B109" s="115" t="s">
        <v>124</v>
      </c>
      <c r="C109" s="129" t="s">
        <v>107</v>
      </c>
      <c r="D109" s="34"/>
      <c r="E109" s="35"/>
      <c r="F109" s="35">
        <v>122.1</v>
      </c>
      <c r="G109" s="35"/>
      <c r="H109" s="35">
        <v>21.5</v>
      </c>
      <c r="I109" s="36">
        <f>F109+H109</f>
        <v>143.6</v>
      </c>
      <c r="J109" s="37">
        <v>86.6</v>
      </c>
      <c r="K109" s="35"/>
      <c r="L109" s="35"/>
      <c r="M109" s="35">
        <f>I109+J109</f>
        <v>230.2</v>
      </c>
      <c r="N109" s="130" t="s">
        <v>125</v>
      </c>
      <c r="O109" s="131" t="s">
        <v>22</v>
      </c>
      <c r="P109" s="132" t="s">
        <v>110</v>
      </c>
      <c r="Q109" s="131" t="s">
        <v>340</v>
      </c>
    </row>
    <row r="110" spans="1:44" s="6" customFormat="1" ht="30" customHeight="1" x14ac:dyDescent="0.25">
      <c r="A110" s="77"/>
      <c r="B110" s="78" t="s">
        <v>126</v>
      </c>
      <c r="C110" s="79" t="s">
        <v>127</v>
      </c>
      <c r="D110" s="80"/>
      <c r="E110" s="81"/>
      <c r="F110" s="81"/>
      <c r="G110" s="81"/>
      <c r="H110" s="81"/>
      <c r="I110" s="99"/>
      <c r="J110" s="83"/>
      <c r="K110" s="81"/>
      <c r="L110" s="81"/>
      <c r="M110" s="100"/>
      <c r="N110" s="84"/>
      <c r="O110" s="85"/>
      <c r="P110" s="86"/>
      <c r="Q110" s="87"/>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s="6" customFormat="1" ht="58.5" customHeight="1" x14ac:dyDescent="0.25">
      <c r="A111" s="198">
        <v>44</v>
      </c>
      <c r="B111" s="88" t="s">
        <v>128</v>
      </c>
      <c r="C111" s="202" t="s">
        <v>127</v>
      </c>
      <c r="D111" s="89">
        <v>17</v>
      </c>
      <c r="E111" s="90"/>
      <c r="F111" s="90"/>
      <c r="G111" s="90"/>
      <c r="H111" s="90"/>
      <c r="I111" s="91">
        <f t="shared" ref="I111" si="21">SUM(D111:H111)</f>
        <v>17</v>
      </c>
      <c r="J111" s="92">
        <v>10</v>
      </c>
      <c r="K111" s="90">
        <v>10</v>
      </c>
      <c r="L111" s="90">
        <v>20</v>
      </c>
      <c r="M111" s="90">
        <f>I111+J111+K111+L111</f>
        <v>57</v>
      </c>
      <c r="N111" s="200" t="s">
        <v>129</v>
      </c>
      <c r="O111" s="203" t="s">
        <v>79</v>
      </c>
      <c r="P111" s="201" t="s">
        <v>130</v>
      </c>
      <c r="Q111" s="281" t="s">
        <v>339</v>
      </c>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s="6" customFormat="1" x14ac:dyDescent="0.25">
      <c r="A112" s="198"/>
      <c r="B112" s="32" t="s">
        <v>24</v>
      </c>
      <c r="C112" s="202"/>
      <c r="D112" s="89"/>
      <c r="E112" s="90"/>
      <c r="F112" s="90"/>
      <c r="G112" s="90"/>
      <c r="H112" s="90"/>
      <c r="I112" s="91"/>
      <c r="J112" s="92"/>
      <c r="K112" s="90"/>
      <c r="L112" s="90"/>
      <c r="M112" s="90"/>
      <c r="N112" s="200"/>
      <c r="O112" s="203"/>
      <c r="P112" s="201"/>
      <c r="Q112" s="281"/>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s="6" customFormat="1" ht="78" customHeight="1" x14ac:dyDescent="0.25">
      <c r="A113" s="198">
        <v>45</v>
      </c>
      <c r="B113" s="88" t="s">
        <v>131</v>
      </c>
      <c r="C113" s="202" t="s">
        <v>127</v>
      </c>
      <c r="D113" s="89">
        <v>20</v>
      </c>
      <c r="E113" s="90"/>
      <c r="F113" s="90"/>
      <c r="G113" s="90"/>
      <c r="H113" s="90"/>
      <c r="I113" s="91">
        <f t="shared" ref="I113" si="22">SUM(D113:H113)</f>
        <v>20</v>
      </c>
      <c r="J113" s="92">
        <v>10</v>
      </c>
      <c r="K113" s="90">
        <v>10</v>
      </c>
      <c r="L113" s="90">
        <v>10</v>
      </c>
      <c r="M113" s="90">
        <f>L113+J113+I113+K113</f>
        <v>50</v>
      </c>
      <c r="N113" s="200" t="s">
        <v>132</v>
      </c>
      <c r="O113" s="203" t="s">
        <v>79</v>
      </c>
      <c r="P113" s="201" t="s">
        <v>130</v>
      </c>
      <c r="Q113" s="281" t="s">
        <v>339</v>
      </c>
    </row>
    <row r="114" spans="1:44" s="6" customFormat="1" x14ac:dyDescent="0.25">
      <c r="A114" s="198"/>
      <c r="B114" s="32" t="s">
        <v>24</v>
      </c>
      <c r="C114" s="202"/>
      <c r="D114" s="89"/>
      <c r="E114" s="90"/>
      <c r="F114" s="90"/>
      <c r="G114" s="90"/>
      <c r="H114" s="90"/>
      <c r="I114" s="91"/>
      <c r="J114" s="92"/>
      <c r="K114" s="90"/>
      <c r="L114" s="90"/>
      <c r="M114" s="90"/>
      <c r="N114" s="200"/>
      <c r="O114" s="203"/>
      <c r="P114" s="201"/>
      <c r="Q114" s="281"/>
    </row>
    <row r="115" spans="1:44" s="6" customFormat="1" ht="65.25" customHeight="1" x14ac:dyDescent="0.25">
      <c r="A115" s="133">
        <v>46</v>
      </c>
      <c r="B115" s="88" t="s">
        <v>133</v>
      </c>
      <c r="C115" s="134" t="s">
        <v>127</v>
      </c>
      <c r="D115" s="89">
        <v>55.6</v>
      </c>
      <c r="E115" s="90"/>
      <c r="F115" s="90"/>
      <c r="G115" s="90"/>
      <c r="H115" s="90"/>
      <c r="I115" s="91">
        <f t="shared" ref="I115" si="23">SUM(D115:H115)</f>
        <v>55.6</v>
      </c>
      <c r="J115" s="92">
        <v>85</v>
      </c>
      <c r="K115" s="90">
        <v>85</v>
      </c>
      <c r="L115" s="90">
        <v>90</v>
      </c>
      <c r="M115" s="90">
        <f>L115+K115+J115+I115</f>
        <v>315.60000000000002</v>
      </c>
      <c r="N115" s="135" t="s">
        <v>134</v>
      </c>
      <c r="O115" s="136" t="s">
        <v>79</v>
      </c>
      <c r="P115" s="137" t="s">
        <v>130</v>
      </c>
      <c r="Q115" s="138" t="s">
        <v>339</v>
      </c>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s="2" customFormat="1" ht="95.25" customHeight="1" x14ac:dyDescent="0.25">
      <c r="A116" s="228">
        <v>47</v>
      </c>
      <c r="B116" s="31" t="s">
        <v>135</v>
      </c>
      <c r="C116" s="241" t="s">
        <v>127</v>
      </c>
      <c r="D116" s="34"/>
      <c r="E116" s="35"/>
      <c r="F116" s="35"/>
      <c r="G116" s="35"/>
      <c r="H116" s="35"/>
      <c r="I116" s="36"/>
      <c r="J116" s="37">
        <f>76.5+17</f>
        <v>93.5</v>
      </c>
      <c r="K116" s="35">
        <v>83</v>
      </c>
      <c r="L116" s="35">
        <f>ROUND((27651.98/1000),2)</f>
        <v>27.65</v>
      </c>
      <c r="M116" s="35">
        <f>I116+J116+K116+L116</f>
        <v>204.15</v>
      </c>
      <c r="N116" s="217" t="s">
        <v>307</v>
      </c>
      <c r="O116" s="223" t="s">
        <v>66</v>
      </c>
      <c r="P116" s="212" t="s">
        <v>334</v>
      </c>
      <c r="Q116" s="284" t="s">
        <v>339</v>
      </c>
    </row>
    <row r="117" spans="1:44" s="2" customFormat="1" x14ac:dyDescent="0.25">
      <c r="A117" s="228"/>
      <c r="B117" s="98" t="s">
        <v>24</v>
      </c>
      <c r="C117" s="241"/>
      <c r="D117" s="34"/>
      <c r="E117" s="35"/>
      <c r="F117" s="35"/>
      <c r="G117" s="35"/>
      <c r="H117" s="35"/>
      <c r="I117" s="36"/>
      <c r="J117" s="37">
        <f>68+17</f>
        <v>85</v>
      </c>
      <c r="K117" s="35"/>
      <c r="L117" s="35"/>
      <c r="M117" s="35">
        <f>I117+J117</f>
        <v>85</v>
      </c>
      <c r="N117" s="217"/>
      <c r="O117" s="223"/>
      <c r="P117" s="212"/>
      <c r="Q117" s="284"/>
    </row>
    <row r="118" spans="1:44" s="2" customFormat="1" ht="255" customHeight="1" x14ac:dyDescent="0.25">
      <c r="A118" s="228">
        <v>48</v>
      </c>
      <c r="B118" s="115" t="s">
        <v>136</v>
      </c>
      <c r="C118" s="241" t="s">
        <v>127</v>
      </c>
      <c r="D118" s="34"/>
      <c r="E118" s="35"/>
      <c r="F118" s="35">
        <v>598.5</v>
      </c>
      <c r="G118" s="35"/>
      <c r="H118" s="35"/>
      <c r="I118" s="36">
        <f>F118</f>
        <v>598.5</v>
      </c>
      <c r="J118" s="139">
        <v>4189.7</v>
      </c>
      <c r="K118" s="140">
        <v>1197.0999999999999</v>
      </c>
      <c r="L118" s="35"/>
      <c r="M118" s="35">
        <f>I118+J118+K118</f>
        <v>5985.2999999999993</v>
      </c>
      <c r="N118" s="242" t="s">
        <v>137</v>
      </c>
      <c r="O118" s="223" t="s">
        <v>138</v>
      </c>
      <c r="P118" s="212" t="s">
        <v>139</v>
      </c>
      <c r="Q118" s="284" t="s">
        <v>340</v>
      </c>
    </row>
    <row r="119" spans="1:44" s="2" customFormat="1" x14ac:dyDescent="0.25">
      <c r="A119" s="228"/>
      <c r="B119" s="98" t="s">
        <v>24</v>
      </c>
      <c r="C119" s="241"/>
      <c r="D119" s="34"/>
      <c r="E119" s="35"/>
      <c r="F119" s="35"/>
      <c r="G119" s="35"/>
      <c r="H119" s="35"/>
      <c r="I119" s="36"/>
      <c r="J119" s="37"/>
      <c r="K119" s="35"/>
      <c r="L119" s="35"/>
      <c r="M119" s="35"/>
      <c r="N119" s="243"/>
      <c r="O119" s="223"/>
      <c r="P119" s="212"/>
      <c r="Q119" s="284"/>
    </row>
    <row r="120" spans="1:44" s="2" customFormat="1" ht="171" customHeight="1" x14ac:dyDescent="0.25">
      <c r="A120" s="228">
        <v>49</v>
      </c>
      <c r="B120" s="115" t="s">
        <v>140</v>
      </c>
      <c r="C120" s="241" t="s">
        <v>127</v>
      </c>
      <c r="D120" s="34"/>
      <c r="E120" s="35"/>
      <c r="F120" s="35">
        <v>167.7</v>
      </c>
      <c r="G120" s="35"/>
      <c r="H120" s="35">
        <v>412.4</v>
      </c>
      <c r="I120" s="36">
        <f>F120+H120</f>
        <v>580.09999999999991</v>
      </c>
      <c r="J120" s="35">
        <v>750</v>
      </c>
      <c r="K120" s="35">
        <v>2250</v>
      </c>
      <c r="L120" s="35">
        <v>0</v>
      </c>
      <c r="M120" s="35">
        <f>I120+J120+K120+L120</f>
        <v>3580.1</v>
      </c>
      <c r="N120" s="217" t="s">
        <v>141</v>
      </c>
      <c r="O120" s="223" t="s">
        <v>84</v>
      </c>
      <c r="P120" s="212" t="s">
        <v>139</v>
      </c>
      <c r="Q120" s="284" t="s">
        <v>340</v>
      </c>
    </row>
    <row r="121" spans="1:44" s="2" customFormat="1" x14ac:dyDescent="0.25">
      <c r="A121" s="228"/>
      <c r="B121" s="98" t="s">
        <v>24</v>
      </c>
      <c r="C121" s="241"/>
      <c r="D121" s="34"/>
      <c r="E121" s="35"/>
      <c r="F121" s="35"/>
      <c r="G121" s="35"/>
      <c r="H121" s="35"/>
      <c r="I121" s="36"/>
      <c r="J121" s="37"/>
      <c r="K121" s="35"/>
      <c r="L121" s="35"/>
      <c r="M121" s="35"/>
      <c r="N121" s="217"/>
      <c r="O121" s="223"/>
      <c r="P121" s="212"/>
      <c r="Q121" s="284"/>
    </row>
    <row r="122" spans="1:44" s="2" customFormat="1" ht="39" customHeight="1" x14ac:dyDescent="0.25">
      <c r="A122" s="228">
        <v>50</v>
      </c>
      <c r="B122" s="115" t="s">
        <v>142</v>
      </c>
      <c r="C122" s="241" t="s">
        <v>127</v>
      </c>
      <c r="D122" s="34"/>
      <c r="E122" s="35"/>
      <c r="F122" s="35"/>
      <c r="G122" s="35"/>
      <c r="H122" s="35">
        <v>407</v>
      </c>
      <c r="I122" s="36">
        <v>407</v>
      </c>
      <c r="J122" s="37">
        <v>1693</v>
      </c>
      <c r="K122" s="35">
        <v>0</v>
      </c>
      <c r="L122" s="35"/>
      <c r="M122" s="35">
        <f>I122+J122+K122</f>
        <v>2100</v>
      </c>
      <c r="N122" s="217" t="s">
        <v>143</v>
      </c>
      <c r="O122" s="223" t="s">
        <v>138</v>
      </c>
      <c r="P122" s="212" t="s">
        <v>139</v>
      </c>
      <c r="Q122" s="284" t="s">
        <v>340</v>
      </c>
    </row>
    <row r="123" spans="1:44" s="2" customFormat="1" x14ac:dyDescent="0.25">
      <c r="A123" s="228"/>
      <c r="B123" s="98" t="s">
        <v>24</v>
      </c>
      <c r="C123" s="241"/>
      <c r="D123" s="34"/>
      <c r="E123" s="35"/>
      <c r="F123" s="35"/>
      <c r="G123" s="35"/>
      <c r="H123" s="35"/>
      <c r="I123" s="36"/>
      <c r="J123" s="37"/>
      <c r="K123" s="35"/>
      <c r="L123" s="35"/>
      <c r="M123" s="35"/>
      <c r="N123" s="217"/>
      <c r="O123" s="223"/>
      <c r="P123" s="212"/>
      <c r="Q123" s="284"/>
    </row>
    <row r="124" spans="1:44" s="2" customFormat="1" ht="42" customHeight="1" x14ac:dyDescent="0.25">
      <c r="A124" s="228">
        <v>51</v>
      </c>
      <c r="B124" s="115" t="s">
        <v>144</v>
      </c>
      <c r="C124" s="241" t="s">
        <v>127</v>
      </c>
      <c r="D124" s="34"/>
      <c r="E124" s="35"/>
      <c r="F124" s="35"/>
      <c r="G124" s="35"/>
      <c r="H124" s="35">
        <v>170</v>
      </c>
      <c r="I124" s="36">
        <v>170</v>
      </c>
      <c r="J124" s="37"/>
      <c r="K124" s="35"/>
      <c r="L124" s="35"/>
      <c r="M124" s="35">
        <f>I124</f>
        <v>170</v>
      </c>
      <c r="N124" s="217" t="s">
        <v>145</v>
      </c>
      <c r="O124" s="223">
        <v>2018</v>
      </c>
      <c r="P124" s="212" t="s">
        <v>139</v>
      </c>
      <c r="Q124" s="284" t="s">
        <v>340</v>
      </c>
    </row>
    <row r="125" spans="1:44" s="2" customFormat="1" x14ac:dyDescent="0.25">
      <c r="A125" s="228"/>
      <c r="B125" s="98" t="s">
        <v>24</v>
      </c>
      <c r="C125" s="241"/>
      <c r="D125" s="34"/>
      <c r="E125" s="35"/>
      <c r="F125" s="35"/>
      <c r="G125" s="35"/>
      <c r="H125" s="35"/>
      <c r="I125" s="36"/>
      <c r="J125" s="37"/>
      <c r="K125" s="35"/>
      <c r="L125" s="35"/>
      <c r="M125" s="35"/>
      <c r="N125" s="217"/>
      <c r="O125" s="223"/>
      <c r="P125" s="212"/>
      <c r="Q125" s="284"/>
    </row>
    <row r="126" spans="1:44" s="2" customFormat="1" ht="43.5" customHeight="1" x14ac:dyDescent="0.25">
      <c r="A126" s="228">
        <v>52</v>
      </c>
      <c r="B126" s="115" t="s">
        <v>146</v>
      </c>
      <c r="C126" s="241" t="s">
        <v>127</v>
      </c>
      <c r="D126" s="34"/>
      <c r="E126" s="35"/>
      <c r="F126" s="35"/>
      <c r="G126" s="35"/>
      <c r="H126" s="35">
        <v>50</v>
      </c>
      <c r="I126" s="36">
        <v>50</v>
      </c>
      <c r="J126" s="37">
        <v>50</v>
      </c>
      <c r="K126" s="35"/>
      <c r="L126" s="35"/>
      <c r="M126" s="35">
        <v>100</v>
      </c>
      <c r="N126" s="217" t="s">
        <v>147</v>
      </c>
      <c r="O126" s="223">
        <v>2018</v>
      </c>
      <c r="P126" s="212" t="s">
        <v>139</v>
      </c>
      <c r="Q126" s="284" t="s">
        <v>340</v>
      </c>
    </row>
    <row r="127" spans="1:44" s="2" customFormat="1" x14ac:dyDescent="0.25">
      <c r="A127" s="228"/>
      <c r="B127" s="98" t="s">
        <v>24</v>
      </c>
      <c r="C127" s="241"/>
      <c r="D127" s="34"/>
      <c r="E127" s="35"/>
      <c r="F127" s="35"/>
      <c r="G127" s="35"/>
      <c r="H127" s="35"/>
      <c r="I127" s="36"/>
      <c r="J127" s="37"/>
      <c r="K127" s="35"/>
      <c r="L127" s="35"/>
      <c r="M127" s="35"/>
      <c r="N127" s="217"/>
      <c r="O127" s="223"/>
      <c r="P127" s="212"/>
      <c r="Q127" s="284"/>
    </row>
    <row r="128" spans="1:44" s="2" customFormat="1" ht="38.25" customHeight="1" x14ac:dyDescent="0.25">
      <c r="A128" s="228">
        <v>53</v>
      </c>
      <c r="B128" s="115" t="s">
        <v>148</v>
      </c>
      <c r="C128" s="241" t="s">
        <v>127</v>
      </c>
      <c r="D128" s="34"/>
      <c r="E128" s="35"/>
      <c r="F128" s="35"/>
      <c r="G128" s="35"/>
      <c r="H128" s="35">
        <v>50</v>
      </c>
      <c r="I128" s="36">
        <v>50</v>
      </c>
      <c r="J128" s="37"/>
      <c r="K128" s="35"/>
      <c r="L128" s="35"/>
      <c r="M128" s="35">
        <f>I128</f>
        <v>50</v>
      </c>
      <c r="N128" s="217" t="s">
        <v>149</v>
      </c>
      <c r="O128" s="223">
        <v>2018</v>
      </c>
      <c r="P128" s="212" t="s">
        <v>139</v>
      </c>
      <c r="Q128" s="284" t="s">
        <v>340</v>
      </c>
    </row>
    <row r="129" spans="1:44" s="2" customFormat="1" x14ac:dyDescent="0.25">
      <c r="A129" s="228"/>
      <c r="B129" s="98" t="s">
        <v>24</v>
      </c>
      <c r="C129" s="241"/>
      <c r="D129" s="34"/>
      <c r="E129" s="35"/>
      <c r="F129" s="35"/>
      <c r="G129" s="35"/>
      <c r="H129" s="35"/>
      <c r="I129" s="36"/>
      <c r="J129" s="37"/>
      <c r="K129" s="35"/>
      <c r="L129" s="35"/>
      <c r="M129" s="35"/>
      <c r="N129" s="217"/>
      <c r="O129" s="223"/>
      <c r="P129" s="212"/>
      <c r="Q129" s="284"/>
    </row>
    <row r="130" spans="1:44" s="2" customFormat="1" ht="55.5" customHeight="1" x14ac:dyDescent="0.25">
      <c r="A130" s="228">
        <v>54</v>
      </c>
      <c r="B130" s="115" t="s">
        <v>150</v>
      </c>
      <c r="C130" s="241" t="s">
        <v>127</v>
      </c>
      <c r="D130" s="34"/>
      <c r="E130" s="35"/>
      <c r="F130" s="35"/>
      <c r="G130" s="35"/>
      <c r="H130" s="35">
        <v>80</v>
      </c>
      <c r="I130" s="36">
        <v>80</v>
      </c>
      <c r="J130" s="37"/>
      <c r="K130" s="35"/>
      <c r="L130" s="35"/>
      <c r="M130" s="35">
        <f>I130</f>
        <v>80</v>
      </c>
      <c r="N130" s="217" t="s">
        <v>151</v>
      </c>
      <c r="O130" s="223">
        <v>2018</v>
      </c>
      <c r="P130" s="212" t="s">
        <v>139</v>
      </c>
      <c r="Q130" s="284" t="s">
        <v>340</v>
      </c>
    </row>
    <row r="131" spans="1:44" s="2" customFormat="1" x14ac:dyDescent="0.25">
      <c r="A131" s="228"/>
      <c r="B131" s="98" t="s">
        <v>24</v>
      </c>
      <c r="C131" s="241"/>
      <c r="D131" s="34"/>
      <c r="E131" s="35"/>
      <c r="F131" s="35"/>
      <c r="G131" s="35"/>
      <c r="H131" s="35"/>
      <c r="I131" s="36"/>
      <c r="J131" s="37"/>
      <c r="K131" s="35"/>
      <c r="L131" s="35"/>
      <c r="M131" s="35"/>
      <c r="N131" s="217"/>
      <c r="O131" s="223"/>
      <c r="P131" s="212"/>
      <c r="Q131" s="284"/>
    </row>
    <row r="132" spans="1:44" s="2" customFormat="1" ht="48.75" customHeight="1" x14ac:dyDescent="0.25">
      <c r="A132" s="228">
        <v>55</v>
      </c>
      <c r="B132" s="31" t="s">
        <v>152</v>
      </c>
      <c r="C132" s="241" t="s">
        <v>127</v>
      </c>
      <c r="D132" s="34"/>
      <c r="E132" s="35"/>
      <c r="F132" s="35"/>
      <c r="G132" s="35"/>
      <c r="H132" s="35">
        <v>35</v>
      </c>
      <c r="I132" s="36">
        <v>35</v>
      </c>
      <c r="J132" s="37">
        <v>30</v>
      </c>
      <c r="K132" s="35">
        <v>15</v>
      </c>
      <c r="L132" s="35"/>
      <c r="M132" s="35">
        <f>I132+J132+K132</f>
        <v>80</v>
      </c>
      <c r="N132" s="217" t="s">
        <v>153</v>
      </c>
      <c r="O132" s="223" t="s">
        <v>52</v>
      </c>
      <c r="P132" s="212" t="s">
        <v>139</v>
      </c>
      <c r="Q132" s="284" t="s">
        <v>340</v>
      </c>
    </row>
    <row r="133" spans="1:44" s="2" customFormat="1" x14ac:dyDescent="0.25">
      <c r="A133" s="228"/>
      <c r="B133" s="98" t="s">
        <v>24</v>
      </c>
      <c r="C133" s="241"/>
      <c r="D133" s="34"/>
      <c r="E133" s="35"/>
      <c r="F133" s="35"/>
      <c r="G133" s="35"/>
      <c r="H133" s="35"/>
      <c r="I133" s="36"/>
      <c r="J133" s="37"/>
      <c r="K133" s="35"/>
      <c r="L133" s="35"/>
      <c r="M133" s="35"/>
      <c r="N133" s="217"/>
      <c r="O133" s="223"/>
      <c r="P133" s="212"/>
      <c r="Q133" s="284"/>
    </row>
    <row r="134" spans="1:44" s="8" customFormat="1" ht="24.75" customHeight="1" x14ac:dyDescent="0.2">
      <c r="A134" s="77"/>
      <c r="B134" s="78" t="s">
        <v>154</v>
      </c>
      <c r="C134" s="79" t="s">
        <v>155</v>
      </c>
      <c r="D134" s="80"/>
      <c r="E134" s="81"/>
      <c r="F134" s="81"/>
      <c r="G134" s="81"/>
      <c r="H134" s="81"/>
      <c r="I134" s="99"/>
      <c r="J134" s="83"/>
      <c r="K134" s="81"/>
      <c r="L134" s="81"/>
      <c r="M134" s="100"/>
      <c r="N134" s="84"/>
      <c r="O134" s="85"/>
      <c r="P134" s="86"/>
      <c r="Q134" s="8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row>
    <row r="135" spans="1:44" s="7" customFormat="1" ht="230.25" customHeight="1" x14ac:dyDescent="0.2">
      <c r="A135" s="228">
        <v>56</v>
      </c>
      <c r="B135" s="31" t="s">
        <v>308</v>
      </c>
      <c r="C135" s="206" t="s">
        <v>156</v>
      </c>
      <c r="D135" s="34">
        <f>283.4-1.1</f>
        <v>282.29999999999995</v>
      </c>
      <c r="E135" s="35"/>
      <c r="F135" s="35"/>
      <c r="G135" s="35"/>
      <c r="H135" s="35"/>
      <c r="I135" s="36">
        <f>SUM(D135:H135)</f>
        <v>282.29999999999995</v>
      </c>
      <c r="J135" s="37">
        <f>ROUND((1834861.96/1000),2)</f>
        <v>1834.86</v>
      </c>
      <c r="K135" s="35">
        <f>ROUND((1666061.8/1000),2)</f>
        <v>1666.06</v>
      </c>
      <c r="L135" s="35">
        <f>ROUND((947608.39/1000),2)+ROUND((956582.13/1000),2)+(133880.98/1000)+1.1</f>
        <v>2039.1709799999999</v>
      </c>
      <c r="M135" s="35">
        <f>I135+J135+K135+L135</f>
        <v>5822.3909800000001</v>
      </c>
      <c r="N135" s="217" t="s">
        <v>383</v>
      </c>
      <c r="O135" s="212" t="s">
        <v>41</v>
      </c>
      <c r="P135" s="212" t="s">
        <v>359</v>
      </c>
      <c r="Q135" s="284" t="s">
        <v>339</v>
      </c>
    </row>
    <row r="136" spans="1:44" s="7" customFormat="1" x14ac:dyDescent="0.2">
      <c r="A136" s="228"/>
      <c r="B136" s="98" t="s">
        <v>24</v>
      </c>
      <c r="C136" s="206"/>
      <c r="D136" s="34">
        <v>265.60000000000002</v>
      </c>
      <c r="E136" s="35"/>
      <c r="F136" s="35"/>
      <c r="G136" s="35"/>
      <c r="H136" s="35"/>
      <c r="I136" s="36">
        <f>SUM(D136:H136)</f>
        <v>265.60000000000002</v>
      </c>
      <c r="J136" s="37"/>
      <c r="K136" s="35"/>
      <c r="L136" s="35"/>
      <c r="M136" s="35">
        <f>I136</f>
        <v>265.60000000000002</v>
      </c>
      <c r="N136" s="217"/>
      <c r="O136" s="212"/>
      <c r="P136" s="212"/>
      <c r="Q136" s="284" t="s">
        <v>339</v>
      </c>
    </row>
    <row r="137" spans="1:44" s="9" customFormat="1" ht="84" customHeight="1" x14ac:dyDescent="0.2">
      <c r="A137" s="228">
        <v>57</v>
      </c>
      <c r="B137" s="31" t="s">
        <v>157</v>
      </c>
      <c r="C137" s="206" t="s">
        <v>156</v>
      </c>
      <c r="D137" s="34">
        <f>49.9-1.1</f>
        <v>48.8</v>
      </c>
      <c r="E137" s="35"/>
      <c r="F137" s="35"/>
      <c r="G137" s="35"/>
      <c r="H137" s="35"/>
      <c r="I137" s="36">
        <f t="shared" ref="I137" si="24">SUM(D137:H137)</f>
        <v>48.8</v>
      </c>
      <c r="J137" s="37">
        <f>50+82.5</f>
        <v>132.5</v>
      </c>
      <c r="K137" s="35"/>
      <c r="L137" s="35"/>
      <c r="M137" s="35">
        <f>L137+K137+J137+I137</f>
        <v>181.3</v>
      </c>
      <c r="N137" s="217" t="s">
        <v>158</v>
      </c>
      <c r="O137" s="217" t="s">
        <v>159</v>
      </c>
      <c r="P137" s="212" t="s">
        <v>335</v>
      </c>
      <c r="Q137" s="284" t="s">
        <v>339</v>
      </c>
    </row>
    <row r="138" spans="1:44" s="9" customFormat="1" x14ac:dyDescent="0.2">
      <c r="A138" s="228"/>
      <c r="B138" s="98" t="s">
        <v>24</v>
      </c>
      <c r="C138" s="206"/>
      <c r="D138" s="34">
        <v>2.5</v>
      </c>
      <c r="E138" s="35"/>
      <c r="F138" s="35"/>
      <c r="G138" s="35"/>
      <c r="H138" s="35"/>
      <c r="I138" s="36">
        <f>D138</f>
        <v>2.5</v>
      </c>
      <c r="J138" s="37">
        <v>5.5</v>
      </c>
      <c r="K138" s="35"/>
      <c r="L138" s="35"/>
      <c r="M138" s="35">
        <f>I138+J138</f>
        <v>8</v>
      </c>
      <c r="N138" s="217"/>
      <c r="O138" s="217"/>
      <c r="P138" s="212"/>
      <c r="Q138" s="284"/>
    </row>
    <row r="139" spans="1:44" s="9" customFormat="1" ht="126" customHeight="1" x14ac:dyDescent="0.2">
      <c r="A139" s="228">
        <v>58</v>
      </c>
      <c r="B139" s="31" t="s">
        <v>160</v>
      </c>
      <c r="C139" s="206" t="s">
        <v>156</v>
      </c>
      <c r="D139" s="34">
        <v>243.4</v>
      </c>
      <c r="E139" s="35"/>
      <c r="F139" s="35"/>
      <c r="G139" s="35"/>
      <c r="H139" s="35"/>
      <c r="I139" s="36">
        <f t="shared" ref="I139:I149" si="25">SUM(D139:H139)</f>
        <v>243.4</v>
      </c>
      <c r="J139" s="37"/>
      <c r="K139" s="35"/>
      <c r="L139" s="35"/>
      <c r="M139" s="35">
        <f>I139</f>
        <v>243.4</v>
      </c>
      <c r="N139" s="217" t="s">
        <v>161</v>
      </c>
      <c r="O139" s="217" t="s">
        <v>103</v>
      </c>
      <c r="P139" s="212" t="s">
        <v>335</v>
      </c>
      <c r="Q139" s="284" t="s">
        <v>339</v>
      </c>
    </row>
    <row r="140" spans="1:44" s="9" customFormat="1" x14ac:dyDescent="0.2">
      <c r="A140" s="228"/>
      <c r="B140" s="98" t="s">
        <v>24</v>
      </c>
      <c r="C140" s="206"/>
      <c r="D140" s="34"/>
      <c r="E140" s="35"/>
      <c r="F140" s="35"/>
      <c r="G140" s="35"/>
      <c r="H140" s="35"/>
      <c r="I140" s="36"/>
      <c r="J140" s="37"/>
      <c r="K140" s="35"/>
      <c r="L140" s="35"/>
      <c r="M140" s="35"/>
      <c r="N140" s="217"/>
      <c r="O140" s="217"/>
      <c r="P140" s="212"/>
      <c r="Q140" s="284"/>
    </row>
    <row r="141" spans="1:44" s="9" customFormat="1" ht="202.5" customHeight="1" x14ac:dyDescent="0.2">
      <c r="A141" s="228">
        <v>59</v>
      </c>
      <c r="B141" s="31" t="s">
        <v>162</v>
      </c>
      <c r="C141" s="206" t="s">
        <v>156</v>
      </c>
      <c r="D141" s="34">
        <v>330</v>
      </c>
      <c r="E141" s="35"/>
      <c r="F141" s="35"/>
      <c r="G141" s="35"/>
      <c r="H141" s="35"/>
      <c r="I141" s="36">
        <f t="shared" si="25"/>
        <v>330</v>
      </c>
      <c r="J141" s="37">
        <v>370</v>
      </c>
      <c r="K141" s="35"/>
      <c r="L141" s="35"/>
      <c r="M141" s="35">
        <f>I141+J141+K141+L141</f>
        <v>700</v>
      </c>
      <c r="N141" s="217" t="s">
        <v>163</v>
      </c>
      <c r="O141" s="217" t="s">
        <v>164</v>
      </c>
      <c r="P141" s="229" t="s">
        <v>31</v>
      </c>
      <c r="Q141" s="284" t="s">
        <v>339</v>
      </c>
    </row>
    <row r="142" spans="1:44" s="9" customFormat="1" x14ac:dyDescent="0.2">
      <c r="A142" s="228"/>
      <c r="B142" s="98" t="s">
        <v>24</v>
      </c>
      <c r="C142" s="206"/>
      <c r="D142" s="34"/>
      <c r="E142" s="35"/>
      <c r="F142" s="35"/>
      <c r="G142" s="35"/>
      <c r="H142" s="35"/>
      <c r="I142" s="36"/>
      <c r="J142" s="37"/>
      <c r="K142" s="35"/>
      <c r="L142" s="35"/>
      <c r="M142" s="35"/>
      <c r="N142" s="217"/>
      <c r="O142" s="217"/>
      <c r="P142" s="229"/>
      <c r="Q142" s="284"/>
    </row>
    <row r="143" spans="1:44" s="9" customFormat="1" ht="116.25" customHeight="1" x14ac:dyDescent="0.2">
      <c r="A143" s="228">
        <v>60</v>
      </c>
      <c r="B143" s="31" t="s">
        <v>165</v>
      </c>
      <c r="C143" s="206" t="s">
        <v>156</v>
      </c>
      <c r="D143" s="33">
        <f>50</f>
        <v>50</v>
      </c>
      <c r="E143" s="35"/>
      <c r="F143" s="35"/>
      <c r="G143" s="35"/>
      <c r="H143" s="35"/>
      <c r="I143" s="36">
        <f t="shared" si="25"/>
        <v>50</v>
      </c>
      <c r="J143" s="37">
        <v>120</v>
      </c>
      <c r="K143" s="35"/>
      <c r="L143" s="35"/>
      <c r="M143" s="35">
        <f>I143+J143</f>
        <v>170</v>
      </c>
      <c r="N143" s="217" t="s">
        <v>378</v>
      </c>
      <c r="O143" s="218" t="s">
        <v>159</v>
      </c>
      <c r="P143" s="212" t="s">
        <v>334</v>
      </c>
      <c r="Q143" s="284" t="s">
        <v>339</v>
      </c>
    </row>
    <row r="144" spans="1:44" s="9" customFormat="1" ht="15.75" customHeight="1" x14ac:dyDescent="0.2">
      <c r="A144" s="228"/>
      <c r="B144" s="98" t="s">
        <v>24</v>
      </c>
      <c r="C144" s="206"/>
      <c r="D144" s="34">
        <v>12.1</v>
      </c>
      <c r="E144" s="35"/>
      <c r="F144" s="35"/>
      <c r="G144" s="35"/>
      <c r="H144" s="35"/>
      <c r="I144" s="36">
        <f t="shared" si="25"/>
        <v>12.1</v>
      </c>
      <c r="J144" s="37"/>
      <c r="K144" s="35"/>
      <c r="L144" s="35"/>
      <c r="M144" s="35">
        <f>I144</f>
        <v>12.1</v>
      </c>
      <c r="N144" s="217"/>
      <c r="O144" s="218"/>
      <c r="P144" s="212"/>
      <c r="Q144" s="284"/>
    </row>
    <row r="145" spans="1:17" s="9" customFormat="1" ht="133.5" customHeight="1" x14ac:dyDescent="0.2">
      <c r="A145" s="228">
        <v>61</v>
      </c>
      <c r="B145" s="31" t="s">
        <v>309</v>
      </c>
      <c r="C145" s="206" t="s">
        <v>156</v>
      </c>
      <c r="D145" s="34"/>
      <c r="E145" s="35"/>
      <c r="F145" s="35"/>
      <c r="G145" s="35"/>
      <c r="H145" s="35"/>
      <c r="I145" s="36"/>
      <c r="J145" s="37">
        <f>79.2+17.3</f>
        <v>96.5</v>
      </c>
      <c r="K145" s="35">
        <f>ROUND((187755.81/1000*0.6),2)-J145</f>
        <v>16.150000000000006</v>
      </c>
      <c r="L145" s="35">
        <f>ROUND((187755.81/1000*0.4),2)</f>
        <v>75.099999999999994</v>
      </c>
      <c r="M145" s="35">
        <f>L145+K145+J145</f>
        <v>187.75</v>
      </c>
      <c r="N145" s="217" t="s">
        <v>310</v>
      </c>
      <c r="O145" s="223" t="s">
        <v>66</v>
      </c>
      <c r="P145" s="212" t="s">
        <v>334</v>
      </c>
      <c r="Q145" s="284" t="s">
        <v>339</v>
      </c>
    </row>
    <row r="146" spans="1:17" s="9" customFormat="1" x14ac:dyDescent="0.2">
      <c r="A146" s="228"/>
      <c r="B146" s="98" t="s">
        <v>24</v>
      </c>
      <c r="C146" s="206"/>
      <c r="D146" s="34"/>
      <c r="E146" s="35"/>
      <c r="F146" s="35"/>
      <c r="G146" s="35"/>
      <c r="H146" s="35"/>
      <c r="I146" s="36"/>
      <c r="J146" s="37">
        <f>69.2+17.3</f>
        <v>86.5</v>
      </c>
      <c r="K146" s="35"/>
      <c r="L146" s="35"/>
      <c r="M146" s="35">
        <f>J146</f>
        <v>86.5</v>
      </c>
      <c r="N146" s="217"/>
      <c r="O146" s="223"/>
      <c r="P146" s="212"/>
      <c r="Q146" s="284"/>
    </row>
    <row r="147" spans="1:17" s="9" customFormat="1" ht="129" customHeight="1" x14ac:dyDescent="0.2">
      <c r="A147" s="228">
        <v>62</v>
      </c>
      <c r="B147" s="31" t="s">
        <v>360</v>
      </c>
      <c r="C147" s="206" t="s">
        <v>156</v>
      </c>
      <c r="D147" s="34">
        <v>15</v>
      </c>
      <c r="E147" s="35"/>
      <c r="F147" s="35"/>
      <c r="G147" s="35"/>
      <c r="H147" s="35"/>
      <c r="I147" s="36">
        <f t="shared" si="25"/>
        <v>15</v>
      </c>
      <c r="J147" s="37">
        <f>22+100</f>
        <v>122</v>
      </c>
      <c r="K147" s="35">
        <v>150</v>
      </c>
      <c r="L147" s="35"/>
      <c r="M147" s="35">
        <f>K147+J147+I147</f>
        <v>287</v>
      </c>
      <c r="N147" s="217" t="s">
        <v>167</v>
      </c>
      <c r="O147" s="223" t="s">
        <v>138</v>
      </c>
      <c r="P147" s="212" t="s">
        <v>334</v>
      </c>
      <c r="Q147" s="284" t="s">
        <v>339</v>
      </c>
    </row>
    <row r="148" spans="1:17" s="9" customFormat="1" x14ac:dyDescent="0.2">
      <c r="A148" s="228"/>
      <c r="B148" s="98" t="s">
        <v>24</v>
      </c>
      <c r="C148" s="206"/>
      <c r="D148" s="34">
        <v>13</v>
      </c>
      <c r="E148" s="35"/>
      <c r="F148" s="35"/>
      <c r="G148" s="35"/>
      <c r="H148" s="35"/>
      <c r="I148" s="36">
        <f t="shared" si="25"/>
        <v>13</v>
      </c>
      <c r="J148" s="37">
        <v>27</v>
      </c>
      <c r="K148" s="35"/>
      <c r="L148" s="35"/>
      <c r="M148" s="35">
        <f>I148+J148</f>
        <v>40</v>
      </c>
      <c r="N148" s="217"/>
      <c r="O148" s="223"/>
      <c r="P148" s="212"/>
      <c r="Q148" s="284"/>
    </row>
    <row r="149" spans="1:17" s="9" customFormat="1" ht="173.25" customHeight="1" x14ac:dyDescent="0.2">
      <c r="A149" s="228">
        <v>63</v>
      </c>
      <c r="B149" s="31" t="s">
        <v>168</v>
      </c>
      <c r="C149" s="206" t="s">
        <v>156</v>
      </c>
      <c r="D149" s="34">
        <v>27</v>
      </c>
      <c r="E149" s="35"/>
      <c r="F149" s="35"/>
      <c r="G149" s="35"/>
      <c r="H149" s="35"/>
      <c r="I149" s="36">
        <f t="shared" si="25"/>
        <v>27</v>
      </c>
      <c r="J149" s="37">
        <v>27</v>
      </c>
      <c r="K149" s="35">
        <v>4379</v>
      </c>
      <c r="L149" s="35">
        <f>ROUND((10822352.95/1000),2)-K149</f>
        <v>6443.35</v>
      </c>
      <c r="M149" s="35">
        <f>J149+K149+I149+L149</f>
        <v>10876.35</v>
      </c>
      <c r="N149" s="217" t="s">
        <v>311</v>
      </c>
      <c r="O149" s="218" t="s">
        <v>312</v>
      </c>
      <c r="P149" s="212" t="s">
        <v>361</v>
      </c>
      <c r="Q149" s="286" t="s">
        <v>339</v>
      </c>
    </row>
    <row r="150" spans="1:17" s="9" customFormat="1" x14ac:dyDescent="0.2">
      <c r="A150" s="228"/>
      <c r="B150" s="98" t="s">
        <v>24</v>
      </c>
      <c r="C150" s="206"/>
      <c r="D150" s="34"/>
      <c r="E150" s="35"/>
      <c r="F150" s="35"/>
      <c r="G150" s="35"/>
      <c r="H150" s="35"/>
      <c r="I150" s="36"/>
      <c r="J150" s="37"/>
      <c r="K150" s="35">
        <f>ROUND((80000/1000),2)</f>
        <v>80</v>
      </c>
      <c r="L150" s="35"/>
      <c r="M150" s="35">
        <v>80</v>
      </c>
      <c r="N150" s="217"/>
      <c r="O150" s="218"/>
      <c r="P150" s="240"/>
      <c r="Q150" s="286"/>
    </row>
    <row r="151" spans="1:17" s="9" customFormat="1" ht="100.5" customHeight="1" x14ac:dyDescent="0.2">
      <c r="A151" s="228">
        <v>64</v>
      </c>
      <c r="B151" s="31" t="s">
        <v>169</v>
      </c>
      <c r="C151" s="206" t="s">
        <v>156</v>
      </c>
      <c r="D151" s="34"/>
      <c r="E151" s="35"/>
      <c r="F151" s="35"/>
      <c r="G151" s="35"/>
      <c r="H151" s="35"/>
      <c r="I151" s="36"/>
      <c r="J151" s="37">
        <v>790</v>
      </c>
      <c r="K151" s="35">
        <v>592.29999999999995</v>
      </c>
      <c r="L151" s="35">
        <v>592.29999999999995</v>
      </c>
      <c r="M151" s="35">
        <f>I151+J151+K151+L151</f>
        <v>1974.6</v>
      </c>
      <c r="N151" s="217" t="s">
        <v>170</v>
      </c>
      <c r="O151" s="223" t="s">
        <v>66</v>
      </c>
      <c r="P151" s="239" t="s">
        <v>362</v>
      </c>
      <c r="Q151" s="284" t="s">
        <v>340</v>
      </c>
    </row>
    <row r="152" spans="1:17" s="9" customFormat="1" x14ac:dyDescent="0.2">
      <c r="A152" s="228"/>
      <c r="B152" s="98" t="s">
        <v>24</v>
      </c>
      <c r="C152" s="206"/>
      <c r="D152" s="34"/>
      <c r="E152" s="35"/>
      <c r="F152" s="35"/>
      <c r="G152" s="35"/>
      <c r="H152" s="35"/>
      <c r="I152" s="36"/>
      <c r="J152" s="37">
        <v>129</v>
      </c>
      <c r="K152" s="35"/>
      <c r="L152" s="35"/>
      <c r="M152" s="35">
        <f>J152</f>
        <v>129</v>
      </c>
      <c r="N152" s="217"/>
      <c r="O152" s="223"/>
      <c r="P152" s="239"/>
      <c r="Q152" s="284"/>
    </row>
    <row r="153" spans="1:17" s="144" customFormat="1" ht="58.5" customHeight="1" x14ac:dyDescent="0.25">
      <c r="A153" s="128">
        <v>65</v>
      </c>
      <c r="B153" s="31" t="s">
        <v>171</v>
      </c>
      <c r="C153" s="129" t="s">
        <v>156</v>
      </c>
      <c r="D153" s="117">
        <v>120</v>
      </c>
      <c r="E153" s="118"/>
      <c r="F153" s="118"/>
      <c r="G153" s="118"/>
      <c r="H153" s="118"/>
      <c r="I153" s="36">
        <f>D153</f>
        <v>120</v>
      </c>
      <c r="J153" s="119"/>
      <c r="K153" s="118"/>
      <c r="L153" s="118"/>
      <c r="M153" s="35">
        <f>I153</f>
        <v>120</v>
      </c>
      <c r="N153" s="141" t="s">
        <v>172</v>
      </c>
      <c r="O153" s="142">
        <v>2018</v>
      </c>
      <c r="P153" s="132" t="s">
        <v>38</v>
      </c>
      <c r="Q153" s="143" t="s">
        <v>340</v>
      </c>
    </row>
    <row r="154" spans="1:17" s="144" customFormat="1" ht="68.25" customHeight="1" x14ac:dyDescent="0.25">
      <c r="A154" s="205">
        <v>66</v>
      </c>
      <c r="B154" s="31" t="s">
        <v>173</v>
      </c>
      <c r="C154" s="206" t="s">
        <v>156</v>
      </c>
      <c r="D154" s="117"/>
      <c r="E154" s="118"/>
      <c r="F154" s="118"/>
      <c r="G154" s="118"/>
      <c r="H154" s="118"/>
      <c r="I154" s="36"/>
      <c r="J154" s="119">
        <v>45</v>
      </c>
      <c r="K154" s="118">
        <v>40</v>
      </c>
      <c r="L154" s="118">
        <v>40</v>
      </c>
      <c r="M154" s="35">
        <f>J154+K154+L154</f>
        <v>125</v>
      </c>
      <c r="N154" s="220" t="s">
        <v>174</v>
      </c>
      <c r="O154" s="223">
        <v>2019</v>
      </c>
      <c r="P154" s="237" t="s">
        <v>38</v>
      </c>
      <c r="Q154" s="284" t="s">
        <v>340</v>
      </c>
    </row>
    <row r="155" spans="1:17" s="144" customFormat="1" ht="15" x14ac:dyDescent="0.25">
      <c r="A155" s="205"/>
      <c r="B155" s="98" t="s">
        <v>24</v>
      </c>
      <c r="C155" s="206"/>
      <c r="D155" s="145"/>
      <c r="E155" s="146"/>
      <c r="F155" s="146"/>
      <c r="G155" s="146"/>
      <c r="H155" s="146"/>
      <c r="I155" s="147"/>
      <c r="J155" s="119">
        <v>5</v>
      </c>
      <c r="K155" s="118"/>
      <c r="L155" s="118"/>
      <c r="M155" s="35">
        <f>J155</f>
        <v>5</v>
      </c>
      <c r="N155" s="220"/>
      <c r="O155" s="223"/>
      <c r="P155" s="238"/>
      <c r="Q155" s="284"/>
    </row>
    <row r="156" spans="1:17" s="144" customFormat="1" ht="123" customHeight="1" x14ac:dyDescent="0.25">
      <c r="A156" s="205">
        <v>67</v>
      </c>
      <c r="B156" s="31" t="s">
        <v>175</v>
      </c>
      <c r="C156" s="129" t="s">
        <v>176</v>
      </c>
      <c r="D156" s="117">
        <v>50</v>
      </c>
      <c r="E156" s="118"/>
      <c r="F156" s="118">
        <v>5</v>
      </c>
      <c r="G156" s="118"/>
      <c r="H156" s="118"/>
      <c r="I156" s="36">
        <f t="shared" ref="I156" si="26">SUM(D156:H156)</f>
        <v>55</v>
      </c>
      <c r="J156" s="119">
        <v>58.75</v>
      </c>
      <c r="K156" s="118">
        <v>58.75</v>
      </c>
      <c r="L156" s="118"/>
      <c r="M156" s="35">
        <f>I156+J156+K156+L156</f>
        <v>172.5</v>
      </c>
      <c r="N156" s="220" t="s">
        <v>177</v>
      </c>
      <c r="O156" s="223" t="s">
        <v>138</v>
      </c>
      <c r="P156" s="212" t="s">
        <v>178</v>
      </c>
      <c r="Q156" s="284" t="s">
        <v>340</v>
      </c>
    </row>
    <row r="157" spans="1:17" s="144" customFormat="1" ht="15" x14ac:dyDescent="0.25">
      <c r="A157" s="205"/>
      <c r="B157" s="98" t="s">
        <v>24</v>
      </c>
      <c r="C157" s="148"/>
      <c r="D157" s="145"/>
      <c r="E157" s="146"/>
      <c r="F157" s="146"/>
      <c r="G157" s="146"/>
      <c r="H157" s="146"/>
      <c r="I157" s="147"/>
      <c r="J157" s="119"/>
      <c r="K157" s="118"/>
      <c r="L157" s="118"/>
      <c r="M157" s="35"/>
      <c r="N157" s="220"/>
      <c r="O157" s="223"/>
      <c r="P157" s="212"/>
      <c r="Q157" s="284"/>
    </row>
    <row r="158" spans="1:17" s="144" customFormat="1" ht="162" customHeight="1" x14ac:dyDescent="0.25">
      <c r="A158" s="205">
        <v>68</v>
      </c>
      <c r="B158" s="31" t="s">
        <v>288</v>
      </c>
      <c r="C158" s="129" t="s">
        <v>176</v>
      </c>
      <c r="D158" s="117">
        <v>157.4</v>
      </c>
      <c r="E158" s="118"/>
      <c r="F158" s="118"/>
      <c r="G158" s="118"/>
      <c r="H158" s="118"/>
      <c r="I158" s="36">
        <f t="shared" ref="I158" si="27">SUM(D158:H158)</f>
        <v>157.4</v>
      </c>
      <c r="J158" s="119">
        <v>150</v>
      </c>
      <c r="K158" s="118">
        <v>150</v>
      </c>
      <c r="L158" s="118">
        <v>150</v>
      </c>
      <c r="M158" s="35">
        <f>I158+J158+K158+L158</f>
        <v>607.4</v>
      </c>
      <c r="N158" s="220" t="s">
        <v>289</v>
      </c>
      <c r="O158" s="223" t="s">
        <v>84</v>
      </c>
      <c r="P158" s="212" t="s">
        <v>335</v>
      </c>
      <c r="Q158" s="284" t="s">
        <v>340</v>
      </c>
    </row>
    <row r="159" spans="1:17" s="144" customFormat="1" ht="15" x14ac:dyDescent="0.25">
      <c r="A159" s="205"/>
      <c r="B159" s="98" t="s">
        <v>24</v>
      </c>
      <c r="C159" s="148"/>
      <c r="D159" s="145"/>
      <c r="E159" s="146"/>
      <c r="F159" s="146"/>
      <c r="G159" s="146"/>
      <c r="H159" s="146"/>
      <c r="I159" s="147"/>
      <c r="J159" s="119"/>
      <c r="K159" s="118"/>
      <c r="L159" s="118"/>
      <c r="M159" s="35"/>
      <c r="N159" s="220"/>
      <c r="O159" s="223"/>
      <c r="P159" s="212"/>
      <c r="Q159" s="284"/>
    </row>
    <row r="160" spans="1:17" ht="27.75" customHeight="1" x14ac:dyDescent="0.25">
      <c r="A160" s="235" t="s">
        <v>179</v>
      </c>
      <c r="B160" s="235"/>
      <c r="C160" s="57"/>
      <c r="D160" s="58">
        <f>D163+D164+D166+D168+D170+D172+D174+D178+D180+D182+D184+D186+D188+D190+D192+D194+D196+D198+D200+D202+D204+D206+D208+D210+D212+D214+D216+D218+D220+D222+D224+D225+D227+D229+D232+D234+D236+D238+D240+D242+D244+D246+D248+D250+D251+D253+D255+D257+D259+D261+D263+D266+D269+D271+D273+D275+D277+D279+D282+D284+D285+D287</f>
        <v>5168.7199999999993</v>
      </c>
      <c r="E160" s="59">
        <f t="shared" ref="E160:M160" si="28">E163+E164+E166+E168+E170+E172+E174+E178+E180+E182+E184+E186+E188+E190+E192+E194+E196+E198+E200+E202+E204+E206+E208+E210+E212+E214+E216+E218+E220+E222+E224+E225+E227+E229+E232+E234+E236+E238+E240+E242+E244+E246+E248+E250+E251+E253+E255+E257+E259+E261+E263+E266+E269+E271+E273+E275+E277+E279+E282+E284+E285+E287</f>
        <v>5601.66</v>
      </c>
      <c r="F160" s="59">
        <f t="shared" si="28"/>
        <v>1060.1799999999998</v>
      </c>
      <c r="G160" s="59">
        <f t="shared" si="28"/>
        <v>80.97999999999999</v>
      </c>
      <c r="H160" s="59">
        <f t="shared" si="28"/>
        <v>201.8</v>
      </c>
      <c r="I160" s="112">
        <f t="shared" si="28"/>
        <v>12113.339999999998</v>
      </c>
      <c r="J160" s="111">
        <f t="shared" si="28"/>
        <v>20842.207170000001</v>
      </c>
      <c r="K160" s="59">
        <f t="shared" si="28"/>
        <v>19753.127</v>
      </c>
      <c r="L160" s="59">
        <f t="shared" si="28"/>
        <v>15838.147000000001</v>
      </c>
      <c r="M160" s="59">
        <f t="shared" si="28"/>
        <v>68546.82117000001</v>
      </c>
      <c r="N160" s="63"/>
      <c r="O160" s="64"/>
      <c r="P160" s="65"/>
      <c r="Q160" s="66"/>
    </row>
    <row r="161" spans="1:17" s="11" customFormat="1" ht="14.25" customHeight="1" x14ac:dyDescent="0.2">
      <c r="A161" s="236" t="s">
        <v>16</v>
      </c>
      <c r="B161" s="236"/>
      <c r="C161" s="67"/>
      <c r="D161" s="68"/>
      <c r="E161" s="113"/>
      <c r="F161" s="113"/>
      <c r="G161" s="113"/>
      <c r="H161" s="113"/>
      <c r="I161" s="71"/>
      <c r="J161" s="72"/>
      <c r="K161" s="69"/>
      <c r="L161" s="69"/>
      <c r="M161" s="114"/>
      <c r="N161" s="73"/>
      <c r="O161" s="74"/>
      <c r="P161" s="75"/>
      <c r="Q161" s="76"/>
    </row>
    <row r="162" spans="1:17" s="11" customFormat="1" ht="25.5" x14ac:dyDescent="0.2">
      <c r="A162" s="149"/>
      <c r="B162" s="150" t="s">
        <v>180</v>
      </c>
      <c r="C162" s="151" t="s">
        <v>181</v>
      </c>
      <c r="D162" s="80"/>
      <c r="E162" s="81"/>
      <c r="F162" s="81"/>
      <c r="G162" s="81"/>
      <c r="H162" s="81"/>
      <c r="I162" s="99"/>
      <c r="J162" s="83"/>
      <c r="K162" s="81"/>
      <c r="L162" s="81"/>
      <c r="M162" s="100"/>
      <c r="N162" s="84"/>
      <c r="O162" s="85"/>
      <c r="P162" s="86"/>
      <c r="Q162" s="87"/>
    </row>
    <row r="163" spans="1:17" s="11" customFormat="1" ht="59.25" customHeight="1" x14ac:dyDescent="0.2">
      <c r="A163" s="133">
        <v>69</v>
      </c>
      <c r="B163" s="88" t="s">
        <v>182</v>
      </c>
      <c r="C163" s="152" t="s">
        <v>181</v>
      </c>
      <c r="D163" s="89"/>
      <c r="E163" s="90"/>
      <c r="F163" s="90"/>
      <c r="G163" s="90"/>
      <c r="H163" s="90"/>
      <c r="I163" s="91"/>
      <c r="J163" s="92">
        <f>25+27.9</f>
        <v>52.9</v>
      </c>
      <c r="K163" s="90">
        <v>20</v>
      </c>
      <c r="L163" s="90"/>
      <c r="M163" s="90">
        <f>SUM(I163:L163)</f>
        <v>72.900000000000006</v>
      </c>
      <c r="N163" s="135" t="s">
        <v>183</v>
      </c>
      <c r="O163" s="153" t="s">
        <v>30</v>
      </c>
      <c r="P163" s="137" t="s">
        <v>130</v>
      </c>
      <c r="Q163" s="138" t="s">
        <v>340</v>
      </c>
    </row>
    <row r="164" spans="1:17" s="10" customFormat="1" ht="84" customHeight="1" x14ac:dyDescent="0.2">
      <c r="A164" s="198">
        <v>70</v>
      </c>
      <c r="B164" s="88" t="s">
        <v>184</v>
      </c>
      <c r="C164" s="199" t="s">
        <v>181</v>
      </c>
      <c r="D164" s="89">
        <v>45.9</v>
      </c>
      <c r="E164" s="90"/>
      <c r="F164" s="90"/>
      <c r="G164" s="90"/>
      <c r="H164" s="90"/>
      <c r="I164" s="91">
        <f t="shared" ref="I164:I165" si="29">SUM(D164:H164)</f>
        <v>45.9</v>
      </c>
      <c r="J164" s="92">
        <v>160</v>
      </c>
      <c r="K164" s="90">
        <v>130</v>
      </c>
      <c r="L164" s="90">
        <v>140</v>
      </c>
      <c r="M164" s="90">
        <f>L164+K164+J164+I164</f>
        <v>475.9</v>
      </c>
      <c r="N164" s="200" t="s">
        <v>185</v>
      </c>
      <c r="O164" s="213" t="s">
        <v>84</v>
      </c>
      <c r="P164" s="201" t="s">
        <v>130</v>
      </c>
      <c r="Q164" s="281" t="s">
        <v>339</v>
      </c>
    </row>
    <row r="165" spans="1:17" s="10" customFormat="1" x14ac:dyDescent="0.2">
      <c r="A165" s="198"/>
      <c r="B165" s="32" t="s">
        <v>24</v>
      </c>
      <c r="C165" s="199"/>
      <c r="D165" s="89">
        <v>3</v>
      </c>
      <c r="E165" s="90"/>
      <c r="F165" s="90"/>
      <c r="G165" s="90"/>
      <c r="H165" s="90"/>
      <c r="I165" s="91">
        <f t="shared" si="29"/>
        <v>3</v>
      </c>
      <c r="J165" s="92"/>
      <c r="K165" s="90"/>
      <c r="L165" s="90"/>
      <c r="M165" s="90">
        <f>I165</f>
        <v>3</v>
      </c>
      <c r="N165" s="200"/>
      <c r="O165" s="213"/>
      <c r="P165" s="201"/>
      <c r="Q165" s="281"/>
    </row>
    <row r="166" spans="1:17" s="10" customFormat="1" ht="170.25" customHeight="1" x14ac:dyDescent="0.2">
      <c r="A166" s="198">
        <v>71</v>
      </c>
      <c r="B166" s="88" t="s">
        <v>186</v>
      </c>
      <c r="C166" s="199" t="s">
        <v>181</v>
      </c>
      <c r="D166" s="89">
        <f>227.1+4.9</f>
        <v>232</v>
      </c>
      <c r="E166" s="90"/>
      <c r="F166" s="90"/>
      <c r="G166" s="90"/>
      <c r="H166" s="90"/>
      <c r="I166" s="91">
        <f t="shared" ref="I166" si="30">SUM(D166:H166)</f>
        <v>232</v>
      </c>
      <c r="J166" s="92"/>
      <c r="K166" s="90"/>
      <c r="L166" s="90"/>
      <c r="M166" s="90">
        <f>I166</f>
        <v>232</v>
      </c>
      <c r="N166" s="200" t="s">
        <v>290</v>
      </c>
      <c r="O166" s="200" t="s">
        <v>103</v>
      </c>
      <c r="P166" s="201" t="s">
        <v>335</v>
      </c>
      <c r="Q166" s="281" t="s">
        <v>339</v>
      </c>
    </row>
    <row r="167" spans="1:17" s="10" customFormat="1" x14ac:dyDescent="0.2">
      <c r="A167" s="198"/>
      <c r="B167" s="32" t="s">
        <v>24</v>
      </c>
      <c r="C167" s="199"/>
      <c r="D167" s="89">
        <v>12.1</v>
      </c>
      <c r="E167" s="90"/>
      <c r="F167" s="90"/>
      <c r="G167" s="90"/>
      <c r="H167" s="90"/>
      <c r="I167" s="91">
        <f>D167</f>
        <v>12.1</v>
      </c>
      <c r="J167" s="92"/>
      <c r="K167" s="90"/>
      <c r="L167" s="90"/>
      <c r="M167" s="90">
        <f>I167</f>
        <v>12.1</v>
      </c>
      <c r="N167" s="200"/>
      <c r="O167" s="200"/>
      <c r="P167" s="201"/>
      <c r="Q167" s="281"/>
    </row>
    <row r="168" spans="1:17" s="10" customFormat="1" ht="193.5" customHeight="1" x14ac:dyDescent="0.2">
      <c r="A168" s="198">
        <v>72</v>
      </c>
      <c r="B168" s="88" t="s">
        <v>287</v>
      </c>
      <c r="C168" s="199" t="s">
        <v>181</v>
      </c>
      <c r="D168" s="89">
        <f>21.2+7.4+2.2</f>
        <v>30.8</v>
      </c>
      <c r="E168" s="90"/>
      <c r="F168" s="90"/>
      <c r="G168" s="90"/>
      <c r="H168" s="90"/>
      <c r="I168" s="91">
        <f>D168+E168</f>
        <v>30.8</v>
      </c>
      <c r="J168" s="92"/>
      <c r="K168" s="90"/>
      <c r="L168" s="90"/>
      <c r="M168" s="90">
        <f>I168+J168</f>
        <v>30.8</v>
      </c>
      <c r="N168" s="200" t="s">
        <v>291</v>
      </c>
      <c r="O168" s="200" t="s">
        <v>103</v>
      </c>
      <c r="P168" s="201" t="s">
        <v>335</v>
      </c>
      <c r="Q168" s="281" t="s">
        <v>340</v>
      </c>
    </row>
    <row r="169" spans="1:17" s="10" customFormat="1" ht="14.25" customHeight="1" x14ac:dyDescent="0.2">
      <c r="A169" s="198"/>
      <c r="B169" s="32" t="s">
        <v>24</v>
      </c>
      <c r="C169" s="199"/>
      <c r="D169" s="89"/>
      <c r="E169" s="90"/>
      <c r="F169" s="90"/>
      <c r="G169" s="90"/>
      <c r="H169" s="90"/>
      <c r="I169" s="91"/>
      <c r="J169" s="92"/>
      <c r="K169" s="90"/>
      <c r="L169" s="90"/>
      <c r="M169" s="90"/>
      <c r="N169" s="200"/>
      <c r="O169" s="200"/>
      <c r="P169" s="201"/>
      <c r="Q169" s="281"/>
    </row>
    <row r="170" spans="1:17" s="10" customFormat="1" ht="195" customHeight="1" x14ac:dyDescent="0.2">
      <c r="A170" s="198">
        <v>73</v>
      </c>
      <c r="B170" s="88" t="s">
        <v>187</v>
      </c>
      <c r="C170" s="199" t="s">
        <v>181</v>
      </c>
      <c r="D170" s="89">
        <v>15</v>
      </c>
      <c r="E170" s="90">
        <f>700-307.8</f>
        <v>392.2</v>
      </c>
      <c r="F170" s="90"/>
      <c r="G170" s="90"/>
      <c r="H170" s="90"/>
      <c r="I170" s="91">
        <f>D170+E170</f>
        <v>407.2</v>
      </c>
      <c r="J170" s="92">
        <v>300.10000000000002</v>
      </c>
      <c r="K170" s="90"/>
      <c r="L170" s="90"/>
      <c r="M170" s="90">
        <f>I170+J170</f>
        <v>707.3</v>
      </c>
      <c r="N170" s="200" t="s">
        <v>188</v>
      </c>
      <c r="O170" s="200" t="s">
        <v>164</v>
      </c>
      <c r="P170" s="201" t="s">
        <v>334</v>
      </c>
      <c r="Q170" s="281" t="s">
        <v>339</v>
      </c>
    </row>
    <row r="171" spans="1:17" s="10" customFormat="1" ht="14.25" customHeight="1" x14ac:dyDescent="0.2">
      <c r="A171" s="198"/>
      <c r="B171" s="32" t="s">
        <v>24</v>
      </c>
      <c r="C171" s="199"/>
      <c r="D171" s="89"/>
      <c r="E171" s="90"/>
      <c r="F171" s="90"/>
      <c r="G171" s="90"/>
      <c r="H171" s="90"/>
      <c r="I171" s="91"/>
      <c r="J171" s="92"/>
      <c r="K171" s="90"/>
      <c r="L171" s="90"/>
      <c r="M171" s="90"/>
      <c r="N171" s="200"/>
      <c r="O171" s="200"/>
      <c r="P171" s="201"/>
      <c r="Q171" s="281"/>
    </row>
    <row r="172" spans="1:17" s="6" customFormat="1" ht="96" customHeight="1" x14ac:dyDescent="0.25">
      <c r="A172" s="198">
        <v>74</v>
      </c>
      <c r="B172" s="88" t="s">
        <v>189</v>
      </c>
      <c r="C172" s="199" t="s">
        <v>181</v>
      </c>
      <c r="D172" s="89"/>
      <c r="E172" s="90"/>
      <c r="F172" s="90"/>
      <c r="G172" s="90"/>
      <c r="H172" s="90"/>
      <c r="I172" s="91"/>
      <c r="J172" s="92">
        <f>J173</f>
        <v>84</v>
      </c>
      <c r="K172" s="90">
        <v>800</v>
      </c>
      <c r="L172" s="90">
        <f>ROUND((170768.12/1000),2)</f>
        <v>170.77</v>
      </c>
      <c r="M172" s="90">
        <f>J172+K172+L172</f>
        <v>1054.77</v>
      </c>
      <c r="N172" s="200" t="s">
        <v>313</v>
      </c>
      <c r="O172" s="203" t="s">
        <v>66</v>
      </c>
      <c r="P172" s="201" t="s">
        <v>334</v>
      </c>
      <c r="Q172" s="281" t="s">
        <v>339</v>
      </c>
    </row>
    <row r="173" spans="1:17" s="6" customFormat="1" x14ac:dyDescent="0.25">
      <c r="A173" s="198"/>
      <c r="B173" s="32" t="s">
        <v>24</v>
      </c>
      <c r="C173" s="199"/>
      <c r="D173" s="89"/>
      <c r="E173" s="90"/>
      <c r="F173" s="90"/>
      <c r="G173" s="90"/>
      <c r="H173" s="90"/>
      <c r="I173" s="91"/>
      <c r="J173" s="92">
        <f>69+15</f>
        <v>84</v>
      </c>
      <c r="K173" s="90"/>
      <c r="L173" s="90"/>
      <c r="M173" s="90">
        <f>I173+J173</f>
        <v>84</v>
      </c>
      <c r="N173" s="200"/>
      <c r="O173" s="203"/>
      <c r="P173" s="201"/>
      <c r="Q173" s="281"/>
    </row>
    <row r="174" spans="1:17" s="6" customFormat="1" ht="126.75" customHeight="1" x14ac:dyDescent="0.25">
      <c r="A174" s="198">
        <v>75</v>
      </c>
      <c r="B174" s="233" t="s">
        <v>190</v>
      </c>
      <c r="C174" s="199" t="s">
        <v>181</v>
      </c>
      <c r="D174" s="234">
        <f>200+89.2</f>
        <v>289.2</v>
      </c>
      <c r="E174" s="230"/>
      <c r="F174" s="230"/>
      <c r="G174" s="230"/>
      <c r="H174" s="230"/>
      <c r="I174" s="231">
        <f>D174</f>
        <v>289.2</v>
      </c>
      <c r="J174" s="232">
        <f>84.357+257.3</f>
        <v>341.65700000000004</v>
      </c>
      <c r="K174" s="230">
        <v>84.356999999999999</v>
      </c>
      <c r="L174" s="230">
        <v>84.356999999999999</v>
      </c>
      <c r="M174" s="230">
        <f>D174+J174+K174+L174</f>
        <v>799.57099999999991</v>
      </c>
      <c r="N174" s="200" t="s">
        <v>191</v>
      </c>
      <c r="O174" s="203" t="s">
        <v>41</v>
      </c>
      <c r="P174" s="201" t="s">
        <v>192</v>
      </c>
      <c r="Q174" s="191" t="s">
        <v>339</v>
      </c>
    </row>
    <row r="175" spans="1:17" s="6" customFormat="1" ht="66.75" customHeight="1" x14ac:dyDescent="0.25">
      <c r="A175" s="198"/>
      <c r="B175" s="233"/>
      <c r="C175" s="199"/>
      <c r="D175" s="234"/>
      <c r="E175" s="230"/>
      <c r="F175" s="230"/>
      <c r="G175" s="230"/>
      <c r="H175" s="230"/>
      <c r="I175" s="231"/>
      <c r="J175" s="232"/>
      <c r="K175" s="230"/>
      <c r="L175" s="230"/>
      <c r="M175" s="230"/>
      <c r="N175" s="200"/>
      <c r="O175" s="203"/>
      <c r="P175" s="201"/>
      <c r="Q175" s="197"/>
    </row>
    <row r="176" spans="1:17" s="6" customFormat="1" ht="84.75" customHeight="1" x14ac:dyDescent="0.25">
      <c r="A176" s="198"/>
      <c r="B176" s="233"/>
      <c r="C176" s="199"/>
      <c r="D176" s="234"/>
      <c r="E176" s="230"/>
      <c r="F176" s="230"/>
      <c r="G176" s="230"/>
      <c r="H176" s="230"/>
      <c r="I176" s="231"/>
      <c r="J176" s="232"/>
      <c r="K176" s="230"/>
      <c r="L176" s="230"/>
      <c r="M176" s="230"/>
      <c r="N176" s="200"/>
      <c r="O176" s="203"/>
      <c r="P176" s="201"/>
      <c r="Q176" s="197"/>
    </row>
    <row r="177" spans="1:44" s="6" customFormat="1" ht="78.75" customHeight="1" x14ac:dyDescent="0.25">
      <c r="A177" s="198"/>
      <c r="B177" s="233"/>
      <c r="C177" s="199"/>
      <c r="D177" s="234"/>
      <c r="E177" s="230"/>
      <c r="F177" s="230"/>
      <c r="G177" s="230"/>
      <c r="H177" s="230"/>
      <c r="I177" s="231"/>
      <c r="J177" s="232"/>
      <c r="K177" s="230"/>
      <c r="L177" s="230"/>
      <c r="M177" s="230"/>
      <c r="N177" s="200"/>
      <c r="O177" s="203"/>
      <c r="P177" s="201"/>
      <c r="Q177" s="192"/>
    </row>
    <row r="178" spans="1:44" s="6" customFormat="1" ht="231.75" customHeight="1" x14ac:dyDescent="0.25">
      <c r="A178" s="198">
        <v>76</v>
      </c>
      <c r="B178" s="88" t="s">
        <v>193</v>
      </c>
      <c r="C178" s="199" t="s">
        <v>181</v>
      </c>
      <c r="D178" s="89">
        <v>385.6</v>
      </c>
      <c r="E178" s="154"/>
      <c r="F178" s="90"/>
      <c r="G178" s="90"/>
      <c r="H178" s="90"/>
      <c r="I178" s="91">
        <f t="shared" ref="I178" si="31">SUM(D178:H178)</f>
        <v>385.6</v>
      </c>
      <c r="J178" s="92">
        <v>150</v>
      </c>
      <c r="K178" s="90">
        <v>100</v>
      </c>
      <c r="L178" s="90">
        <v>50</v>
      </c>
      <c r="M178" s="90">
        <f>L178+K178+J178+I178</f>
        <v>685.6</v>
      </c>
      <c r="N178" s="200" t="s">
        <v>194</v>
      </c>
      <c r="O178" s="203" t="s">
        <v>84</v>
      </c>
      <c r="P178" s="201" t="s">
        <v>332</v>
      </c>
      <c r="Q178" s="191" t="s">
        <v>340</v>
      </c>
    </row>
    <row r="179" spans="1:44" s="6" customFormat="1" x14ac:dyDescent="0.25">
      <c r="A179" s="198"/>
      <c r="B179" s="32" t="s">
        <v>24</v>
      </c>
      <c r="C179" s="199"/>
      <c r="D179" s="89"/>
      <c r="E179" s="90"/>
      <c r="F179" s="90"/>
      <c r="G179" s="90"/>
      <c r="H179" s="90"/>
      <c r="I179" s="91"/>
      <c r="J179" s="92"/>
      <c r="K179" s="90"/>
      <c r="L179" s="90"/>
      <c r="M179" s="90"/>
      <c r="N179" s="200"/>
      <c r="O179" s="203"/>
      <c r="P179" s="201"/>
      <c r="Q179" s="192"/>
    </row>
    <row r="180" spans="1:44" s="10" customFormat="1" ht="162" customHeight="1" x14ac:dyDescent="0.2">
      <c r="A180" s="133">
        <v>77</v>
      </c>
      <c r="B180" s="101" t="s">
        <v>195</v>
      </c>
      <c r="C180" s="152" t="s">
        <v>181</v>
      </c>
      <c r="D180" s="89">
        <v>22</v>
      </c>
      <c r="E180" s="90"/>
      <c r="F180" s="90"/>
      <c r="G180" s="90"/>
      <c r="H180" s="90"/>
      <c r="I180" s="91">
        <f t="shared" ref="I180" si="32">SUM(D180:H180)</f>
        <v>22</v>
      </c>
      <c r="J180" s="92">
        <v>22</v>
      </c>
      <c r="K180" s="90">
        <v>22</v>
      </c>
      <c r="L180" s="90">
        <v>22</v>
      </c>
      <c r="M180" s="90">
        <f>SUM(I180:L180)</f>
        <v>88</v>
      </c>
      <c r="N180" s="155" t="s">
        <v>196</v>
      </c>
      <c r="O180" s="153" t="s">
        <v>84</v>
      </c>
      <c r="P180" s="156" t="s">
        <v>331</v>
      </c>
      <c r="Q180" s="157" t="s">
        <v>340</v>
      </c>
    </row>
    <row r="181" spans="1:44" s="8" customFormat="1" ht="26.25" customHeight="1" x14ac:dyDescent="0.2">
      <c r="A181" s="149"/>
      <c r="B181" s="150" t="s">
        <v>197</v>
      </c>
      <c r="C181" s="151" t="s">
        <v>198</v>
      </c>
      <c r="D181" s="80"/>
      <c r="E181" s="81"/>
      <c r="F181" s="81"/>
      <c r="G181" s="81"/>
      <c r="H181" s="81"/>
      <c r="I181" s="99"/>
      <c r="J181" s="83"/>
      <c r="K181" s="81"/>
      <c r="L181" s="81"/>
      <c r="M181" s="100"/>
      <c r="N181" s="84"/>
      <c r="O181" s="85"/>
      <c r="P181" s="86"/>
      <c r="Q181" s="86"/>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row>
    <row r="182" spans="1:44" s="6" customFormat="1" ht="125.25" customHeight="1" x14ac:dyDescent="0.25">
      <c r="A182" s="228">
        <v>78</v>
      </c>
      <c r="B182" s="122" t="s">
        <v>314</v>
      </c>
      <c r="C182" s="206" t="s">
        <v>198</v>
      </c>
      <c r="D182" s="117">
        <v>50</v>
      </c>
      <c r="E182" s="118"/>
      <c r="F182" s="118"/>
      <c r="G182" s="118"/>
      <c r="H182" s="118"/>
      <c r="I182" s="36">
        <f t="shared" ref="I182" si="33">SUM(D182:H182)</f>
        <v>50</v>
      </c>
      <c r="J182" s="119">
        <v>250</v>
      </c>
      <c r="K182" s="118"/>
      <c r="L182" s="118"/>
      <c r="M182" s="35">
        <f>L182+K182+J182+I182</f>
        <v>300</v>
      </c>
      <c r="N182" s="220" t="s">
        <v>199</v>
      </c>
      <c r="O182" s="220" t="s">
        <v>164</v>
      </c>
      <c r="P182" s="229" t="s">
        <v>31</v>
      </c>
      <c r="Q182" s="191" t="s">
        <v>339</v>
      </c>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row>
    <row r="183" spans="1:44" s="6" customFormat="1" x14ac:dyDescent="0.25">
      <c r="A183" s="228"/>
      <c r="B183" s="120" t="s">
        <v>24</v>
      </c>
      <c r="C183" s="206"/>
      <c r="D183" s="117"/>
      <c r="E183" s="118"/>
      <c r="F183" s="118"/>
      <c r="G183" s="118"/>
      <c r="H183" s="118"/>
      <c r="I183" s="36"/>
      <c r="J183" s="119"/>
      <c r="K183" s="118"/>
      <c r="L183" s="118"/>
      <c r="M183" s="35"/>
      <c r="N183" s="220"/>
      <c r="O183" s="220"/>
      <c r="P183" s="229"/>
      <c r="Q183" s="19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row>
    <row r="184" spans="1:44" s="6" customFormat="1" ht="50.25" customHeight="1" x14ac:dyDescent="0.25">
      <c r="A184" s="198">
        <v>79</v>
      </c>
      <c r="B184" s="88" t="s">
        <v>200</v>
      </c>
      <c r="C184" s="199" t="s">
        <v>198</v>
      </c>
      <c r="D184" s="89"/>
      <c r="E184" s="90"/>
      <c r="F184" s="90"/>
      <c r="G184" s="90"/>
      <c r="H184" s="90"/>
      <c r="I184" s="91"/>
      <c r="J184" s="92">
        <v>30</v>
      </c>
      <c r="K184" s="90">
        <v>120</v>
      </c>
      <c r="L184" s="90"/>
      <c r="M184" s="90">
        <f>K184+J184</f>
        <v>150</v>
      </c>
      <c r="N184" s="200" t="s">
        <v>201</v>
      </c>
      <c r="O184" s="200" t="s">
        <v>30</v>
      </c>
      <c r="P184" s="201" t="s">
        <v>335</v>
      </c>
      <c r="Q184" s="191" t="s">
        <v>339</v>
      </c>
    </row>
    <row r="185" spans="1:44" s="6" customFormat="1" x14ac:dyDescent="0.25">
      <c r="A185" s="198"/>
      <c r="B185" s="32" t="s">
        <v>24</v>
      </c>
      <c r="C185" s="199"/>
      <c r="D185" s="89"/>
      <c r="E185" s="90"/>
      <c r="F185" s="90"/>
      <c r="G185" s="90"/>
      <c r="H185" s="90"/>
      <c r="I185" s="91"/>
      <c r="J185" s="92">
        <v>30</v>
      </c>
      <c r="K185" s="90"/>
      <c r="L185" s="90"/>
      <c r="M185" s="90">
        <f>J185</f>
        <v>30</v>
      </c>
      <c r="N185" s="200"/>
      <c r="O185" s="200"/>
      <c r="P185" s="201"/>
      <c r="Q185" s="192"/>
    </row>
    <row r="186" spans="1:44" s="6" customFormat="1" ht="67.5" customHeight="1" x14ac:dyDescent="0.25">
      <c r="A186" s="198">
        <v>80</v>
      </c>
      <c r="B186" s="88" t="s">
        <v>202</v>
      </c>
      <c r="C186" s="199" t="s">
        <v>198</v>
      </c>
      <c r="D186" s="89"/>
      <c r="E186" s="90"/>
      <c r="F186" s="90"/>
      <c r="G186" s="90"/>
      <c r="H186" s="90"/>
      <c r="I186" s="91"/>
      <c r="J186" s="92"/>
      <c r="K186" s="90">
        <v>400</v>
      </c>
      <c r="L186" s="90"/>
      <c r="M186" s="90">
        <f>K186</f>
        <v>400</v>
      </c>
      <c r="N186" s="200" t="s">
        <v>203</v>
      </c>
      <c r="O186" s="200" t="s">
        <v>49</v>
      </c>
      <c r="P186" s="201" t="s">
        <v>363</v>
      </c>
      <c r="Q186" s="191" t="s">
        <v>340</v>
      </c>
    </row>
    <row r="187" spans="1:44" s="6" customFormat="1" x14ac:dyDescent="0.25">
      <c r="A187" s="198"/>
      <c r="B187" s="32" t="s">
        <v>24</v>
      </c>
      <c r="C187" s="199"/>
      <c r="D187" s="89"/>
      <c r="E187" s="90"/>
      <c r="F187" s="90"/>
      <c r="G187" s="90"/>
      <c r="H187" s="90"/>
      <c r="I187" s="91"/>
      <c r="J187" s="92"/>
      <c r="K187" s="90">
        <v>28</v>
      </c>
      <c r="L187" s="90"/>
      <c r="M187" s="90">
        <f>J187</f>
        <v>0</v>
      </c>
      <c r="N187" s="200"/>
      <c r="O187" s="200"/>
      <c r="P187" s="201"/>
      <c r="Q187" s="192"/>
    </row>
    <row r="188" spans="1:44" s="6" customFormat="1" ht="102.75" customHeight="1" x14ac:dyDescent="0.25">
      <c r="A188" s="198">
        <v>81</v>
      </c>
      <c r="B188" s="88" t="s">
        <v>204</v>
      </c>
      <c r="C188" s="202" t="s">
        <v>198</v>
      </c>
      <c r="D188" s="89"/>
      <c r="E188" s="90"/>
      <c r="F188" s="90"/>
      <c r="G188" s="90"/>
      <c r="H188" s="90"/>
      <c r="I188" s="91"/>
      <c r="J188" s="92">
        <v>89.5</v>
      </c>
      <c r="K188" s="90">
        <v>134.30000000000001</v>
      </c>
      <c r="L188" s="90"/>
      <c r="M188" s="90">
        <f t="shared" ref="M188:M189" si="34">I188+J188+K188+L188</f>
        <v>223.8</v>
      </c>
      <c r="N188" s="200" t="s">
        <v>205</v>
      </c>
      <c r="O188" s="203" t="s">
        <v>66</v>
      </c>
      <c r="P188" s="201" t="s">
        <v>384</v>
      </c>
      <c r="Q188" s="191" t="s">
        <v>340</v>
      </c>
    </row>
    <row r="189" spans="1:44" s="6" customFormat="1" x14ac:dyDescent="0.25">
      <c r="A189" s="198"/>
      <c r="B189" s="32" t="s">
        <v>24</v>
      </c>
      <c r="C189" s="202"/>
      <c r="D189" s="89"/>
      <c r="E189" s="90"/>
      <c r="F189" s="90"/>
      <c r="G189" s="90"/>
      <c r="H189" s="90"/>
      <c r="I189" s="91"/>
      <c r="J189" s="92">
        <v>15</v>
      </c>
      <c r="K189" s="90"/>
      <c r="L189" s="90"/>
      <c r="M189" s="90">
        <f t="shared" si="34"/>
        <v>15</v>
      </c>
      <c r="N189" s="200"/>
      <c r="O189" s="203"/>
      <c r="P189" s="201"/>
      <c r="Q189" s="192"/>
    </row>
    <row r="190" spans="1:44" s="6" customFormat="1" ht="70.5" customHeight="1" x14ac:dyDescent="0.25">
      <c r="A190" s="198">
        <v>82</v>
      </c>
      <c r="B190" s="88" t="s">
        <v>206</v>
      </c>
      <c r="C190" s="199" t="s">
        <v>198</v>
      </c>
      <c r="D190" s="89">
        <v>0</v>
      </c>
      <c r="E190" s="90"/>
      <c r="F190" s="90"/>
      <c r="G190" s="90"/>
      <c r="H190" s="90"/>
      <c r="I190" s="91">
        <f>D190</f>
        <v>0</v>
      </c>
      <c r="J190" s="89">
        <v>49</v>
      </c>
      <c r="K190" s="92">
        <f>849-J190</f>
        <v>800</v>
      </c>
      <c r="L190" s="90"/>
      <c r="M190" s="90">
        <f>L190+J190+I190+K190</f>
        <v>849</v>
      </c>
      <c r="N190" s="200" t="s">
        <v>207</v>
      </c>
      <c r="O190" s="200" t="s">
        <v>30</v>
      </c>
      <c r="P190" s="201" t="s">
        <v>334</v>
      </c>
      <c r="Q190" s="191" t="s">
        <v>339</v>
      </c>
    </row>
    <row r="191" spans="1:44" s="6" customFormat="1" x14ac:dyDescent="0.25">
      <c r="A191" s="198"/>
      <c r="B191" s="32" t="s">
        <v>24</v>
      </c>
      <c r="C191" s="199"/>
      <c r="D191" s="89">
        <v>0</v>
      </c>
      <c r="E191" s="90"/>
      <c r="F191" s="90"/>
      <c r="G191" s="90"/>
      <c r="H191" s="90"/>
      <c r="I191" s="91">
        <f>D191</f>
        <v>0</v>
      </c>
      <c r="J191" s="89">
        <v>42</v>
      </c>
      <c r="K191" s="92">
        <f>65-J191</f>
        <v>23</v>
      </c>
      <c r="L191" s="90"/>
      <c r="M191" s="90">
        <f>J191+I191+K191</f>
        <v>65</v>
      </c>
      <c r="N191" s="200"/>
      <c r="O191" s="200"/>
      <c r="P191" s="201"/>
      <c r="Q191" s="192"/>
    </row>
    <row r="192" spans="1:44" s="6" customFormat="1" ht="75" customHeight="1" x14ac:dyDescent="0.25">
      <c r="A192" s="198">
        <v>83</v>
      </c>
      <c r="B192" s="88" t="s">
        <v>208</v>
      </c>
      <c r="C192" s="199" t="s">
        <v>198</v>
      </c>
      <c r="D192" s="89">
        <v>52</v>
      </c>
      <c r="E192" s="90"/>
      <c r="F192" s="90"/>
      <c r="G192" s="90"/>
      <c r="H192" s="90"/>
      <c r="I192" s="91">
        <f>D192</f>
        <v>52</v>
      </c>
      <c r="J192" s="92">
        <v>800</v>
      </c>
      <c r="K192" s="90"/>
      <c r="L192" s="90"/>
      <c r="M192" s="90">
        <f>I192+J192</f>
        <v>852</v>
      </c>
      <c r="N192" s="200" t="s">
        <v>207</v>
      </c>
      <c r="O192" s="200" t="s">
        <v>159</v>
      </c>
      <c r="P192" s="201" t="s">
        <v>334</v>
      </c>
      <c r="Q192" s="191" t="s">
        <v>339</v>
      </c>
    </row>
    <row r="193" spans="1:17" s="6" customFormat="1" ht="15" customHeight="1" x14ac:dyDescent="0.25">
      <c r="A193" s="198"/>
      <c r="B193" s="32" t="s">
        <v>24</v>
      </c>
      <c r="C193" s="199"/>
      <c r="D193" s="89">
        <v>43</v>
      </c>
      <c r="E193" s="90"/>
      <c r="F193" s="90"/>
      <c r="G193" s="90"/>
      <c r="H193" s="90"/>
      <c r="I193" s="91">
        <v>43</v>
      </c>
      <c r="J193" s="92"/>
      <c r="K193" s="90"/>
      <c r="L193" s="90"/>
      <c r="M193" s="90">
        <f>J193+I193</f>
        <v>43</v>
      </c>
      <c r="N193" s="200"/>
      <c r="O193" s="200"/>
      <c r="P193" s="201"/>
      <c r="Q193" s="192"/>
    </row>
    <row r="194" spans="1:17" s="6" customFormat="1" ht="69" customHeight="1" x14ac:dyDescent="0.25">
      <c r="A194" s="198">
        <v>84</v>
      </c>
      <c r="B194" s="88" t="s">
        <v>209</v>
      </c>
      <c r="C194" s="199" t="s">
        <v>198</v>
      </c>
      <c r="D194" s="89"/>
      <c r="E194" s="90"/>
      <c r="F194" s="90"/>
      <c r="G194" s="90"/>
      <c r="H194" s="90"/>
      <c r="I194" s="91"/>
      <c r="J194" s="92">
        <v>26.4</v>
      </c>
      <c r="K194" s="90">
        <v>800</v>
      </c>
      <c r="L194" s="90">
        <v>800</v>
      </c>
      <c r="M194" s="90">
        <f>L194+K194+J194</f>
        <v>1626.4</v>
      </c>
      <c r="N194" s="200" t="s">
        <v>207</v>
      </c>
      <c r="O194" s="200" t="s">
        <v>66</v>
      </c>
      <c r="P194" s="201" t="s">
        <v>334</v>
      </c>
      <c r="Q194" s="191" t="s">
        <v>339</v>
      </c>
    </row>
    <row r="195" spans="1:17" s="6" customFormat="1" ht="15" customHeight="1" x14ac:dyDescent="0.25">
      <c r="A195" s="198"/>
      <c r="B195" s="32" t="s">
        <v>24</v>
      </c>
      <c r="C195" s="199"/>
      <c r="D195" s="89"/>
      <c r="E195" s="90"/>
      <c r="F195" s="90"/>
      <c r="G195" s="90"/>
      <c r="H195" s="90"/>
      <c r="I195" s="91"/>
      <c r="J195" s="92">
        <v>24</v>
      </c>
      <c r="K195" s="90"/>
      <c r="L195" s="90"/>
      <c r="M195" s="90">
        <f>J195</f>
        <v>24</v>
      </c>
      <c r="N195" s="200"/>
      <c r="O195" s="200"/>
      <c r="P195" s="201"/>
      <c r="Q195" s="192"/>
    </row>
    <row r="196" spans="1:17" s="6" customFormat="1" ht="409.5" customHeight="1" x14ac:dyDescent="0.25">
      <c r="A196" s="198">
        <v>85</v>
      </c>
      <c r="B196" s="88" t="s">
        <v>284</v>
      </c>
      <c r="C196" s="199" t="s">
        <v>198</v>
      </c>
      <c r="D196" s="89">
        <v>165</v>
      </c>
      <c r="E196" s="90"/>
      <c r="F196" s="90"/>
      <c r="G196" s="90"/>
      <c r="H196" s="90"/>
      <c r="I196" s="91">
        <f>D196</f>
        <v>165</v>
      </c>
      <c r="J196" s="92">
        <v>160</v>
      </c>
      <c r="K196" s="90">
        <v>160</v>
      </c>
      <c r="L196" s="90">
        <v>160</v>
      </c>
      <c r="M196" s="90">
        <f>L196+K196+J196+I196</f>
        <v>645</v>
      </c>
      <c r="N196" s="200" t="s">
        <v>298</v>
      </c>
      <c r="O196" s="203" t="s">
        <v>84</v>
      </c>
      <c r="P196" s="201" t="s">
        <v>335</v>
      </c>
      <c r="Q196" s="191" t="s">
        <v>340</v>
      </c>
    </row>
    <row r="197" spans="1:17" s="6" customFormat="1" ht="12.75" customHeight="1" x14ac:dyDescent="0.25">
      <c r="A197" s="198"/>
      <c r="B197" s="32" t="s">
        <v>24</v>
      </c>
      <c r="C197" s="199"/>
      <c r="D197" s="89"/>
      <c r="E197" s="90"/>
      <c r="F197" s="90"/>
      <c r="G197" s="90"/>
      <c r="H197" s="90"/>
      <c r="I197" s="91"/>
      <c r="J197" s="92"/>
      <c r="K197" s="90"/>
      <c r="L197" s="90"/>
      <c r="M197" s="90"/>
      <c r="N197" s="200"/>
      <c r="O197" s="203"/>
      <c r="P197" s="201"/>
      <c r="Q197" s="192"/>
    </row>
    <row r="198" spans="1:17" s="6" customFormat="1" ht="67.5" customHeight="1" x14ac:dyDescent="0.25">
      <c r="A198" s="198">
        <v>86</v>
      </c>
      <c r="B198" s="88" t="s">
        <v>210</v>
      </c>
      <c r="C198" s="202" t="s">
        <v>198</v>
      </c>
      <c r="D198" s="89"/>
      <c r="E198" s="90"/>
      <c r="F198" s="90"/>
      <c r="G198" s="90"/>
      <c r="H198" s="90"/>
      <c r="I198" s="91"/>
      <c r="J198" s="92"/>
      <c r="K198" s="90">
        <v>48</v>
      </c>
      <c r="L198" s="90">
        <v>191.7</v>
      </c>
      <c r="M198" s="90">
        <f t="shared" ref="M198:M199" si="35">I198+J198+K198+L198</f>
        <v>239.7</v>
      </c>
      <c r="N198" s="200" t="s">
        <v>211</v>
      </c>
      <c r="O198" s="203" t="s">
        <v>212</v>
      </c>
      <c r="P198" s="201" t="s">
        <v>362</v>
      </c>
      <c r="Q198" s="191" t="s">
        <v>340</v>
      </c>
    </row>
    <row r="199" spans="1:17" s="6" customFormat="1" ht="12.75" customHeight="1" x14ac:dyDescent="0.25">
      <c r="A199" s="198"/>
      <c r="B199" s="32" t="s">
        <v>24</v>
      </c>
      <c r="C199" s="202"/>
      <c r="D199" s="89"/>
      <c r="E199" s="90"/>
      <c r="F199" s="90"/>
      <c r="G199" s="90"/>
      <c r="H199" s="90"/>
      <c r="I199" s="91"/>
      <c r="J199" s="92"/>
      <c r="K199" s="90">
        <v>15</v>
      </c>
      <c r="L199" s="90"/>
      <c r="M199" s="90">
        <f t="shared" si="35"/>
        <v>15</v>
      </c>
      <c r="N199" s="200"/>
      <c r="O199" s="203"/>
      <c r="P199" s="201"/>
      <c r="Q199" s="192"/>
    </row>
    <row r="200" spans="1:17" s="2" customFormat="1" ht="138" customHeight="1" x14ac:dyDescent="0.25">
      <c r="A200" s="198">
        <v>87</v>
      </c>
      <c r="B200" s="31" t="s">
        <v>213</v>
      </c>
      <c r="C200" s="199" t="s">
        <v>198</v>
      </c>
      <c r="D200" s="34">
        <f>ROUND(((64130+12000+250)/1000),2)+12</f>
        <v>88.38</v>
      </c>
      <c r="E200" s="35"/>
      <c r="F200" s="35"/>
      <c r="G200" s="35"/>
      <c r="H200" s="35"/>
      <c r="I200" s="36">
        <f t="shared" ref="I200:I205" si="36">SUM(D200:H200)</f>
        <v>88.38</v>
      </c>
      <c r="J200" s="37">
        <f>ROUND((1284703.13/1000*0.6),2)-I200</f>
        <v>682.44</v>
      </c>
      <c r="K200" s="35">
        <f>ROUND((1284703.13/1000*0.4),2)</f>
        <v>513.88</v>
      </c>
      <c r="L200" s="35"/>
      <c r="M200" s="35">
        <f>L200+K200+J200+I200</f>
        <v>1284.7000000000003</v>
      </c>
      <c r="N200" s="200" t="s">
        <v>385</v>
      </c>
      <c r="O200" s="213" t="s">
        <v>52</v>
      </c>
      <c r="P200" s="201" t="s">
        <v>334</v>
      </c>
      <c r="Q200" s="191" t="s">
        <v>339</v>
      </c>
    </row>
    <row r="201" spans="1:17" s="6" customFormat="1" ht="12.75" customHeight="1" x14ac:dyDescent="0.25">
      <c r="A201" s="198"/>
      <c r="B201" s="32" t="s">
        <v>62</v>
      </c>
      <c r="C201" s="199"/>
      <c r="D201" s="89">
        <f>ROUND((64130/1000),2)</f>
        <v>64.13</v>
      </c>
      <c r="E201" s="90"/>
      <c r="F201" s="90"/>
      <c r="G201" s="90"/>
      <c r="H201" s="90"/>
      <c r="I201" s="91">
        <f t="shared" si="36"/>
        <v>64.13</v>
      </c>
      <c r="J201" s="92"/>
      <c r="K201" s="90"/>
      <c r="L201" s="90"/>
      <c r="M201" s="90">
        <f>I201</f>
        <v>64.13</v>
      </c>
      <c r="N201" s="200"/>
      <c r="O201" s="213"/>
      <c r="P201" s="201"/>
      <c r="Q201" s="192"/>
    </row>
    <row r="202" spans="1:17" s="2" customFormat="1" ht="147.75" customHeight="1" x14ac:dyDescent="0.25">
      <c r="A202" s="198">
        <v>88</v>
      </c>
      <c r="B202" s="31" t="s">
        <v>214</v>
      </c>
      <c r="C202" s="199" t="s">
        <v>198</v>
      </c>
      <c r="D202" s="34">
        <f>14.6</f>
        <v>14.6</v>
      </c>
      <c r="E202" s="35"/>
      <c r="F202" s="35">
        <v>190.3</v>
      </c>
      <c r="G202" s="35">
        <v>21.9</v>
      </c>
      <c r="H202" s="35"/>
      <c r="I202" s="36">
        <f t="shared" si="36"/>
        <v>226.8</v>
      </c>
      <c r="J202" s="37">
        <f>1095.1-I202-4.17</f>
        <v>864.13</v>
      </c>
      <c r="K202" s="35"/>
      <c r="L202" s="35"/>
      <c r="M202" s="35">
        <f>I202+J202+K202+L202</f>
        <v>1090.93</v>
      </c>
      <c r="N202" s="200" t="s">
        <v>386</v>
      </c>
      <c r="O202" s="200" t="s">
        <v>159</v>
      </c>
      <c r="P202" s="201" t="s">
        <v>334</v>
      </c>
      <c r="Q202" s="191" t="s">
        <v>339</v>
      </c>
    </row>
    <row r="203" spans="1:17" s="6" customFormat="1" ht="15" customHeight="1" x14ac:dyDescent="0.25">
      <c r="A203" s="198"/>
      <c r="B203" s="32" t="s">
        <v>24</v>
      </c>
      <c r="C203" s="199"/>
      <c r="D203" s="89">
        <v>14.6</v>
      </c>
      <c r="E203" s="90"/>
      <c r="F203" s="90"/>
      <c r="G203" s="90"/>
      <c r="H203" s="90"/>
      <c r="I203" s="91"/>
      <c r="J203" s="92"/>
      <c r="K203" s="90"/>
      <c r="L203" s="90"/>
      <c r="M203" s="90">
        <v>0</v>
      </c>
      <c r="N203" s="200"/>
      <c r="O203" s="200"/>
      <c r="P203" s="201"/>
      <c r="Q203" s="192"/>
    </row>
    <row r="204" spans="1:17" s="2" customFormat="1" ht="160.5" customHeight="1" x14ac:dyDescent="0.25">
      <c r="A204" s="198">
        <v>89</v>
      </c>
      <c r="B204" s="31" t="s">
        <v>215</v>
      </c>
      <c r="C204" s="199" t="s">
        <v>198</v>
      </c>
      <c r="D204" s="34">
        <v>3.81</v>
      </c>
      <c r="E204" s="35"/>
      <c r="F204" s="35">
        <v>25.83</v>
      </c>
      <c r="G204" s="35">
        <v>3.73</v>
      </c>
      <c r="H204" s="35"/>
      <c r="I204" s="36">
        <f t="shared" si="36"/>
        <v>33.369999999999997</v>
      </c>
      <c r="J204" s="37">
        <f>167.88-I204-1.09</f>
        <v>133.41999999999999</v>
      </c>
      <c r="K204" s="35"/>
      <c r="L204" s="35"/>
      <c r="M204" s="35">
        <f>I204+J204+K204+L204</f>
        <v>166.79</v>
      </c>
      <c r="N204" s="200" t="s">
        <v>376</v>
      </c>
      <c r="O204" s="200" t="s">
        <v>159</v>
      </c>
      <c r="P204" s="201" t="s">
        <v>334</v>
      </c>
      <c r="Q204" s="191" t="s">
        <v>339</v>
      </c>
    </row>
    <row r="205" spans="1:17" s="6" customFormat="1" ht="15" customHeight="1" x14ac:dyDescent="0.25">
      <c r="A205" s="198"/>
      <c r="B205" s="32" t="s">
        <v>24</v>
      </c>
      <c r="C205" s="199"/>
      <c r="D205" s="89">
        <v>3.81</v>
      </c>
      <c r="E205" s="90"/>
      <c r="F205" s="90"/>
      <c r="G205" s="90"/>
      <c r="H205" s="90"/>
      <c r="I205" s="91">
        <f t="shared" si="36"/>
        <v>3.81</v>
      </c>
      <c r="J205" s="92"/>
      <c r="K205" s="90"/>
      <c r="L205" s="90"/>
      <c r="M205" s="90">
        <f>I205</f>
        <v>3.81</v>
      </c>
      <c r="N205" s="200"/>
      <c r="O205" s="200"/>
      <c r="P205" s="201"/>
      <c r="Q205" s="192"/>
    </row>
    <row r="206" spans="1:17" s="6" customFormat="1" ht="106.5" customHeight="1" x14ac:dyDescent="0.25">
      <c r="A206" s="198">
        <v>90</v>
      </c>
      <c r="B206" s="88" t="s">
        <v>216</v>
      </c>
      <c r="C206" s="199" t="s">
        <v>198</v>
      </c>
      <c r="D206" s="89">
        <v>139.6</v>
      </c>
      <c r="E206" s="90"/>
      <c r="F206" s="90"/>
      <c r="G206" s="90"/>
      <c r="H206" s="90"/>
      <c r="I206" s="91">
        <f>D206</f>
        <v>139.6</v>
      </c>
      <c r="J206" s="92">
        <v>3000</v>
      </c>
      <c r="K206" s="90">
        <v>3000</v>
      </c>
      <c r="L206" s="90"/>
      <c r="M206" s="90">
        <f>I206+J206+K206</f>
        <v>6139.6</v>
      </c>
      <c r="N206" s="200" t="s">
        <v>217</v>
      </c>
      <c r="O206" s="213" t="s">
        <v>218</v>
      </c>
      <c r="P206" s="201" t="s">
        <v>363</v>
      </c>
      <c r="Q206" s="191" t="s">
        <v>339</v>
      </c>
    </row>
    <row r="207" spans="1:17" s="6" customFormat="1" ht="15" customHeight="1" x14ac:dyDescent="0.25">
      <c r="A207" s="198"/>
      <c r="B207" s="32" t="s">
        <v>24</v>
      </c>
      <c r="C207" s="199"/>
      <c r="D207" s="89">
        <v>130.6</v>
      </c>
      <c r="E207" s="90"/>
      <c r="F207" s="90"/>
      <c r="G207" s="90"/>
      <c r="H207" s="90"/>
      <c r="I207" s="91">
        <f t="shared" ref="I207" si="37">SUM(D207:H207)</f>
        <v>130.6</v>
      </c>
      <c r="J207" s="92"/>
      <c r="K207" s="90"/>
      <c r="L207" s="90"/>
      <c r="M207" s="90">
        <f>I207+J207+K207</f>
        <v>130.6</v>
      </c>
      <c r="N207" s="200"/>
      <c r="O207" s="213"/>
      <c r="P207" s="201"/>
      <c r="Q207" s="192"/>
    </row>
    <row r="208" spans="1:17" s="6" customFormat="1" ht="102" customHeight="1" x14ac:dyDescent="0.25">
      <c r="A208" s="198">
        <v>91</v>
      </c>
      <c r="B208" s="88" t="s">
        <v>219</v>
      </c>
      <c r="C208" s="199" t="s">
        <v>198</v>
      </c>
      <c r="D208" s="89"/>
      <c r="E208" s="90"/>
      <c r="F208" s="90"/>
      <c r="G208" s="90"/>
      <c r="H208" s="90"/>
      <c r="I208" s="91"/>
      <c r="J208" s="92">
        <v>10</v>
      </c>
      <c r="K208" s="90">
        <v>300</v>
      </c>
      <c r="L208" s="90">
        <v>5000</v>
      </c>
      <c r="M208" s="90">
        <f>I208+J208+K208+L208</f>
        <v>5310</v>
      </c>
      <c r="N208" s="200" t="s">
        <v>220</v>
      </c>
      <c r="O208" s="200" t="s">
        <v>66</v>
      </c>
      <c r="P208" s="201" t="s">
        <v>362</v>
      </c>
      <c r="Q208" s="191" t="s">
        <v>339</v>
      </c>
    </row>
    <row r="209" spans="1:17" s="6" customFormat="1" ht="15" customHeight="1" x14ac:dyDescent="0.25">
      <c r="A209" s="198"/>
      <c r="B209" s="32" t="s">
        <v>24</v>
      </c>
      <c r="C209" s="199"/>
      <c r="D209" s="89"/>
      <c r="E209" s="90"/>
      <c r="F209" s="90"/>
      <c r="G209" s="90"/>
      <c r="H209" s="90"/>
      <c r="I209" s="91"/>
      <c r="J209" s="92"/>
      <c r="K209" s="90">
        <v>300</v>
      </c>
      <c r="L209" s="90"/>
      <c r="M209" s="90"/>
      <c r="N209" s="200"/>
      <c r="O209" s="200"/>
      <c r="P209" s="201"/>
      <c r="Q209" s="192"/>
    </row>
    <row r="210" spans="1:17" s="2" customFormat="1" ht="230.25" customHeight="1" x14ac:dyDescent="0.25">
      <c r="A210" s="198">
        <v>92</v>
      </c>
      <c r="B210" s="158" t="s">
        <v>221</v>
      </c>
      <c r="C210" s="199" t="s">
        <v>198</v>
      </c>
      <c r="D210" s="34">
        <f>ROUND(((16047.68+30250+2420+9673.95)/1000),2)</f>
        <v>58.39</v>
      </c>
      <c r="E210" s="35">
        <f>ROUND(((1222875.8)/1000),2)</f>
        <v>1222.8800000000001</v>
      </c>
      <c r="F210" s="35">
        <f>ROUND(((389258.72)/1000),2)</f>
        <v>389.26</v>
      </c>
      <c r="G210" s="35">
        <f>ROUND(((30674.03)/1000),2)</f>
        <v>30.67</v>
      </c>
      <c r="H210" s="35"/>
      <c r="I210" s="36">
        <f t="shared" ref="I210:I215" si="38">SUM(D210:H210)</f>
        <v>1701.2000000000003</v>
      </c>
      <c r="J210" s="37">
        <f>ROUND((526022.39/1000),2)</f>
        <v>526.02</v>
      </c>
      <c r="K210" s="35"/>
      <c r="L210" s="35"/>
      <c r="M210" s="35">
        <f>J210+I210</f>
        <v>2227.2200000000003</v>
      </c>
      <c r="N210" s="200" t="s">
        <v>315</v>
      </c>
      <c r="O210" s="213" t="s">
        <v>159</v>
      </c>
      <c r="P210" s="201" t="s">
        <v>363</v>
      </c>
      <c r="Q210" s="191" t="s">
        <v>339</v>
      </c>
    </row>
    <row r="211" spans="1:17" s="6" customFormat="1" ht="15" customHeight="1" x14ac:dyDescent="0.25">
      <c r="A211" s="198"/>
      <c r="B211" s="32" t="s">
        <v>24</v>
      </c>
      <c r="C211" s="199"/>
      <c r="D211" s="89">
        <f>ROUND(((16047.68+30250)/1000),2)</f>
        <v>46.3</v>
      </c>
      <c r="E211" s="90"/>
      <c r="F211" s="90"/>
      <c r="G211" s="90"/>
      <c r="H211" s="90"/>
      <c r="I211" s="91">
        <f t="shared" si="38"/>
        <v>46.3</v>
      </c>
      <c r="J211" s="92"/>
      <c r="K211" s="90"/>
      <c r="L211" s="90"/>
      <c r="M211" s="90">
        <f>I211</f>
        <v>46.3</v>
      </c>
      <c r="N211" s="200"/>
      <c r="O211" s="213"/>
      <c r="P211" s="201"/>
      <c r="Q211" s="192"/>
    </row>
    <row r="212" spans="1:17" s="2" customFormat="1" ht="182.25" customHeight="1" x14ac:dyDescent="0.25">
      <c r="A212" s="198">
        <v>93</v>
      </c>
      <c r="B212" s="31" t="s">
        <v>222</v>
      </c>
      <c r="C212" s="199" t="s">
        <v>198</v>
      </c>
      <c r="D212" s="34">
        <f>ROUND(((38720+9680+250)/1000),2)+5.4</f>
        <v>54.05</v>
      </c>
      <c r="E212" s="35">
        <f>ROUND(((405818.25)/1000),2)</f>
        <v>405.82</v>
      </c>
      <c r="F212" s="35">
        <f>ROUND(((89049.96)/1000),2)</f>
        <v>89.05</v>
      </c>
      <c r="G212" s="35">
        <f>ROUND(((2357.2)/1000),2)</f>
        <v>2.36</v>
      </c>
      <c r="H212" s="35"/>
      <c r="I212" s="36">
        <f t="shared" si="38"/>
        <v>551.28</v>
      </c>
      <c r="J212" s="37">
        <f>ROUND((2048820.5/1000),2)+(212910.17/1000)</f>
        <v>2261.7301700000003</v>
      </c>
      <c r="K212" s="35"/>
      <c r="L212" s="35"/>
      <c r="M212" s="35">
        <f>J212+I212</f>
        <v>2813.0101700000005</v>
      </c>
      <c r="N212" s="200" t="s">
        <v>364</v>
      </c>
      <c r="O212" s="213" t="s">
        <v>27</v>
      </c>
      <c r="P212" s="201" t="s">
        <v>334</v>
      </c>
      <c r="Q212" s="191" t="s">
        <v>339</v>
      </c>
    </row>
    <row r="213" spans="1:17" s="6" customFormat="1" ht="14.25" customHeight="1" x14ac:dyDescent="0.25">
      <c r="A213" s="198"/>
      <c r="B213" s="32" t="s">
        <v>24</v>
      </c>
      <c r="C213" s="199"/>
      <c r="D213" s="89">
        <f>ROUND((38720/1000),2)</f>
        <v>38.72</v>
      </c>
      <c r="E213" s="90"/>
      <c r="F213" s="90"/>
      <c r="G213" s="90"/>
      <c r="H213" s="90"/>
      <c r="I213" s="91">
        <f t="shared" si="38"/>
        <v>38.72</v>
      </c>
      <c r="J213" s="92"/>
      <c r="K213" s="90"/>
      <c r="L213" s="90"/>
      <c r="M213" s="90"/>
      <c r="N213" s="200"/>
      <c r="O213" s="213"/>
      <c r="P213" s="201"/>
      <c r="Q213" s="192"/>
    </row>
    <row r="214" spans="1:17" s="2" customFormat="1" ht="262.5" customHeight="1" x14ac:dyDescent="0.25">
      <c r="A214" s="198">
        <v>94</v>
      </c>
      <c r="B214" s="31" t="s">
        <v>223</v>
      </c>
      <c r="C214" s="199" t="s">
        <v>198</v>
      </c>
      <c r="D214" s="34">
        <f>ROUND(((95928+19920.2+250)/1000),2)+1.2</f>
        <v>117.3</v>
      </c>
      <c r="E214" s="35"/>
      <c r="F214" s="35"/>
      <c r="G214" s="35"/>
      <c r="H214" s="35"/>
      <c r="I214" s="36">
        <f t="shared" si="38"/>
        <v>117.3</v>
      </c>
      <c r="J214" s="37">
        <f>ROUND((3652064.25/1000),2)</f>
        <v>3652.06</v>
      </c>
      <c r="K214" s="35">
        <f>ROUND((2744717.83/1000),2)</f>
        <v>2744.72</v>
      </c>
      <c r="L214" s="35"/>
      <c r="M214" s="35">
        <f>I214+J214+K214</f>
        <v>6514.08</v>
      </c>
      <c r="N214" s="200" t="s">
        <v>316</v>
      </c>
      <c r="O214" s="213" t="s">
        <v>52</v>
      </c>
      <c r="P214" s="201" t="s">
        <v>363</v>
      </c>
      <c r="Q214" s="191" t="s">
        <v>339</v>
      </c>
    </row>
    <row r="215" spans="1:17" s="6" customFormat="1" ht="15.75" customHeight="1" x14ac:dyDescent="0.25">
      <c r="A215" s="198"/>
      <c r="B215" s="32" t="s">
        <v>24</v>
      </c>
      <c r="C215" s="199"/>
      <c r="D215" s="89">
        <f>ROUND((99100*1.21*0.8/1000),2)</f>
        <v>95.93</v>
      </c>
      <c r="E215" s="90"/>
      <c r="F215" s="90"/>
      <c r="G215" s="90"/>
      <c r="H215" s="90"/>
      <c r="I215" s="91">
        <f t="shared" si="38"/>
        <v>95.93</v>
      </c>
      <c r="J215" s="92"/>
      <c r="K215" s="90"/>
      <c r="L215" s="90"/>
      <c r="M215" s="90">
        <f>I215</f>
        <v>95.93</v>
      </c>
      <c r="N215" s="200"/>
      <c r="O215" s="213"/>
      <c r="P215" s="201"/>
      <c r="Q215" s="192"/>
    </row>
    <row r="216" spans="1:17" s="6" customFormat="1" ht="76.5" customHeight="1" x14ac:dyDescent="0.25">
      <c r="A216" s="198">
        <v>95</v>
      </c>
      <c r="B216" s="88" t="s">
        <v>224</v>
      </c>
      <c r="C216" s="199" t="s">
        <v>198</v>
      </c>
      <c r="D216" s="89"/>
      <c r="E216" s="90"/>
      <c r="F216" s="90"/>
      <c r="G216" s="90"/>
      <c r="H216" s="90"/>
      <c r="I216" s="91"/>
      <c r="J216" s="92"/>
      <c r="K216" s="90">
        <v>800</v>
      </c>
      <c r="L216" s="90"/>
      <c r="M216" s="90">
        <f>K216</f>
        <v>800</v>
      </c>
      <c r="N216" s="200" t="s">
        <v>225</v>
      </c>
      <c r="O216" s="200" t="s">
        <v>49</v>
      </c>
      <c r="P216" s="201" t="s">
        <v>334</v>
      </c>
      <c r="Q216" s="191" t="s">
        <v>339</v>
      </c>
    </row>
    <row r="217" spans="1:17" s="6" customFormat="1" ht="12.75" customHeight="1" x14ac:dyDescent="0.25">
      <c r="A217" s="198"/>
      <c r="B217" s="32" t="s">
        <v>24</v>
      </c>
      <c r="C217" s="199"/>
      <c r="D217" s="89"/>
      <c r="E217" s="90"/>
      <c r="F217" s="90"/>
      <c r="G217" s="90"/>
      <c r="H217" s="90"/>
      <c r="I217" s="91"/>
      <c r="J217" s="92"/>
      <c r="K217" s="90">
        <v>20</v>
      </c>
      <c r="L217" s="90"/>
      <c r="M217" s="90">
        <f>K217</f>
        <v>20</v>
      </c>
      <c r="N217" s="200"/>
      <c r="O217" s="200"/>
      <c r="P217" s="201"/>
      <c r="Q217" s="192"/>
    </row>
    <row r="218" spans="1:17" s="6" customFormat="1" ht="43.5" customHeight="1" x14ac:dyDescent="0.25">
      <c r="A218" s="198">
        <v>96</v>
      </c>
      <c r="B218" s="88" t="s">
        <v>226</v>
      </c>
      <c r="C218" s="199" t="s">
        <v>198</v>
      </c>
      <c r="D218" s="89"/>
      <c r="E218" s="90"/>
      <c r="F218" s="90"/>
      <c r="G218" s="90"/>
      <c r="H218" s="90"/>
      <c r="I218" s="91"/>
      <c r="J218" s="92">
        <v>121</v>
      </c>
      <c r="K218" s="90">
        <v>800</v>
      </c>
      <c r="L218" s="90"/>
      <c r="M218" s="90">
        <f>I218+J218+K218</f>
        <v>921</v>
      </c>
      <c r="N218" s="200" t="s">
        <v>330</v>
      </c>
      <c r="O218" s="200" t="s">
        <v>30</v>
      </c>
      <c r="P218" s="201" t="s">
        <v>334</v>
      </c>
      <c r="Q218" s="191" t="s">
        <v>339</v>
      </c>
    </row>
    <row r="219" spans="1:17" s="6" customFormat="1" ht="12.75" customHeight="1" x14ac:dyDescent="0.25">
      <c r="A219" s="198"/>
      <c r="B219" s="32" t="s">
        <v>24</v>
      </c>
      <c r="C219" s="199"/>
      <c r="D219" s="89"/>
      <c r="E219" s="90"/>
      <c r="F219" s="90"/>
      <c r="G219" s="90"/>
      <c r="H219" s="90"/>
      <c r="I219" s="91"/>
      <c r="J219" s="92"/>
      <c r="K219" s="90"/>
      <c r="L219" s="90"/>
      <c r="M219" s="90"/>
      <c r="N219" s="200"/>
      <c r="O219" s="200"/>
      <c r="P219" s="201"/>
      <c r="Q219" s="192"/>
    </row>
    <row r="220" spans="1:17" s="6" customFormat="1" ht="409.5" customHeight="1" x14ac:dyDescent="0.25">
      <c r="A220" s="198">
        <v>97</v>
      </c>
      <c r="B220" s="88" t="s">
        <v>285</v>
      </c>
      <c r="C220" s="199" t="s">
        <v>198</v>
      </c>
      <c r="D220" s="89">
        <v>307</v>
      </c>
      <c r="E220" s="90"/>
      <c r="F220" s="90"/>
      <c r="G220" s="90"/>
      <c r="H220" s="90"/>
      <c r="I220" s="91">
        <f>D220</f>
        <v>307</v>
      </c>
      <c r="J220" s="92">
        <v>200</v>
      </c>
      <c r="K220" s="90">
        <v>200</v>
      </c>
      <c r="L220" s="90">
        <v>200</v>
      </c>
      <c r="M220" s="90">
        <f>L220+K220+J220+I220</f>
        <v>907</v>
      </c>
      <c r="N220" s="200" t="s">
        <v>300</v>
      </c>
      <c r="O220" s="203" t="s">
        <v>84</v>
      </c>
      <c r="P220" s="201" t="s">
        <v>335</v>
      </c>
      <c r="Q220" s="191" t="s">
        <v>340</v>
      </c>
    </row>
    <row r="221" spans="1:17" s="6" customFormat="1" ht="21" customHeight="1" x14ac:dyDescent="0.25">
      <c r="A221" s="198"/>
      <c r="B221" s="32" t="s">
        <v>24</v>
      </c>
      <c r="C221" s="199"/>
      <c r="D221" s="89"/>
      <c r="E221" s="90"/>
      <c r="F221" s="90"/>
      <c r="G221" s="90"/>
      <c r="H221" s="90"/>
      <c r="I221" s="91"/>
      <c r="J221" s="92"/>
      <c r="K221" s="90"/>
      <c r="L221" s="90"/>
      <c r="M221" s="90"/>
      <c r="N221" s="200"/>
      <c r="O221" s="203"/>
      <c r="P221" s="201"/>
      <c r="Q221" s="192"/>
    </row>
    <row r="222" spans="1:17" s="6" customFormat="1" ht="202.5" customHeight="1" x14ac:dyDescent="0.25">
      <c r="A222" s="198">
        <v>98</v>
      </c>
      <c r="B222" s="88" t="s">
        <v>286</v>
      </c>
      <c r="C222" s="199" t="s">
        <v>198</v>
      </c>
      <c r="D222" s="89">
        <f>26.2-5.4+3.7</f>
        <v>24.499999999999996</v>
      </c>
      <c r="E222" s="90"/>
      <c r="F222" s="90"/>
      <c r="G222" s="90"/>
      <c r="H222" s="90"/>
      <c r="I222" s="91">
        <f>D222</f>
        <v>24.499999999999996</v>
      </c>
      <c r="J222" s="92"/>
      <c r="K222" s="90"/>
      <c r="L222" s="90"/>
      <c r="M222" s="90">
        <f>L222+K222+J222+I222</f>
        <v>24.499999999999996</v>
      </c>
      <c r="N222" s="200" t="s">
        <v>301</v>
      </c>
      <c r="O222" s="203">
        <v>2018</v>
      </c>
      <c r="P222" s="201" t="s">
        <v>335</v>
      </c>
      <c r="Q222" s="191" t="s">
        <v>340</v>
      </c>
    </row>
    <row r="223" spans="1:17" s="6" customFormat="1" ht="12.75" customHeight="1" x14ac:dyDescent="0.25">
      <c r="A223" s="198"/>
      <c r="B223" s="32" t="s">
        <v>24</v>
      </c>
      <c r="C223" s="199"/>
      <c r="D223" s="89"/>
      <c r="E223" s="90"/>
      <c r="F223" s="90"/>
      <c r="G223" s="90"/>
      <c r="H223" s="90"/>
      <c r="I223" s="91"/>
      <c r="J223" s="92"/>
      <c r="K223" s="90"/>
      <c r="L223" s="90"/>
      <c r="M223" s="90"/>
      <c r="N223" s="200"/>
      <c r="O223" s="203"/>
      <c r="P223" s="201"/>
      <c r="Q223" s="192"/>
    </row>
    <row r="224" spans="1:17" s="6" customFormat="1" ht="115.5" customHeight="1" x14ac:dyDescent="0.25">
      <c r="A224" s="133">
        <v>99</v>
      </c>
      <c r="B224" s="88" t="s">
        <v>227</v>
      </c>
      <c r="C224" s="152" t="s">
        <v>198</v>
      </c>
      <c r="D224" s="89">
        <v>202</v>
      </c>
      <c r="E224" s="90"/>
      <c r="F224" s="90"/>
      <c r="G224" s="90"/>
      <c r="H224" s="90"/>
      <c r="I224" s="91">
        <f t="shared" ref="I224" si="39">SUM(D224:H224)</f>
        <v>202</v>
      </c>
      <c r="J224" s="92">
        <v>281.75</v>
      </c>
      <c r="K224" s="90">
        <v>300</v>
      </c>
      <c r="L224" s="90">
        <v>300</v>
      </c>
      <c r="M224" s="90">
        <f>L224+K224+J224+I224</f>
        <v>1083.75</v>
      </c>
      <c r="N224" s="135" t="s">
        <v>228</v>
      </c>
      <c r="O224" s="135" t="s">
        <v>79</v>
      </c>
      <c r="P224" s="137" t="s">
        <v>229</v>
      </c>
      <c r="Q224" s="138" t="s">
        <v>339</v>
      </c>
    </row>
    <row r="225" spans="1:17" s="6" customFormat="1" ht="110.25" customHeight="1" x14ac:dyDescent="0.25">
      <c r="A225" s="198">
        <v>100</v>
      </c>
      <c r="B225" s="88" t="s">
        <v>230</v>
      </c>
      <c r="C225" s="199" t="s">
        <v>198</v>
      </c>
      <c r="D225" s="89">
        <v>24.2</v>
      </c>
      <c r="E225" s="90"/>
      <c r="F225" s="90"/>
      <c r="G225" s="90"/>
      <c r="H225" s="90"/>
      <c r="I225" s="91">
        <f>D225</f>
        <v>24.2</v>
      </c>
      <c r="J225" s="92"/>
      <c r="K225" s="90">
        <v>197.7</v>
      </c>
      <c r="L225" s="90">
        <v>129.80000000000001</v>
      </c>
      <c r="M225" s="90">
        <f>I225+J225+K225+L225</f>
        <v>351.7</v>
      </c>
      <c r="N225" s="200" t="s">
        <v>231</v>
      </c>
      <c r="O225" s="200" t="s">
        <v>84</v>
      </c>
      <c r="P225" s="227" t="s">
        <v>365</v>
      </c>
      <c r="Q225" s="191" t="s">
        <v>339</v>
      </c>
    </row>
    <row r="226" spans="1:17" s="6" customFormat="1" x14ac:dyDescent="0.25">
      <c r="A226" s="198"/>
      <c r="B226" s="32" t="s">
        <v>24</v>
      </c>
      <c r="C226" s="199"/>
      <c r="D226" s="89"/>
      <c r="E226" s="90"/>
      <c r="F226" s="90"/>
      <c r="G226" s="90"/>
      <c r="H226" s="90"/>
      <c r="I226" s="91"/>
      <c r="J226" s="92"/>
      <c r="K226" s="90">
        <v>21</v>
      </c>
      <c r="L226" s="90"/>
      <c r="M226" s="90">
        <f t="shared" ref="M226" si="40">I226+J226+K226+L226</f>
        <v>21</v>
      </c>
      <c r="N226" s="200"/>
      <c r="O226" s="200"/>
      <c r="P226" s="227"/>
      <c r="Q226" s="192"/>
    </row>
    <row r="227" spans="1:17" s="6" customFormat="1" ht="153.75" customHeight="1" x14ac:dyDescent="0.25">
      <c r="A227" s="198">
        <v>101</v>
      </c>
      <c r="B227" s="88" t="s">
        <v>232</v>
      </c>
      <c r="C227" s="199" t="s">
        <v>198</v>
      </c>
      <c r="D227" s="89">
        <v>35</v>
      </c>
      <c r="E227" s="90"/>
      <c r="F227" s="90"/>
      <c r="G227" s="90"/>
      <c r="H227" s="90"/>
      <c r="I227" s="91">
        <f>SUM(D227:H227)</f>
        <v>35</v>
      </c>
      <c r="J227" s="92">
        <f>50+40</f>
        <v>90</v>
      </c>
      <c r="K227" s="90">
        <v>50</v>
      </c>
      <c r="L227" s="90">
        <v>50</v>
      </c>
      <c r="M227" s="90">
        <f>L227+K227+J227+I227</f>
        <v>225</v>
      </c>
      <c r="N227" s="200" t="s">
        <v>233</v>
      </c>
      <c r="O227" s="200" t="s">
        <v>84</v>
      </c>
      <c r="P227" s="201" t="s">
        <v>130</v>
      </c>
      <c r="Q227" s="191" t="s">
        <v>339</v>
      </c>
    </row>
    <row r="228" spans="1:17" s="6" customFormat="1" x14ac:dyDescent="0.25">
      <c r="A228" s="198"/>
      <c r="B228" s="32" t="s">
        <v>24</v>
      </c>
      <c r="C228" s="199"/>
      <c r="D228" s="89"/>
      <c r="E228" s="90"/>
      <c r="F228" s="90"/>
      <c r="G228" s="90"/>
      <c r="H228" s="90"/>
      <c r="I228" s="91"/>
      <c r="J228" s="92"/>
      <c r="K228" s="90"/>
      <c r="L228" s="90"/>
      <c r="M228" s="90"/>
      <c r="N228" s="200"/>
      <c r="O228" s="200"/>
      <c r="P228" s="201"/>
      <c r="Q228" s="192"/>
    </row>
    <row r="229" spans="1:17" s="6" customFormat="1" ht="171.75" customHeight="1" x14ac:dyDescent="0.25">
      <c r="A229" s="198">
        <v>102</v>
      </c>
      <c r="B229" s="88" t="s">
        <v>234</v>
      </c>
      <c r="C229" s="199" t="s">
        <v>198</v>
      </c>
      <c r="D229" s="89">
        <v>50</v>
      </c>
      <c r="E229" s="90"/>
      <c r="F229" s="90"/>
      <c r="G229" s="90"/>
      <c r="H229" s="90"/>
      <c r="I229" s="91">
        <v>50</v>
      </c>
      <c r="J229" s="92">
        <f>65.3</f>
        <v>65.3</v>
      </c>
      <c r="K229" s="90">
        <v>200</v>
      </c>
      <c r="L229" s="90">
        <v>1500</v>
      </c>
      <c r="M229" s="90">
        <f>I229+J229+K229+L229</f>
        <v>1815.3</v>
      </c>
      <c r="N229" s="200" t="s">
        <v>235</v>
      </c>
      <c r="O229" s="213" t="s">
        <v>84</v>
      </c>
      <c r="P229" s="201" t="s">
        <v>334</v>
      </c>
      <c r="Q229" s="191" t="s">
        <v>339</v>
      </c>
    </row>
    <row r="230" spans="1:17" s="6" customFormat="1" x14ac:dyDescent="0.25">
      <c r="A230" s="198"/>
      <c r="B230" s="32" t="s">
        <v>24</v>
      </c>
      <c r="C230" s="199"/>
      <c r="D230" s="89">
        <v>50</v>
      </c>
      <c r="E230" s="90"/>
      <c r="F230" s="90"/>
      <c r="G230" s="90"/>
      <c r="H230" s="90"/>
      <c r="I230" s="91">
        <v>50</v>
      </c>
      <c r="J230" s="92">
        <f>64.1</f>
        <v>64.099999999999994</v>
      </c>
      <c r="K230" s="90"/>
      <c r="L230" s="90"/>
      <c r="M230" s="90">
        <f>I230+J230</f>
        <v>114.1</v>
      </c>
      <c r="N230" s="200"/>
      <c r="O230" s="213"/>
      <c r="P230" s="201"/>
      <c r="Q230" s="192"/>
    </row>
    <row r="231" spans="1:17" s="6" customFormat="1" ht="30.75" customHeight="1" x14ac:dyDescent="0.25">
      <c r="A231" s="159"/>
      <c r="B231" s="160" t="s">
        <v>236</v>
      </c>
      <c r="C231" s="161" t="s">
        <v>237</v>
      </c>
      <c r="D231" s="162"/>
      <c r="E231" s="163"/>
      <c r="F231" s="163"/>
      <c r="G231" s="163"/>
      <c r="H231" s="163"/>
      <c r="I231" s="164"/>
      <c r="J231" s="165"/>
      <c r="K231" s="163"/>
      <c r="L231" s="163"/>
      <c r="M231" s="166"/>
      <c r="N231" s="167"/>
      <c r="O231" s="168"/>
      <c r="P231" s="169"/>
      <c r="Q231" s="169"/>
    </row>
    <row r="232" spans="1:17" s="6" customFormat="1" ht="155.25" customHeight="1" x14ac:dyDescent="0.25">
      <c r="A232" s="204">
        <v>103</v>
      </c>
      <c r="B232" s="88" t="s">
        <v>317</v>
      </c>
      <c r="C232" s="199" t="s">
        <v>237</v>
      </c>
      <c r="D232" s="89">
        <f>1689.3+93+63.3</f>
        <v>1845.6</v>
      </c>
      <c r="E232" s="90">
        <f>1297.7+916.9</f>
        <v>2214.6</v>
      </c>
      <c r="F232" s="90"/>
      <c r="G232" s="90"/>
      <c r="H232" s="90"/>
      <c r="I232" s="91">
        <f t="shared" ref="I232" si="41">SUM(D232:H232)</f>
        <v>4060.2</v>
      </c>
      <c r="J232" s="92"/>
      <c r="K232" s="90"/>
      <c r="L232" s="90"/>
      <c r="M232" s="90">
        <f>I232</f>
        <v>4060.2</v>
      </c>
      <c r="N232" s="200" t="s">
        <v>238</v>
      </c>
      <c r="O232" s="213" t="s">
        <v>239</v>
      </c>
      <c r="P232" s="201" t="s">
        <v>334</v>
      </c>
      <c r="Q232" s="191" t="s">
        <v>339</v>
      </c>
    </row>
    <row r="233" spans="1:17" s="6" customFormat="1" x14ac:dyDescent="0.25">
      <c r="A233" s="204"/>
      <c r="B233" s="32" t="s">
        <v>24</v>
      </c>
      <c r="C233" s="199"/>
      <c r="D233" s="89"/>
      <c r="E233" s="90"/>
      <c r="F233" s="90"/>
      <c r="G233" s="90"/>
      <c r="H233" s="90"/>
      <c r="I233" s="91"/>
      <c r="J233" s="92"/>
      <c r="K233" s="90"/>
      <c r="L233" s="90"/>
      <c r="M233" s="90"/>
      <c r="N233" s="200"/>
      <c r="O233" s="213"/>
      <c r="P233" s="201"/>
      <c r="Q233" s="192"/>
    </row>
    <row r="234" spans="1:17" s="6" customFormat="1" ht="120" customHeight="1" x14ac:dyDescent="0.25">
      <c r="A234" s="204">
        <v>104</v>
      </c>
      <c r="B234" s="88" t="s">
        <v>293</v>
      </c>
      <c r="C234" s="199" t="s">
        <v>237</v>
      </c>
      <c r="D234" s="89">
        <v>242.9</v>
      </c>
      <c r="E234" s="90"/>
      <c r="F234" s="90"/>
      <c r="G234" s="90"/>
      <c r="H234" s="90"/>
      <c r="I234" s="91">
        <f t="shared" ref="I234" si="42">SUM(D234:H234)</f>
        <v>242.9</v>
      </c>
      <c r="J234" s="92"/>
      <c r="K234" s="90">
        <v>200</v>
      </c>
      <c r="L234" s="90">
        <v>200</v>
      </c>
      <c r="M234" s="90">
        <f>L234+K234+J234+I234</f>
        <v>642.9</v>
      </c>
      <c r="N234" s="200" t="s">
        <v>294</v>
      </c>
      <c r="O234" s="213" t="s">
        <v>84</v>
      </c>
      <c r="P234" s="201" t="s">
        <v>335</v>
      </c>
      <c r="Q234" s="191" t="s">
        <v>340</v>
      </c>
    </row>
    <row r="235" spans="1:17" s="6" customFormat="1" x14ac:dyDescent="0.25">
      <c r="A235" s="204"/>
      <c r="B235" s="32" t="s">
        <v>24</v>
      </c>
      <c r="C235" s="199"/>
      <c r="D235" s="89">
        <f>29+39</f>
        <v>68</v>
      </c>
      <c r="E235" s="90"/>
      <c r="F235" s="90"/>
      <c r="G235" s="90"/>
      <c r="H235" s="90"/>
      <c r="I235" s="91">
        <f>D235</f>
        <v>68</v>
      </c>
      <c r="J235" s="92"/>
      <c r="K235" s="90"/>
      <c r="L235" s="90"/>
      <c r="M235" s="90">
        <f>I235</f>
        <v>68</v>
      </c>
      <c r="N235" s="200"/>
      <c r="O235" s="213"/>
      <c r="P235" s="201"/>
      <c r="Q235" s="192"/>
    </row>
    <row r="236" spans="1:17" s="6" customFormat="1" ht="39.75" customHeight="1" x14ac:dyDescent="0.25">
      <c r="A236" s="204">
        <v>105</v>
      </c>
      <c r="B236" s="88" t="s">
        <v>240</v>
      </c>
      <c r="C236" s="199" t="s">
        <v>237</v>
      </c>
      <c r="D236" s="89"/>
      <c r="E236" s="90"/>
      <c r="F236" s="90"/>
      <c r="G236" s="90"/>
      <c r="H236" s="90"/>
      <c r="I236" s="91"/>
      <c r="J236" s="92">
        <v>42.7</v>
      </c>
      <c r="K236" s="90">
        <v>700</v>
      </c>
      <c r="L236" s="90"/>
      <c r="M236" s="90">
        <f>J236+K236</f>
        <v>742.7</v>
      </c>
      <c r="N236" s="200" t="s">
        <v>241</v>
      </c>
      <c r="O236" s="203" t="s">
        <v>30</v>
      </c>
      <c r="P236" s="201" t="s">
        <v>334</v>
      </c>
      <c r="Q236" s="191" t="s">
        <v>339</v>
      </c>
    </row>
    <row r="237" spans="1:17" s="6" customFormat="1" ht="15" customHeight="1" x14ac:dyDescent="0.25">
      <c r="A237" s="204"/>
      <c r="B237" s="32" t="s">
        <v>62</v>
      </c>
      <c r="C237" s="199"/>
      <c r="D237" s="89"/>
      <c r="E237" s="90"/>
      <c r="F237" s="90"/>
      <c r="G237" s="90"/>
      <c r="H237" s="90"/>
      <c r="I237" s="91"/>
      <c r="J237" s="92">
        <v>42.7</v>
      </c>
      <c r="K237" s="90"/>
      <c r="L237" s="90"/>
      <c r="M237" s="90">
        <f>J237</f>
        <v>42.7</v>
      </c>
      <c r="N237" s="200"/>
      <c r="O237" s="203"/>
      <c r="P237" s="201"/>
      <c r="Q237" s="192"/>
    </row>
    <row r="238" spans="1:17" s="6" customFormat="1" ht="153" customHeight="1" x14ac:dyDescent="0.25">
      <c r="A238" s="204">
        <v>106</v>
      </c>
      <c r="B238" s="88" t="s">
        <v>318</v>
      </c>
      <c r="C238" s="199" t="s">
        <v>237</v>
      </c>
      <c r="D238" s="89">
        <f>49.9+16.6+14.9</f>
        <v>81.400000000000006</v>
      </c>
      <c r="E238" s="90"/>
      <c r="F238" s="90"/>
      <c r="G238" s="90"/>
      <c r="H238" s="90"/>
      <c r="I238" s="91">
        <f>D238</f>
        <v>81.400000000000006</v>
      </c>
      <c r="J238" s="92"/>
      <c r="K238" s="90"/>
      <c r="L238" s="90"/>
      <c r="M238" s="90">
        <f>I238</f>
        <v>81.400000000000006</v>
      </c>
      <c r="N238" s="200" t="s">
        <v>242</v>
      </c>
      <c r="O238" s="203">
        <v>2018</v>
      </c>
      <c r="P238" s="201" t="s">
        <v>335</v>
      </c>
      <c r="Q238" s="191" t="s">
        <v>340</v>
      </c>
    </row>
    <row r="239" spans="1:17" s="6" customFormat="1" x14ac:dyDescent="0.25">
      <c r="A239" s="204"/>
      <c r="B239" s="32" t="s">
        <v>24</v>
      </c>
      <c r="C239" s="199"/>
      <c r="D239" s="89"/>
      <c r="E239" s="90"/>
      <c r="F239" s="90"/>
      <c r="G239" s="90"/>
      <c r="H239" s="90"/>
      <c r="I239" s="91"/>
      <c r="J239" s="92"/>
      <c r="K239" s="90"/>
      <c r="L239" s="90"/>
      <c r="M239" s="90"/>
      <c r="N239" s="200"/>
      <c r="O239" s="203"/>
      <c r="P239" s="201"/>
      <c r="Q239" s="192"/>
    </row>
    <row r="240" spans="1:17" s="6" customFormat="1" ht="114.75" customHeight="1" x14ac:dyDescent="0.25">
      <c r="A240" s="204">
        <v>107</v>
      </c>
      <c r="B240" s="88" t="s">
        <v>319</v>
      </c>
      <c r="C240" s="199" t="s">
        <v>237</v>
      </c>
      <c r="D240" s="89">
        <v>15</v>
      </c>
      <c r="E240" s="90"/>
      <c r="F240" s="90"/>
      <c r="G240" s="90"/>
      <c r="H240" s="90"/>
      <c r="I240" s="91">
        <f>D240</f>
        <v>15</v>
      </c>
      <c r="J240" s="92">
        <f>185+190</f>
        <v>375</v>
      </c>
      <c r="K240" s="90"/>
      <c r="L240" s="90"/>
      <c r="M240" s="90">
        <f>I240+J240+K240+L240</f>
        <v>390</v>
      </c>
      <c r="N240" s="200" t="s">
        <v>243</v>
      </c>
      <c r="O240" s="203" t="s">
        <v>164</v>
      </c>
      <c r="P240" s="201" t="s">
        <v>335</v>
      </c>
      <c r="Q240" s="191" t="s">
        <v>340</v>
      </c>
    </row>
    <row r="241" spans="1:17" s="6" customFormat="1" ht="22.5" customHeight="1" x14ac:dyDescent="0.25">
      <c r="A241" s="204"/>
      <c r="B241" s="32" t="s">
        <v>24</v>
      </c>
      <c r="C241" s="199"/>
      <c r="D241" s="89">
        <v>15</v>
      </c>
      <c r="E241" s="90"/>
      <c r="F241" s="90"/>
      <c r="G241" s="90"/>
      <c r="H241" s="90"/>
      <c r="I241" s="91">
        <f>D241</f>
        <v>15</v>
      </c>
      <c r="J241" s="92">
        <v>10</v>
      </c>
      <c r="K241" s="90"/>
      <c r="L241" s="90"/>
      <c r="M241" s="90">
        <f>I241</f>
        <v>15</v>
      </c>
      <c r="N241" s="200"/>
      <c r="O241" s="203"/>
      <c r="P241" s="201"/>
      <c r="Q241" s="192"/>
    </row>
    <row r="242" spans="1:17" s="6" customFormat="1" ht="108" customHeight="1" x14ac:dyDescent="0.25">
      <c r="A242" s="204">
        <v>108</v>
      </c>
      <c r="B242" s="88" t="s">
        <v>320</v>
      </c>
      <c r="C242" s="199" t="s">
        <v>237</v>
      </c>
      <c r="D242" s="89">
        <v>125</v>
      </c>
      <c r="E242" s="90"/>
      <c r="F242" s="90"/>
      <c r="G242" s="90"/>
      <c r="H242" s="90"/>
      <c r="I242" s="91">
        <f>D242</f>
        <v>125</v>
      </c>
      <c r="J242" s="92">
        <f>225</f>
        <v>225</v>
      </c>
      <c r="K242" s="90">
        <v>15</v>
      </c>
      <c r="L242" s="90"/>
      <c r="M242" s="90">
        <f>I242+J242+K242</f>
        <v>365</v>
      </c>
      <c r="N242" s="200" t="s">
        <v>244</v>
      </c>
      <c r="O242" s="203" t="s">
        <v>138</v>
      </c>
      <c r="P242" s="201" t="s">
        <v>335</v>
      </c>
      <c r="Q242" s="191" t="s">
        <v>339</v>
      </c>
    </row>
    <row r="243" spans="1:17" s="6" customFormat="1" x14ac:dyDescent="0.25">
      <c r="A243" s="204"/>
      <c r="B243" s="32" t="s">
        <v>24</v>
      </c>
      <c r="C243" s="199"/>
      <c r="D243" s="89">
        <v>0.5</v>
      </c>
      <c r="E243" s="90"/>
      <c r="F243" s="90"/>
      <c r="G243" s="90"/>
      <c r="H243" s="90"/>
      <c r="I243" s="91">
        <f>D243</f>
        <v>0.5</v>
      </c>
      <c r="J243" s="92">
        <v>36</v>
      </c>
      <c r="K243" s="90">
        <v>1.9</v>
      </c>
      <c r="L243" s="90"/>
      <c r="M243" s="90">
        <f>J243+K243+I243</f>
        <v>38.4</v>
      </c>
      <c r="N243" s="200"/>
      <c r="O243" s="203"/>
      <c r="P243" s="201"/>
      <c r="Q243" s="192"/>
    </row>
    <row r="244" spans="1:17" s="6" customFormat="1" ht="63.75" customHeight="1" x14ac:dyDescent="0.25">
      <c r="A244" s="204">
        <v>109</v>
      </c>
      <c r="B244" s="88" t="s">
        <v>245</v>
      </c>
      <c r="C244" s="199" t="s">
        <v>237</v>
      </c>
      <c r="D244" s="89"/>
      <c r="E244" s="90"/>
      <c r="F244" s="90"/>
      <c r="G244" s="90"/>
      <c r="H244" s="90"/>
      <c r="I244" s="91"/>
      <c r="J244" s="92">
        <v>29.1</v>
      </c>
      <c r="K244" s="90"/>
      <c r="L244" s="90"/>
      <c r="M244" s="90">
        <f>L244+K244+J244+I244</f>
        <v>29.1</v>
      </c>
      <c r="N244" s="200" t="s">
        <v>246</v>
      </c>
      <c r="O244" s="203">
        <v>2019</v>
      </c>
      <c r="P244" s="201" t="s">
        <v>335</v>
      </c>
      <c r="Q244" s="191" t="s">
        <v>339</v>
      </c>
    </row>
    <row r="245" spans="1:17" s="10" customFormat="1" x14ac:dyDescent="0.2">
      <c r="A245" s="204"/>
      <c r="B245" s="32" t="s">
        <v>62</v>
      </c>
      <c r="C245" s="199"/>
      <c r="D245" s="89"/>
      <c r="E245" s="90"/>
      <c r="F245" s="90"/>
      <c r="G245" s="90"/>
      <c r="H245" s="90"/>
      <c r="I245" s="91"/>
      <c r="J245" s="92"/>
      <c r="K245" s="90"/>
      <c r="L245" s="90"/>
      <c r="M245" s="90"/>
      <c r="N245" s="200"/>
      <c r="O245" s="203"/>
      <c r="P245" s="201"/>
      <c r="Q245" s="192"/>
    </row>
    <row r="246" spans="1:17" s="6" customFormat="1" ht="112.5" customHeight="1" x14ac:dyDescent="0.25">
      <c r="A246" s="204">
        <v>110</v>
      </c>
      <c r="B246" s="88" t="s">
        <v>292</v>
      </c>
      <c r="C246" s="199" t="s">
        <v>237</v>
      </c>
      <c r="D246" s="89">
        <v>31.7</v>
      </c>
      <c r="E246" s="90"/>
      <c r="F246" s="90"/>
      <c r="G246" s="90"/>
      <c r="H246" s="90"/>
      <c r="I246" s="91">
        <f>D246</f>
        <v>31.7</v>
      </c>
      <c r="J246" s="92">
        <v>30</v>
      </c>
      <c r="K246" s="90">
        <v>30</v>
      </c>
      <c r="L246" s="90">
        <v>30</v>
      </c>
      <c r="M246" s="90">
        <f>L246+K246+J246+I246</f>
        <v>121.7</v>
      </c>
      <c r="N246" s="200" t="s">
        <v>333</v>
      </c>
      <c r="O246" s="203" t="s">
        <v>66</v>
      </c>
      <c r="P246" s="201" t="s">
        <v>335</v>
      </c>
      <c r="Q246" s="191" t="s">
        <v>340</v>
      </c>
    </row>
    <row r="247" spans="1:17" s="10" customFormat="1" x14ac:dyDescent="0.2">
      <c r="A247" s="204"/>
      <c r="B247" s="32" t="s">
        <v>62</v>
      </c>
      <c r="C247" s="199"/>
      <c r="D247" s="89"/>
      <c r="E247" s="90"/>
      <c r="F247" s="90"/>
      <c r="G247" s="90"/>
      <c r="H247" s="90"/>
      <c r="I247" s="91"/>
      <c r="J247" s="92"/>
      <c r="K247" s="90"/>
      <c r="L247" s="90"/>
      <c r="M247" s="90"/>
      <c r="N247" s="200"/>
      <c r="O247" s="203"/>
      <c r="P247" s="201"/>
      <c r="Q247" s="192"/>
    </row>
    <row r="248" spans="1:17" s="10" customFormat="1" ht="137.25" customHeight="1" x14ac:dyDescent="0.2">
      <c r="A248" s="204">
        <v>111</v>
      </c>
      <c r="B248" s="88" t="s">
        <v>247</v>
      </c>
      <c r="C248" s="199" t="s">
        <v>237</v>
      </c>
      <c r="D248" s="89">
        <v>71</v>
      </c>
      <c r="E248" s="90"/>
      <c r="F248" s="90"/>
      <c r="G248" s="90"/>
      <c r="H248" s="90"/>
      <c r="I248" s="91">
        <v>71</v>
      </c>
      <c r="J248" s="92">
        <v>300</v>
      </c>
      <c r="K248" s="90">
        <v>2000</v>
      </c>
      <c r="L248" s="90">
        <v>5000</v>
      </c>
      <c r="M248" s="90">
        <f>I248+J248+K248+L248</f>
        <v>7371</v>
      </c>
      <c r="N248" s="200" t="s">
        <v>248</v>
      </c>
      <c r="O248" s="213" t="s">
        <v>79</v>
      </c>
      <c r="P248" s="227" t="s">
        <v>366</v>
      </c>
      <c r="Q248" s="191" t="s">
        <v>339</v>
      </c>
    </row>
    <row r="249" spans="1:17" s="10" customFormat="1" ht="13.5" customHeight="1" x14ac:dyDescent="0.2">
      <c r="A249" s="204"/>
      <c r="B249" s="32" t="s">
        <v>24</v>
      </c>
      <c r="C249" s="199"/>
      <c r="D249" s="89"/>
      <c r="E249" s="90"/>
      <c r="F249" s="90"/>
      <c r="G249" s="90"/>
      <c r="H249" s="90"/>
      <c r="I249" s="91"/>
      <c r="J249" s="92">
        <v>300</v>
      </c>
      <c r="K249" s="90"/>
      <c r="L249" s="90"/>
      <c r="M249" s="90">
        <f>J249</f>
        <v>300</v>
      </c>
      <c r="N249" s="200"/>
      <c r="O249" s="213"/>
      <c r="P249" s="227"/>
      <c r="Q249" s="192"/>
    </row>
    <row r="250" spans="1:17" s="10" customFormat="1" ht="96.75" customHeight="1" x14ac:dyDescent="0.2">
      <c r="A250" s="102">
        <v>112</v>
      </c>
      <c r="B250" s="170" t="s">
        <v>249</v>
      </c>
      <c r="C250" s="152" t="s">
        <v>237</v>
      </c>
      <c r="D250" s="89"/>
      <c r="E250" s="90"/>
      <c r="F250" s="90"/>
      <c r="G250" s="90"/>
      <c r="H250" s="90">
        <v>37</v>
      </c>
      <c r="I250" s="91">
        <f>H250</f>
        <v>37</v>
      </c>
      <c r="J250" s="92">
        <v>7</v>
      </c>
      <c r="K250" s="90">
        <v>7</v>
      </c>
      <c r="L250" s="90"/>
      <c r="M250" s="90">
        <f>I250+J250+K250</f>
        <v>51</v>
      </c>
      <c r="N250" s="135" t="s">
        <v>250</v>
      </c>
      <c r="O250" s="171" t="s">
        <v>52</v>
      </c>
      <c r="P250" s="137" t="s">
        <v>251</v>
      </c>
      <c r="Q250" s="138" t="s">
        <v>340</v>
      </c>
    </row>
    <row r="251" spans="1:17" s="10" customFormat="1" ht="193.5" customHeight="1" x14ac:dyDescent="0.2">
      <c r="A251" s="204">
        <v>113</v>
      </c>
      <c r="B251" s="88" t="s">
        <v>252</v>
      </c>
      <c r="C251" s="224" t="s">
        <v>237</v>
      </c>
      <c r="D251" s="172">
        <f>32.5+5</f>
        <v>37.5</v>
      </c>
      <c r="E251" s="90"/>
      <c r="F251" s="90">
        <v>106.43</v>
      </c>
      <c r="G251" s="90"/>
      <c r="H251" s="90"/>
      <c r="I251" s="173">
        <f>SUM(D251:H251)</f>
        <v>143.93</v>
      </c>
      <c r="J251" s="174"/>
      <c r="K251" s="109"/>
      <c r="L251" s="109"/>
      <c r="M251" s="175">
        <f>I251</f>
        <v>143.93</v>
      </c>
      <c r="N251" s="225" t="s">
        <v>321</v>
      </c>
      <c r="O251" s="226" t="s">
        <v>75</v>
      </c>
      <c r="P251" s="201" t="s">
        <v>367</v>
      </c>
      <c r="Q251" s="191" t="s">
        <v>339</v>
      </c>
    </row>
    <row r="252" spans="1:17" s="10" customFormat="1" ht="13.5" customHeight="1" x14ac:dyDescent="0.2">
      <c r="A252" s="204"/>
      <c r="B252" s="32" t="s">
        <v>62</v>
      </c>
      <c r="C252" s="224"/>
      <c r="D252" s="89">
        <v>5</v>
      </c>
      <c r="E252" s="176"/>
      <c r="F252" s="177"/>
      <c r="G252" s="177"/>
      <c r="H252" s="178"/>
      <c r="I252" s="91">
        <f>SUM(D252:H252)</f>
        <v>5</v>
      </c>
      <c r="J252" s="92"/>
      <c r="K252" s="90"/>
      <c r="L252" s="90"/>
      <c r="M252" s="90">
        <f>I252</f>
        <v>5</v>
      </c>
      <c r="N252" s="225"/>
      <c r="O252" s="226"/>
      <c r="P252" s="201"/>
      <c r="Q252" s="192"/>
    </row>
    <row r="253" spans="1:17" s="10" customFormat="1" ht="48" customHeight="1" x14ac:dyDescent="0.2">
      <c r="A253" s="204">
        <v>114</v>
      </c>
      <c r="B253" s="103" t="s">
        <v>253</v>
      </c>
      <c r="C253" s="199" t="s">
        <v>237</v>
      </c>
      <c r="D253" s="104"/>
      <c r="E253" s="105"/>
      <c r="F253" s="105"/>
      <c r="G253" s="105"/>
      <c r="H253" s="105"/>
      <c r="I253" s="91"/>
      <c r="J253" s="106">
        <v>200</v>
      </c>
      <c r="K253" s="105"/>
      <c r="L253" s="105"/>
      <c r="M253" s="90">
        <f>L253+K253+J253+I253</f>
        <v>200</v>
      </c>
      <c r="N253" s="214" t="s">
        <v>296</v>
      </c>
      <c r="O253" s="214" t="s">
        <v>37</v>
      </c>
      <c r="P253" s="219" t="s">
        <v>368</v>
      </c>
      <c r="Q253" s="191" t="s">
        <v>339</v>
      </c>
    </row>
    <row r="254" spans="1:17" s="10" customFormat="1" ht="13.5" customHeight="1" x14ac:dyDescent="0.2">
      <c r="A254" s="204"/>
      <c r="B254" s="107" t="s">
        <v>24</v>
      </c>
      <c r="C254" s="199"/>
      <c r="D254" s="104"/>
      <c r="E254" s="105"/>
      <c r="F254" s="105"/>
      <c r="G254" s="105"/>
      <c r="H254" s="105"/>
      <c r="I254" s="91"/>
      <c r="J254" s="106"/>
      <c r="K254" s="105"/>
      <c r="L254" s="105"/>
      <c r="M254" s="90"/>
      <c r="N254" s="214"/>
      <c r="O254" s="214"/>
      <c r="P254" s="219"/>
      <c r="Q254" s="192"/>
    </row>
    <row r="255" spans="1:17" s="10" customFormat="1" ht="173.25" customHeight="1" x14ac:dyDescent="0.2">
      <c r="A255" s="204">
        <v>115</v>
      </c>
      <c r="B255" s="103" t="s">
        <v>295</v>
      </c>
      <c r="C255" s="199" t="s">
        <v>237</v>
      </c>
      <c r="D255" s="104">
        <f>98.7-10.5</f>
        <v>88.2</v>
      </c>
      <c r="E255" s="105"/>
      <c r="F255" s="105"/>
      <c r="G255" s="105"/>
      <c r="H255" s="105"/>
      <c r="I255" s="91">
        <f>D255</f>
        <v>88.2</v>
      </c>
      <c r="J255" s="106">
        <v>90</v>
      </c>
      <c r="K255" s="105">
        <v>90</v>
      </c>
      <c r="L255" s="105">
        <v>90</v>
      </c>
      <c r="M255" s="90">
        <f>L255+K255+J255+I255</f>
        <v>358.2</v>
      </c>
      <c r="N255" s="214" t="s">
        <v>297</v>
      </c>
      <c r="O255" s="214" t="s">
        <v>84</v>
      </c>
      <c r="P255" s="215" t="s">
        <v>369</v>
      </c>
      <c r="Q255" s="191" t="s">
        <v>340</v>
      </c>
    </row>
    <row r="256" spans="1:17" s="10" customFormat="1" ht="13.5" customHeight="1" x14ac:dyDescent="0.2">
      <c r="A256" s="204"/>
      <c r="B256" s="107" t="s">
        <v>24</v>
      </c>
      <c r="C256" s="199"/>
      <c r="D256" s="104">
        <v>12</v>
      </c>
      <c r="E256" s="105"/>
      <c r="F256" s="105"/>
      <c r="G256" s="105"/>
      <c r="H256" s="105"/>
      <c r="I256" s="91">
        <f>D256</f>
        <v>12</v>
      </c>
      <c r="J256" s="106"/>
      <c r="K256" s="105"/>
      <c r="L256" s="105"/>
      <c r="M256" s="90">
        <f>I256</f>
        <v>12</v>
      </c>
      <c r="N256" s="214"/>
      <c r="O256" s="214"/>
      <c r="P256" s="216"/>
      <c r="Q256" s="192"/>
    </row>
    <row r="257" spans="1:17" s="10" customFormat="1" ht="47.25" customHeight="1" x14ac:dyDescent="0.2">
      <c r="A257" s="204">
        <v>116</v>
      </c>
      <c r="B257" s="179" t="s">
        <v>254</v>
      </c>
      <c r="C257" s="199" t="s">
        <v>237</v>
      </c>
      <c r="D257" s="104"/>
      <c r="E257" s="105"/>
      <c r="F257" s="105"/>
      <c r="G257" s="105"/>
      <c r="H257" s="105"/>
      <c r="I257" s="91"/>
      <c r="J257" s="106"/>
      <c r="K257" s="105"/>
      <c r="L257" s="105">
        <v>500</v>
      </c>
      <c r="M257" s="90">
        <v>500</v>
      </c>
      <c r="N257" s="214" t="s">
        <v>255</v>
      </c>
      <c r="O257" s="214" t="s">
        <v>256</v>
      </c>
      <c r="P257" s="219" t="s">
        <v>334</v>
      </c>
      <c r="Q257" s="191" t="s">
        <v>339</v>
      </c>
    </row>
    <row r="258" spans="1:17" s="10" customFormat="1" ht="13.5" customHeight="1" x14ac:dyDescent="0.2">
      <c r="A258" s="204"/>
      <c r="B258" s="107" t="s">
        <v>24</v>
      </c>
      <c r="C258" s="199"/>
      <c r="D258" s="104"/>
      <c r="E258" s="105"/>
      <c r="F258" s="105"/>
      <c r="G258" s="105"/>
      <c r="H258" s="105"/>
      <c r="I258" s="91"/>
      <c r="J258" s="106"/>
      <c r="K258" s="105"/>
      <c r="L258" s="105"/>
      <c r="M258" s="90"/>
      <c r="N258" s="214"/>
      <c r="O258" s="214"/>
      <c r="P258" s="219"/>
      <c r="Q258" s="192"/>
    </row>
    <row r="259" spans="1:17" s="10" customFormat="1" ht="113.25" customHeight="1" x14ac:dyDescent="0.2">
      <c r="A259" s="204">
        <v>117</v>
      </c>
      <c r="B259" s="103" t="s">
        <v>257</v>
      </c>
      <c r="C259" s="199" t="s">
        <v>237</v>
      </c>
      <c r="D259" s="104">
        <f>ROUND((15000/1000),2)</f>
        <v>15</v>
      </c>
      <c r="E259" s="105"/>
      <c r="F259" s="105"/>
      <c r="G259" s="105"/>
      <c r="H259" s="105"/>
      <c r="I259" s="91">
        <f t="shared" ref="I259:I264" si="43">SUM(D259:H259)</f>
        <v>15</v>
      </c>
      <c r="J259" s="106">
        <f>ROUND(((154792.13-15000)/1000),2)</f>
        <v>139.79</v>
      </c>
      <c r="K259" s="105"/>
      <c r="L259" s="105"/>
      <c r="M259" s="90">
        <f>J259+I259</f>
        <v>154.79</v>
      </c>
      <c r="N259" s="214" t="s">
        <v>322</v>
      </c>
      <c r="O259" s="214" t="s">
        <v>138</v>
      </c>
      <c r="P259" s="219" t="s">
        <v>334</v>
      </c>
      <c r="Q259" s="191" t="s">
        <v>339</v>
      </c>
    </row>
    <row r="260" spans="1:17" s="10" customFormat="1" ht="13.5" customHeight="1" x14ac:dyDescent="0.2">
      <c r="A260" s="204"/>
      <c r="B260" s="107" t="s">
        <v>24</v>
      </c>
      <c r="C260" s="199"/>
      <c r="D260" s="104">
        <f>ROUND((15000/1000),2)</f>
        <v>15</v>
      </c>
      <c r="E260" s="105"/>
      <c r="F260" s="105"/>
      <c r="G260" s="105"/>
      <c r="H260" s="105"/>
      <c r="I260" s="91">
        <f t="shared" si="43"/>
        <v>15</v>
      </c>
      <c r="J260" s="106"/>
      <c r="K260" s="105"/>
      <c r="L260" s="105"/>
      <c r="M260" s="90">
        <f>J260+I260</f>
        <v>15</v>
      </c>
      <c r="N260" s="214"/>
      <c r="O260" s="214"/>
      <c r="P260" s="219"/>
      <c r="Q260" s="192"/>
    </row>
    <row r="261" spans="1:17" s="10" customFormat="1" ht="253.5" customHeight="1" x14ac:dyDescent="0.2">
      <c r="A261" s="204">
        <v>118</v>
      </c>
      <c r="B261" s="88" t="s">
        <v>323</v>
      </c>
      <c r="C261" s="199" t="s">
        <v>237</v>
      </c>
      <c r="D261" s="89"/>
      <c r="E261" s="90">
        <f>ROUND((1366162.62/1000),2)</f>
        <v>1366.16</v>
      </c>
      <c r="F261" s="90">
        <f>ROUND((259313.46/1000),2)</f>
        <v>259.31</v>
      </c>
      <c r="G261" s="90">
        <f>ROUND((22319.57/1000),2)</f>
        <v>22.32</v>
      </c>
      <c r="H261" s="90"/>
      <c r="I261" s="91">
        <f t="shared" si="43"/>
        <v>1647.79</v>
      </c>
      <c r="J261" s="92">
        <f>ROUND((602973.23/1000),2)</f>
        <v>602.97</v>
      </c>
      <c r="K261" s="90"/>
      <c r="L261" s="90"/>
      <c r="M261" s="90">
        <f>I261+J261</f>
        <v>2250.7600000000002</v>
      </c>
      <c r="N261" s="200" t="s">
        <v>324</v>
      </c>
      <c r="O261" s="213" t="s">
        <v>258</v>
      </c>
      <c r="P261" s="201" t="s">
        <v>368</v>
      </c>
      <c r="Q261" s="191" t="s">
        <v>339</v>
      </c>
    </row>
    <row r="262" spans="1:17" s="10" customFormat="1" ht="13.5" customHeight="1" x14ac:dyDescent="0.2">
      <c r="A262" s="204"/>
      <c r="B262" s="32" t="s">
        <v>24</v>
      </c>
      <c r="C262" s="199"/>
      <c r="D262" s="89"/>
      <c r="E262" s="90"/>
      <c r="F262" s="90"/>
      <c r="G262" s="90"/>
      <c r="H262" s="90"/>
      <c r="I262" s="91">
        <f t="shared" si="43"/>
        <v>0</v>
      </c>
      <c r="J262" s="92">
        <f>ROUND((25410/1000),2)</f>
        <v>25.41</v>
      </c>
      <c r="K262" s="90"/>
      <c r="L262" s="90"/>
      <c r="M262" s="90">
        <f>I262</f>
        <v>0</v>
      </c>
      <c r="N262" s="200"/>
      <c r="O262" s="213"/>
      <c r="P262" s="201"/>
      <c r="Q262" s="192"/>
    </row>
    <row r="263" spans="1:17" s="10" customFormat="1" ht="204" customHeight="1" x14ac:dyDescent="0.2">
      <c r="A263" s="204">
        <v>119</v>
      </c>
      <c r="B263" s="88" t="s">
        <v>259</v>
      </c>
      <c r="C263" s="199" t="s">
        <v>237</v>
      </c>
      <c r="D263" s="89">
        <f>ROUND((31944/1000),2)</f>
        <v>31.94</v>
      </c>
      <c r="E263" s="90"/>
      <c r="F263" s="90"/>
      <c r="G263" s="90"/>
      <c r="H263" s="90"/>
      <c r="I263" s="91">
        <f t="shared" si="43"/>
        <v>31.94</v>
      </c>
      <c r="J263" s="92">
        <f>ROUND((402822.4/1000),2)</f>
        <v>402.82</v>
      </c>
      <c r="K263" s="90">
        <f>ROUND((520418.27/1000),2)</f>
        <v>520.41999999999996</v>
      </c>
      <c r="L263" s="90"/>
      <c r="M263" s="90">
        <f>I263+J263+K263</f>
        <v>955.18</v>
      </c>
      <c r="N263" s="200" t="s">
        <v>325</v>
      </c>
      <c r="O263" s="200" t="s">
        <v>52</v>
      </c>
      <c r="P263" s="201" t="s">
        <v>368</v>
      </c>
      <c r="Q263" s="191" t="s">
        <v>339</v>
      </c>
    </row>
    <row r="264" spans="1:17" s="10" customFormat="1" ht="13.5" customHeight="1" x14ac:dyDescent="0.2">
      <c r="A264" s="204"/>
      <c r="B264" s="32" t="s">
        <v>24</v>
      </c>
      <c r="C264" s="199"/>
      <c r="D264" s="89">
        <f>ROUND((31944/1000),2)</f>
        <v>31.94</v>
      </c>
      <c r="E264" s="90"/>
      <c r="F264" s="90"/>
      <c r="G264" s="90"/>
      <c r="H264" s="90"/>
      <c r="I264" s="91">
        <f t="shared" si="43"/>
        <v>31.94</v>
      </c>
      <c r="J264" s="92"/>
      <c r="K264" s="90"/>
      <c r="L264" s="90"/>
      <c r="M264" s="90">
        <f>I264</f>
        <v>31.94</v>
      </c>
      <c r="N264" s="200"/>
      <c r="O264" s="200"/>
      <c r="P264" s="201"/>
      <c r="Q264" s="192"/>
    </row>
    <row r="265" spans="1:17" s="11" customFormat="1" ht="27" customHeight="1" x14ac:dyDescent="0.2">
      <c r="A265" s="149"/>
      <c r="B265" s="150" t="s">
        <v>260</v>
      </c>
      <c r="C265" s="151" t="s">
        <v>261</v>
      </c>
      <c r="D265" s="80"/>
      <c r="E265" s="81"/>
      <c r="F265" s="81"/>
      <c r="G265" s="81"/>
      <c r="H265" s="81"/>
      <c r="I265" s="99"/>
      <c r="J265" s="83"/>
      <c r="K265" s="81"/>
      <c r="L265" s="81"/>
      <c r="M265" s="100"/>
      <c r="N265" s="84"/>
      <c r="O265" s="85"/>
      <c r="P265" s="86"/>
      <c r="Q265" s="86"/>
    </row>
    <row r="266" spans="1:17" ht="134.25" customHeight="1" x14ac:dyDescent="0.25">
      <c r="A266" s="198">
        <v>120</v>
      </c>
      <c r="B266" s="88" t="s">
        <v>262</v>
      </c>
      <c r="C266" s="199" t="s">
        <v>261</v>
      </c>
      <c r="D266" s="89">
        <v>8</v>
      </c>
      <c r="E266" s="90"/>
      <c r="F266" s="90"/>
      <c r="G266" s="90"/>
      <c r="H266" s="90"/>
      <c r="I266" s="91">
        <f t="shared" ref="I266" si="44">SUM(D266:H266)</f>
        <v>8</v>
      </c>
      <c r="J266" s="92">
        <v>70</v>
      </c>
      <c r="K266" s="90">
        <v>100</v>
      </c>
      <c r="L266" s="90">
        <v>100</v>
      </c>
      <c r="M266" s="90">
        <f>L266+K266+J266+I266</f>
        <v>278</v>
      </c>
      <c r="N266" s="200" t="s">
        <v>263</v>
      </c>
      <c r="O266" s="203" t="s">
        <v>41</v>
      </c>
      <c r="P266" s="201" t="s">
        <v>264</v>
      </c>
      <c r="Q266" s="191" t="s">
        <v>339</v>
      </c>
    </row>
    <row r="267" spans="1:17" s="11" customFormat="1" x14ac:dyDescent="0.2">
      <c r="A267" s="198"/>
      <c r="B267" s="32" t="s">
        <v>24</v>
      </c>
      <c r="C267" s="199"/>
      <c r="D267" s="89"/>
      <c r="E267" s="90"/>
      <c r="F267" s="90"/>
      <c r="G267" s="90"/>
      <c r="H267" s="90"/>
      <c r="I267" s="91"/>
      <c r="J267" s="92"/>
      <c r="K267" s="90"/>
      <c r="L267" s="90"/>
      <c r="M267" s="90"/>
      <c r="N267" s="200"/>
      <c r="O267" s="203"/>
      <c r="P267" s="201"/>
      <c r="Q267" s="192"/>
    </row>
    <row r="268" spans="1:17" s="11" customFormat="1" ht="27" customHeight="1" x14ac:dyDescent="0.2">
      <c r="A268" s="149"/>
      <c r="B268" s="150" t="s">
        <v>265</v>
      </c>
      <c r="C268" s="151" t="s">
        <v>266</v>
      </c>
      <c r="D268" s="80"/>
      <c r="E268" s="81"/>
      <c r="F268" s="81"/>
      <c r="G268" s="81"/>
      <c r="H268" s="81"/>
      <c r="I268" s="99"/>
      <c r="J268" s="83"/>
      <c r="K268" s="81"/>
      <c r="L268" s="81"/>
      <c r="M268" s="100"/>
      <c r="N268" s="84"/>
      <c r="O268" s="85"/>
      <c r="P268" s="86"/>
      <c r="Q268" s="86"/>
    </row>
    <row r="269" spans="1:17" s="2" customFormat="1" ht="174.75" customHeight="1" x14ac:dyDescent="0.25">
      <c r="A269" s="205">
        <v>121</v>
      </c>
      <c r="B269" s="31" t="s">
        <v>326</v>
      </c>
      <c r="C269" s="206" t="s">
        <v>266</v>
      </c>
      <c r="D269" s="34">
        <f>ROUND((50463.79/1000),2)</f>
        <v>50.46</v>
      </c>
      <c r="E269" s="35"/>
      <c r="F269" s="35"/>
      <c r="G269" s="35"/>
      <c r="H269" s="35"/>
      <c r="I269" s="36">
        <f>SUM(D269:H269)</f>
        <v>50.46</v>
      </c>
      <c r="J269" s="37">
        <f>683.5*0.4-D269</f>
        <v>222.94000000000003</v>
      </c>
      <c r="K269" s="35">
        <f>683.5*0.4</f>
        <v>273.40000000000003</v>
      </c>
      <c r="L269" s="35">
        <f>683.5*0.2</f>
        <v>136.70000000000002</v>
      </c>
      <c r="M269" s="35">
        <f>I269+J269+K269+L269</f>
        <v>683.50000000000011</v>
      </c>
      <c r="N269" s="217" t="s">
        <v>373</v>
      </c>
      <c r="O269" s="218" t="s">
        <v>84</v>
      </c>
      <c r="P269" s="212" t="s">
        <v>370</v>
      </c>
      <c r="Q269" s="189" t="s">
        <v>339</v>
      </c>
    </row>
    <row r="270" spans="1:17" s="2" customFormat="1" x14ac:dyDescent="0.25">
      <c r="A270" s="205"/>
      <c r="B270" s="98" t="s">
        <v>24</v>
      </c>
      <c r="C270" s="206"/>
      <c r="D270" s="34">
        <f>ROUND((42348.79/1000),2)</f>
        <v>42.35</v>
      </c>
      <c r="E270" s="35"/>
      <c r="F270" s="35"/>
      <c r="G270" s="35"/>
      <c r="H270" s="35"/>
      <c r="I270" s="36">
        <f>SUM(D270:H270)</f>
        <v>42.35</v>
      </c>
      <c r="J270" s="37"/>
      <c r="K270" s="35"/>
      <c r="L270" s="35"/>
      <c r="M270" s="35">
        <f>I270</f>
        <v>42.35</v>
      </c>
      <c r="N270" s="217"/>
      <c r="O270" s="218"/>
      <c r="P270" s="212"/>
      <c r="Q270" s="190"/>
    </row>
    <row r="271" spans="1:17" s="2" customFormat="1" ht="170.25" customHeight="1" x14ac:dyDescent="0.25">
      <c r="A271" s="193">
        <v>122</v>
      </c>
      <c r="B271" s="31" t="s">
        <v>267</v>
      </c>
      <c r="C271" s="206" t="s">
        <v>266</v>
      </c>
      <c r="D271" s="117"/>
      <c r="E271" s="118"/>
      <c r="F271" s="118"/>
      <c r="G271" s="118"/>
      <c r="H271" s="118"/>
      <c r="I271" s="36"/>
      <c r="J271" s="119">
        <f>ROUND((82389/1000),2)</f>
        <v>82.39</v>
      </c>
      <c r="K271" s="118">
        <f>604.7*0.4-J271</f>
        <v>159.49</v>
      </c>
      <c r="L271" s="118">
        <f>604.7*0.6</f>
        <v>362.82</v>
      </c>
      <c r="M271" s="35">
        <f>I271+J271+K271+L271</f>
        <v>604.70000000000005</v>
      </c>
      <c r="N271" s="220" t="s">
        <v>374</v>
      </c>
      <c r="O271" s="218" t="s">
        <v>66</v>
      </c>
      <c r="P271" s="222" t="s">
        <v>370</v>
      </c>
      <c r="Q271" s="189" t="s">
        <v>339</v>
      </c>
    </row>
    <row r="272" spans="1:17" s="2" customFormat="1" x14ac:dyDescent="0.25">
      <c r="A272" s="194"/>
      <c r="B272" s="120" t="s">
        <v>62</v>
      </c>
      <c r="C272" s="206"/>
      <c r="D272" s="117"/>
      <c r="E272" s="118"/>
      <c r="F272" s="118"/>
      <c r="G272" s="118"/>
      <c r="H272" s="118"/>
      <c r="I272" s="36"/>
      <c r="J272" s="119">
        <v>66.599999999999994</v>
      </c>
      <c r="K272" s="118"/>
      <c r="L272" s="118"/>
      <c r="M272" s="35">
        <f>J272</f>
        <v>66.599999999999994</v>
      </c>
      <c r="N272" s="220"/>
      <c r="O272" s="218"/>
      <c r="P272" s="211"/>
      <c r="Q272" s="190"/>
    </row>
    <row r="273" spans="1:17" s="2" customFormat="1" ht="132.75" customHeight="1" x14ac:dyDescent="0.25">
      <c r="A273" s="205">
        <v>123</v>
      </c>
      <c r="B273" s="116" t="s">
        <v>268</v>
      </c>
      <c r="C273" s="206" t="s">
        <v>266</v>
      </c>
      <c r="D273" s="117">
        <f>ROUND((22636/1000),2)</f>
        <v>22.64</v>
      </c>
      <c r="E273" s="118"/>
      <c r="F273" s="118"/>
      <c r="G273" s="118"/>
      <c r="H273" s="118"/>
      <c r="I273" s="36">
        <f>SUM(D273:H273)</f>
        <v>22.64</v>
      </c>
      <c r="J273" s="119">
        <f>124.4*0.6-I273</f>
        <v>52</v>
      </c>
      <c r="K273" s="118">
        <f>124.4*0.4</f>
        <v>49.760000000000005</v>
      </c>
      <c r="L273" s="118"/>
      <c r="M273" s="35">
        <f>I273+J273+K273</f>
        <v>124.4</v>
      </c>
      <c r="N273" s="220" t="s">
        <v>375</v>
      </c>
      <c r="O273" s="221" t="s">
        <v>138</v>
      </c>
      <c r="P273" s="212" t="s">
        <v>334</v>
      </c>
      <c r="Q273" s="189" t="s">
        <v>340</v>
      </c>
    </row>
    <row r="274" spans="1:17" s="2" customFormat="1" x14ac:dyDescent="0.25">
      <c r="A274" s="205"/>
      <c r="B274" s="98" t="s">
        <v>24</v>
      </c>
      <c r="C274" s="206"/>
      <c r="D274" s="117">
        <f>ROUND((18655/1000),2)</f>
        <v>18.66</v>
      </c>
      <c r="E274" s="118"/>
      <c r="F274" s="118"/>
      <c r="G274" s="118"/>
      <c r="H274" s="118"/>
      <c r="I274" s="36">
        <f>SUM(D274:H274)</f>
        <v>18.66</v>
      </c>
      <c r="J274" s="119"/>
      <c r="K274" s="118"/>
      <c r="L274" s="118"/>
      <c r="M274" s="35">
        <f>I274</f>
        <v>18.66</v>
      </c>
      <c r="N274" s="220"/>
      <c r="O274" s="221"/>
      <c r="P274" s="212"/>
      <c r="Q274" s="190"/>
    </row>
    <row r="275" spans="1:17" s="2" customFormat="1" ht="162.75" customHeight="1" x14ac:dyDescent="0.25">
      <c r="A275" s="205">
        <v>124</v>
      </c>
      <c r="B275" s="116" t="s">
        <v>269</v>
      </c>
      <c r="C275" s="206" t="s">
        <v>266</v>
      </c>
      <c r="D275" s="117">
        <f>ROUND(((66238.98+16560.02+250)/1000),2)-48</f>
        <v>35.049999999999997</v>
      </c>
      <c r="E275" s="118"/>
      <c r="F275" s="118"/>
      <c r="G275" s="118"/>
      <c r="H275" s="118"/>
      <c r="I275" s="36">
        <f>SUM(D275:H275)</f>
        <v>35.049999999999997</v>
      </c>
      <c r="J275" s="119">
        <f>ROUND((2200286.39/1000),2)+48</f>
        <v>2248.29</v>
      </c>
      <c r="K275" s="118">
        <f>ROUND((700104.86/1000),2)</f>
        <v>700.1</v>
      </c>
      <c r="L275" s="118"/>
      <c r="M275" s="35">
        <f>J275+I275+K275</f>
        <v>2983.44</v>
      </c>
      <c r="N275" s="207" t="s">
        <v>327</v>
      </c>
      <c r="O275" s="209" t="s">
        <v>79</v>
      </c>
      <c r="P275" s="211" t="s">
        <v>334</v>
      </c>
      <c r="Q275" s="189" t="s">
        <v>339</v>
      </c>
    </row>
    <row r="276" spans="1:17" s="2" customFormat="1" x14ac:dyDescent="0.25">
      <c r="A276" s="205"/>
      <c r="B276" s="98" t="s">
        <v>24</v>
      </c>
      <c r="C276" s="206"/>
      <c r="D276" s="117">
        <f>ROUND((66238.98/1000),2)-48</f>
        <v>18.239999999999995</v>
      </c>
      <c r="E276" s="118"/>
      <c r="F276" s="118"/>
      <c r="G276" s="118"/>
      <c r="H276" s="118"/>
      <c r="I276" s="36">
        <f>SUM(D276:H276)</f>
        <v>18.239999999999995</v>
      </c>
      <c r="J276" s="119">
        <v>48</v>
      </c>
      <c r="K276" s="118"/>
      <c r="L276" s="118"/>
      <c r="M276" s="35">
        <f>I276+J276</f>
        <v>66.239999999999995</v>
      </c>
      <c r="N276" s="208"/>
      <c r="O276" s="210"/>
      <c r="P276" s="212"/>
      <c r="Q276" s="190"/>
    </row>
    <row r="277" spans="1:17" s="144" customFormat="1" ht="128.25" customHeight="1" x14ac:dyDescent="0.25">
      <c r="A277" s="205">
        <v>125</v>
      </c>
      <c r="B277" s="31" t="s">
        <v>372</v>
      </c>
      <c r="C277" s="206" t="s">
        <v>266</v>
      </c>
      <c r="D277" s="117">
        <v>49</v>
      </c>
      <c r="E277" s="118"/>
      <c r="F277" s="118"/>
      <c r="G277" s="118"/>
      <c r="H277" s="118"/>
      <c r="I277" s="36">
        <f>D277</f>
        <v>49</v>
      </c>
      <c r="J277" s="119">
        <f>(217-49)+((3317000-217000)*0.2/1000)</f>
        <v>788</v>
      </c>
      <c r="K277" s="118">
        <f>((3317000-217000)*0.6/1000)</f>
        <v>1860</v>
      </c>
      <c r="L277" s="118">
        <f>((3317000-217000)*0.2/1000)</f>
        <v>620</v>
      </c>
      <c r="M277" s="35">
        <f>I277+J277+K277+L277</f>
        <v>3317</v>
      </c>
      <c r="N277" s="220" t="s">
        <v>371</v>
      </c>
      <c r="O277" s="223" t="s">
        <v>84</v>
      </c>
      <c r="P277" s="212" t="s">
        <v>362</v>
      </c>
      <c r="Q277" s="189" t="s">
        <v>340</v>
      </c>
    </row>
    <row r="278" spans="1:17" s="144" customFormat="1" ht="15" x14ac:dyDescent="0.25">
      <c r="A278" s="205"/>
      <c r="B278" s="98" t="s">
        <v>24</v>
      </c>
      <c r="C278" s="206"/>
      <c r="D278" s="117">
        <v>42</v>
      </c>
      <c r="E278" s="118"/>
      <c r="F278" s="118"/>
      <c r="G278" s="118"/>
      <c r="H278" s="118"/>
      <c r="I278" s="36">
        <f>D278</f>
        <v>42</v>
      </c>
      <c r="J278" s="119">
        <f>217-42</f>
        <v>175</v>
      </c>
      <c r="K278" s="118"/>
      <c r="L278" s="118"/>
      <c r="M278" s="35">
        <f>I278+J278+K278+L278</f>
        <v>217</v>
      </c>
      <c r="N278" s="220"/>
      <c r="O278" s="223"/>
      <c r="P278" s="212"/>
      <c r="Q278" s="190"/>
    </row>
    <row r="279" spans="1:17" s="2" customFormat="1" ht="183.75" customHeight="1" x14ac:dyDescent="0.25">
      <c r="A279" s="205">
        <v>126</v>
      </c>
      <c r="B279" s="116" t="s">
        <v>270</v>
      </c>
      <c r="C279" s="206" t="s">
        <v>266</v>
      </c>
      <c r="D279" s="117">
        <v>12</v>
      </c>
      <c r="E279" s="118"/>
      <c r="F279" s="118">
        <v>0</v>
      </c>
      <c r="G279" s="118"/>
      <c r="H279" s="118">
        <v>52</v>
      </c>
      <c r="I279" s="36">
        <f t="shared" ref="I279" si="45">SUM(D279:H279)</f>
        <v>64</v>
      </c>
      <c r="J279" s="119">
        <v>164</v>
      </c>
      <c r="K279" s="118"/>
      <c r="L279" s="118"/>
      <c r="M279" s="35">
        <f>I279+J279</f>
        <v>228</v>
      </c>
      <c r="N279" s="220" t="s">
        <v>271</v>
      </c>
      <c r="O279" s="221" t="s">
        <v>159</v>
      </c>
      <c r="P279" s="212" t="s">
        <v>272</v>
      </c>
      <c r="Q279" s="189" t="s">
        <v>339</v>
      </c>
    </row>
    <row r="280" spans="1:17" s="2" customFormat="1" x14ac:dyDescent="0.25">
      <c r="A280" s="205"/>
      <c r="B280" s="98" t="s">
        <v>24</v>
      </c>
      <c r="C280" s="206"/>
      <c r="D280" s="117"/>
      <c r="E280" s="118"/>
      <c r="F280" s="118"/>
      <c r="G280" s="118"/>
      <c r="H280" s="118"/>
      <c r="I280" s="36"/>
      <c r="J280" s="119"/>
      <c r="K280" s="118"/>
      <c r="L280" s="118"/>
      <c r="M280" s="35"/>
      <c r="N280" s="220"/>
      <c r="O280" s="221"/>
      <c r="P280" s="212"/>
      <c r="Q280" s="190"/>
    </row>
    <row r="281" spans="1:17" s="9" customFormat="1" ht="27" customHeight="1" x14ac:dyDescent="0.2">
      <c r="A281" s="180"/>
      <c r="B281" s="122" t="s">
        <v>273</v>
      </c>
      <c r="C281" s="181" t="s">
        <v>274</v>
      </c>
      <c r="D281" s="117"/>
      <c r="E281" s="118"/>
      <c r="F281" s="118"/>
      <c r="G281" s="118"/>
      <c r="H281" s="118"/>
      <c r="I281" s="36"/>
      <c r="J281" s="119"/>
      <c r="K281" s="118"/>
      <c r="L281" s="118"/>
      <c r="M281" s="35"/>
      <c r="N281" s="141"/>
      <c r="O281" s="182"/>
      <c r="P281" s="183"/>
      <c r="Q281" s="183"/>
    </row>
    <row r="282" spans="1:17" s="2" customFormat="1" ht="63" customHeight="1" x14ac:dyDescent="0.25">
      <c r="A282" s="205">
        <v>127</v>
      </c>
      <c r="B282" s="116" t="s">
        <v>275</v>
      </c>
      <c r="C282" s="206" t="s">
        <v>274</v>
      </c>
      <c r="D282" s="117"/>
      <c r="E282" s="118"/>
      <c r="F282" s="118"/>
      <c r="G282" s="118"/>
      <c r="H282" s="118"/>
      <c r="I282" s="36"/>
      <c r="J282" s="119">
        <v>200</v>
      </c>
      <c r="K282" s="118">
        <v>300</v>
      </c>
      <c r="L282" s="118"/>
      <c r="M282" s="35">
        <v>500</v>
      </c>
      <c r="N282" s="220" t="s">
        <v>276</v>
      </c>
      <c r="O282" s="221" t="s">
        <v>37</v>
      </c>
      <c r="P282" s="212" t="s">
        <v>272</v>
      </c>
      <c r="Q282" s="189" t="s">
        <v>340</v>
      </c>
    </row>
    <row r="283" spans="1:17" s="2" customFormat="1" x14ac:dyDescent="0.25">
      <c r="A283" s="205"/>
      <c r="B283" s="98" t="s">
        <v>24</v>
      </c>
      <c r="C283" s="206"/>
      <c r="D283" s="117"/>
      <c r="E283" s="118"/>
      <c r="F283" s="118"/>
      <c r="G283" s="118"/>
      <c r="H283" s="118"/>
      <c r="I283" s="36"/>
      <c r="J283" s="119">
        <v>8</v>
      </c>
      <c r="K283" s="118"/>
      <c r="L283" s="118"/>
      <c r="M283" s="35">
        <v>8</v>
      </c>
      <c r="N283" s="220"/>
      <c r="O283" s="221"/>
      <c r="P283" s="212"/>
      <c r="Q283" s="190"/>
    </row>
    <row r="284" spans="1:17" s="2" customFormat="1" ht="93.75" customHeight="1" x14ac:dyDescent="0.25">
      <c r="A284" s="128">
        <v>128</v>
      </c>
      <c r="B284" s="116" t="s">
        <v>277</v>
      </c>
      <c r="C284" s="129" t="s">
        <v>274</v>
      </c>
      <c r="D284" s="117"/>
      <c r="E284" s="118"/>
      <c r="F284" s="118">
        <v>0</v>
      </c>
      <c r="G284" s="118"/>
      <c r="H284" s="118">
        <v>0</v>
      </c>
      <c r="I284" s="36">
        <f>F284+H284</f>
        <v>0</v>
      </c>
      <c r="J284" s="119"/>
      <c r="K284" s="118"/>
      <c r="L284" s="118"/>
      <c r="M284" s="35">
        <f>I284</f>
        <v>0</v>
      </c>
      <c r="N284" s="141" t="s">
        <v>278</v>
      </c>
      <c r="O284" s="184" t="s">
        <v>103</v>
      </c>
      <c r="P284" s="185" t="s">
        <v>272</v>
      </c>
      <c r="Q284" s="143" t="s">
        <v>340</v>
      </c>
    </row>
    <row r="285" spans="1:17" s="2" customFormat="1" ht="110.25" customHeight="1" x14ac:dyDescent="0.25">
      <c r="A285" s="205">
        <v>129</v>
      </c>
      <c r="B285" s="116" t="s">
        <v>279</v>
      </c>
      <c r="C285" s="206" t="s">
        <v>274</v>
      </c>
      <c r="D285" s="117"/>
      <c r="E285" s="118"/>
      <c r="F285" s="118"/>
      <c r="G285" s="118"/>
      <c r="H285" s="118">
        <v>0</v>
      </c>
      <c r="I285" s="36">
        <v>0</v>
      </c>
      <c r="J285" s="119"/>
      <c r="K285" s="118"/>
      <c r="L285" s="118"/>
      <c r="M285" s="35">
        <v>0</v>
      </c>
      <c r="N285" s="220" t="s">
        <v>280</v>
      </c>
      <c r="O285" s="221" t="s">
        <v>103</v>
      </c>
      <c r="P285" s="212" t="s">
        <v>272</v>
      </c>
      <c r="Q285" s="189" t="s">
        <v>340</v>
      </c>
    </row>
    <row r="286" spans="1:17" s="2" customFormat="1" x14ac:dyDescent="0.25">
      <c r="A286" s="205"/>
      <c r="B286" s="98" t="s">
        <v>24</v>
      </c>
      <c r="C286" s="206"/>
      <c r="D286" s="117"/>
      <c r="E286" s="118"/>
      <c r="F286" s="118"/>
      <c r="G286" s="118"/>
      <c r="H286" s="118"/>
      <c r="I286" s="36"/>
      <c r="J286" s="119"/>
      <c r="K286" s="118"/>
      <c r="L286" s="118"/>
      <c r="M286" s="35"/>
      <c r="N286" s="220"/>
      <c r="O286" s="221"/>
      <c r="P286" s="212"/>
      <c r="Q286" s="190"/>
    </row>
    <row r="287" spans="1:17" s="2" customFormat="1" ht="206.25" customHeight="1" x14ac:dyDescent="0.25">
      <c r="A287" s="128">
        <v>130</v>
      </c>
      <c r="B287" s="116" t="s">
        <v>281</v>
      </c>
      <c r="C287" s="129" t="s">
        <v>274</v>
      </c>
      <c r="D287" s="117"/>
      <c r="E287" s="118"/>
      <c r="F287" s="118"/>
      <c r="G287" s="118"/>
      <c r="H287" s="118">
        <v>112.8</v>
      </c>
      <c r="I287" s="36">
        <f>H287</f>
        <v>112.8</v>
      </c>
      <c r="J287" s="119">
        <v>166.8</v>
      </c>
      <c r="K287" s="118">
        <v>23</v>
      </c>
      <c r="L287" s="118"/>
      <c r="M287" s="35">
        <f>I287+J287+K287</f>
        <v>302.60000000000002</v>
      </c>
      <c r="N287" s="141" t="s">
        <v>336</v>
      </c>
      <c r="O287" s="184" t="s">
        <v>138</v>
      </c>
      <c r="P287" s="185" t="s">
        <v>282</v>
      </c>
      <c r="Q287" s="143" t="s">
        <v>340</v>
      </c>
    </row>
    <row r="288" spans="1:17" s="2" customFormat="1" x14ac:dyDescent="0.25">
      <c r="A288" s="25"/>
      <c r="B288" s="26"/>
      <c r="D288" s="27"/>
      <c r="E288" s="16"/>
      <c r="F288" s="27"/>
      <c r="G288" s="27"/>
      <c r="H288" s="27"/>
      <c r="I288" s="27"/>
      <c r="J288" s="27"/>
      <c r="K288" s="27"/>
      <c r="L288" s="27"/>
      <c r="M288" s="27"/>
      <c r="N288" s="28"/>
      <c r="O288" s="29"/>
      <c r="P288" s="186"/>
      <c r="Q288" s="30"/>
    </row>
    <row r="289" spans="1:44" x14ac:dyDescent="0.2">
      <c r="A289" s="12"/>
      <c r="B289" s="13"/>
      <c r="C289" s="14"/>
      <c r="D289" s="15"/>
      <c r="Q289" s="20"/>
    </row>
    <row r="290" spans="1:44" x14ac:dyDescent="0.2">
      <c r="A290" s="15"/>
      <c r="B290" s="16"/>
      <c r="C290" s="17"/>
      <c r="E290" s="17"/>
      <c r="K290" s="18"/>
      <c r="L290" s="19"/>
      <c r="M290" s="1"/>
      <c r="N290" s="1"/>
      <c r="O290" s="20"/>
      <c r="P290" s="188"/>
      <c r="Q290" s="20"/>
      <c r="AP290" s="3"/>
      <c r="AQ290" s="3"/>
      <c r="AR290" s="3"/>
    </row>
    <row r="291" spans="1:44" x14ac:dyDescent="0.2">
      <c r="A291" s="15"/>
      <c r="B291" s="16"/>
      <c r="C291" s="17"/>
      <c r="E291" s="17"/>
      <c r="K291" s="18"/>
      <c r="L291" s="19"/>
      <c r="M291" s="1"/>
      <c r="N291" s="1"/>
      <c r="O291" s="20"/>
      <c r="P291" s="188"/>
      <c r="Q291" s="20"/>
      <c r="AP291" s="3"/>
      <c r="AQ291" s="3"/>
      <c r="AR291" s="3"/>
    </row>
    <row r="292" spans="1:44" x14ac:dyDescent="0.2">
      <c r="A292" s="15"/>
      <c r="B292" s="16"/>
      <c r="C292" s="17"/>
      <c r="E292" s="17"/>
      <c r="K292" s="18"/>
      <c r="L292" s="19"/>
      <c r="M292" s="1"/>
      <c r="N292" s="1"/>
      <c r="O292" s="20"/>
      <c r="P292" s="188"/>
      <c r="Q292" s="20"/>
      <c r="AP292" s="3"/>
      <c r="AQ292" s="3"/>
      <c r="AR292" s="3"/>
    </row>
    <row r="293" spans="1:44" x14ac:dyDescent="0.2">
      <c r="A293" s="15"/>
      <c r="B293" s="16"/>
      <c r="C293" s="17"/>
      <c r="E293" s="17"/>
      <c r="K293" s="18"/>
      <c r="L293" s="19"/>
      <c r="M293" s="1"/>
      <c r="N293" s="1"/>
      <c r="O293" s="20"/>
      <c r="P293" s="188"/>
      <c r="Q293" s="20"/>
      <c r="AP293" s="3"/>
      <c r="AQ293" s="3"/>
      <c r="AR293" s="3"/>
    </row>
    <row r="294" spans="1:44" ht="20.25" customHeight="1" x14ac:dyDescent="0.2">
      <c r="A294" s="15"/>
      <c r="B294" s="16"/>
      <c r="C294" s="17"/>
      <c r="E294" s="17"/>
      <c r="J294" s="21"/>
      <c r="K294" s="18"/>
      <c r="L294" s="19"/>
      <c r="M294" s="1"/>
      <c r="N294" s="1"/>
      <c r="O294" s="20"/>
      <c r="P294" s="188"/>
      <c r="Q294" s="20"/>
      <c r="AP294" s="3"/>
      <c r="AQ294" s="3"/>
      <c r="AR294" s="3"/>
    </row>
    <row r="295" spans="1:44" ht="20.25" customHeight="1" x14ac:dyDescent="0.2">
      <c r="A295" s="15"/>
      <c r="B295" s="16"/>
      <c r="C295" s="17"/>
      <c r="E295" s="17"/>
      <c r="J295" s="21"/>
      <c r="K295" s="18"/>
      <c r="L295" s="19"/>
      <c r="M295" s="1"/>
      <c r="N295" s="1"/>
      <c r="O295" s="20"/>
      <c r="P295" s="188"/>
      <c r="Q295" s="20"/>
      <c r="AP295" s="3"/>
      <c r="AQ295" s="3"/>
      <c r="AR295" s="3"/>
    </row>
    <row r="296" spans="1:44" ht="22.5" customHeight="1" x14ac:dyDescent="0.2">
      <c r="A296" s="15"/>
      <c r="B296" s="16"/>
      <c r="C296" s="17"/>
      <c r="E296" s="17"/>
      <c r="J296" s="21"/>
      <c r="K296" s="18"/>
      <c r="L296" s="19"/>
      <c r="M296" s="1"/>
      <c r="N296" s="1"/>
      <c r="O296" s="20"/>
      <c r="P296" s="188"/>
      <c r="AP296" s="3"/>
      <c r="AQ296" s="3"/>
      <c r="AR296" s="3"/>
    </row>
    <row r="297" spans="1:44" ht="46.15" customHeight="1" x14ac:dyDescent="0.25">
      <c r="M297" s="21"/>
    </row>
  </sheetData>
  <mergeCells count="768">
    <mergeCell ref="Q18:Q19"/>
    <mergeCell ref="Q20:Q21"/>
    <mergeCell ref="Q97:Q98"/>
    <mergeCell ref="Q101:Q102"/>
    <mergeCell ref="Q103:Q104"/>
    <mergeCell ref="Q105:Q106"/>
    <mergeCell ref="O2:Q2"/>
    <mergeCell ref="Q222:Q223"/>
    <mergeCell ref="Q225:Q226"/>
    <mergeCell ref="Q170:Q171"/>
    <mergeCell ref="Q172:Q173"/>
    <mergeCell ref="Q190:Q191"/>
    <mergeCell ref="Q192:Q193"/>
    <mergeCell ref="Q194:Q195"/>
    <mergeCell ref="Q196:Q197"/>
    <mergeCell ref="Q198:Q199"/>
    <mergeCell ref="Q200:Q201"/>
    <mergeCell ref="Q202:Q203"/>
    <mergeCell ref="Q147:Q148"/>
    <mergeCell ref="Q149:Q150"/>
    <mergeCell ref="Q151:Q152"/>
    <mergeCell ref="Q154:Q155"/>
    <mergeCell ref="Q158:Q159"/>
    <mergeCell ref="Q164:Q165"/>
    <mergeCell ref="Q227:Q228"/>
    <mergeCell ref="Q248:Q249"/>
    <mergeCell ref="Q251:Q252"/>
    <mergeCell ref="Q253:Q254"/>
    <mergeCell ref="Q255:Q256"/>
    <mergeCell ref="Q257:Q258"/>
    <mergeCell ref="Q259:Q260"/>
    <mergeCell ref="Q204:Q205"/>
    <mergeCell ref="Q206:Q207"/>
    <mergeCell ref="Q208:Q209"/>
    <mergeCell ref="Q210:Q211"/>
    <mergeCell ref="Q212:Q213"/>
    <mergeCell ref="Q214:Q215"/>
    <mergeCell ref="Q216:Q217"/>
    <mergeCell ref="Q218:Q219"/>
    <mergeCell ref="Q220:Q221"/>
    <mergeCell ref="Q166:Q167"/>
    <mergeCell ref="Q168:Q169"/>
    <mergeCell ref="Q128:Q129"/>
    <mergeCell ref="Q130:Q131"/>
    <mergeCell ref="Q132:Q133"/>
    <mergeCell ref="Q135:Q136"/>
    <mergeCell ref="Q137:Q138"/>
    <mergeCell ref="Q139:Q140"/>
    <mergeCell ref="Q141:Q142"/>
    <mergeCell ref="Q145:Q146"/>
    <mergeCell ref="Q143:Q144"/>
    <mergeCell ref="Q156:Q157"/>
    <mergeCell ref="Q107:Q108"/>
    <mergeCell ref="Q111:Q112"/>
    <mergeCell ref="Q113:Q114"/>
    <mergeCell ref="Q116:Q117"/>
    <mergeCell ref="Q118:Q119"/>
    <mergeCell ref="Q120:Q121"/>
    <mergeCell ref="Q122:Q123"/>
    <mergeCell ref="Q124:Q125"/>
    <mergeCell ref="Q126:Q127"/>
    <mergeCell ref="Q81:Q82"/>
    <mergeCell ref="Q84:Q85"/>
    <mergeCell ref="Q86:Q87"/>
    <mergeCell ref="Q88:Q89"/>
    <mergeCell ref="Q90:Q91"/>
    <mergeCell ref="Q93:Q94"/>
    <mergeCell ref="Q95:Q96"/>
    <mergeCell ref="Q99:Q100"/>
    <mergeCell ref="Q63:Q64"/>
    <mergeCell ref="Q65:Q66"/>
    <mergeCell ref="Q67:Q68"/>
    <mergeCell ref="Q69:Q70"/>
    <mergeCell ref="Q71:Q72"/>
    <mergeCell ref="Q75:Q76"/>
    <mergeCell ref="Q77:Q78"/>
    <mergeCell ref="Q79:Q80"/>
    <mergeCell ref="Q73:Q74"/>
    <mergeCell ref="Q45:Q46"/>
    <mergeCell ref="Q47:Q48"/>
    <mergeCell ref="Q49:Q50"/>
    <mergeCell ref="Q51:Q52"/>
    <mergeCell ref="Q53:Q54"/>
    <mergeCell ref="Q55:Q56"/>
    <mergeCell ref="Q57:Q58"/>
    <mergeCell ref="Q59:Q60"/>
    <mergeCell ref="Q61:Q62"/>
    <mergeCell ref="Q22:Q23"/>
    <mergeCell ref="Q25:Q26"/>
    <mergeCell ref="Q27:Q28"/>
    <mergeCell ref="Q29:Q30"/>
    <mergeCell ref="Q31:Q32"/>
    <mergeCell ref="Q33:Q34"/>
    <mergeCell ref="Q36:Q37"/>
    <mergeCell ref="Q38:Q39"/>
    <mergeCell ref="Q43:Q44"/>
    <mergeCell ref="A1:Q1"/>
    <mergeCell ref="A3:Q3"/>
    <mergeCell ref="A4:Q4"/>
    <mergeCell ref="D10:I10"/>
    <mergeCell ref="D11:D12"/>
    <mergeCell ref="E11:E12"/>
    <mergeCell ref="F11:F12"/>
    <mergeCell ref="G11:G12"/>
    <mergeCell ref="L9:L12"/>
    <mergeCell ref="M9:M12"/>
    <mergeCell ref="N9:N14"/>
    <mergeCell ref="O9:O14"/>
    <mergeCell ref="P9:P14"/>
    <mergeCell ref="D9:I9"/>
    <mergeCell ref="A9:A12"/>
    <mergeCell ref="B9:B12"/>
    <mergeCell ref="C9:C12"/>
    <mergeCell ref="A5:U5"/>
    <mergeCell ref="A6:U6"/>
    <mergeCell ref="A7:N7"/>
    <mergeCell ref="O7:U8"/>
    <mergeCell ref="A8:N8"/>
    <mergeCell ref="Q9:Q14"/>
    <mergeCell ref="P18:P19"/>
    <mergeCell ref="A20:A21"/>
    <mergeCell ref="C20:C21"/>
    <mergeCell ref="N20:N21"/>
    <mergeCell ref="O20:O21"/>
    <mergeCell ref="P20:P21"/>
    <mergeCell ref="I11:I12"/>
    <mergeCell ref="A15:B15"/>
    <mergeCell ref="A16:B16"/>
    <mergeCell ref="A18:A19"/>
    <mergeCell ref="C18:C19"/>
    <mergeCell ref="N18:N19"/>
    <mergeCell ref="O18:O19"/>
    <mergeCell ref="J9:J12"/>
    <mergeCell ref="K9:K12"/>
    <mergeCell ref="H11:H12"/>
    <mergeCell ref="A22:A23"/>
    <mergeCell ref="C22:C23"/>
    <mergeCell ref="N22:N23"/>
    <mergeCell ref="O22:O23"/>
    <mergeCell ref="P22:P23"/>
    <mergeCell ref="C33:C34"/>
    <mergeCell ref="N33:N34"/>
    <mergeCell ref="O33:O34"/>
    <mergeCell ref="P33:P34"/>
    <mergeCell ref="A27:A28"/>
    <mergeCell ref="C27:C28"/>
    <mergeCell ref="N27:N28"/>
    <mergeCell ref="O27:O28"/>
    <mergeCell ref="P27:P28"/>
    <mergeCell ref="C29:C30"/>
    <mergeCell ref="N29:N30"/>
    <mergeCell ref="O29:O30"/>
    <mergeCell ref="P29:P30"/>
    <mergeCell ref="A31:A32"/>
    <mergeCell ref="C31:C32"/>
    <mergeCell ref="N31:N32"/>
    <mergeCell ref="O31:O32"/>
    <mergeCell ref="P31:P32"/>
    <mergeCell ref="C25:C26"/>
    <mergeCell ref="N25:N26"/>
    <mergeCell ref="O25:O26"/>
    <mergeCell ref="P25:P26"/>
    <mergeCell ref="A36:A37"/>
    <mergeCell ref="C36:C37"/>
    <mergeCell ref="N36:N37"/>
    <mergeCell ref="O36:O37"/>
    <mergeCell ref="P36:P37"/>
    <mergeCell ref="A45:A46"/>
    <mergeCell ref="C45:C46"/>
    <mergeCell ref="N45:N46"/>
    <mergeCell ref="O45:O46"/>
    <mergeCell ref="P45:P46"/>
    <mergeCell ref="A40:B40"/>
    <mergeCell ref="A41:B41"/>
    <mergeCell ref="C43:C44"/>
    <mergeCell ref="N43:N44"/>
    <mergeCell ref="O43:O44"/>
    <mergeCell ref="P43:P44"/>
    <mergeCell ref="A38:A39"/>
    <mergeCell ref="C38:C39"/>
    <mergeCell ref="N38:N39"/>
    <mergeCell ref="O38:O39"/>
    <mergeCell ref="P38:P39"/>
    <mergeCell ref="A49:A50"/>
    <mergeCell ref="C49:C50"/>
    <mergeCell ref="N49:N50"/>
    <mergeCell ref="O49:O50"/>
    <mergeCell ref="P49:P50"/>
    <mergeCell ref="A47:A48"/>
    <mergeCell ref="C47:C48"/>
    <mergeCell ref="N47:N48"/>
    <mergeCell ref="O47:O48"/>
    <mergeCell ref="P47:P48"/>
    <mergeCell ref="A53:A54"/>
    <mergeCell ref="C53:C54"/>
    <mergeCell ref="N53:N54"/>
    <mergeCell ref="O53:O54"/>
    <mergeCell ref="P53:P54"/>
    <mergeCell ref="A51:A52"/>
    <mergeCell ref="C51:C52"/>
    <mergeCell ref="N51:N52"/>
    <mergeCell ref="O51:O52"/>
    <mergeCell ref="P51:P52"/>
    <mergeCell ref="A57:A58"/>
    <mergeCell ref="C57:C58"/>
    <mergeCell ref="N57:N58"/>
    <mergeCell ref="O57:O58"/>
    <mergeCell ref="P57:P58"/>
    <mergeCell ref="A55:A56"/>
    <mergeCell ref="C55:C56"/>
    <mergeCell ref="N55:N56"/>
    <mergeCell ref="O55:O56"/>
    <mergeCell ref="P55:P56"/>
    <mergeCell ref="A61:A62"/>
    <mergeCell ref="C61:C62"/>
    <mergeCell ref="N61:N62"/>
    <mergeCell ref="O61:O62"/>
    <mergeCell ref="P61:P62"/>
    <mergeCell ref="A59:A60"/>
    <mergeCell ref="C59:C60"/>
    <mergeCell ref="N59:N60"/>
    <mergeCell ref="O59:O60"/>
    <mergeCell ref="P59:P60"/>
    <mergeCell ref="A65:A66"/>
    <mergeCell ref="C65:C66"/>
    <mergeCell ref="N65:N66"/>
    <mergeCell ref="O65:O66"/>
    <mergeCell ref="P65:P66"/>
    <mergeCell ref="A63:A64"/>
    <mergeCell ref="C63:C64"/>
    <mergeCell ref="N63:N64"/>
    <mergeCell ref="O63:O64"/>
    <mergeCell ref="P63:P64"/>
    <mergeCell ref="A69:A70"/>
    <mergeCell ref="C69:C70"/>
    <mergeCell ref="N69:N70"/>
    <mergeCell ref="O69:O70"/>
    <mergeCell ref="P69:P70"/>
    <mergeCell ref="A67:A68"/>
    <mergeCell ref="C67:C68"/>
    <mergeCell ref="N67:N68"/>
    <mergeCell ref="O67:O68"/>
    <mergeCell ref="P67:P68"/>
    <mergeCell ref="C73:C74"/>
    <mergeCell ref="N73:N74"/>
    <mergeCell ref="O73:O74"/>
    <mergeCell ref="P73:P74"/>
    <mergeCell ref="A71:A72"/>
    <mergeCell ref="C71:C72"/>
    <mergeCell ref="N71:N72"/>
    <mergeCell ref="O71:O72"/>
    <mergeCell ref="P71:P72"/>
    <mergeCell ref="A73:A74"/>
    <mergeCell ref="A77:A78"/>
    <mergeCell ref="C77:C78"/>
    <mergeCell ref="N77:N78"/>
    <mergeCell ref="O77:O78"/>
    <mergeCell ref="P77:P78"/>
    <mergeCell ref="A75:A76"/>
    <mergeCell ref="C75:C76"/>
    <mergeCell ref="N75:N76"/>
    <mergeCell ref="O75:O76"/>
    <mergeCell ref="P75:P76"/>
    <mergeCell ref="A81:A82"/>
    <mergeCell ref="C81:C82"/>
    <mergeCell ref="N81:N82"/>
    <mergeCell ref="O81:O82"/>
    <mergeCell ref="P81:P82"/>
    <mergeCell ref="A79:A80"/>
    <mergeCell ref="C79:C80"/>
    <mergeCell ref="N79:N80"/>
    <mergeCell ref="O79:O80"/>
    <mergeCell ref="P79:P80"/>
    <mergeCell ref="A86:A87"/>
    <mergeCell ref="C86:C87"/>
    <mergeCell ref="N86:N87"/>
    <mergeCell ref="O86:O87"/>
    <mergeCell ref="P86:P87"/>
    <mergeCell ref="A84:A85"/>
    <mergeCell ref="C84:C85"/>
    <mergeCell ref="N84:N85"/>
    <mergeCell ref="O84:O85"/>
    <mergeCell ref="P84:P85"/>
    <mergeCell ref="A90:A91"/>
    <mergeCell ref="C90:C91"/>
    <mergeCell ref="N90:N91"/>
    <mergeCell ref="O90:O91"/>
    <mergeCell ref="P90:P91"/>
    <mergeCell ref="A88:A89"/>
    <mergeCell ref="C88:C89"/>
    <mergeCell ref="N88:N89"/>
    <mergeCell ref="O88:O89"/>
    <mergeCell ref="P88:P89"/>
    <mergeCell ref="A103:A104"/>
    <mergeCell ref="C103:C104"/>
    <mergeCell ref="N103:N104"/>
    <mergeCell ref="O103:O104"/>
    <mergeCell ref="P103:P104"/>
    <mergeCell ref="A97:A98"/>
    <mergeCell ref="C97:C98"/>
    <mergeCell ref="N97:N98"/>
    <mergeCell ref="O97:O98"/>
    <mergeCell ref="P97:P98"/>
    <mergeCell ref="A101:A102"/>
    <mergeCell ref="C101:C102"/>
    <mergeCell ref="N101:N102"/>
    <mergeCell ref="O101:O102"/>
    <mergeCell ref="P101:P102"/>
    <mergeCell ref="A99:A100"/>
    <mergeCell ref="C99:C100"/>
    <mergeCell ref="N99:N100"/>
    <mergeCell ref="O99:O100"/>
    <mergeCell ref="P99:P100"/>
    <mergeCell ref="A95:A96"/>
    <mergeCell ref="C95:C96"/>
    <mergeCell ref="N95:N96"/>
    <mergeCell ref="O95:O96"/>
    <mergeCell ref="P95:P96"/>
    <mergeCell ref="A93:A94"/>
    <mergeCell ref="C93:C94"/>
    <mergeCell ref="N93:N94"/>
    <mergeCell ref="O93:O94"/>
    <mergeCell ref="P93:P94"/>
    <mergeCell ref="A113:A114"/>
    <mergeCell ref="C113:C114"/>
    <mergeCell ref="N113:N114"/>
    <mergeCell ref="O113:O114"/>
    <mergeCell ref="P113:P114"/>
    <mergeCell ref="A111:A112"/>
    <mergeCell ref="C111:C112"/>
    <mergeCell ref="N111:N112"/>
    <mergeCell ref="O111:O112"/>
    <mergeCell ref="P111:P112"/>
    <mergeCell ref="A107:A108"/>
    <mergeCell ref="C107:C108"/>
    <mergeCell ref="N107:N108"/>
    <mergeCell ref="O107:O108"/>
    <mergeCell ref="P107:P108"/>
    <mergeCell ref="A105:A106"/>
    <mergeCell ref="C105:C106"/>
    <mergeCell ref="N105:N106"/>
    <mergeCell ref="O105:O106"/>
    <mergeCell ref="P105:P106"/>
    <mergeCell ref="A118:A119"/>
    <mergeCell ref="C118:C119"/>
    <mergeCell ref="N118:N119"/>
    <mergeCell ref="O118:O119"/>
    <mergeCell ref="P118:P119"/>
    <mergeCell ref="A116:A117"/>
    <mergeCell ref="C116:C117"/>
    <mergeCell ref="N116:N117"/>
    <mergeCell ref="O116:O117"/>
    <mergeCell ref="P116:P117"/>
    <mergeCell ref="A122:A123"/>
    <mergeCell ref="C122:C123"/>
    <mergeCell ref="N122:N123"/>
    <mergeCell ref="O122:O123"/>
    <mergeCell ref="P122:P123"/>
    <mergeCell ref="A120:A121"/>
    <mergeCell ref="C120:C121"/>
    <mergeCell ref="N120:N121"/>
    <mergeCell ref="O120:O121"/>
    <mergeCell ref="P120:P121"/>
    <mergeCell ref="A126:A127"/>
    <mergeCell ref="C126:C127"/>
    <mergeCell ref="N126:N127"/>
    <mergeCell ref="O126:O127"/>
    <mergeCell ref="P126:P127"/>
    <mergeCell ref="A124:A125"/>
    <mergeCell ref="C124:C125"/>
    <mergeCell ref="N124:N125"/>
    <mergeCell ref="O124:O125"/>
    <mergeCell ref="P124:P125"/>
    <mergeCell ref="A130:A131"/>
    <mergeCell ref="C130:C131"/>
    <mergeCell ref="N130:N131"/>
    <mergeCell ref="O130:O131"/>
    <mergeCell ref="P130:P131"/>
    <mergeCell ref="A128:A129"/>
    <mergeCell ref="C128:C129"/>
    <mergeCell ref="N128:N129"/>
    <mergeCell ref="O128:O129"/>
    <mergeCell ref="P128:P129"/>
    <mergeCell ref="A135:A136"/>
    <mergeCell ref="C135:C136"/>
    <mergeCell ref="N135:N136"/>
    <mergeCell ref="O135:O136"/>
    <mergeCell ref="P135:P136"/>
    <mergeCell ref="A132:A133"/>
    <mergeCell ref="C132:C133"/>
    <mergeCell ref="N132:N133"/>
    <mergeCell ref="O132:O133"/>
    <mergeCell ref="P132:P133"/>
    <mergeCell ref="A139:A140"/>
    <mergeCell ref="C139:C140"/>
    <mergeCell ref="N139:N140"/>
    <mergeCell ref="O139:O140"/>
    <mergeCell ref="P139:P140"/>
    <mergeCell ref="A137:A138"/>
    <mergeCell ref="C137:C138"/>
    <mergeCell ref="N137:N138"/>
    <mergeCell ref="O137:O138"/>
    <mergeCell ref="P137:P138"/>
    <mergeCell ref="A143:A144"/>
    <mergeCell ref="C143:C144"/>
    <mergeCell ref="N143:N144"/>
    <mergeCell ref="O143:O144"/>
    <mergeCell ref="P143:P144"/>
    <mergeCell ref="A141:A142"/>
    <mergeCell ref="C141:C142"/>
    <mergeCell ref="N141:N142"/>
    <mergeCell ref="O141:O142"/>
    <mergeCell ref="P141:P142"/>
    <mergeCell ref="A147:A148"/>
    <mergeCell ref="C147:C148"/>
    <mergeCell ref="N147:N148"/>
    <mergeCell ref="O147:O148"/>
    <mergeCell ref="P147:P148"/>
    <mergeCell ref="A145:A146"/>
    <mergeCell ref="C145:C146"/>
    <mergeCell ref="N145:N146"/>
    <mergeCell ref="O145:O146"/>
    <mergeCell ref="P145:P146"/>
    <mergeCell ref="A151:A152"/>
    <mergeCell ref="C151:C152"/>
    <mergeCell ref="N151:N152"/>
    <mergeCell ref="O151:O152"/>
    <mergeCell ref="P151:P152"/>
    <mergeCell ref="A149:A150"/>
    <mergeCell ref="C149:C150"/>
    <mergeCell ref="N149:N150"/>
    <mergeCell ref="O149:O150"/>
    <mergeCell ref="P149:P150"/>
    <mergeCell ref="A158:A159"/>
    <mergeCell ref="N158:N159"/>
    <mergeCell ref="O158:O159"/>
    <mergeCell ref="P158:P159"/>
    <mergeCell ref="A154:A155"/>
    <mergeCell ref="C154:C155"/>
    <mergeCell ref="N154:N155"/>
    <mergeCell ref="O154:O155"/>
    <mergeCell ref="P154:P155"/>
    <mergeCell ref="A156:A157"/>
    <mergeCell ref="N156:N157"/>
    <mergeCell ref="O156:O157"/>
    <mergeCell ref="P156:P157"/>
    <mergeCell ref="A160:B160"/>
    <mergeCell ref="A161:B161"/>
    <mergeCell ref="A164:A165"/>
    <mergeCell ref="C164:C165"/>
    <mergeCell ref="N164:N165"/>
    <mergeCell ref="O164:O165"/>
    <mergeCell ref="P164:P165"/>
    <mergeCell ref="N170:N171"/>
    <mergeCell ref="O170:O171"/>
    <mergeCell ref="P170:P171"/>
    <mergeCell ref="A174:A177"/>
    <mergeCell ref="B174:B177"/>
    <mergeCell ref="A166:A167"/>
    <mergeCell ref="C166:C167"/>
    <mergeCell ref="N166:N167"/>
    <mergeCell ref="O166:O167"/>
    <mergeCell ref="P166:P167"/>
    <mergeCell ref="C174:C177"/>
    <mergeCell ref="D174:D177"/>
    <mergeCell ref="E174:E177"/>
    <mergeCell ref="F174:F177"/>
    <mergeCell ref="A172:A173"/>
    <mergeCell ref="C172:C173"/>
    <mergeCell ref="N172:N173"/>
    <mergeCell ref="O172:O173"/>
    <mergeCell ref="P172:P173"/>
    <mergeCell ref="A168:A169"/>
    <mergeCell ref="C168:C169"/>
    <mergeCell ref="N168:N169"/>
    <mergeCell ref="O168:O169"/>
    <mergeCell ref="P168:P169"/>
    <mergeCell ref="A170:A171"/>
    <mergeCell ref="C170:C171"/>
    <mergeCell ref="M174:M177"/>
    <mergeCell ref="N174:N177"/>
    <mergeCell ref="O174:O177"/>
    <mergeCell ref="P174:P177"/>
    <mergeCell ref="G174:G177"/>
    <mergeCell ref="H174:H177"/>
    <mergeCell ref="I174:I177"/>
    <mergeCell ref="J174:J177"/>
    <mergeCell ref="K174:K177"/>
    <mergeCell ref="L174:L177"/>
    <mergeCell ref="A182:A183"/>
    <mergeCell ref="C182:C183"/>
    <mergeCell ref="N182:N183"/>
    <mergeCell ref="O182:O183"/>
    <mergeCell ref="P182:P183"/>
    <mergeCell ref="A178:A179"/>
    <mergeCell ref="C178:C179"/>
    <mergeCell ref="N178:N179"/>
    <mergeCell ref="O178:O179"/>
    <mergeCell ref="P178:P179"/>
    <mergeCell ref="A192:A193"/>
    <mergeCell ref="C192:C193"/>
    <mergeCell ref="N192:N193"/>
    <mergeCell ref="O192:O193"/>
    <mergeCell ref="P192:P193"/>
    <mergeCell ref="A190:A191"/>
    <mergeCell ref="C190:C191"/>
    <mergeCell ref="N190:N191"/>
    <mergeCell ref="O190:O191"/>
    <mergeCell ref="P190:P191"/>
    <mergeCell ref="A198:A199"/>
    <mergeCell ref="C198:C199"/>
    <mergeCell ref="N198:N199"/>
    <mergeCell ref="O198:O199"/>
    <mergeCell ref="P198:P199"/>
    <mergeCell ref="A194:A195"/>
    <mergeCell ref="C194:C195"/>
    <mergeCell ref="N194:N195"/>
    <mergeCell ref="O194:O195"/>
    <mergeCell ref="P194:P195"/>
    <mergeCell ref="A196:A197"/>
    <mergeCell ref="C196:C197"/>
    <mergeCell ref="N196:N197"/>
    <mergeCell ref="O196:O197"/>
    <mergeCell ref="P196:P197"/>
    <mergeCell ref="A202:A203"/>
    <mergeCell ref="C202:C203"/>
    <mergeCell ref="N202:N203"/>
    <mergeCell ref="O202:O203"/>
    <mergeCell ref="P202:P203"/>
    <mergeCell ref="A200:A201"/>
    <mergeCell ref="C200:C201"/>
    <mergeCell ref="N200:N201"/>
    <mergeCell ref="O200:O201"/>
    <mergeCell ref="P200:P201"/>
    <mergeCell ref="A206:A207"/>
    <mergeCell ref="C206:C207"/>
    <mergeCell ref="N206:N207"/>
    <mergeCell ref="O206:O207"/>
    <mergeCell ref="P206:P207"/>
    <mergeCell ref="A204:A205"/>
    <mergeCell ref="C204:C205"/>
    <mergeCell ref="N204:N205"/>
    <mergeCell ref="O204:O205"/>
    <mergeCell ref="P204:P205"/>
    <mergeCell ref="A210:A211"/>
    <mergeCell ref="C210:C211"/>
    <mergeCell ref="N210:N211"/>
    <mergeCell ref="O210:O211"/>
    <mergeCell ref="P210:P211"/>
    <mergeCell ref="A208:A209"/>
    <mergeCell ref="C208:C209"/>
    <mergeCell ref="N208:N209"/>
    <mergeCell ref="O208:O209"/>
    <mergeCell ref="P208:P209"/>
    <mergeCell ref="P220:P221"/>
    <mergeCell ref="A222:A223"/>
    <mergeCell ref="C222:C223"/>
    <mergeCell ref="N222:N223"/>
    <mergeCell ref="A212:A213"/>
    <mergeCell ref="C212:C213"/>
    <mergeCell ref="N212:N213"/>
    <mergeCell ref="O212:O213"/>
    <mergeCell ref="P212:P213"/>
    <mergeCell ref="A214:A215"/>
    <mergeCell ref="C214:C215"/>
    <mergeCell ref="N214:N215"/>
    <mergeCell ref="O214:O215"/>
    <mergeCell ref="P214:P215"/>
    <mergeCell ref="A218:A219"/>
    <mergeCell ref="C218:C219"/>
    <mergeCell ref="N218:N219"/>
    <mergeCell ref="O218:O219"/>
    <mergeCell ref="P218:P219"/>
    <mergeCell ref="A216:A217"/>
    <mergeCell ref="C216:C217"/>
    <mergeCell ref="N216:N217"/>
    <mergeCell ref="O216:O217"/>
    <mergeCell ref="P216:P217"/>
    <mergeCell ref="A227:A228"/>
    <mergeCell ref="C227:C228"/>
    <mergeCell ref="N227:N228"/>
    <mergeCell ref="O227:O228"/>
    <mergeCell ref="P227:P228"/>
    <mergeCell ref="A225:A226"/>
    <mergeCell ref="C225:C226"/>
    <mergeCell ref="N225:N226"/>
    <mergeCell ref="O225:O226"/>
    <mergeCell ref="P225:P226"/>
    <mergeCell ref="C232:C233"/>
    <mergeCell ref="N232:N233"/>
    <mergeCell ref="O232:O233"/>
    <mergeCell ref="P232:P233"/>
    <mergeCell ref="C234:C235"/>
    <mergeCell ref="A229:A230"/>
    <mergeCell ref="C229:C230"/>
    <mergeCell ref="N229:N230"/>
    <mergeCell ref="O229:O230"/>
    <mergeCell ref="P229:P230"/>
    <mergeCell ref="C251:C252"/>
    <mergeCell ref="N251:N252"/>
    <mergeCell ref="O251:O252"/>
    <mergeCell ref="P251:P252"/>
    <mergeCell ref="A248:A249"/>
    <mergeCell ref="C248:C249"/>
    <mergeCell ref="N248:N249"/>
    <mergeCell ref="O248:O249"/>
    <mergeCell ref="A234:A235"/>
    <mergeCell ref="P248:P249"/>
    <mergeCell ref="A244:A245"/>
    <mergeCell ref="C244:C245"/>
    <mergeCell ref="N244:N245"/>
    <mergeCell ref="P244:P245"/>
    <mergeCell ref="A242:A243"/>
    <mergeCell ref="C242:C243"/>
    <mergeCell ref="N242:N243"/>
    <mergeCell ref="O242:O243"/>
    <mergeCell ref="P242:P243"/>
    <mergeCell ref="P246:P247"/>
    <mergeCell ref="A240:A241"/>
    <mergeCell ref="C240:C241"/>
    <mergeCell ref="N240:N241"/>
    <mergeCell ref="A259:A260"/>
    <mergeCell ref="C259:C260"/>
    <mergeCell ref="N259:N260"/>
    <mergeCell ref="O259:O260"/>
    <mergeCell ref="P259:P260"/>
    <mergeCell ref="A257:A258"/>
    <mergeCell ref="C257:C258"/>
    <mergeCell ref="N257:N258"/>
    <mergeCell ref="O257:O258"/>
    <mergeCell ref="P257:P258"/>
    <mergeCell ref="A263:A264"/>
    <mergeCell ref="C263:C264"/>
    <mergeCell ref="N263:N264"/>
    <mergeCell ref="O263:O264"/>
    <mergeCell ref="P263:P264"/>
    <mergeCell ref="A261:A262"/>
    <mergeCell ref="C261:C262"/>
    <mergeCell ref="N261:N262"/>
    <mergeCell ref="O261:O262"/>
    <mergeCell ref="P261:P262"/>
    <mergeCell ref="A285:A286"/>
    <mergeCell ref="C285:C286"/>
    <mergeCell ref="N285:N286"/>
    <mergeCell ref="O285:O286"/>
    <mergeCell ref="P285:P286"/>
    <mergeCell ref="A282:A283"/>
    <mergeCell ref="C282:C283"/>
    <mergeCell ref="N282:N283"/>
    <mergeCell ref="O282:O283"/>
    <mergeCell ref="P282:P283"/>
    <mergeCell ref="A279:A280"/>
    <mergeCell ref="C279:C280"/>
    <mergeCell ref="N279:N280"/>
    <mergeCell ref="O279:O280"/>
    <mergeCell ref="P279:P280"/>
    <mergeCell ref="A277:A278"/>
    <mergeCell ref="C277:C278"/>
    <mergeCell ref="N277:N278"/>
    <mergeCell ref="O277:O278"/>
    <mergeCell ref="P277:P278"/>
    <mergeCell ref="P269:P270"/>
    <mergeCell ref="A266:A267"/>
    <mergeCell ref="C266:C267"/>
    <mergeCell ref="N266:N267"/>
    <mergeCell ref="O266:O267"/>
    <mergeCell ref="C273:C274"/>
    <mergeCell ref="N273:N274"/>
    <mergeCell ref="O273:O274"/>
    <mergeCell ref="P273:P274"/>
    <mergeCell ref="A271:A272"/>
    <mergeCell ref="C271:C272"/>
    <mergeCell ref="N271:N272"/>
    <mergeCell ref="O271:O272"/>
    <mergeCell ref="P271:P272"/>
    <mergeCell ref="P266:P267"/>
    <mergeCell ref="A275:A276"/>
    <mergeCell ref="C275:C276"/>
    <mergeCell ref="N275:N276"/>
    <mergeCell ref="O275:O276"/>
    <mergeCell ref="P275:P276"/>
    <mergeCell ref="A273:A274"/>
    <mergeCell ref="N234:N235"/>
    <mergeCell ref="O234:O235"/>
    <mergeCell ref="P234:P235"/>
    <mergeCell ref="A255:A256"/>
    <mergeCell ref="C255:C256"/>
    <mergeCell ref="N255:N256"/>
    <mergeCell ref="O255:O256"/>
    <mergeCell ref="P255:P256"/>
    <mergeCell ref="A269:A270"/>
    <mergeCell ref="C269:C270"/>
    <mergeCell ref="N269:N270"/>
    <mergeCell ref="O269:O270"/>
    <mergeCell ref="A253:A254"/>
    <mergeCell ref="C253:C254"/>
    <mergeCell ref="N253:N254"/>
    <mergeCell ref="O253:O254"/>
    <mergeCell ref="P253:P254"/>
    <mergeCell ref="A251:A252"/>
    <mergeCell ref="O222:O223"/>
    <mergeCell ref="P222:P223"/>
    <mergeCell ref="A246:A247"/>
    <mergeCell ref="C246:C247"/>
    <mergeCell ref="N246:N247"/>
    <mergeCell ref="O246:O247"/>
    <mergeCell ref="A220:A221"/>
    <mergeCell ref="C220:C221"/>
    <mergeCell ref="N220:N221"/>
    <mergeCell ref="O220:O221"/>
    <mergeCell ref="O240:O241"/>
    <mergeCell ref="P240:P241"/>
    <mergeCell ref="A238:A239"/>
    <mergeCell ref="C238:C239"/>
    <mergeCell ref="N238:N239"/>
    <mergeCell ref="O238:O239"/>
    <mergeCell ref="P238:P239"/>
    <mergeCell ref="A236:A237"/>
    <mergeCell ref="C236:C237"/>
    <mergeCell ref="N236:N237"/>
    <mergeCell ref="O236:O237"/>
    <mergeCell ref="P236:P237"/>
    <mergeCell ref="A232:A233"/>
    <mergeCell ref="O244:O245"/>
    <mergeCell ref="A25:A26"/>
    <mergeCell ref="A29:A30"/>
    <mergeCell ref="A43:A44"/>
    <mergeCell ref="Q174:Q177"/>
    <mergeCell ref="Q178:Q179"/>
    <mergeCell ref="Q182:Q183"/>
    <mergeCell ref="Q184:Q185"/>
    <mergeCell ref="Q186:Q187"/>
    <mergeCell ref="Q188:Q189"/>
    <mergeCell ref="A184:A185"/>
    <mergeCell ref="C184:C185"/>
    <mergeCell ref="N184:N185"/>
    <mergeCell ref="O184:O185"/>
    <mergeCell ref="P184:P185"/>
    <mergeCell ref="A188:A189"/>
    <mergeCell ref="C188:C189"/>
    <mergeCell ref="N188:N189"/>
    <mergeCell ref="O188:O189"/>
    <mergeCell ref="P188:P189"/>
    <mergeCell ref="A186:A187"/>
    <mergeCell ref="C186:C187"/>
    <mergeCell ref="N186:N187"/>
    <mergeCell ref="O186:O187"/>
    <mergeCell ref="P186:P187"/>
    <mergeCell ref="Q271:Q272"/>
    <mergeCell ref="Q273:Q274"/>
    <mergeCell ref="Q275:Q276"/>
    <mergeCell ref="Q277:Q278"/>
    <mergeCell ref="Q279:Q280"/>
    <mergeCell ref="Q282:Q283"/>
    <mergeCell ref="Q285:Q286"/>
    <mergeCell ref="Q229:Q230"/>
    <mergeCell ref="Q232:Q233"/>
    <mergeCell ref="Q234:Q235"/>
    <mergeCell ref="Q236:Q237"/>
    <mergeCell ref="Q238:Q239"/>
    <mergeCell ref="Q240:Q241"/>
    <mergeCell ref="Q242:Q243"/>
    <mergeCell ref="Q244:Q245"/>
    <mergeCell ref="Q246:Q247"/>
    <mergeCell ref="Q261:Q262"/>
    <mergeCell ref="Q263:Q264"/>
    <mergeCell ref="Q266:Q267"/>
    <mergeCell ref="Q269:Q270"/>
  </mergeCells>
  <pageMargins left="0.25" right="0.25"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ATSKAITE_2.cet.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Ungure</dc:creator>
  <cp:lastModifiedBy>Ilze Ungure</cp:lastModifiedBy>
  <cp:lastPrinted>2018-10-08T13:59:06Z</cp:lastPrinted>
  <dcterms:created xsi:type="dcterms:W3CDTF">2017-12-13T10:30:40Z</dcterms:created>
  <dcterms:modified xsi:type="dcterms:W3CDTF">2018-10-24T09:32:41Z</dcterms:modified>
</cp:coreProperties>
</file>