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19200" windowHeight="10995"/>
  </bookViews>
  <sheets>
    <sheet name="Izdevumi" sheetId="1" r:id="rId1"/>
    <sheet name="Ienemumi" sheetId="4" r:id="rId2"/>
    <sheet name="Kopa_ien-izd" sheetId="5" state="hidden" r:id="rId3"/>
  </sheets>
  <definedNames>
    <definedName name="_xlnm._FilterDatabase" localSheetId="1" hidden="1">Ienemumi!$A$7:$AI$162</definedName>
    <definedName name="_xlnm._FilterDatabase" localSheetId="0" hidden="1">Izdevumi!$A$9:$BY$301</definedName>
    <definedName name="_xlnm.Print_Area" localSheetId="2">'Kopa_ien-izd'!$A$2:$E$13</definedName>
    <definedName name="_xlnm.Print_Titles" localSheetId="1">Ienemumi!$6:$7</definedName>
    <definedName name="_xlnm.Print_Titles" localSheetId="0">Izdevumi!$6:$9</definedName>
    <definedName name="Z_C32C0FCD_AE7D_41A3_975E_D7367DDEA994_.wvu.PrintArea" localSheetId="1" hidden="1">Ienemumi!$A$3:$AI$162</definedName>
    <definedName name="Z_C32C0FCD_AE7D_41A3_975E_D7367DDEA994_.wvu.PrintArea" localSheetId="0" hidden="1">Izdevumi!$B$4:$BY$298</definedName>
    <definedName name="Z_C32C0FCD_AE7D_41A3_975E_D7367DDEA994_.wvu.PrintTitles" localSheetId="1" hidden="1">Ienemumi!$6:$7</definedName>
    <definedName name="Z_C32C0FCD_AE7D_41A3_975E_D7367DDEA994_.wvu.PrintTitles" localSheetId="0" hidden="1">Izdevumi!$6:$9</definedName>
    <definedName name="Z_C32C0FCD_AE7D_41A3_975E_D7367DDEA994_.wvu.Rows" localSheetId="1" hidden="1">Ienemumi!#REF!,Ienemumi!#REF!,Ienemumi!$150:$160</definedName>
  </definedNames>
  <calcPr calcId="152511"/>
  <customWorkbookViews>
    <customWorkbookView name="Inga Braca - Personal View" guid="{C32C0FCD-AE7D-41A3-975E-D7367DDEA994}" mergeInterval="0" personalView="1" maximized="1" windowWidth="1276" windowHeight="771" activeSheetId="1"/>
    <customWorkbookView name="Kristine Maurina - Personal View" guid="{8E07C9B9-277B-448A-92DB-DFFDE2869977}" mergeInterval="0" personalView="1" maximized="1" windowWidth="1276" windowHeight="805" activeSheetId="1"/>
  </customWorkbookViews>
</workbook>
</file>

<file path=xl/calcChain.xml><?xml version="1.0" encoding="utf-8"?>
<calcChain xmlns="http://schemas.openxmlformats.org/spreadsheetml/2006/main">
  <c r="Q72" i="4" l="1"/>
  <c r="BN24" i="1"/>
  <c r="BM24" i="1" s="1"/>
  <c r="BD24" i="1"/>
  <c r="BC24" i="1" s="1"/>
  <c r="AQ24" i="1"/>
  <c r="AP24" i="1" s="1"/>
  <c r="AE24" i="1"/>
  <c r="AD24" i="1" s="1"/>
  <c r="J24" i="1"/>
  <c r="I24" i="1" s="1"/>
  <c r="F24" i="1"/>
  <c r="G24" i="1" l="1"/>
  <c r="AA268" i="1" l="1"/>
  <c r="Z268" i="1"/>
  <c r="Y268" i="1"/>
  <c r="X268" i="1"/>
  <c r="AA267" i="1"/>
  <c r="AA299" i="1" s="1"/>
  <c r="Z267" i="1"/>
  <c r="Z299" i="1" s="1"/>
  <c r="Y267" i="1"/>
  <c r="Y299" i="1" s="1"/>
  <c r="X267" i="1"/>
  <c r="X299" i="1" s="1"/>
  <c r="AA240" i="1"/>
  <c r="Z240" i="1"/>
  <c r="Y240" i="1"/>
  <c r="X240" i="1"/>
  <c r="AA137" i="1"/>
  <c r="Z137" i="1"/>
  <c r="Y137" i="1"/>
  <c r="X137" i="1"/>
  <c r="AA98" i="1"/>
  <c r="Z98" i="1"/>
  <c r="Y98" i="1"/>
  <c r="X98" i="1"/>
  <c r="AA91" i="1"/>
  <c r="Z91" i="1"/>
  <c r="Y91" i="1"/>
  <c r="X91" i="1"/>
  <c r="AA74" i="1"/>
  <c r="Z74" i="1"/>
  <c r="Y74" i="1"/>
  <c r="X74" i="1"/>
  <c r="AA64" i="1"/>
  <c r="Z64" i="1"/>
  <c r="Y64" i="1"/>
  <c r="X64" i="1"/>
  <c r="AA34" i="1"/>
  <c r="Z34" i="1"/>
  <c r="Y34" i="1"/>
  <c r="X34" i="1"/>
  <c r="AA26" i="1"/>
  <c r="Z26" i="1"/>
  <c r="Y26" i="1"/>
  <c r="X26" i="1"/>
  <c r="AA11" i="1"/>
  <c r="AA300" i="1" s="1"/>
  <c r="Z11" i="1"/>
  <c r="Z300" i="1" s="1"/>
  <c r="Y11" i="1"/>
  <c r="Y300" i="1" s="1"/>
  <c r="X11" i="1"/>
  <c r="X300" i="1" l="1"/>
  <c r="X297" i="1"/>
  <c r="X298" i="1"/>
  <c r="Y297" i="1"/>
  <c r="Y298" i="1"/>
  <c r="Z297" i="1"/>
  <c r="Z298" i="1"/>
  <c r="AA297" i="1"/>
  <c r="AA298" i="1"/>
  <c r="W270" i="1"/>
  <c r="W241" i="1"/>
  <c r="P111" i="4" l="1"/>
  <c r="W31" i="1"/>
  <c r="AI118" i="4" l="1"/>
  <c r="AI119" i="4"/>
  <c r="AI120" i="4"/>
  <c r="AI117" i="4"/>
  <c r="V117" i="4"/>
  <c r="U117" i="4" s="1"/>
  <c r="V118" i="4"/>
  <c r="V119" i="4"/>
  <c r="U119" i="4" s="1"/>
  <c r="V120" i="4"/>
  <c r="U120" i="4" s="1"/>
  <c r="U118" i="4"/>
  <c r="E115" i="4"/>
  <c r="G118" i="4"/>
  <c r="F118" i="4" s="1"/>
  <c r="G119" i="4"/>
  <c r="F119" i="4" s="1"/>
  <c r="G120" i="4"/>
  <c r="F120" i="4" s="1"/>
  <c r="G117" i="4"/>
  <c r="AJ118" i="4" l="1"/>
  <c r="AJ119" i="4"/>
  <c r="AJ120" i="4"/>
  <c r="H137" i="1"/>
  <c r="BN154" i="1"/>
  <c r="BM154" i="1" s="1"/>
  <c r="BN155" i="1"/>
  <c r="BM155" i="1" s="1"/>
  <c r="BD154" i="1"/>
  <c r="BC154" i="1" s="1"/>
  <c r="BD155" i="1"/>
  <c r="BC155" i="1" s="1"/>
  <c r="BD153" i="1"/>
  <c r="BC153" i="1" s="1"/>
  <c r="AQ154" i="1"/>
  <c r="AP154" i="1" s="1"/>
  <c r="AQ155" i="1"/>
  <c r="AP155" i="1" s="1"/>
  <c r="AE154" i="1"/>
  <c r="AD154" i="1" s="1"/>
  <c r="AE155" i="1"/>
  <c r="AD155" i="1" s="1"/>
  <c r="AE153" i="1"/>
  <c r="AD153" i="1" s="1"/>
  <c r="J154" i="1"/>
  <c r="I154" i="1" s="1"/>
  <c r="J155" i="1"/>
  <c r="I155" i="1" s="1"/>
  <c r="J153" i="1"/>
  <c r="I153" i="1" s="1"/>
  <c r="F154" i="1"/>
  <c r="F155" i="1"/>
  <c r="F153" i="1"/>
  <c r="G155" i="1" l="1"/>
  <c r="G154" i="1"/>
  <c r="W42" i="1" l="1"/>
  <c r="W80" i="1" l="1"/>
  <c r="F272" i="1" l="1"/>
  <c r="W34" i="1"/>
  <c r="F35" i="1"/>
  <c r="BN50" i="1"/>
  <c r="BM50" i="1" s="1"/>
  <c r="BD50" i="1"/>
  <c r="BC50" i="1" s="1"/>
  <c r="AQ50" i="1"/>
  <c r="AP50" i="1" s="1"/>
  <c r="AE50" i="1"/>
  <c r="AD50" i="1" s="1"/>
  <c r="AE49" i="1"/>
  <c r="AD49" i="1" s="1"/>
  <c r="J50" i="1"/>
  <c r="I50" i="1" s="1"/>
  <c r="J49" i="1"/>
  <c r="I49" i="1" s="1"/>
  <c r="F50" i="1"/>
  <c r="F49" i="1"/>
  <c r="G50" i="1" l="1"/>
  <c r="P73" i="4"/>
  <c r="W200" i="1" l="1"/>
  <c r="F295" i="1" l="1"/>
  <c r="J295" i="1"/>
  <c r="I295" i="1" s="1"/>
  <c r="AE295" i="1"/>
  <c r="AD295" i="1" s="1"/>
  <c r="AQ295" i="1"/>
  <c r="AP295" i="1" s="1"/>
  <c r="BD295" i="1"/>
  <c r="BC295" i="1" s="1"/>
  <c r="BN295" i="1"/>
  <c r="BM295" i="1" s="1"/>
  <c r="G295" i="1" l="1"/>
  <c r="BN189" i="1"/>
  <c r="BM189" i="1" s="1"/>
  <c r="BD189" i="1"/>
  <c r="BC189" i="1" s="1"/>
  <c r="AQ189" i="1"/>
  <c r="AP189" i="1" s="1"/>
  <c r="AE189" i="1"/>
  <c r="AD189" i="1" s="1"/>
  <c r="J189" i="1"/>
  <c r="I189" i="1" s="1"/>
  <c r="F189" i="1"/>
  <c r="G189" i="1" l="1"/>
  <c r="AY268" i="1" l="1"/>
  <c r="AY267" i="1" s="1"/>
  <c r="AY299" i="1" s="1"/>
  <c r="AX268" i="1"/>
  <c r="AX267" i="1" s="1"/>
  <c r="AX299" i="1" s="1"/>
  <c r="AW268" i="1"/>
  <c r="AW267" i="1" s="1"/>
  <c r="AW299" i="1" s="1"/>
  <c r="AY240" i="1"/>
  <c r="AX240" i="1"/>
  <c r="AW240" i="1"/>
  <c r="AY137" i="1"/>
  <c r="AX137" i="1"/>
  <c r="AW137" i="1"/>
  <c r="AY98" i="1"/>
  <c r="AX98" i="1"/>
  <c r="AW98" i="1"/>
  <c r="AY91" i="1"/>
  <c r="AX91" i="1"/>
  <c r="AW91" i="1"/>
  <c r="AY74" i="1"/>
  <c r="AX74" i="1"/>
  <c r="AW74" i="1"/>
  <c r="AY64" i="1"/>
  <c r="AX64" i="1"/>
  <c r="AW64" i="1"/>
  <c r="AY34" i="1"/>
  <c r="AX34" i="1"/>
  <c r="AW34" i="1"/>
  <c r="AY26" i="1"/>
  <c r="AX26" i="1"/>
  <c r="AW26" i="1"/>
  <c r="AY11" i="1"/>
  <c r="AX11" i="1"/>
  <c r="AW11" i="1"/>
  <c r="AM268" i="1"/>
  <c r="AM267" i="1" s="1"/>
  <c r="AM299" i="1" s="1"/>
  <c r="AL268" i="1"/>
  <c r="AL267" i="1" s="1"/>
  <c r="AL299" i="1" s="1"/>
  <c r="AK268" i="1"/>
  <c r="AK267" i="1" s="1"/>
  <c r="AK299" i="1" s="1"/>
  <c r="AM240" i="1"/>
  <c r="AL240" i="1"/>
  <c r="AK240" i="1"/>
  <c r="AM137" i="1"/>
  <c r="AL137" i="1"/>
  <c r="AK137" i="1"/>
  <c r="AM98" i="1"/>
  <c r="AL98" i="1"/>
  <c r="AK98" i="1"/>
  <c r="AM91" i="1"/>
  <c r="AL91" i="1"/>
  <c r="AK91" i="1"/>
  <c r="AM74" i="1"/>
  <c r="AL74" i="1"/>
  <c r="AK74" i="1"/>
  <c r="AM64" i="1"/>
  <c r="AL64" i="1"/>
  <c r="AK64" i="1"/>
  <c r="AM34" i="1"/>
  <c r="AL34" i="1"/>
  <c r="AK34" i="1"/>
  <c r="AM26" i="1"/>
  <c r="AL26" i="1"/>
  <c r="AK26" i="1"/>
  <c r="AM11" i="1"/>
  <c r="AL11" i="1"/>
  <c r="AK11" i="1"/>
  <c r="AX300" i="1" l="1"/>
  <c r="AL300" i="1"/>
  <c r="AW298" i="1"/>
  <c r="AY297" i="1"/>
  <c r="AY300" i="1"/>
  <c r="AW297" i="1"/>
  <c r="AX298" i="1"/>
  <c r="AX297" i="1"/>
  <c r="AY298" i="1"/>
  <c r="AW300" i="1"/>
  <c r="AM300" i="1"/>
  <c r="AK297" i="1"/>
  <c r="AK298" i="1"/>
  <c r="AL298" i="1"/>
  <c r="AL297" i="1"/>
  <c r="AM298" i="1"/>
  <c r="AK300" i="1"/>
  <c r="AM297" i="1"/>
  <c r="U100" i="1" l="1"/>
  <c r="U21" i="1" l="1"/>
  <c r="V270" i="1" l="1"/>
  <c r="O72" i="4" l="1"/>
  <c r="AJ271" i="1" l="1"/>
  <c r="V271" i="1"/>
  <c r="O100" i="4" l="1"/>
  <c r="V268" i="1" l="1"/>
  <c r="V267" i="1" s="1"/>
  <c r="V299" i="1" s="1"/>
  <c r="U268" i="1"/>
  <c r="U267" i="1" s="1"/>
  <c r="U299" i="1" s="1"/>
  <c r="V240" i="1"/>
  <c r="U240" i="1"/>
  <c r="V137" i="1"/>
  <c r="U137" i="1"/>
  <c r="V98" i="1"/>
  <c r="U98" i="1"/>
  <c r="V91" i="1"/>
  <c r="U91" i="1"/>
  <c r="V74" i="1"/>
  <c r="U74" i="1"/>
  <c r="V64" i="1"/>
  <c r="U64" i="1"/>
  <c r="V34" i="1"/>
  <c r="U34" i="1"/>
  <c r="V26" i="1"/>
  <c r="U26" i="1"/>
  <c r="V11" i="1"/>
  <c r="U11" i="1"/>
  <c r="T270" i="1"/>
  <c r="T121" i="1"/>
  <c r="U297" i="1" l="1"/>
  <c r="V300" i="1"/>
  <c r="U300" i="1"/>
  <c r="V297" i="1"/>
  <c r="U298" i="1"/>
  <c r="V298" i="1"/>
  <c r="G130" i="4" l="1"/>
  <c r="F130" i="4" s="1"/>
  <c r="V130" i="4"/>
  <c r="U130" i="4" s="1"/>
  <c r="AI130" i="4"/>
  <c r="AJ130" i="4" l="1"/>
  <c r="S21" i="1"/>
  <c r="T274" i="1" l="1"/>
  <c r="BN180" i="1" l="1"/>
  <c r="BM180" i="1" s="1"/>
  <c r="BD180" i="1"/>
  <c r="BC180" i="1" s="1"/>
  <c r="AQ180" i="1"/>
  <c r="AP180" i="1" s="1"/>
  <c r="AE180" i="1"/>
  <c r="AD180" i="1" s="1"/>
  <c r="J180" i="1"/>
  <c r="I180" i="1" s="1"/>
  <c r="F180" i="1"/>
  <c r="G180" i="1" l="1"/>
  <c r="T53" i="1" l="1"/>
  <c r="BN49" i="1"/>
  <c r="BM49" i="1" s="1"/>
  <c r="BD49" i="1"/>
  <c r="BC49" i="1" s="1"/>
  <c r="AQ49" i="1"/>
  <c r="AP49" i="1" s="1"/>
  <c r="G49" i="1" l="1"/>
  <c r="R273" i="1"/>
  <c r="R272" i="1"/>
  <c r="BT274" i="1" l="1"/>
  <c r="BS274" i="1"/>
  <c r="BR273" i="1"/>
  <c r="BL274" i="1"/>
  <c r="AT276" i="1" l="1"/>
  <c r="AT275" i="1"/>
  <c r="AT277" i="1"/>
  <c r="AH288" i="1" l="1"/>
  <c r="AH279" i="1"/>
  <c r="AH285" i="1"/>
  <c r="AH291" i="1"/>
  <c r="P272" i="1"/>
  <c r="P274" i="1"/>
  <c r="P271" i="1"/>
  <c r="P273" i="1"/>
  <c r="P270" i="1"/>
  <c r="N72" i="4" l="1"/>
  <c r="BN153" i="1"/>
  <c r="BM153" i="1" s="1"/>
  <c r="AQ153" i="1"/>
  <c r="AP153" i="1" s="1"/>
  <c r="G153" i="1" s="1"/>
  <c r="T55" i="1" l="1"/>
  <c r="AC78" i="4" l="1"/>
  <c r="N78" i="4"/>
  <c r="T271" i="1"/>
  <c r="BV268" i="1"/>
  <c r="BV267" i="1" s="1"/>
  <c r="BV299" i="1" s="1"/>
  <c r="BU268" i="1"/>
  <c r="BU267" i="1" s="1"/>
  <c r="BU299" i="1" s="1"/>
  <c r="BT268" i="1"/>
  <c r="BT267" i="1" s="1"/>
  <c r="BT299" i="1" s="1"/>
  <c r="BV240" i="1"/>
  <c r="BU240" i="1"/>
  <c r="BT240" i="1"/>
  <c r="BV137" i="1"/>
  <c r="BU137" i="1"/>
  <c r="BT137" i="1"/>
  <c r="BV98" i="1"/>
  <c r="BU98" i="1"/>
  <c r="BT98" i="1"/>
  <c r="BV91" i="1"/>
  <c r="BU91" i="1"/>
  <c r="BT91" i="1"/>
  <c r="BV74" i="1"/>
  <c r="BU74" i="1"/>
  <c r="BT74" i="1"/>
  <c r="BV64" i="1"/>
  <c r="BU64" i="1"/>
  <c r="BT64" i="1"/>
  <c r="BV34" i="1"/>
  <c r="BU34" i="1"/>
  <c r="BT34" i="1"/>
  <c r="BV26" i="1"/>
  <c r="BU26" i="1"/>
  <c r="BT26" i="1"/>
  <c r="BV11" i="1"/>
  <c r="BU11" i="1"/>
  <c r="BT11" i="1"/>
  <c r="BU300" i="1" l="1"/>
  <c r="BT297" i="1"/>
  <c r="BV300" i="1"/>
  <c r="BT298" i="1"/>
  <c r="BU297" i="1"/>
  <c r="BV298" i="1"/>
  <c r="BT300" i="1"/>
  <c r="BU298" i="1"/>
  <c r="BV297" i="1"/>
  <c r="BN62" i="1" l="1"/>
  <c r="BM62" i="1" s="1"/>
  <c r="BD62" i="1"/>
  <c r="BC62" i="1" s="1"/>
  <c r="AQ62" i="1"/>
  <c r="AP62" i="1" s="1"/>
  <c r="AE62" i="1"/>
  <c r="AD62" i="1" s="1"/>
  <c r="J62" i="1"/>
  <c r="I62" i="1" s="1"/>
  <c r="F62" i="1"/>
  <c r="G62" i="1" l="1"/>
  <c r="R270" i="1" l="1"/>
  <c r="R229" i="1"/>
  <c r="J270" i="1" l="1"/>
  <c r="I270" i="1" s="1"/>
  <c r="Q21" i="1"/>
  <c r="M73" i="4" l="1"/>
  <c r="BS273" i="1" l="1"/>
  <c r="AB78" i="4"/>
  <c r="M78" i="4"/>
  <c r="R53" i="1"/>
  <c r="BN70" i="1"/>
  <c r="BM70" i="1" s="1"/>
  <c r="BD70" i="1"/>
  <c r="BC70" i="1" s="1"/>
  <c r="AQ70" i="1"/>
  <c r="AP70" i="1" s="1"/>
  <c r="AE70" i="1"/>
  <c r="AD70" i="1" s="1"/>
  <c r="J70" i="1"/>
  <c r="I70" i="1" s="1"/>
  <c r="F70" i="1"/>
  <c r="G70" i="1" l="1"/>
  <c r="R274" i="1" l="1"/>
  <c r="AR268" i="1" l="1"/>
  <c r="AF268" i="1"/>
  <c r="AC268" i="1"/>
  <c r="AO268" i="1"/>
  <c r="AB268" i="1"/>
  <c r="M72" i="4" l="1"/>
  <c r="H268" i="1" l="1"/>
  <c r="Q268" i="1"/>
  <c r="M268" i="1"/>
  <c r="L268" i="1"/>
  <c r="K268" i="1"/>
  <c r="BW268" i="1"/>
  <c r="BK268" i="1"/>
  <c r="BJ268" i="1"/>
  <c r="BI268" i="1"/>
  <c r="BH268" i="1"/>
  <c r="BG268" i="1"/>
  <c r="BF268" i="1"/>
  <c r="BA268" i="1"/>
  <c r="AZ268" i="1"/>
  <c r="AV268" i="1"/>
  <c r="AN268" i="1"/>
  <c r="AJ268" i="1"/>
  <c r="AI268" i="1"/>
  <c r="W268" i="1"/>
  <c r="T268" i="1"/>
  <c r="S268" i="1"/>
  <c r="R271" i="1"/>
  <c r="BS268" i="1"/>
  <c r="AU275" i="1" l="1"/>
  <c r="AU268" i="1" s="1"/>
  <c r="BN271" i="1"/>
  <c r="BM271" i="1" s="1"/>
  <c r="BN275" i="1"/>
  <c r="BM275" i="1" s="1"/>
  <c r="BD275" i="1"/>
  <c r="BC275" i="1" s="1"/>
  <c r="AE275" i="1"/>
  <c r="AD275" i="1" s="1"/>
  <c r="J275" i="1"/>
  <c r="I275" i="1" s="1"/>
  <c r="F275" i="1"/>
  <c r="R268" i="1"/>
  <c r="BN272" i="1"/>
  <c r="BM272" i="1" s="1"/>
  <c r="BD272" i="1"/>
  <c r="BC272" i="1" s="1"/>
  <c r="AQ272" i="1"/>
  <c r="AP272" i="1" s="1"/>
  <c r="AE272" i="1"/>
  <c r="AD272" i="1" s="1"/>
  <c r="J272" i="1"/>
  <c r="I272" i="1" s="1"/>
  <c r="BN269" i="1"/>
  <c r="BM269" i="1" s="1"/>
  <c r="AQ275" i="1"/>
  <c r="AP275" i="1" s="1"/>
  <c r="AE269" i="1"/>
  <c r="P268" i="1"/>
  <c r="O268" i="1"/>
  <c r="N268" i="1"/>
  <c r="BD294" i="1"/>
  <c r="BC294" i="1" s="1"/>
  <c r="BD293" i="1"/>
  <c r="BC293" i="1" s="1"/>
  <c r="BD292" i="1"/>
  <c r="BC292" i="1" s="1"/>
  <c r="BD291" i="1"/>
  <c r="BC291" i="1" s="1"/>
  <c r="BD290" i="1"/>
  <c r="BC290" i="1" s="1"/>
  <c r="BD289" i="1"/>
  <c r="BC289" i="1" s="1"/>
  <c r="BD288" i="1"/>
  <c r="BC288" i="1" s="1"/>
  <c r="BD287" i="1"/>
  <c r="BC287" i="1" s="1"/>
  <c r="BD286" i="1"/>
  <c r="BC286" i="1" s="1"/>
  <c r="BD285" i="1"/>
  <c r="BC285" i="1" s="1"/>
  <c r="BD284" i="1"/>
  <c r="BC284" i="1" s="1"/>
  <c r="BD283" i="1"/>
  <c r="BC283" i="1" s="1"/>
  <c r="BD282" i="1"/>
  <c r="BC282" i="1" s="1"/>
  <c r="BD281" i="1"/>
  <c r="BC281" i="1" s="1"/>
  <c r="BD280" i="1"/>
  <c r="BC280" i="1" s="1"/>
  <c r="BD279" i="1"/>
  <c r="BC279" i="1" s="1"/>
  <c r="BD278" i="1"/>
  <c r="BC278" i="1" s="1"/>
  <c r="BD277" i="1"/>
  <c r="BC277" i="1" s="1"/>
  <c r="BD276" i="1"/>
  <c r="BC276" i="1" s="1"/>
  <c r="BD274" i="1"/>
  <c r="BC274" i="1" s="1"/>
  <c r="BD273" i="1"/>
  <c r="BC273" i="1" s="1"/>
  <c r="BD271" i="1"/>
  <c r="BC271" i="1" s="1"/>
  <c r="BD270" i="1"/>
  <c r="BC270" i="1" s="1"/>
  <c r="BD269" i="1"/>
  <c r="BC269" i="1" s="1"/>
  <c r="BD268" i="1"/>
  <c r="BC268" i="1" s="1"/>
  <c r="BC267" i="1" s="1"/>
  <c r="BN294" i="1"/>
  <c r="BM294" i="1" s="1"/>
  <c r="BN293" i="1"/>
  <c r="BM293" i="1" s="1"/>
  <c r="BN292" i="1"/>
  <c r="BM292" i="1" s="1"/>
  <c r="BN291" i="1"/>
  <c r="BM291" i="1" s="1"/>
  <c r="BN290" i="1"/>
  <c r="BM290" i="1" s="1"/>
  <c r="BN289" i="1"/>
  <c r="BM289" i="1" s="1"/>
  <c r="BN288" i="1"/>
  <c r="BM288" i="1" s="1"/>
  <c r="BN287" i="1"/>
  <c r="BM287" i="1" s="1"/>
  <c r="BN286" i="1"/>
  <c r="BM286" i="1" s="1"/>
  <c r="BN285" i="1"/>
  <c r="BM285" i="1" s="1"/>
  <c r="BN284" i="1"/>
  <c r="BM284" i="1" s="1"/>
  <c r="BN283" i="1"/>
  <c r="BM283" i="1" s="1"/>
  <c r="BN282" i="1"/>
  <c r="BM282" i="1" s="1"/>
  <c r="BN281" i="1"/>
  <c r="BM281" i="1" s="1"/>
  <c r="BN280" i="1"/>
  <c r="BM280" i="1" s="1"/>
  <c r="BN279" i="1"/>
  <c r="BM279" i="1" s="1"/>
  <c r="BN278" i="1"/>
  <c r="BM278" i="1" s="1"/>
  <c r="BN277" i="1"/>
  <c r="BM277" i="1" s="1"/>
  <c r="BN276" i="1"/>
  <c r="BM276" i="1" s="1"/>
  <c r="BN274" i="1"/>
  <c r="BM274" i="1" s="1"/>
  <c r="BN273" i="1"/>
  <c r="BM273" i="1" s="1"/>
  <c r="BN270" i="1"/>
  <c r="BM270" i="1" s="1"/>
  <c r="AQ294" i="1"/>
  <c r="AP294" i="1" s="1"/>
  <c r="AQ293" i="1"/>
  <c r="AP293" i="1" s="1"/>
  <c r="AQ292" i="1"/>
  <c r="AP292" i="1" s="1"/>
  <c r="AQ291" i="1"/>
  <c r="AP291" i="1" s="1"/>
  <c r="AQ290" i="1"/>
  <c r="AP290" i="1" s="1"/>
  <c r="AQ289" i="1"/>
  <c r="AP289" i="1" s="1"/>
  <c r="AQ288" i="1"/>
  <c r="AP288" i="1" s="1"/>
  <c r="AQ287" i="1"/>
  <c r="AP287" i="1" s="1"/>
  <c r="AQ286" i="1"/>
  <c r="AP286" i="1" s="1"/>
  <c r="AQ285" i="1"/>
  <c r="AP285" i="1" s="1"/>
  <c r="AQ284" i="1"/>
  <c r="AP284" i="1" s="1"/>
  <c r="AQ283" i="1"/>
  <c r="AP283" i="1" s="1"/>
  <c r="AQ282" i="1"/>
  <c r="AP282" i="1" s="1"/>
  <c r="AQ281" i="1"/>
  <c r="AP281" i="1" s="1"/>
  <c r="AQ280" i="1"/>
  <c r="AP280" i="1" s="1"/>
  <c r="AQ279" i="1"/>
  <c r="AP279" i="1" s="1"/>
  <c r="AQ278" i="1"/>
  <c r="AP278" i="1" s="1"/>
  <c r="AQ277" i="1"/>
  <c r="AP277" i="1" s="1"/>
  <c r="AQ276" i="1"/>
  <c r="AP276" i="1" s="1"/>
  <c r="AQ274" i="1"/>
  <c r="AP274" i="1" s="1"/>
  <c r="AQ273" i="1"/>
  <c r="AP273" i="1" s="1"/>
  <c r="AQ271" i="1"/>
  <c r="AP271" i="1" s="1"/>
  <c r="AQ270" i="1"/>
  <c r="AP270" i="1" s="1"/>
  <c r="AE294" i="1"/>
  <c r="AD294" i="1" s="1"/>
  <c r="AE293" i="1"/>
  <c r="AD293" i="1" s="1"/>
  <c r="AE292" i="1"/>
  <c r="AD292" i="1" s="1"/>
  <c r="AE291" i="1"/>
  <c r="AD291" i="1" s="1"/>
  <c r="AE290" i="1"/>
  <c r="AD290" i="1" s="1"/>
  <c r="AE289" i="1"/>
  <c r="AD289" i="1" s="1"/>
  <c r="AE288" i="1"/>
  <c r="AD288" i="1" s="1"/>
  <c r="AE287" i="1"/>
  <c r="AD287" i="1" s="1"/>
  <c r="AE286" i="1"/>
  <c r="AD286" i="1" s="1"/>
  <c r="AE285" i="1"/>
  <c r="AD285" i="1" s="1"/>
  <c r="AE284" i="1"/>
  <c r="AD284" i="1" s="1"/>
  <c r="AE283" i="1"/>
  <c r="AD283" i="1" s="1"/>
  <c r="AE282" i="1"/>
  <c r="AD282" i="1" s="1"/>
  <c r="AE281" i="1"/>
  <c r="AD281" i="1" s="1"/>
  <c r="AE280" i="1"/>
  <c r="AD280" i="1" s="1"/>
  <c r="AE279" i="1"/>
  <c r="AD279" i="1" s="1"/>
  <c r="AE278" i="1"/>
  <c r="AD278" i="1" s="1"/>
  <c r="AE277" i="1"/>
  <c r="AD277" i="1" s="1"/>
  <c r="AE276" i="1"/>
  <c r="AD276" i="1" s="1"/>
  <c r="AE274" i="1"/>
  <c r="AD274" i="1" s="1"/>
  <c r="AE273" i="1"/>
  <c r="AD273" i="1" s="1"/>
  <c r="AE271" i="1"/>
  <c r="AD271" i="1" s="1"/>
  <c r="AE270" i="1"/>
  <c r="AD270" i="1" s="1"/>
  <c r="J271" i="1"/>
  <c r="I271" i="1" s="1"/>
  <c r="F271" i="1"/>
  <c r="J294" i="1"/>
  <c r="I294" i="1" s="1"/>
  <c r="J293" i="1"/>
  <c r="I293" i="1" s="1"/>
  <c r="J292" i="1"/>
  <c r="I292" i="1" s="1"/>
  <c r="J291" i="1"/>
  <c r="I291" i="1" s="1"/>
  <c r="J290" i="1"/>
  <c r="I290" i="1" s="1"/>
  <c r="J289" i="1"/>
  <c r="I289" i="1" s="1"/>
  <c r="J288" i="1"/>
  <c r="I288" i="1" s="1"/>
  <c r="J287" i="1"/>
  <c r="I287" i="1" s="1"/>
  <c r="J286" i="1"/>
  <c r="I286" i="1" s="1"/>
  <c r="J285" i="1"/>
  <c r="I285" i="1" s="1"/>
  <c r="J284" i="1"/>
  <c r="I284" i="1" s="1"/>
  <c r="J283" i="1"/>
  <c r="I283" i="1" s="1"/>
  <c r="J282" i="1"/>
  <c r="I282" i="1" s="1"/>
  <c r="J281" i="1"/>
  <c r="I281" i="1" s="1"/>
  <c r="J280" i="1"/>
  <c r="I280" i="1" s="1"/>
  <c r="J279" i="1"/>
  <c r="I279" i="1" s="1"/>
  <c r="J278" i="1"/>
  <c r="I278" i="1" s="1"/>
  <c r="J277" i="1"/>
  <c r="I277" i="1" s="1"/>
  <c r="J276" i="1"/>
  <c r="I276" i="1" s="1"/>
  <c r="J273" i="1"/>
  <c r="I273" i="1" s="1"/>
  <c r="F270" i="1"/>
  <c r="F273" i="1"/>
  <c r="F274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J268" i="1" l="1"/>
  <c r="J274" i="1"/>
  <c r="I274" i="1" s="1"/>
  <c r="G274" i="1" s="1"/>
  <c r="AQ269" i="1"/>
  <c r="AP269" i="1" s="1"/>
  <c r="G275" i="1"/>
  <c r="G272" i="1"/>
  <c r="G281" i="1"/>
  <c r="G289" i="1"/>
  <c r="G273" i="1"/>
  <c r="G277" i="1"/>
  <c r="G282" i="1"/>
  <c r="G285" i="1"/>
  <c r="G290" i="1"/>
  <c r="G293" i="1"/>
  <c r="AD269" i="1"/>
  <c r="F269" i="1"/>
  <c r="J269" i="1"/>
  <c r="I269" i="1" s="1"/>
  <c r="G270" i="1"/>
  <c r="G278" i="1"/>
  <c r="G286" i="1"/>
  <c r="G294" i="1"/>
  <c r="G276" i="1"/>
  <c r="G279" i="1"/>
  <c r="G284" i="1"/>
  <c r="G287" i="1"/>
  <c r="G292" i="1"/>
  <c r="G280" i="1"/>
  <c r="G283" i="1"/>
  <c r="G288" i="1"/>
  <c r="G291" i="1"/>
  <c r="G271" i="1"/>
  <c r="G269" i="1" l="1"/>
  <c r="BN191" i="1"/>
  <c r="BM191" i="1" s="1"/>
  <c r="BD191" i="1"/>
  <c r="BC191" i="1" s="1"/>
  <c r="AQ191" i="1"/>
  <c r="AP191" i="1" s="1"/>
  <c r="AE191" i="1"/>
  <c r="AD191" i="1" s="1"/>
  <c r="J191" i="1"/>
  <c r="I191" i="1" s="1"/>
  <c r="F191" i="1"/>
  <c r="G191" i="1" l="1"/>
  <c r="L72" i="4" l="1"/>
  <c r="AH212" i="1" l="1"/>
  <c r="AH176" i="1"/>
  <c r="P212" i="1" l="1"/>
  <c r="P102" i="1" l="1"/>
  <c r="P53" i="1" l="1"/>
  <c r="BN131" i="1"/>
  <c r="BM131" i="1" s="1"/>
  <c r="BD131" i="1"/>
  <c r="BC131" i="1" s="1"/>
  <c r="AQ131" i="1"/>
  <c r="AP131" i="1" s="1"/>
  <c r="AE131" i="1"/>
  <c r="AD131" i="1" s="1"/>
  <c r="J131" i="1"/>
  <c r="I131" i="1" s="1"/>
  <c r="F131" i="1"/>
  <c r="G131" i="1" l="1"/>
  <c r="L158" i="4" l="1"/>
  <c r="AT268" i="1" l="1"/>
  <c r="L100" i="4"/>
  <c r="L96" i="4"/>
  <c r="BN57" i="1" l="1"/>
  <c r="BM57" i="1" s="1"/>
  <c r="BD57" i="1"/>
  <c r="BC57" i="1" s="1"/>
  <c r="AQ57" i="1"/>
  <c r="AP57" i="1" s="1"/>
  <c r="AE57" i="1"/>
  <c r="AD57" i="1" s="1"/>
  <c r="J57" i="1"/>
  <c r="I57" i="1" s="1"/>
  <c r="F57" i="1"/>
  <c r="G57" i="1" l="1"/>
  <c r="AA78" i="4"/>
  <c r="L78" i="4"/>
  <c r="BR268" i="1"/>
  <c r="L73" i="4" l="1"/>
  <c r="G124" i="4" l="1"/>
  <c r="AH268" i="1" l="1"/>
  <c r="AE268" i="1" s="1"/>
  <c r="AD268" i="1" s="1"/>
  <c r="AH206" i="1"/>
  <c r="AT253" i="1" l="1"/>
  <c r="BN160" i="1" l="1"/>
  <c r="BM160" i="1" s="1"/>
  <c r="BD160" i="1"/>
  <c r="BC160" i="1" s="1"/>
  <c r="AQ160" i="1"/>
  <c r="AP160" i="1" s="1"/>
  <c r="AE160" i="1"/>
  <c r="AD160" i="1" s="1"/>
  <c r="J160" i="1"/>
  <c r="I160" i="1" s="1"/>
  <c r="F160" i="1"/>
  <c r="G160" i="1" l="1"/>
  <c r="AH184" i="1" l="1"/>
  <c r="J152" i="1" l="1"/>
  <c r="I152" i="1" s="1"/>
  <c r="BN152" i="1"/>
  <c r="BM152" i="1" s="1"/>
  <c r="BD152" i="1"/>
  <c r="BC152" i="1" s="1"/>
  <c r="AQ152" i="1"/>
  <c r="AP152" i="1" s="1"/>
  <c r="AE152" i="1"/>
  <c r="AD152" i="1" s="1"/>
  <c r="F152" i="1"/>
  <c r="G152" i="1" l="1"/>
  <c r="BA98" i="1" l="1"/>
  <c r="BN135" i="1"/>
  <c r="BM135" i="1" s="1"/>
  <c r="BD135" i="1"/>
  <c r="BC135" i="1" s="1"/>
  <c r="AQ135" i="1"/>
  <c r="AP135" i="1" s="1"/>
  <c r="AE135" i="1"/>
  <c r="AD135" i="1" s="1"/>
  <c r="J135" i="1"/>
  <c r="I135" i="1" s="1"/>
  <c r="F135" i="1"/>
  <c r="G135" i="1" l="1"/>
  <c r="BA60" i="1" l="1"/>
  <c r="K72" i="4" l="1"/>
  <c r="AS268" i="1"/>
  <c r="K96" i="4" l="1"/>
  <c r="K91" i="4"/>
  <c r="K100" i="4" l="1"/>
  <c r="K89" i="4"/>
  <c r="N53" i="1" l="1"/>
  <c r="BN168" i="1"/>
  <c r="BM168" i="1" s="1"/>
  <c r="BD168" i="1"/>
  <c r="BC168" i="1" s="1"/>
  <c r="AQ168" i="1"/>
  <c r="AP168" i="1" s="1"/>
  <c r="AE168" i="1"/>
  <c r="AD168" i="1" s="1"/>
  <c r="J168" i="1"/>
  <c r="I168" i="1" s="1"/>
  <c r="F168" i="1"/>
  <c r="G168" i="1" l="1"/>
  <c r="M53" i="1" l="1"/>
  <c r="BN48" i="1" l="1"/>
  <c r="BM48" i="1" s="1"/>
  <c r="BD48" i="1"/>
  <c r="BC48" i="1" s="1"/>
  <c r="AQ48" i="1"/>
  <c r="AP48" i="1" s="1"/>
  <c r="AE48" i="1"/>
  <c r="AD48" i="1" s="1"/>
  <c r="J48" i="1"/>
  <c r="I48" i="1" s="1"/>
  <c r="F48" i="1"/>
  <c r="G48" i="1" l="1"/>
  <c r="L21" i="1" l="1"/>
  <c r="L146" i="1"/>
  <c r="M80" i="1" l="1"/>
  <c r="J72" i="4" l="1"/>
  <c r="J134" i="4" l="1"/>
  <c r="J132" i="4"/>
  <c r="J122" i="4" s="1"/>
  <c r="AF23" i="1" l="1"/>
  <c r="J96" i="4" l="1"/>
  <c r="J73" i="4" l="1"/>
  <c r="BN167" i="1" l="1"/>
  <c r="BM167" i="1" s="1"/>
  <c r="BD167" i="1"/>
  <c r="BC167" i="1" s="1"/>
  <c r="AQ167" i="1"/>
  <c r="AP167" i="1" s="1"/>
  <c r="AE167" i="1"/>
  <c r="AD167" i="1" s="1"/>
  <c r="J167" i="1"/>
  <c r="I167" i="1" s="1"/>
  <c r="F167" i="1"/>
  <c r="G167" i="1" l="1"/>
  <c r="BN166" i="1" l="1"/>
  <c r="BM166" i="1" s="1"/>
  <c r="BD166" i="1"/>
  <c r="BC166" i="1" s="1"/>
  <c r="AQ166" i="1"/>
  <c r="AP166" i="1" s="1"/>
  <c r="AE166" i="1"/>
  <c r="AD166" i="1" s="1"/>
  <c r="J166" i="1"/>
  <c r="I166" i="1" s="1"/>
  <c r="F166" i="1"/>
  <c r="G166" i="1" l="1"/>
  <c r="BN47" i="1" l="1"/>
  <c r="BM47" i="1" s="1"/>
  <c r="BD47" i="1"/>
  <c r="BC47" i="1" s="1"/>
  <c r="AQ47" i="1"/>
  <c r="AP47" i="1" s="1"/>
  <c r="AE47" i="1"/>
  <c r="AD47" i="1" s="1"/>
  <c r="J47" i="1"/>
  <c r="I47" i="1" s="1"/>
  <c r="F47" i="1"/>
  <c r="G47" i="1" l="1"/>
  <c r="F117" i="4" l="1"/>
  <c r="AJ117" i="4" s="1"/>
  <c r="G116" i="4"/>
  <c r="BN111" i="1"/>
  <c r="BM111" i="1" s="1"/>
  <c r="BD111" i="1"/>
  <c r="BC111" i="1" s="1"/>
  <c r="AQ111" i="1"/>
  <c r="AP111" i="1" s="1"/>
  <c r="AE111" i="1"/>
  <c r="AD111" i="1" s="1"/>
  <c r="J111" i="1"/>
  <c r="I111" i="1" s="1"/>
  <c r="F111" i="1"/>
  <c r="G111" i="1" l="1"/>
  <c r="I73" i="4" l="1"/>
  <c r="BN151" i="1" l="1"/>
  <c r="BM151" i="1" s="1"/>
  <c r="BD151" i="1"/>
  <c r="BC151" i="1" s="1"/>
  <c r="AQ151" i="1"/>
  <c r="AP151" i="1" s="1"/>
  <c r="AE151" i="1"/>
  <c r="AD151" i="1" s="1"/>
  <c r="J151" i="1"/>
  <c r="I151" i="1" s="1"/>
  <c r="F151" i="1"/>
  <c r="F150" i="1"/>
  <c r="L53" i="1"/>
  <c r="G151" i="1" l="1"/>
  <c r="K21" i="1"/>
  <c r="H125" i="4" l="1"/>
  <c r="AJ36" i="4" l="1"/>
  <c r="AI36" i="4"/>
  <c r="AI13" i="4"/>
  <c r="AI14" i="4"/>
  <c r="V158" i="4"/>
  <c r="U158" i="4" s="1"/>
  <c r="V157" i="4"/>
  <c r="V152" i="4"/>
  <c r="U152" i="4" s="1"/>
  <c r="V151" i="4"/>
  <c r="U151" i="4" s="1"/>
  <c r="V145" i="4"/>
  <c r="U145" i="4" s="1"/>
  <c r="V144" i="4"/>
  <c r="U144" i="4" s="1"/>
  <c r="V143" i="4"/>
  <c r="U143" i="4" s="1"/>
  <c r="V142" i="4"/>
  <c r="U142" i="4" s="1"/>
  <c r="V141" i="4"/>
  <c r="U141" i="4" s="1"/>
  <c r="V140" i="4"/>
  <c r="U140" i="4" s="1"/>
  <c r="V139" i="4"/>
  <c r="U139" i="4" s="1"/>
  <c r="V138" i="4"/>
  <c r="U138" i="4" s="1"/>
  <c r="V137" i="4"/>
  <c r="U137" i="4" s="1"/>
  <c r="V136" i="4"/>
  <c r="U136" i="4" s="1"/>
  <c r="V135" i="4"/>
  <c r="U135" i="4" s="1"/>
  <c r="V134" i="4"/>
  <c r="U134" i="4" s="1"/>
  <c r="V133" i="4"/>
  <c r="U133" i="4" s="1"/>
  <c r="V132" i="4"/>
  <c r="U132" i="4" s="1"/>
  <c r="V131" i="4"/>
  <c r="U131" i="4" s="1"/>
  <c r="V129" i="4"/>
  <c r="U129" i="4" s="1"/>
  <c r="V128" i="4"/>
  <c r="U128" i="4" s="1"/>
  <c r="V127" i="4"/>
  <c r="U127" i="4" s="1"/>
  <c r="V126" i="4"/>
  <c r="U126" i="4" s="1"/>
  <c r="V125" i="4"/>
  <c r="U125" i="4" s="1"/>
  <c r="V124" i="4"/>
  <c r="U124" i="4" s="1"/>
  <c r="V123" i="4"/>
  <c r="V116" i="4"/>
  <c r="U116" i="4" s="1"/>
  <c r="V115" i="4"/>
  <c r="U115" i="4" s="1"/>
  <c r="V114" i="4"/>
  <c r="U114" i="4" s="1"/>
  <c r="V113" i="4"/>
  <c r="U113" i="4" s="1"/>
  <c r="V109" i="4"/>
  <c r="U109" i="4" s="1"/>
  <c r="V100" i="4"/>
  <c r="V99" i="4"/>
  <c r="U99" i="4" s="1"/>
  <c r="V96" i="4"/>
  <c r="U96" i="4" s="1"/>
  <c r="V95" i="4"/>
  <c r="V94" i="4"/>
  <c r="U94" i="4" s="1"/>
  <c r="V92" i="4"/>
  <c r="U92" i="4" s="1"/>
  <c r="V91" i="4"/>
  <c r="V89" i="4"/>
  <c r="U89" i="4" s="1"/>
  <c r="V87" i="4"/>
  <c r="U87" i="4" s="1"/>
  <c r="V86" i="4"/>
  <c r="U86" i="4" s="1"/>
  <c r="V85" i="4"/>
  <c r="U85" i="4" s="1"/>
  <c r="V82" i="4"/>
  <c r="V81" i="4"/>
  <c r="U81" i="4" s="1"/>
  <c r="V78" i="4"/>
  <c r="V77" i="4"/>
  <c r="U77" i="4" s="1"/>
  <c r="V76" i="4"/>
  <c r="U76" i="4" s="1"/>
  <c r="V74" i="4"/>
  <c r="U74" i="4" s="1"/>
  <c r="V73" i="4"/>
  <c r="U73" i="4" s="1"/>
  <c r="V72" i="4"/>
  <c r="U72" i="4" s="1"/>
  <c r="V69" i="4"/>
  <c r="V67" i="4"/>
  <c r="U67" i="4" s="1"/>
  <c r="V66" i="4"/>
  <c r="U66" i="4" s="1"/>
  <c r="V65" i="4"/>
  <c r="U65" i="4" s="1"/>
  <c r="V63" i="4"/>
  <c r="U63" i="4" s="1"/>
  <c r="V62" i="4"/>
  <c r="U62" i="4" s="1"/>
  <c r="V60" i="4"/>
  <c r="U60" i="4" s="1"/>
  <c r="V58" i="4"/>
  <c r="U58" i="4" s="1"/>
  <c r="V57" i="4"/>
  <c r="V55" i="4"/>
  <c r="U55" i="4" s="1"/>
  <c r="V52" i="4"/>
  <c r="U52" i="4" s="1"/>
  <c r="V49" i="4"/>
  <c r="U49" i="4" s="1"/>
  <c r="V46" i="4"/>
  <c r="U46" i="4" s="1"/>
  <c r="V45" i="4"/>
  <c r="U45" i="4" s="1"/>
  <c r="V44" i="4"/>
  <c r="U44" i="4" s="1"/>
  <c r="V43" i="4"/>
  <c r="U43" i="4" s="1"/>
  <c r="V42" i="4"/>
  <c r="V40" i="4"/>
  <c r="U40" i="4" s="1"/>
  <c r="V39" i="4"/>
  <c r="U39" i="4" s="1"/>
  <c r="V34" i="4"/>
  <c r="V31" i="4"/>
  <c r="U31" i="4" s="1"/>
  <c r="V28" i="4"/>
  <c r="U28" i="4" s="1"/>
  <c r="V25" i="4"/>
  <c r="U25" i="4" s="1"/>
  <c r="V24" i="4"/>
  <c r="U24" i="4" s="1"/>
  <c r="V22" i="4"/>
  <c r="V21" i="4"/>
  <c r="U21" i="4" s="1"/>
  <c r="V19" i="4"/>
  <c r="U19" i="4" s="1"/>
  <c r="V18" i="4"/>
  <c r="V14" i="4"/>
  <c r="U14" i="4" s="1"/>
  <c r="V13" i="4"/>
  <c r="G158" i="4"/>
  <c r="F158" i="4" s="1"/>
  <c r="G157" i="4"/>
  <c r="G152" i="4"/>
  <c r="F152" i="4" s="1"/>
  <c r="G151" i="4"/>
  <c r="F151" i="4" s="1"/>
  <c r="G145" i="4"/>
  <c r="F145" i="4" s="1"/>
  <c r="G144" i="4"/>
  <c r="F144" i="4" s="1"/>
  <c r="G143" i="4"/>
  <c r="G142" i="4"/>
  <c r="F142" i="4" s="1"/>
  <c r="G141" i="4"/>
  <c r="F141" i="4" s="1"/>
  <c r="G140" i="4"/>
  <c r="F140" i="4" s="1"/>
  <c r="G139" i="4"/>
  <c r="F139" i="4" s="1"/>
  <c r="G138" i="4"/>
  <c r="F138" i="4" s="1"/>
  <c r="G137" i="4"/>
  <c r="F137" i="4" s="1"/>
  <c r="G136" i="4"/>
  <c r="F136" i="4" s="1"/>
  <c r="G135" i="4"/>
  <c r="F135" i="4" s="1"/>
  <c r="G134" i="4"/>
  <c r="F134" i="4" s="1"/>
  <c r="G133" i="4"/>
  <c r="F133" i="4" s="1"/>
  <c r="G132" i="4"/>
  <c r="F132" i="4" s="1"/>
  <c r="G131" i="4"/>
  <c r="F131" i="4" s="1"/>
  <c r="G129" i="4"/>
  <c r="F129" i="4" s="1"/>
  <c r="G128" i="4"/>
  <c r="F128" i="4" s="1"/>
  <c r="G127" i="4"/>
  <c r="G126" i="4"/>
  <c r="F126" i="4" s="1"/>
  <c r="G125" i="4"/>
  <c r="F125" i="4" s="1"/>
  <c r="F124" i="4"/>
  <c r="G123" i="4"/>
  <c r="F123" i="4" s="1"/>
  <c r="F116" i="4"/>
  <c r="G115" i="4"/>
  <c r="G114" i="4"/>
  <c r="F114" i="4" s="1"/>
  <c r="G113" i="4"/>
  <c r="F113" i="4" s="1"/>
  <c r="G109" i="4"/>
  <c r="G100" i="4"/>
  <c r="F100" i="4" s="1"/>
  <c r="G99" i="4"/>
  <c r="F99" i="4" s="1"/>
  <c r="G96" i="4"/>
  <c r="G95" i="4"/>
  <c r="F95" i="4" s="1"/>
  <c r="G94" i="4"/>
  <c r="F94" i="4" s="1"/>
  <c r="G92" i="4"/>
  <c r="F92" i="4" s="1"/>
  <c r="G91" i="4"/>
  <c r="G89" i="4"/>
  <c r="F89" i="4" s="1"/>
  <c r="G87" i="4"/>
  <c r="F87" i="4" s="1"/>
  <c r="G86" i="4"/>
  <c r="F86" i="4" s="1"/>
  <c r="G85" i="4"/>
  <c r="G82" i="4"/>
  <c r="F82" i="4" s="1"/>
  <c r="G81" i="4"/>
  <c r="F81" i="4" s="1"/>
  <c r="G78" i="4"/>
  <c r="F78" i="4" s="1"/>
  <c r="G77" i="4"/>
  <c r="F77" i="4" s="1"/>
  <c r="G76" i="4"/>
  <c r="F76" i="4" s="1"/>
  <c r="G74" i="4"/>
  <c r="F74" i="4" s="1"/>
  <c r="G73" i="4"/>
  <c r="F73" i="4" s="1"/>
  <c r="G72" i="4"/>
  <c r="F72" i="4" s="1"/>
  <c r="G69" i="4"/>
  <c r="F69" i="4" s="1"/>
  <c r="G67" i="4"/>
  <c r="G66" i="4"/>
  <c r="G65" i="4"/>
  <c r="G63" i="4"/>
  <c r="F63" i="4" s="1"/>
  <c r="G62" i="4"/>
  <c r="G61" i="4" s="1"/>
  <c r="G60" i="4"/>
  <c r="F60" i="4" s="1"/>
  <c r="G58" i="4"/>
  <c r="G57" i="4"/>
  <c r="F57" i="4" s="1"/>
  <c r="G55" i="4"/>
  <c r="G54" i="4" s="1"/>
  <c r="G52" i="4"/>
  <c r="G49" i="4"/>
  <c r="G48" i="4" s="1"/>
  <c r="G47" i="4" s="1"/>
  <c r="G46" i="4"/>
  <c r="F46" i="4" s="1"/>
  <c r="G45" i="4"/>
  <c r="F45" i="4" s="1"/>
  <c r="G44" i="4"/>
  <c r="G43" i="4"/>
  <c r="G42" i="4"/>
  <c r="F42" i="4" s="1"/>
  <c r="G40" i="4"/>
  <c r="G39" i="4"/>
  <c r="F39" i="4" s="1"/>
  <c r="G34" i="4"/>
  <c r="G33" i="4" s="1"/>
  <c r="G31" i="4"/>
  <c r="G28" i="4"/>
  <c r="F28" i="4" s="1"/>
  <c r="G25" i="4"/>
  <c r="F25" i="4" s="1"/>
  <c r="G24" i="4"/>
  <c r="G22" i="4"/>
  <c r="F22" i="4" s="1"/>
  <c r="G21" i="4"/>
  <c r="F21" i="4" s="1"/>
  <c r="G19" i="4"/>
  <c r="F19" i="4" s="1"/>
  <c r="G18" i="4"/>
  <c r="G14" i="4"/>
  <c r="F14" i="4" s="1"/>
  <c r="G13" i="4"/>
  <c r="S156" i="4"/>
  <c r="S155" i="4" s="1"/>
  <c r="R156" i="4"/>
  <c r="R155" i="4" s="1"/>
  <c r="Q156" i="4"/>
  <c r="Q155" i="4" s="1"/>
  <c r="P156" i="4"/>
  <c r="P155" i="4" s="1"/>
  <c r="O156" i="4"/>
  <c r="O155" i="4" s="1"/>
  <c r="N156" i="4"/>
  <c r="N155" i="4" s="1"/>
  <c r="M156" i="4"/>
  <c r="M155" i="4" s="1"/>
  <c r="L156" i="4"/>
  <c r="L155" i="4" s="1"/>
  <c r="K156" i="4"/>
  <c r="K155" i="4" s="1"/>
  <c r="J156" i="4"/>
  <c r="J155" i="4" s="1"/>
  <c r="I156" i="4"/>
  <c r="I155" i="4" s="1"/>
  <c r="H156" i="4"/>
  <c r="H155" i="4" s="1"/>
  <c r="S150" i="4"/>
  <c r="R150" i="4"/>
  <c r="Q150" i="4"/>
  <c r="P150" i="4"/>
  <c r="O150" i="4"/>
  <c r="N150" i="4"/>
  <c r="M150" i="4"/>
  <c r="L150" i="4"/>
  <c r="K150" i="4"/>
  <c r="J150" i="4"/>
  <c r="I150" i="4"/>
  <c r="H150" i="4"/>
  <c r="S122" i="4"/>
  <c r="R122" i="4"/>
  <c r="Q122" i="4"/>
  <c r="P122" i="4"/>
  <c r="O122" i="4"/>
  <c r="N122" i="4"/>
  <c r="M122" i="4"/>
  <c r="L122" i="4"/>
  <c r="K122" i="4"/>
  <c r="I122" i="4"/>
  <c r="H122" i="4"/>
  <c r="S111" i="4"/>
  <c r="S106" i="4" s="1"/>
  <c r="S105" i="4" s="1"/>
  <c r="R111" i="4"/>
  <c r="Q111" i="4"/>
  <c r="O111" i="4"/>
  <c r="N111" i="4"/>
  <c r="M111" i="4"/>
  <c r="L111" i="4"/>
  <c r="K111" i="4"/>
  <c r="J111" i="4"/>
  <c r="I111" i="4"/>
  <c r="H111" i="4"/>
  <c r="S107" i="4"/>
  <c r="R107" i="4"/>
  <c r="R106" i="4" s="1"/>
  <c r="R105" i="4" s="1"/>
  <c r="Q107" i="4"/>
  <c r="P107" i="4"/>
  <c r="O107" i="4"/>
  <c r="N107" i="4"/>
  <c r="N106" i="4" s="1"/>
  <c r="N105" i="4" s="1"/>
  <c r="M107" i="4"/>
  <c r="L107" i="4"/>
  <c r="L106" i="4" s="1"/>
  <c r="L105" i="4" s="1"/>
  <c r="K107" i="4"/>
  <c r="J107" i="4"/>
  <c r="I107" i="4"/>
  <c r="H107" i="4"/>
  <c r="H106" i="4" s="1"/>
  <c r="H105" i="4" s="1"/>
  <c r="S98" i="4"/>
  <c r="S97" i="4" s="1"/>
  <c r="R98" i="4"/>
  <c r="R97" i="4" s="1"/>
  <c r="Q98" i="4"/>
  <c r="Q97" i="4" s="1"/>
  <c r="P98" i="4"/>
  <c r="P97" i="4" s="1"/>
  <c r="O98" i="4"/>
  <c r="O97" i="4" s="1"/>
  <c r="N98" i="4"/>
  <c r="N97" i="4" s="1"/>
  <c r="M98" i="4"/>
  <c r="M97" i="4" s="1"/>
  <c r="L98" i="4"/>
  <c r="L97" i="4" s="1"/>
  <c r="K98" i="4"/>
  <c r="K97" i="4" s="1"/>
  <c r="J98" i="4"/>
  <c r="J97" i="4" s="1"/>
  <c r="I98" i="4"/>
  <c r="I97" i="4" s="1"/>
  <c r="H98" i="4"/>
  <c r="H97" i="4" s="1"/>
  <c r="S93" i="4"/>
  <c r="R93" i="4"/>
  <c r="Q93" i="4"/>
  <c r="P93" i="4"/>
  <c r="O93" i="4"/>
  <c r="N93" i="4"/>
  <c r="M93" i="4"/>
  <c r="L93" i="4"/>
  <c r="K93" i="4"/>
  <c r="J93" i="4"/>
  <c r="I93" i="4"/>
  <c r="H93" i="4"/>
  <c r="S90" i="4"/>
  <c r="R90" i="4"/>
  <c r="Q90" i="4"/>
  <c r="P90" i="4"/>
  <c r="O90" i="4"/>
  <c r="N90" i="4"/>
  <c r="M90" i="4"/>
  <c r="L90" i="4"/>
  <c r="K90" i="4"/>
  <c r="J90" i="4"/>
  <c r="I90" i="4"/>
  <c r="H90" i="4"/>
  <c r="S88" i="4"/>
  <c r="R88" i="4"/>
  <c r="Q88" i="4"/>
  <c r="P88" i="4"/>
  <c r="O88" i="4"/>
  <c r="N88" i="4"/>
  <c r="M88" i="4"/>
  <c r="L88" i="4"/>
  <c r="K88" i="4"/>
  <c r="J88" i="4"/>
  <c r="I88" i="4"/>
  <c r="H88" i="4"/>
  <c r="S84" i="4"/>
  <c r="R84" i="4"/>
  <c r="Q84" i="4"/>
  <c r="P84" i="4"/>
  <c r="P83" i="4" s="1"/>
  <c r="O84" i="4"/>
  <c r="N84" i="4"/>
  <c r="M84" i="4"/>
  <c r="L84" i="4"/>
  <c r="K84" i="4"/>
  <c r="J84" i="4"/>
  <c r="I84" i="4"/>
  <c r="H84" i="4"/>
  <c r="H83" i="4" s="1"/>
  <c r="S80" i="4"/>
  <c r="R80" i="4"/>
  <c r="Q80" i="4"/>
  <c r="P80" i="4"/>
  <c r="O80" i="4"/>
  <c r="N80" i="4"/>
  <c r="M80" i="4"/>
  <c r="L80" i="4"/>
  <c r="K80" i="4"/>
  <c r="J80" i="4"/>
  <c r="I80" i="4"/>
  <c r="H80" i="4"/>
  <c r="S75" i="4"/>
  <c r="R75" i="4"/>
  <c r="Q75" i="4"/>
  <c r="P75" i="4"/>
  <c r="O75" i="4"/>
  <c r="N75" i="4"/>
  <c r="M75" i="4"/>
  <c r="L75" i="4"/>
  <c r="K75" i="4"/>
  <c r="J75" i="4"/>
  <c r="I75" i="4"/>
  <c r="H75" i="4"/>
  <c r="S71" i="4"/>
  <c r="S70" i="4" s="1"/>
  <c r="R71" i="4"/>
  <c r="R70" i="4" s="1"/>
  <c r="Q71" i="4"/>
  <c r="Q70" i="4" s="1"/>
  <c r="P71" i="4"/>
  <c r="P70" i="4" s="1"/>
  <c r="O71" i="4"/>
  <c r="O70" i="4" s="1"/>
  <c r="N71" i="4"/>
  <c r="N70" i="4" s="1"/>
  <c r="M71" i="4"/>
  <c r="M70" i="4" s="1"/>
  <c r="L71" i="4"/>
  <c r="L70" i="4" s="1"/>
  <c r="K71" i="4"/>
  <c r="K70" i="4" s="1"/>
  <c r="J71" i="4"/>
  <c r="J70" i="4" s="1"/>
  <c r="I71" i="4"/>
  <c r="I70" i="4" s="1"/>
  <c r="H71" i="4"/>
  <c r="H70" i="4" s="1"/>
  <c r="S68" i="4"/>
  <c r="R68" i="4"/>
  <c r="Q68" i="4"/>
  <c r="P68" i="4"/>
  <c r="O68" i="4"/>
  <c r="N68" i="4"/>
  <c r="M68" i="4"/>
  <c r="L68" i="4"/>
  <c r="K68" i="4"/>
  <c r="J68" i="4"/>
  <c r="I68" i="4"/>
  <c r="H68" i="4"/>
  <c r="S64" i="4"/>
  <c r="R64" i="4"/>
  <c r="Q64" i="4"/>
  <c r="P64" i="4"/>
  <c r="O64" i="4"/>
  <c r="N64" i="4"/>
  <c r="M64" i="4"/>
  <c r="L64" i="4"/>
  <c r="K64" i="4"/>
  <c r="J64" i="4"/>
  <c r="I64" i="4"/>
  <c r="H64" i="4"/>
  <c r="S61" i="4"/>
  <c r="R61" i="4"/>
  <c r="Q61" i="4"/>
  <c r="P61" i="4"/>
  <c r="O61" i="4"/>
  <c r="N61" i="4"/>
  <c r="M61" i="4"/>
  <c r="L61" i="4"/>
  <c r="K61" i="4"/>
  <c r="J61" i="4"/>
  <c r="I61" i="4"/>
  <c r="H61" i="4"/>
  <c r="S59" i="4"/>
  <c r="S56" i="4"/>
  <c r="R56" i="4"/>
  <c r="Q56" i="4"/>
  <c r="P56" i="4"/>
  <c r="O56" i="4"/>
  <c r="N56" i="4"/>
  <c r="M56" i="4"/>
  <c r="L56" i="4"/>
  <c r="K56" i="4"/>
  <c r="J56" i="4"/>
  <c r="I56" i="4"/>
  <c r="H56" i="4"/>
  <c r="S54" i="4"/>
  <c r="S53" i="4" s="1"/>
  <c r="R54" i="4"/>
  <c r="Q54" i="4"/>
  <c r="P54" i="4"/>
  <c r="P53" i="4" s="1"/>
  <c r="O54" i="4"/>
  <c r="O53" i="4" s="1"/>
  <c r="N54" i="4"/>
  <c r="M54" i="4"/>
  <c r="L54" i="4"/>
  <c r="L53" i="4" s="1"/>
  <c r="K54" i="4"/>
  <c r="K53" i="4" s="1"/>
  <c r="J54" i="4"/>
  <c r="I54" i="4"/>
  <c r="H54" i="4"/>
  <c r="S51" i="4"/>
  <c r="R51" i="4"/>
  <c r="Q51" i="4"/>
  <c r="P51" i="4"/>
  <c r="O51" i="4"/>
  <c r="N51" i="4"/>
  <c r="M51" i="4"/>
  <c r="L51" i="4"/>
  <c r="K51" i="4"/>
  <c r="J51" i="4"/>
  <c r="I51" i="4"/>
  <c r="H51" i="4"/>
  <c r="S48" i="4"/>
  <c r="S47" i="4" s="1"/>
  <c r="R48" i="4"/>
  <c r="R47" i="4" s="1"/>
  <c r="Q48" i="4"/>
  <c r="Q47" i="4" s="1"/>
  <c r="P48" i="4"/>
  <c r="P47" i="4" s="1"/>
  <c r="O48" i="4"/>
  <c r="O47" i="4" s="1"/>
  <c r="N48" i="4"/>
  <c r="N47" i="4" s="1"/>
  <c r="M48" i="4"/>
  <c r="M47" i="4" s="1"/>
  <c r="L48" i="4"/>
  <c r="L47" i="4" s="1"/>
  <c r="K48" i="4"/>
  <c r="K47" i="4" s="1"/>
  <c r="J48" i="4"/>
  <c r="J47" i="4" s="1"/>
  <c r="I48" i="4"/>
  <c r="I47" i="4" s="1"/>
  <c r="H48" i="4"/>
  <c r="H47" i="4" s="1"/>
  <c r="S41" i="4"/>
  <c r="R41" i="4"/>
  <c r="Q41" i="4"/>
  <c r="P41" i="4"/>
  <c r="O41" i="4"/>
  <c r="N41" i="4"/>
  <c r="M41" i="4"/>
  <c r="L41" i="4"/>
  <c r="K41" i="4"/>
  <c r="J41" i="4"/>
  <c r="I41" i="4"/>
  <c r="H41" i="4"/>
  <c r="S38" i="4"/>
  <c r="R38" i="4"/>
  <c r="Q38" i="4"/>
  <c r="Q37" i="4" s="1"/>
  <c r="P38" i="4"/>
  <c r="O38" i="4"/>
  <c r="N38" i="4"/>
  <c r="M38" i="4"/>
  <c r="M37" i="4" s="1"/>
  <c r="L38" i="4"/>
  <c r="K38" i="4"/>
  <c r="J38" i="4"/>
  <c r="I38" i="4"/>
  <c r="I37" i="4" s="1"/>
  <c r="H38" i="4"/>
  <c r="S37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S33" i="4"/>
  <c r="R33" i="4"/>
  <c r="Q33" i="4"/>
  <c r="P33" i="4"/>
  <c r="O33" i="4"/>
  <c r="N33" i="4"/>
  <c r="M33" i="4"/>
  <c r="L33" i="4"/>
  <c r="K33" i="4"/>
  <c r="J33" i="4"/>
  <c r="I33" i="4"/>
  <c r="H33" i="4"/>
  <c r="S30" i="4"/>
  <c r="S29" i="4" s="1"/>
  <c r="R30" i="4"/>
  <c r="R29" i="4" s="1"/>
  <c r="Q30" i="4"/>
  <c r="Q29" i="4" s="1"/>
  <c r="P30" i="4"/>
  <c r="P29" i="4" s="1"/>
  <c r="O30" i="4"/>
  <c r="O29" i="4" s="1"/>
  <c r="N30" i="4"/>
  <c r="N29" i="4" s="1"/>
  <c r="M30" i="4"/>
  <c r="M29" i="4" s="1"/>
  <c r="L30" i="4"/>
  <c r="L29" i="4" s="1"/>
  <c r="K30" i="4"/>
  <c r="K29" i="4" s="1"/>
  <c r="J30" i="4"/>
  <c r="J29" i="4" s="1"/>
  <c r="I30" i="4"/>
  <c r="I29" i="4" s="1"/>
  <c r="H30" i="4"/>
  <c r="H29" i="4" s="1"/>
  <c r="S27" i="4"/>
  <c r="R27" i="4"/>
  <c r="Q27" i="4"/>
  <c r="P27" i="4"/>
  <c r="O27" i="4"/>
  <c r="N27" i="4"/>
  <c r="M27" i="4"/>
  <c r="L27" i="4"/>
  <c r="K27" i="4"/>
  <c r="J27" i="4"/>
  <c r="I27" i="4"/>
  <c r="H27" i="4"/>
  <c r="S23" i="4"/>
  <c r="R23" i="4"/>
  <c r="Q23" i="4"/>
  <c r="P23" i="4"/>
  <c r="O23" i="4"/>
  <c r="N23" i="4"/>
  <c r="M23" i="4"/>
  <c r="L23" i="4"/>
  <c r="K23" i="4"/>
  <c r="J23" i="4"/>
  <c r="I23" i="4"/>
  <c r="H23" i="4"/>
  <c r="S20" i="4"/>
  <c r="R20" i="4"/>
  <c r="Q20" i="4"/>
  <c r="P20" i="4"/>
  <c r="O20" i="4"/>
  <c r="N20" i="4"/>
  <c r="M20" i="4"/>
  <c r="L20" i="4"/>
  <c r="K20" i="4"/>
  <c r="J20" i="4"/>
  <c r="I20" i="4"/>
  <c r="H20" i="4"/>
  <c r="S17" i="4"/>
  <c r="R17" i="4"/>
  <c r="Q17" i="4"/>
  <c r="Q16" i="4" s="1"/>
  <c r="Q15" i="4" s="1"/>
  <c r="P17" i="4"/>
  <c r="O17" i="4"/>
  <c r="N17" i="4"/>
  <c r="M17" i="4"/>
  <c r="M16" i="4" s="1"/>
  <c r="M15" i="4" s="1"/>
  <c r="L17" i="4"/>
  <c r="K17" i="4"/>
  <c r="J17" i="4"/>
  <c r="I17" i="4"/>
  <c r="I16" i="4" s="1"/>
  <c r="I15" i="4" s="1"/>
  <c r="H17" i="4"/>
  <c r="S12" i="4"/>
  <c r="S11" i="4" s="1"/>
  <c r="S10" i="4" s="1"/>
  <c r="R12" i="4"/>
  <c r="R11" i="4" s="1"/>
  <c r="R10" i="4" s="1"/>
  <c r="Q12" i="4"/>
  <c r="Q11" i="4" s="1"/>
  <c r="Q10" i="4" s="1"/>
  <c r="P12" i="4"/>
  <c r="P11" i="4" s="1"/>
  <c r="P10" i="4" s="1"/>
  <c r="O12" i="4"/>
  <c r="O11" i="4" s="1"/>
  <c r="O10" i="4" s="1"/>
  <c r="N12" i="4"/>
  <c r="N11" i="4" s="1"/>
  <c r="N10" i="4" s="1"/>
  <c r="M12" i="4"/>
  <c r="M11" i="4" s="1"/>
  <c r="M10" i="4" s="1"/>
  <c r="L12" i="4"/>
  <c r="L11" i="4" s="1"/>
  <c r="L10" i="4" s="1"/>
  <c r="K12" i="4"/>
  <c r="K11" i="4" s="1"/>
  <c r="K10" i="4" s="1"/>
  <c r="J12" i="4"/>
  <c r="J11" i="4" s="1"/>
  <c r="J10" i="4" s="1"/>
  <c r="I12" i="4"/>
  <c r="I11" i="4" s="1"/>
  <c r="I10" i="4" s="1"/>
  <c r="H12" i="4"/>
  <c r="H11" i="4" s="1"/>
  <c r="H10" i="4" s="1"/>
  <c r="AH156" i="4"/>
  <c r="AH155" i="4" s="1"/>
  <c r="AG156" i="4"/>
  <c r="AG155" i="4" s="1"/>
  <c r="AF156" i="4"/>
  <c r="AF155" i="4" s="1"/>
  <c r="AE156" i="4"/>
  <c r="AE155" i="4" s="1"/>
  <c r="AD156" i="4"/>
  <c r="AD155" i="4" s="1"/>
  <c r="AC156" i="4"/>
  <c r="AC155" i="4" s="1"/>
  <c r="AB156" i="4"/>
  <c r="AB155" i="4" s="1"/>
  <c r="AA156" i="4"/>
  <c r="AA155" i="4" s="1"/>
  <c r="Z156" i="4"/>
  <c r="Z155" i="4" s="1"/>
  <c r="Y156" i="4"/>
  <c r="Y155" i="4" s="1"/>
  <c r="X156" i="4"/>
  <c r="X155" i="4" s="1"/>
  <c r="W156" i="4"/>
  <c r="W155" i="4" s="1"/>
  <c r="AH150" i="4"/>
  <c r="AG150" i="4"/>
  <c r="AF150" i="4"/>
  <c r="AE150" i="4"/>
  <c r="AD150" i="4"/>
  <c r="AC150" i="4"/>
  <c r="AB150" i="4"/>
  <c r="AA150" i="4"/>
  <c r="Z150" i="4"/>
  <c r="Y150" i="4"/>
  <c r="X150" i="4"/>
  <c r="W150" i="4"/>
  <c r="AH122" i="4"/>
  <c r="AG122" i="4"/>
  <c r="AF122" i="4"/>
  <c r="AE122" i="4"/>
  <c r="AD122" i="4"/>
  <c r="AC122" i="4"/>
  <c r="AB122" i="4"/>
  <c r="AA122" i="4"/>
  <c r="Z122" i="4"/>
  <c r="Y122" i="4"/>
  <c r="X122" i="4"/>
  <c r="W122" i="4"/>
  <c r="AH111" i="4"/>
  <c r="AG111" i="4"/>
  <c r="AF111" i="4"/>
  <c r="AE111" i="4"/>
  <c r="AD111" i="4"/>
  <c r="AC111" i="4"/>
  <c r="AB111" i="4"/>
  <c r="AA111" i="4"/>
  <c r="Z111" i="4"/>
  <c r="Y111" i="4"/>
  <c r="X111" i="4"/>
  <c r="W111" i="4"/>
  <c r="AH107" i="4"/>
  <c r="AG107" i="4"/>
  <c r="AF107" i="4"/>
  <c r="AE107" i="4"/>
  <c r="AE106" i="4" s="1"/>
  <c r="AE105" i="4" s="1"/>
  <c r="AD107" i="4"/>
  <c r="AC107" i="4"/>
  <c r="AB107" i="4"/>
  <c r="AA107" i="4"/>
  <c r="AA106" i="4" s="1"/>
  <c r="AA105" i="4" s="1"/>
  <c r="Z107" i="4"/>
  <c r="Y107" i="4"/>
  <c r="X107" i="4"/>
  <c r="X106" i="4" s="1"/>
  <c r="X105" i="4" s="1"/>
  <c r="W107" i="4"/>
  <c r="W106" i="4" s="1"/>
  <c r="W105" i="4" s="1"/>
  <c r="AH98" i="4"/>
  <c r="AH97" i="4" s="1"/>
  <c r="AG98" i="4"/>
  <c r="AG97" i="4" s="1"/>
  <c r="AF98" i="4"/>
  <c r="AF97" i="4" s="1"/>
  <c r="AE98" i="4"/>
  <c r="AE97" i="4" s="1"/>
  <c r="AD98" i="4"/>
  <c r="AD97" i="4" s="1"/>
  <c r="AC98" i="4"/>
  <c r="AB98" i="4"/>
  <c r="AB97" i="4" s="1"/>
  <c r="AA98" i="4"/>
  <c r="AA97" i="4" s="1"/>
  <c r="Z98" i="4"/>
  <c r="Z97" i="4" s="1"/>
  <c r="Y98" i="4"/>
  <c r="Y97" i="4" s="1"/>
  <c r="X98" i="4"/>
  <c r="X97" i="4" s="1"/>
  <c r="W98" i="4"/>
  <c r="W97" i="4" s="1"/>
  <c r="V98" i="4"/>
  <c r="AC97" i="4"/>
  <c r="AH93" i="4"/>
  <c r="AG93" i="4"/>
  <c r="AF93" i="4"/>
  <c r="AE93" i="4"/>
  <c r="AD93" i="4"/>
  <c r="AC93" i="4"/>
  <c r="AB93" i="4"/>
  <c r="AA93" i="4"/>
  <c r="Z93" i="4"/>
  <c r="Y93" i="4"/>
  <c r="X93" i="4"/>
  <c r="W93" i="4"/>
  <c r="AH90" i="4"/>
  <c r="AG90" i="4"/>
  <c r="AF90" i="4"/>
  <c r="AE90" i="4"/>
  <c r="AD90" i="4"/>
  <c r="AC90" i="4"/>
  <c r="AB90" i="4"/>
  <c r="AA90" i="4"/>
  <c r="Z90" i="4"/>
  <c r="Y90" i="4"/>
  <c r="X90" i="4"/>
  <c r="W90" i="4"/>
  <c r="AH88" i="4"/>
  <c r="AG88" i="4"/>
  <c r="AF88" i="4"/>
  <c r="AE88" i="4"/>
  <c r="AD88" i="4"/>
  <c r="AC88" i="4"/>
  <c r="AB88" i="4"/>
  <c r="AA88" i="4"/>
  <c r="Z88" i="4"/>
  <c r="Y88" i="4"/>
  <c r="X88" i="4"/>
  <c r="W88" i="4"/>
  <c r="AH84" i="4"/>
  <c r="AG84" i="4"/>
  <c r="AF84" i="4"/>
  <c r="AE84" i="4"/>
  <c r="AD84" i="4"/>
  <c r="AC84" i="4"/>
  <c r="AB84" i="4"/>
  <c r="AA84" i="4"/>
  <c r="AA83" i="4" s="1"/>
  <c r="Z84" i="4"/>
  <c r="Y84" i="4"/>
  <c r="X84" i="4"/>
  <c r="W84" i="4"/>
  <c r="AH80" i="4"/>
  <c r="AG80" i="4"/>
  <c r="AF80" i="4"/>
  <c r="AE80" i="4"/>
  <c r="AD80" i="4"/>
  <c r="AC80" i="4"/>
  <c r="AB80" i="4"/>
  <c r="AA80" i="4"/>
  <c r="Z80" i="4"/>
  <c r="Y80" i="4"/>
  <c r="X80" i="4"/>
  <c r="W80" i="4"/>
  <c r="AH75" i="4"/>
  <c r="AG75" i="4"/>
  <c r="AF75" i="4"/>
  <c r="AE75" i="4"/>
  <c r="AD75" i="4"/>
  <c r="AC75" i="4"/>
  <c r="AB75" i="4"/>
  <c r="AA75" i="4"/>
  <c r="Z75" i="4"/>
  <c r="Y75" i="4"/>
  <c r="X75" i="4"/>
  <c r="W75" i="4"/>
  <c r="AH71" i="4"/>
  <c r="AH70" i="4" s="1"/>
  <c r="AG71" i="4"/>
  <c r="AG70" i="4" s="1"/>
  <c r="AF71" i="4"/>
  <c r="AF70" i="4" s="1"/>
  <c r="AE71" i="4"/>
  <c r="AE70" i="4" s="1"/>
  <c r="AD71" i="4"/>
  <c r="AD70" i="4" s="1"/>
  <c r="AC71" i="4"/>
  <c r="AC70" i="4" s="1"/>
  <c r="AB71" i="4"/>
  <c r="AB70" i="4" s="1"/>
  <c r="AA71" i="4"/>
  <c r="AA70" i="4" s="1"/>
  <c r="Z71" i="4"/>
  <c r="Z70" i="4" s="1"/>
  <c r="Y71" i="4"/>
  <c r="Y70" i="4" s="1"/>
  <c r="X71" i="4"/>
  <c r="X70" i="4" s="1"/>
  <c r="W71" i="4"/>
  <c r="W70" i="4" s="1"/>
  <c r="AH68" i="4"/>
  <c r="AG68" i="4"/>
  <c r="AF68" i="4"/>
  <c r="AE68" i="4"/>
  <c r="AD68" i="4"/>
  <c r="AC68" i="4"/>
  <c r="AB68" i="4"/>
  <c r="AA68" i="4"/>
  <c r="Z68" i="4"/>
  <c r="Y68" i="4"/>
  <c r="X68" i="4"/>
  <c r="W68" i="4"/>
  <c r="AH64" i="4"/>
  <c r="AG64" i="4"/>
  <c r="AF64" i="4"/>
  <c r="AE64" i="4"/>
  <c r="AD64" i="4"/>
  <c r="AC64" i="4"/>
  <c r="AB64" i="4"/>
  <c r="AA64" i="4"/>
  <c r="Z64" i="4"/>
  <c r="Y64" i="4"/>
  <c r="X64" i="4"/>
  <c r="W64" i="4"/>
  <c r="AH61" i="4"/>
  <c r="AG61" i="4"/>
  <c r="AF61" i="4"/>
  <c r="AF59" i="4" s="1"/>
  <c r="AE61" i="4"/>
  <c r="AD61" i="4"/>
  <c r="AC61" i="4"/>
  <c r="AB61" i="4"/>
  <c r="AA61" i="4"/>
  <c r="Z61" i="4"/>
  <c r="Y61" i="4"/>
  <c r="X61" i="4"/>
  <c r="X59" i="4" s="1"/>
  <c r="W61" i="4"/>
  <c r="AH56" i="4"/>
  <c r="AG56" i="4"/>
  <c r="AF56" i="4"/>
  <c r="AE56" i="4"/>
  <c r="AD56" i="4"/>
  <c r="AC56" i="4"/>
  <c r="AB56" i="4"/>
  <c r="AA56" i="4"/>
  <c r="Z56" i="4"/>
  <c r="Y56" i="4"/>
  <c r="X56" i="4"/>
  <c r="W56" i="4"/>
  <c r="AH54" i="4"/>
  <c r="AH53" i="4" s="1"/>
  <c r="AG54" i="4"/>
  <c r="AF54" i="4"/>
  <c r="AE54" i="4"/>
  <c r="AD54" i="4"/>
  <c r="AD53" i="4" s="1"/>
  <c r="AC54" i="4"/>
  <c r="AB54" i="4"/>
  <c r="AA54" i="4"/>
  <c r="AA53" i="4" s="1"/>
  <c r="Z54" i="4"/>
  <c r="Z53" i="4" s="1"/>
  <c r="Y54" i="4"/>
  <c r="X54" i="4"/>
  <c r="W54" i="4"/>
  <c r="AH51" i="4"/>
  <c r="AG51" i="4"/>
  <c r="AF51" i="4"/>
  <c r="AE51" i="4"/>
  <c r="AD51" i="4"/>
  <c r="AC51" i="4"/>
  <c r="AB51" i="4"/>
  <c r="AA51" i="4"/>
  <c r="Z51" i="4"/>
  <c r="Y51" i="4"/>
  <c r="X51" i="4"/>
  <c r="W51" i="4"/>
  <c r="AH48" i="4"/>
  <c r="AH47" i="4" s="1"/>
  <c r="AG48" i="4"/>
  <c r="AG47" i="4" s="1"/>
  <c r="AF48" i="4"/>
  <c r="AF47" i="4" s="1"/>
  <c r="AE48" i="4"/>
  <c r="AE47" i="4" s="1"/>
  <c r="AD48" i="4"/>
  <c r="AD47" i="4" s="1"/>
  <c r="AC48" i="4"/>
  <c r="AC47" i="4" s="1"/>
  <c r="AB48" i="4"/>
  <c r="AB47" i="4" s="1"/>
  <c r="AA48" i="4"/>
  <c r="AA47" i="4" s="1"/>
  <c r="Z48" i="4"/>
  <c r="Z47" i="4" s="1"/>
  <c r="Y48" i="4"/>
  <c r="Y47" i="4" s="1"/>
  <c r="X48" i="4"/>
  <c r="X47" i="4" s="1"/>
  <c r="W48" i="4"/>
  <c r="W47" i="4" s="1"/>
  <c r="AH41" i="4"/>
  <c r="AG41" i="4"/>
  <c r="AF41" i="4"/>
  <c r="AE41" i="4"/>
  <c r="AD41" i="4"/>
  <c r="AC41" i="4"/>
  <c r="AB41" i="4"/>
  <c r="AA41" i="4"/>
  <c r="Z41" i="4"/>
  <c r="Y41" i="4"/>
  <c r="X41" i="4"/>
  <c r="W41" i="4"/>
  <c r="AH38" i="4"/>
  <c r="AG38" i="4"/>
  <c r="AF38" i="4"/>
  <c r="AF37" i="4" s="1"/>
  <c r="AE38" i="4"/>
  <c r="AD38" i="4"/>
  <c r="AC38" i="4"/>
  <c r="AB38" i="4"/>
  <c r="AB37" i="4" s="1"/>
  <c r="AA38" i="4"/>
  <c r="Z38" i="4"/>
  <c r="Y38" i="4"/>
  <c r="X38" i="4"/>
  <c r="X37" i="4" s="1"/>
  <c r="W38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AH33" i="4"/>
  <c r="AG33" i="4"/>
  <c r="AF33" i="4"/>
  <c r="AE33" i="4"/>
  <c r="AD33" i="4"/>
  <c r="AC33" i="4"/>
  <c r="AB33" i="4"/>
  <c r="AA33" i="4"/>
  <c r="Z33" i="4"/>
  <c r="Y33" i="4"/>
  <c r="X33" i="4"/>
  <c r="W33" i="4"/>
  <c r="AH30" i="4"/>
  <c r="AH29" i="4" s="1"/>
  <c r="AG30" i="4"/>
  <c r="AG29" i="4" s="1"/>
  <c r="AF30" i="4"/>
  <c r="AF29" i="4" s="1"/>
  <c r="AE30" i="4"/>
  <c r="AE29" i="4" s="1"/>
  <c r="AD30" i="4"/>
  <c r="AD29" i="4" s="1"/>
  <c r="AC30" i="4"/>
  <c r="AC29" i="4" s="1"/>
  <c r="AB30" i="4"/>
  <c r="AB29" i="4" s="1"/>
  <c r="AA30" i="4"/>
  <c r="AA29" i="4" s="1"/>
  <c r="Z30" i="4"/>
  <c r="Z29" i="4" s="1"/>
  <c r="Y30" i="4"/>
  <c r="Y29" i="4" s="1"/>
  <c r="X30" i="4"/>
  <c r="X29" i="4" s="1"/>
  <c r="W30" i="4"/>
  <c r="W29" i="4" s="1"/>
  <c r="AH27" i="4"/>
  <c r="AG27" i="4"/>
  <c r="AF27" i="4"/>
  <c r="AE27" i="4"/>
  <c r="AD27" i="4"/>
  <c r="AC27" i="4"/>
  <c r="AB27" i="4"/>
  <c r="AA27" i="4"/>
  <c r="Z27" i="4"/>
  <c r="Y27" i="4"/>
  <c r="X27" i="4"/>
  <c r="W27" i="4"/>
  <c r="AH23" i="4"/>
  <c r="AG23" i="4"/>
  <c r="AF23" i="4"/>
  <c r="AE23" i="4"/>
  <c r="AD23" i="4"/>
  <c r="AC23" i="4"/>
  <c r="AB23" i="4"/>
  <c r="AA23" i="4"/>
  <c r="Z23" i="4"/>
  <c r="Y23" i="4"/>
  <c r="X23" i="4"/>
  <c r="W23" i="4"/>
  <c r="AH20" i="4"/>
  <c r="AG20" i="4"/>
  <c r="AF20" i="4"/>
  <c r="AE20" i="4"/>
  <c r="AD20" i="4"/>
  <c r="AC20" i="4"/>
  <c r="AB20" i="4"/>
  <c r="AA20" i="4"/>
  <c r="Z20" i="4"/>
  <c r="Y20" i="4"/>
  <c r="X20" i="4"/>
  <c r="W20" i="4"/>
  <c r="AH17" i="4"/>
  <c r="AG17" i="4"/>
  <c r="AF17" i="4"/>
  <c r="AE17" i="4"/>
  <c r="AD17" i="4"/>
  <c r="AC17" i="4"/>
  <c r="AB17" i="4"/>
  <c r="AA17" i="4"/>
  <c r="Z17" i="4"/>
  <c r="Z16" i="4" s="1"/>
  <c r="Z15" i="4" s="1"/>
  <c r="Y17" i="4"/>
  <c r="X17" i="4"/>
  <c r="W17" i="4"/>
  <c r="AH12" i="4"/>
  <c r="AH11" i="4" s="1"/>
  <c r="AH10" i="4" s="1"/>
  <c r="AG12" i="4"/>
  <c r="AG11" i="4" s="1"/>
  <c r="AG10" i="4" s="1"/>
  <c r="AF12" i="4"/>
  <c r="AF11" i="4" s="1"/>
  <c r="AF10" i="4" s="1"/>
  <c r="AE12" i="4"/>
  <c r="AE11" i="4" s="1"/>
  <c r="AE10" i="4" s="1"/>
  <c r="AD12" i="4"/>
  <c r="AD11" i="4" s="1"/>
  <c r="AD10" i="4" s="1"/>
  <c r="AC12" i="4"/>
  <c r="AC11" i="4" s="1"/>
  <c r="AC10" i="4" s="1"/>
  <c r="AB12" i="4"/>
  <c r="AB11" i="4" s="1"/>
  <c r="AB10" i="4" s="1"/>
  <c r="AA12" i="4"/>
  <c r="AA11" i="4" s="1"/>
  <c r="AA10" i="4" s="1"/>
  <c r="Z12" i="4"/>
  <c r="Z11" i="4" s="1"/>
  <c r="Z10" i="4" s="1"/>
  <c r="Y12" i="4"/>
  <c r="Y11" i="4" s="1"/>
  <c r="Y10" i="4" s="1"/>
  <c r="X12" i="4"/>
  <c r="X11" i="4" s="1"/>
  <c r="X10" i="4" s="1"/>
  <c r="W12" i="4"/>
  <c r="W11" i="4" s="1"/>
  <c r="W10" i="4" s="1"/>
  <c r="AJ35" i="4"/>
  <c r="P106" i="4" l="1"/>
  <c r="P105" i="4" s="1"/>
  <c r="F27" i="4"/>
  <c r="AJ131" i="4"/>
  <c r="AJ135" i="4"/>
  <c r="AJ152" i="4"/>
  <c r="U88" i="4"/>
  <c r="V107" i="4"/>
  <c r="AJ72" i="4"/>
  <c r="AJ140" i="4"/>
  <c r="AJ144" i="4"/>
  <c r="U48" i="4"/>
  <c r="U27" i="4"/>
  <c r="F68" i="4"/>
  <c r="AJ126" i="4"/>
  <c r="U30" i="4"/>
  <c r="AJ19" i="4"/>
  <c r="AJ25" i="4"/>
  <c r="AJ92" i="4"/>
  <c r="F98" i="4"/>
  <c r="AJ137" i="4"/>
  <c r="AJ141" i="4"/>
  <c r="AJ145" i="4"/>
  <c r="AJ158" i="4"/>
  <c r="U98" i="4"/>
  <c r="U107" i="4"/>
  <c r="AJ86" i="4"/>
  <c r="U61" i="4"/>
  <c r="AJ60" i="4"/>
  <c r="U54" i="4"/>
  <c r="U51" i="4"/>
  <c r="U23" i="4"/>
  <c r="G27" i="4"/>
  <c r="V27" i="4"/>
  <c r="V61" i="4"/>
  <c r="AJ46" i="4"/>
  <c r="AJ94" i="4"/>
  <c r="V48" i="4"/>
  <c r="V47" i="4" s="1"/>
  <c r="V97" i="4"/>
  <c r="M32" i="4"/>
  <c r="O32" i="4"/>
  <c r="G20" i="4"/>
  <c r="S16" i="4"/>
  <c r="S15" i="4" s="1"/>
  <c r="M148" i="4"/>
  <c r="F62" i="4"/>
  <c r="AB148" i="4"/>
  <c r="K32" i="4"/>
  <c r="I59" i="4"/>
  <c r="G98" i="4"/>
  <c r="G97" i="4" s="1"/>
  <c r="AJ14" i="4"/>
  <c r="AJ142" i="4"/>
  <c r="V71" i="4"/>
  <c r="V70" i="4" s="1"/>
  <c r="L50" i="4"/>
  <c r="P50" i="4"/>
  <c r="G38" i="4"/>
  <c r="AH16" i="4"/>
  <c r="AH15" i="4" s="1"/>
  <c r="V54" i="4"/>
  <c r="V88" i="4"/>
  <c r="V150" i="4"/>
  <c r="I32" i="4"/>
  <c r="Q32" i="4"/>
  <c r="G80" i="4"/>
  <c r="AJ77" i="4"/>
  <c r="AJ124" i="4"/>
  <c r="AJ128" i="4"/>
  <c r="AJ132" i="4"/>
  <c r="AJ136" i="4"/>
  <c r="AJ139" i="4"/>
  <c r="G68" i="4"/>
  <c r="AJ116" i="4"/>
  <c r="AJ114" i="4"/>
  <c r="AJ113" i="4"/>
  <c r="U84" i="4"/>
  <c r="AJ63" i="4"/>
  <c r="Z32" i="4"/>
  <c r="AJ125" i="4"/>
  <c r="AJ21" i="4"/>
  <c r="AJ81" i="4"/>
  <c r="AJ134" i="4"/>
  <c r="J37" i="4"/>
  <c r="V111" i="4"/>
  <c r="K26" i="4"/>
  <c r="J59" i="4"/>
  <c r="F55" i="4"/>
  <c r="G90" i="4"/>
  <c r="R37" i="4"/>
  <c r="H53" i="4"/>
  <c r="H50" i="4" s="1"/>
  <c r="AJ45" i="4"/>
  <c r="AJ74" i="4"/>
  <c r="AD16" i="4"/>
  <c r="AD15" i="4" s="1"/>
  <c r="V38" i="4"/>
  <c r="V75" i="4"/>
  <c r="AC148" i="4"/>
  <c r="AG148" i="4"/>
  <c r="G51" i="4"/>
  <c r="G64" i="4"/>
  <c r="G59" i="4" s="1"/>
  <c r="K106" i="4"/>
  <c r="K105" i="4" s="1"/>
  <c r="O106" i="4"/>
  <c r="O105" i="4" s="1"/>
  <c r="AJ87" i="4"/>
  <c r="AJ138" i="4"/>
  <c r="N37" i="4"/>
  <c r="AJ129" i="4"/>
  <c r="AJ151" i="4"/>
  <c r="V23" i="4"/>
  <c r="V30" i="4"/>
  <c r="V29" i="4" s="1"/>
  <c r="V51" i="4"/>
  <c r="V64" i="4"/>
  <c r="V84" i="4"/>
  <c r="M59" i="4"/>
  <c r="Q59" i="4"/>
  <c r="S83" i="4"/>
  <c r="S79" i="4" s="1"/>
  <c r="G17" i="4"/>
  <c r="F40" i="4"/>
  <c r="G156" i="4"/>
  <c r="G155" i="4" s="1"/>
  <c r="G23" i="4"/>
  <c r="F24" i="4"/>
  <c r="F31" i="4"/>
  <c r="G30" i="4"/>
  <c r="G29" i="4" s="1"/>
  <c r="G56" i="4"/>
  <c r="G53" i="4" s="1"/>
  <c r="G84" i="4"/>
  <c r="F85" i="4"/>
  <c r="F88" i="4"/>
  <c r="AJ89" i="4"/>
  <c r="G111" i="4"/>
  <c r="Z83" i="4"/>
  <c r="Z79" i="4" s="1"/>
  <c r="K50" i="4"/>
  <c r="G71" i="4"/>
  <c r="G70" i="4" s="1"/>
  <c r="V12" i="4"/>
  <c r="V11" i="4" s="1"/>
  <c r="V10" i="4" s="1"/>
  <c r="U13" i="4"/>
  <c r="U34" i="4"/>
  <c r="V33" i="4"/>
  <c r="V32" i="4" s="1"/>
  <c r="U42" i="4"/>
  <c r="V41" i="4"/>
  <c r="U69" i="4"/>
  <c r="V68" i="4"/>
  <c r="U91" i="4"/>
  <c r="V90" i="4"/>
  <c r="U95" i="4"/>
  <c r="V93" i="4"/>
  <c r="U123" i="4"/>
  <c r="V122" i="4"/>
  <c r="AJ28" i="4"/>
  <c r="J26" i="4"/>
  <c r="N26" i="4"/>
  <c r="R26" i="4"/>
  <c r="F43" i="4"/>
  <c r="G41" i="4"/>
  <c r="F75" i="4"/>
  <c r="AJ76" i="4"/>
  <c r="F96" i="4"/>
  <c r="G93" i="4"/>
  <c r="F109" i="4"/>
  <c r="G107" i="4"/>
  <c r="G88" i="4"/>
  <c r="U18" i="4"/>
  <c r="V17" i="4"/>
  <c r="U22" i="4"/>
  <c r="V20" i="4"/>
  <c r="U57" i="4"/>
  <c r="V56" i="4"/>
  <c r="U82" i="4"/>
  <c r="V80" i="4"/>
  <c r="U157" i="4"/>
  <c r="V156" i="4"/>
  <c r="V155" i="4" s="1"/>
  <c r="J16" i="4"/>
  <c r="J15" i="4" s="1"/>
  <c r="R16" i="4"/>
  <c r="R15" i="4" s="1"/>
  <c r="O26" i="4"/>
  <c r="S26" i="4"/>
  <c r="H37" i="4"/>
  <c r="L37" i="4"/>
  <c r="P37" i="4"/>
  <c r="K37" i="4"/>
  <c r="I83" i="4"/>
  <c r="I79" i="4" s="1"/>
  <c r="M83" i="4"/>
  <c r="M79" i="4" s="1"/>
  <c r="Q83" i="4"/>
  <c r="Q79" i="4" s="1"/>
  <c r="F18" i="4"/>
  <c r="F34" i="4"/>
  <c r="F71" i="4"/>
  <c r="F91" i="4"/>
  <c r="F157" i="4"/>
  <c r="U38" i="4"/>
  <c r="AD32" i="4"/>
  <c r="AH32" i="4"/>
  <c r="P26" i="4"/>
  <c r="L26" i="4"/>
  <c r="G12" i="4"/>
  <c r="G11" i="4" s="1"/>
  <c r="G10" i="4" s="1"/>
  <c r="F20" i="4"/>
  <c r="G32" i="4"/>
  <c r="G75" i="4"/>
  <c r="F80" i="4"/>
  <c r="G122" i="4"/>
  <c r="U150" i="4"/>
  <c r="X16" i="4"/>
  <c r="X15" i="4" s="1"/>
  <c r="AB16" i="4"/>
  <c r="AB15" i="4" s="1"/>
  <c r="AF16" i="4"/>
  <c r="AF15" i="4" s="1"/>
  <c r="AD83" i="4"/>
  <c r="AD79" i="4" s="1"/>
  <c r="AH83" i="4"/>
  <c r="AH79" i="4" s="1"/>
  <c r="Z106" i="4"/>
  <c r="Z105" i="4" s="1"/>
  <c r="AD106" i="4"/>
  <c r="AD105" i="4" s="1"/>
  <c r="AH106" i="4"/>
  <c r="AH105" i="4" s="1"/>
  <c r="K16" i="4"/>
  <c r="K15" i="4" s="1"/>
  <c r="O16" i="4"/>
  <c r="O15" i="4" s="1"/>
  <c r="S32" i="4"/>
  <c r="J53" i="4"/>
  <c r="J50" i="4" s="1"/>
  <c r="N53" i="4"/>
  <c r="N50" i="4" s="1"/>
  <c r="R53" i="4"/>
  <c r="R50" i="4" s="1"/>
  <c r="I53" i="4"/>
  <c r="I50" i="4" s="1"/>
  <c r="M53" i="4"/>
  <c r="M50" i="4" s="1"/>
  <c r="Q53" i="4"/>
  <c r="Q50" i="4" s="1"/>
  <c r="N59" i="4"/>
  <c r="R59" i="4"/>
  <c r="Q106" i="4"/>
  <c r="Q105" i="4" s="1"/>
  <c r="F13" i="4"/>
  <c r="G150" i="4"/>
  <c r="U71" i="4"/>
  <c r="AJ39" i="4"/>
  <c r="AJ73" i="4"/>
  <c r="AJ99" i="4"/>
  <c r="U111" i="4"/>
  <c r="U64" i="4"/>
  <c r="F150" i="4"/>
  <c r="AA32" i="4"/>
  <c r="AA50" i="4"/>
  <c r="AB59" i="4"/>
  <c r="AA79" i="4"/>
  <c r="Y148" i="4"/>
  <c r="H26" i="4"/>
  <c r="O37" i="4"/>
  <c r="I148" i="4"/>
  <c r="Q148" i="4"/>
  <c r="N148" i="4"/>
  <c r="Y16" i="4"/>
  <c r="Y15" i="4" s="1"/>
  <c r="AC16" i="4"/>
  <c r="AC15" i="4" s="1"/>
  <c r="AG16" i="4"/>
  <c r="AG15" i="4" s="1"/>
  <c r="W16" i="4"/>
  <c r="W15" i="4" s="1"/>
  <c r="AA16" i="4"/>
  <c r="AA15" i="4" s="1"/>
  <c r="AE16" i="4"/>
  <c r="AE15" i="4" s="1"/>
  <c r="Z26" i="4"/>
  <c r="AD26" i="4"/>
  <c r="AH26" i="4"/>
  <c r="X32" i="4"/>
  <c r="W37" i="4"/>
  <c r="AA37" i="4"/>
  <c r="AE37" i="4"/>
  <c r="Z50" i="4"/>
  <c r="AH50" i="4"/>
  <c r="X53" i="4"/>
  <c r="X50" i="4" s="1"/>
  <c r="AB53" i="4"/>
  <c r="AB50" i="4" s="1"/>
  <c r="W59" i="4"/>
  <c r="AA59" i="4"/>
  <c r="AE59" i="4"/>
  <c r="Y59" i="4"/>
  <c r="AC59" i="4"/>
  <c r="AG59" i="4"/>
  <c r="X83" i="4"/>
  <c r="X79" i="4" s="1"/>
  <c r="AB83" i="4"/>
  <c r="AB79" i="4" s="1"/>
  <c r="AF83" i="4"/>
  <c r="AF79" i="4" s="1"/>
  <c r="X148" i="4"/>
  <c r="AF148" i="4"/>
  <c r="M26" i="4"/>
  <c r="H59" i="4"/>
  <c r="L59" i="4"/>
  <c r="P59" i="4"/>
  <c r="P79" i="4"/>
  <c r="J83" i="4"/>
  <c r="J79" i="4" s="1"/>
  <c r="N83" i="4"/>
  <c r="N79" i="4" s="1"/>
  <c r="R83" i="4"/>
  <c r="R79" i="4" s="1"/>
  <c r="L83" i="4"/>
  <c r="L79" i="4" s="1"/>
  <c r="X26" i="4"/>
  <c r="AB26" i="4"/>
  <c r="AF26" i="4"/>
  <c r="AB106" i="4"/>
  <c r="AB105" i="4" s="1"/>
  <c r="AF106" i="4"/>
  <c r="AF105" i="4" s="1"/>
  <c r="K59" i="4"/>
  <c r="O59" i="4"/>
  <c r="AD50" i="4"/>
  <c r="K83" i="4"/>
  <c r="K79" i="4" s="1"/>
  <c r="O83" i="4"/>
  <c r="O79" i="4" s="1"/>
  <c r="O50" i="4"/>
  <c r="S50" i="4"/>
  <c r="I106" i="4"/>
  <c r="I105" i="4" s="1"/>
  <c r="M106" i="4"/>
  <c r="M105" i="4" s="1"/>
  <c r="I26" i="4"/>
  <c r="Q26" i="4"/>
  <c r="W26" i="4"/>
  <c r="AE26" i="4"/>
  <c r="AB32" i="4"/>
  <c r="AF32" i="4"/>
  <c r="AF53" i="4"/>
  <c r="AF50" i="4" s="1"/>
  <c r="Y106" i="4"/>
  <c r="Y105" i="4" s="1"/>
  <c r="AC106" i="4"/>
  <c r="AC105" i="4" s="1"/>
  <c r="AG106" i="4"/>
  <c r="AG105" i="4" s="1"/>
  <c r="H16" i="4"/>
  <c r="H15" i="4" s="1"/>
  <c r="L16" i="4"/>
  <c r="L15" i="4" s="1"/>
  <c r="P16" i="4"/>
  <c r="P15" i="4" s="1"/>
  <c r="Y32" i="4"/>
  <c r="AC32" i="4"/>
  <c r="AG32" i="4"/>
  <c r="W32" i="4"/>
  <c r="AE32" i="4"/>
  <c r="Z37" i="4"/>
  <c r="AD37" i="4"/>
  <c r="AH37" i="4"/>
  <c r="Y53" i="4"/>
  <c r="Y50" i="4" s="1"/>
  <c r="AC53" i="4"/>
  <c r="AC50" i="4" s="1"/>
  <c r="AG53" i="4"/>
  <c r="AG50" i="4" s="1"/>
  <c r="W53" i="4"/>
  <c r="W50" i="4" s="1"/>
  <c r="AE53" i="4"/>
  <c r="AE50" i="4" s="1"/>
  <c r="Z59" i="4"/>
  <c r="AD59" i="4"/>
  <c r="AH59" i="4"/>
  <c r="Y83" i="4"/>
  <c r="Y79" i="4" s="1"/>
  <c r="AC83" i="4"/>
  <c r="AC79" i="4" s="1"/>
  <c r="AG83" i="4"/>
  <c r="AG79" i="4" s="1"/>
  <c r="W83" i="4"/>
  <c r="W79" i="4" s="1"/>
  <c r="AE83" i="4"/>
  <c r="AE79" i="4" s="1"/>
  <c r="J32" i="4"/>
  <c r="N32" i="4"/>
  <c r="R32" i="4"/>
  <c r="H32" i="4"/>
  <c r="L32" i="4"/>
  <c r="P32" i="4"/>
  <c r="H79" i="4"/>
  <c r="J148" i="4"/>
  <c r="R148" i="4"/>
  <c r="AA26" i="4"/>
  <c r="Y37" i="4"/>
  <c r="AC37" i="4"/>
  <c r="AG37" i="4"/>
  <c r="J106" i="4"/>
  <c r="J105" i="4" s="1"/>
  <c r="N16" i="4"/>
  <c r="N15" i="4" s="1"/>
  <c r="H148" i="4"/>
  <c r="L148" i="4"/>
  <c r="P148" i="4"/>
  <c r="K148" i="4"/>
  <c r="O148" i="4"/>
  <c r="S148" i="4"/>
  <c r="Y26" i="4"/>
  <c r="AC26" i="4"/>
  <c r="AG26" i="4"/>
  <c r="W148" i="4"/>
  <c r="AA148" i="4"/>
  <c r="AE148" i="4"/>
  <c r="Z148" i="4"/>
  <c r="AD148" i="4"/>
  <c r="AH148" i="4"/>
  <c r="BN268" i="1"/>
  <c r="BM268" i="1" s="1"/>
  <c r="BN265" i="1"/>
  <c r="BM265" i="1" s="1"/>
  <c r="BN264" i="1"/>
  <c r="BM264" i="1" s="1"/>
  <c r="BN263" i="1"/>
  <c r="BM263" i="1" s="1"/>
  <c r="BN262" i="1"/>
  <c r="BM262" i="1" s="1"/>
  <c r="BN261" i="1"/>
  <c r="BM261" i="1" s="1"/>
  <c r="BN260" i="1"/>
  <c r="BM260" i="1" s="1"/>
  <c r="BN259" i="1"/>
  <c r="BM259" i="1" s="1"/>
  <c r="BN258" i="1"/>
  <c r="BM258" i="1" s="1"/>
  <c r="BN257" i="1"/>
  <c r="BM257" i="1" s="1"/>
  <c r="BN256" i="1"/>
  <c r="BM256" i="1" s="1"/>
  <c r="BN255" i="1"/>
  <c r="BM255" i="1" s="1"/>
  <c r="BN254" i="1"/>
  <c r="BM254" i="1" s="1"/>
  <c r="BN253" i="1"/>
  <c r="BM253" i="1" s="1"/>
  <c r="BN252" i="1"/>
  <c r="BM252" i="1" s="1"/>
  <c r="BN251" i="1"/>
  <c r="BM251" i="1" s="1"/>
  <c r="BN250" i="1"/>
  <c r="BM250" i="1" s="1"/>
  <c r="BN249" i="1"/>
  <c r="BM249" i="1" s="1"/>
  <c r="BN248" i="1"/>
  <c r="BM248" i="1" s="1"/>
  <c r="BN247" i="1"/>
  <c r="BM247" i="1" s="1"/>
  <c r="BN246" i="1"/>
  <c r="BM246" i="1" s="1"/>
  <c r="BN245" i="1"/>
  <c r="BM245" i="1" s="1"/>
  <c r="BN244" i="1"/>
  <c r="BM244" i="1" s="1"/>
  <c r="BN243" i="1"/>
  <c r="BM243" i="1" s="1"/>
  <c r="BN242" i="1"/>
  <c r="BM242" i="1" s="1"/>
  <c r="BN241" i="1"/>
  <c r="BM241" i="1" s="1"/>
  <c r="BN238" i="1"/>
  <c r="BM238" i="1" s="1"/>
  <c r="BN237" i="1"/>
  <c r="BM237" i="1" s="1"/>
  <c r="BN236" i="1"/>
  <c r="BM236" i="1" s="1"/>
  <c r="BN235" i="1"/>
  <c r="BM235" i="1" s="1"/>
  <c r="BN234" i="1"/>
  <c r="BM234" i="1" s="1"/>
  <c r="BN233" i="1"/>
  <c r="BM233" i="1" s="1"/>
  <c r="BN232" i="1"/>
  <c r="BM232" i="1" s="1"/>
  <c r="BN231" i="1"/>
  <c r="BM231" i="1" s="1"/>
  <c r="BN230" i="1"/>
  <c r="BM230" i="1" s="1"/>
  <c r="BN229" i="1"/>
  <c r="BM229" i="1" s="1"/>
  <c r="BN228" i="1"/>
  <c r="BM228" i="1" s="1"/>
  <c r="BN227" i="1"/>
  <c r="BM227" i="1" s="1"/>
  <c r="BN226" i="1"/>
  <c r="BM226" i="1" s="1"/>
  <c r="BN225" i="1"/>
  <c r="BM225" i="1" s="1"/>
  <c r="BN224" i="1"/>
  <c r="BM224" i="1" s="1"/>
  <c r="BN223" i="1"/>
  <c r="BM223" i="1" s="1"/>
  <c r="BN222" i="1"/>
  <c r="BM222" i="1" s="1"/>
  <c r="BN221" i="1"/>
  <c r="BM221" i="1" s="1"/>
  <c r="BN220" i="1"/>
  <c r="BM220" i="1" s="1"/>
  <c r="BN219" i="1"/>
  <c r="BM219" i="1" s="1"/>
  <c r="BN218" i="1"/>
  <c r="BM218" i="1" s="1"/>
  <c r="BN217" i="1"/>
  <c r="BM217" i="1" s="1"/>
  <c r="BN216" i="1"/>
  <c r="BM216" i="1" s="1"/>
  <c r="BN215" i="1"/>
  <c r="BM215" i="1" s="1"/>
  <c r="BN214" i="1"/>
  <c r="BM214" i="1" s="1"/>
  <c r="BN213" i="1"/>
  <c r="BM213" i="1" s="1"/>
  <c r="BN212" i="1"/>
  <c r="BM212" i="1" s="1"/>
  <c r="BN211" i="1"/>
  <c r="BM211" i="1" s="1"/>
  <c r="BN210" i="1"/>
  <c r="BM210" i="1" s="1"/>
  <c r="BN209" i="1"/>
  <c r="BM209" i="1" s="1"/>
  <c r="BN208" i="1"/>
  <c r="BM208" i="1" s="1"/>
  <c r="BN207" i="1"/>
  <c r="BM207" i="1" s="1"/>
  <c r="BN206" i="1"/>
  <c r="BM206" i="1" s="1"/>
  <c r="BN205" i="1"/>
  <c r="BM205" i="1" s="1"/>
  <c r="BN204" i="1"/>
  <c r="BM204" i="1" s="1"/>
  <c r="BN203" i="1"/>
  <c r="BM203" i="1" s="1"/>
  <c r="BN202" i="1"/>
  <c r="BM202" i="1" s="1"/>
  <c r="BN201" i="1"/>
  <c r="BM201" i="1" s="1"/>
  <c r="BN200" i="1"/>
  <c r="BM200" i="1" s="1"/>
  <c r="BN199" i="1"/>
  <c r="BM199" i="1" s="1"/>
  <c r="BN198" i="1"/>
  <c r="BM198" i="1" s="1"/>
  <c r="BN197" i="1"/>
  <c r="BM197" i="1" s="1"/>
  <c r="BN196" i="1"/>
  <c r="BM196" i="1" s="1"/>
  <c r="BN195" i="1"/>
  <c r="BM195" i="1" s="1"/>
  <c r="BN194" i="1"/>
  <c r="BM194" i="1" s="1"/>
  <c r="BN193" i="1"/>
  <c r="BM193" i="1" s="1"/>
  <c r="BN192" i="1"/>
  <c r="BM192" i="1" s="1"/>
  <c r="BN190" i="1"/>
  <c r="BM190" i="1" s="1"/>
  <c r="BN188" i="1"/>
  <c r="BM188" i="1" s="1"/>
  <c r="BN187" i="1"/>
  <c r="BM187" i="1" s="1"/>
  <c r="BN186" i="1"/>
  <c r="BM186" i="1" s="1"/>
  <c r="BN185" i="1"/>
  <c r="BM185" i="1" s="1"/>
  <c r="BN184" i="1"/>
  <c r="BM184" i="1" s="1"/>
  <c r="BN183" i="1"/>
  <c r="BM183" i="1" s="1"/>
  <c r="BN182" i="1"/>
  <c r="BM182" i="1" s="1"/>
  <c r="BN181" i="1"/>
  <c r="BM181" i="1" s="1"/>
  <c r="BN179" i="1"/>
  <c r="BM179" i="1" s="1"/>
  <c r="BN178" i="1"/>
  <c r="BM178" i="1" s="1"/>
  <c r="BN177" i="1"/>
  <c r="BM177" i="1" s="1"/>
  <c r="BN176" i="1"/>
  <c r="BM176" i="1" s="1"/>
  <c r="BN175" i="1"/>
  <c r="BM175" i="1" s="1"/>
  <c r="BN174" i="1"/>
  <c r="BM174" i="1" s="1"/>
  <c r="BN173" i="1"/>
  <c r="BM173" i="1" s="1"/>
  <c r="BN172" i="1"/>
  <c r="BM172" i="1" s="1"/>
  <c r="BN171" i="1"/>
  <c r="BM171" i="1" s="1"/>
  <c r="BN170" i="1"/>
  <c r="BM170" i="1" s="1"/>
  <c r="BN169" i="1"/>
  <c r="BM169" i="1" s="1"/>
  <c r="BN165" i="1"/>
  <c r="BM165" i="1" s="1"/>
  <c r="BN164" i="1"/>
  <c r="BM164" i="1" s="1"/>
  <c r="BN163" i="1"/>
  <c r="BM163" i="1" s="1"/>
  <c r="BN162" i="1"/>
  <c r="BM162" i="1" s="1"/>
  <c r="BN161" i="1"/>
  <c r="BM161" i="1" s="1"/>
  <c r="BN159" i="1"/>
  <c r="BM159" i="1" s="1"/>
  <c r="BN158" i="1"/>
  <c r="BM158" i="1" s="1"/>
  <c r="BN157" i="1"/>
  <c r="BM157" i="1" s="1"/>
  <c r="BN156" i="1"/>
  <c r="BM156" i="1" s="1"/>
  <c r="BN150" i="1"/>
  <c r="BM150" i="1" s="1"/>
  <c r="BN149" i="1"/>
  <c r="BM149" i="1" s="1"/>
  <c r="BN148" i="1"/>
  <c r="BM148" i="1" s="1"/>
  <c r="BN147" i="1"/>
  <c r="BM147" i="1" s="1"/>
  <c r="BN146" i="1"/>
  <c r="BM146" i="1" s="1"/>
  <c r="BN145" i="1"/>
  <c r="BM145" i="1" s="1"/>
  <c r="BN144" i="1"/>
  <c r="BM144" i="1" s="1"/>
  <c r="BN143" i="1"/>
  <c r="BM143" i="1" s="1"/>
  <c r="BN142" i="1"/>
  <c r="BM142" i="1" s="1"/>
  <c r="BN141" i="1"/>
  <c r="BM141" i="1" s="1"/>
  <c r="BN140" i="1"/>
  <c r="BM140" i="1" s="1"/>
  <c r="BN139" i="1"/>
  <c r="BM139" i="1" s="1"/>
  <c r="BN138" i="1"/>
  <c r="BM138" i="1" s="1"/>
  <c r="BN134" i="1"/>
  <c r="BM134" i="1" s="1"/>
  <c r="BN133" i="1"/>
  <c r="BM133" i="1" s="1"/>
  <c r="BN132" i="1"/>
  <c r="BM132" i="1" s="1"/>
  <c r="BN130" i="1"/>
  <c r="BM130" i="1" s="1"/>
  <c r="BN129" i="1"/>
  <c r="BM129" i="1" s="1"/>
  <c r="BN128" i="1"/>
  <c r="BM128" i="1" s="1"/>
  <c r="BN127" i="1"/>
  <c r="BM127" i="1" s="1"/>
  <c r="BN126" i="1"/>
  <c r="BM126" i="1" s="1"/>
  <c r="BN125" i="1"/>
  <c r="BM125" i="1" s="1"/>
  <c r="BN124" i="1"/>
  <c r="BM124" i="1" s="1"/>
  <c r="BN123" i="1"/>
  <c r="BM123" i="1" s="1"/>
  <c r="BN122" i="1"/>
  <c r="BM122" i="1" s="1"/>
  <c r="BN121" i="1"/>
  <c r="BM121" i="1" s="1"/>
  <c r="BN120" i="1"/>
  <c r="BM120" i="1" s="1"/>
  <c r="BN119" i="1"/>
  <c r="BM119" i="1" s="1"/>
  <c r="BN118" i="1"/>
  <c r="BM118" i="1" s="1"/>
  <c r="BN117" i="1"/>
  <c r="BM117" i="1" s="1"/>
  <c r="BN116" i="1"/>
  <c r="BM116" i="1" s="1"/>
  <c r="BN115" i="1"/>
  <c r="BM115" i="1" s="1"/>
  <c r="BN114" i="1"/>
  <c r="BM114" i="1" s="1"/>
  <c r="BN113" i="1"/>
  <c r="BM113" i="1" s="1"/>
  <c r="BN112" i="1"/>
  <c r="BM112" i="1" s="1"/>
  <c r="BN110" i="1"/>
  <c r="BM110" i="1" s="1"/>
  <c r="BN109" i="1"/>
  <c r="BM109" i="1" s="1"/>
  <c r="BN108" i="1"/>
  <c r="BM108" i="1" s="1"/>
  <c r="BN107" i="1"/>
  <c r="BM107" i="1" s="1"/>
  <c r="BN106" i="1"/>
  <c r="BM106" i="1" s="1"/>
  <c r="BN105" i="1"/>
  <c r="BM105" i="1" s="1"/>
  <c r="BN104" i="1"/>
  <c r="BM104" i="1" s="1"/>
  <c r="BN103" i="1"/>
  <c r="BM103" i="1" s="1"/>
  <c r="BN102" i="1"/>
  <c r="BM102" i="1" s="1"/>
  <c r="BN101" i="1"/>
  <c r="BM101" i="1" s="1"/>
  <c r="BN100" i="1"/>
  <c r="BM100" i="1" s="1"/>
  <c r="BN99" i="1"/>
  <c r="BM99" i="1" s="1"/>
  <c r="BN96" i="1"/>
  <c r="BM96" i="1" s="1"/>
  <c r="BN95" i="1"/>
  <c r="BM95" i="1" s="1"/>
  <c r="BN94" i="1"/>
  <c r="BM94" i="1" s="1"/>
  <c r="BN93" i="1"/>
  <c r="BM93" i="1" s="1"/>
  <c r="BN92" i="1"/>
  <c r="BM92" i="1" s="1"/>
  <c r="BN89" i="1"/>
  <c r="BM89" i="1" s="1"/>
  <c r="BN88" i="1"/>
  <c r="BM88" i="1" s="1"/>
  <c r="BN87" i="1"/>
  <c r="BM87" i="1" s="1"/>
  <c r="BN86" i="1"/>
  <c r="BM86" i="1" s="1"/>
  <c r="BN85" i="1"/>
  <c r="BM85" i="1" s="1"/>
  <c r="BN84" i="1"/>
  <c r="BM84" i="1" s="1"/>
  <c r="BN83" i="1"/>
  <c r="BM83" i="1" s="1"/>
  <c r="BN82" i="1"/>
  <c r="BM82" i="1" s="1"/>
  <c r="BN81" i="1"/>
  <c r="BM81" i="1" s="1"/>
  <c r="BN80" i="1"/>
  <c r="BM80" i="1" s="1"/>
  <c r="BN79" i="1"/>
  <c r="BM79" i="1" s="1"/>
  <c r="BN78" i="1"/>
  <c r="BM78" i="1" s="1"/>
  <c r="BN77" i="1"/>
  <c r="BM77" i="1" s="1"/>
  <c r="BN76" i="1"/>
  <c r="BM76" i="1" s="1"/>
  <c r="BN75" i="1"/>
  <c r="BM75" i="1" s="1"/>
  <c r="BN72" i="1"/>
  <c r="BM72" i="1" s="1"/>
  <c r="BN71" i="1"/>
  <c r="BM71" i="1" s="1"/>
  <c r="BN69" i="1"/>
  <c r="BM69" i="1" s="1"/>
  <c r="BN68" i="1"/>
  <c r="BM68" i="1" s="1"/>
  <c r="BN67" i="1"/>
  <c r="BM67" i="1" s="1"/>
  <c r="BN66" i="1"/>
  <c r="BM66" i="1" s="1"/>
  <c r="BN65" i="1"/>
  <c r="BM65" i="1" s="1"/>
  <c r="BN61" i="1"/>
  <c r="BM61" i="1" s="1"/>
  <c r="BN60" i="1"/>
  <c r="BM60" i="1" s="1"/>
  <c r="BN59" i="1"/>
  <c r="BM59" i="1" s="1"/>
  <c r="BN58" i="1"/>
  <c r="BM58" i="1" s="1"/>
  <c r="BN56" i="1"/>
  <c r="BM56" i="1" s="1"/>
  <c r="BN55" i="1"/>
  <c r="BM55" i="1" s="1"/>
  <c r="BN54" i="1"/>
  <c r="BM54" i="1" s="1"/>
  <c r="BN53" i="1"/>
  <c r="BM53" i="1" s="1"/>
  <c r="BN52" i="1"/>
  <c r="BM52" i="1" s="1"/>
  <c r="BN51" i="1"/>
  <c r="BM51" i="1" s="1"/>
  <c r="BN46" i="1"/>
  <c r="BM46" i="1" s="1"/>
  <c r="BN45" i="1"/>
  <c r="BM45" i="1" s="1"/>
  <c r="BN44" i="1"/>
  <c r="BM44" i="1" s="1"/>
  <c r="BN43" i="1"/>
  <c r="BM43" i="1" s="1"/>
  <c r="BN42" i="1"/>
  <c r="BM42" i="1" s="1"/>
  <c r="BN41" i="1"/>
  <c r="BM41" i="1" s="1"/>
  <c r="BN40" i="1"/>
  <c r="BM40" i="1" s="1"/>
  <c r="BN39" i="1"/>
  <c r="BM39" i="1" s="1"/>
  <c r="BN38" i="1"/>
  <c r="BM38" i="1" s="1"/>
  <c r="BN37" i="1"/>
  <c r="BM37" i="1" s="1"/>
  <c r="BN36" i="1"/>
  <c r="BM36" i="1" s="1"/>
  <c r="BN35" i="1"/>
  <c r="BM35" i="1" s="1"/>
  <c r="BN32" i="1"/>
  <c r="BM32" i="1" s="1"/>
  <c r="BN31" i="1"/>
  <c r="BM31" i="1" s="1"/>
  <c r="BN30" i="1"/>
  <c r="BM30" i="1" s="1"/>
  <c r="BN29" i="1"/>
  <c r="BM29" i="1" s="1"/>
  <c r="BN28" i="1"/>
  <c r="BM28" i="1" s="1"/>
  <c r="BN27" i="1"/>
  <c r="BM27" i="1" s="1"/>
  <c r="BN23" i="1"/>
  <c r="BM23" i="1" s="1"/>
  <c r="BN22" i="1"/>
  <c r="BM22" i="1" s="1"/>
  <c r="BN21" i="1"/>
  <c r="BM21" i="1" s="1"/>
  <c r="BN20" i="1"/>
  <c r="BM20" i="1" s="1"/>
  <c r="BN19" i="1"/>
  <c r="BM19" i="1" s="1"/>
  <c r="BN18" i="1"/>
  <c r="BM18" i="1" s="1"/>
  <c r="BN17" i="1"/>
  <c r="BM17" i="1" s="1"/>
  <c r="BN16" i="1"/>
  <c r="BM16" i="1" s="1"/>
  <c r="BN15" i="1"/>
  <c r="BM15" i="1" s="1"/>
  <c r="BN14" i="1"/>
  <c r="BM14" i="1" s="1"/>
  <c r="BN13" i="1"/>
  <c r="BN12" i="1"/>
  <c r="BM12" i="1" s="1"/>
  <c r="BD265" i="1"/>
  <c r="BC265" i="1" s="1"/>
  <c r="BD264" i="1"/>
  <c r="BC264" i="1" s="1"/>
  <c r="BD263" i="1"/>
  <c r="BC263" i="1" s="1"/>
  <c r="BD262" i="1"/>
  <c r="BC262" i="1" s="1"/>
  <c r="BD261" i="1"/>
  <c r="BC261" i="1" s="1"/>
  <c r="BD260" i="1"/>
  <c r="BC260" i="1" s="1"/>
  <c r="BD259" i="1"/>
  <c r="BC259" i="1" s="1"/>
  <c r="BD258" i="1"/>
  <c r="BC258" i="1" s="1"/>
  <c r="BD257" i="1"/>
  <c r="BC257" i="1" s="1"/>
  <c r="BD256" i="1"/>
  <c r="BC256" i="1" s="1"/>
  <c r="BD255" i="1"/>
  <c r="BC255" i="1" s="1"/>
  <c r="BD254" i="1"/>
  <c r="BC254" i="1" s="1"/>
  <c r="BD253" i="1"/>
  <c r="BC253" i="1" s="1"/>
  <c r="BD252" i="1"/>
  <c r="BC252" i="1" s="1"/>
  <c r="BD251" i="1"/>
  <c r="BC251" i="1" s="1"/>
  <c r="BD250" i="1"/>
  <c r="BC250" i="1" s="1"/>
  <c r="BD249" i="1"/>
  <c r="BC249" i="1" s="1"/>
  <c r="BD248" i="1"/>
  <c r="BC248" i="1" s="1"/>
  <c r="BD247" i="1"/>
  <c r="BC247" i="1" s="1"/>
  <c r="BD246" i="1"/>
  <c r="BC246" i="1" s="1"/>
  <c r="BD245" i="1"/>
  <c r="BC245" i="1" s="1"/>
  <c r="BD244" i="1"/>
  <c r="BC244" i="1" s="1"/>
  <c r="BD243" i="1"/>
  <c r="BC243" i="1" s="1"/>
  <c r="BD242" i="1"/>
  <c r="BC242" i="1" s="1"/>
  <c r="BD241" i="1"/>
  <c r="BC241" i="1" s="1"/>
  <c r="BD238" i="1"/>
  <c r="BC238" i="1" s="1"/>
  <c r="BD237" i="1"/>
  <c r="BC237" i="1" s="1"/>
  <c r="BD236" i="1"/>
  <c r="BC236" i="1" s="1"/>
  <c r="BD235" i="1"/>
  <c r="BC235" i="1" s="1"/>
  <c r="BD234" i="1"/>
  <c r="BC234" i="1" s="1"/>
  <c r="BD233" i="1"/>
  <c r="BC233" i="1" s="1"/>
  <c r="BD232" i="1"/>
  <c r="BC232" i="1" s="1"/>
  <c r="BD231" i="1"/>
  <c r="BC231" i="1" s="1"/>
  <c r="BD230" i="1"/>
  <c r="BC230" i="1" s="1"/>
  <c r="BD229" i="1"/>
  <c r="BC229" i="1" s="1"/>
  <c r="BD228" i="1"/>
  <c r="BC228" i="1" s="1"/>
  <c r="BD227" i="1"/>
  <c r="BC227" i="1" s="1"/>
  <c r="BD226" i="1"/>
  <c r="BC226" i="1" s="1"/>
  <c r="BD225" i="1"/>
  <c r="BC225" i="1" s="1"/>
  <c r="BD224" i="1"/>
  <c r="BC224" i="1" s="1"/>
  <c r="BD223" i="1"/>
  <c r="BC223" i="1" s="1"/>
  <c r="BD222" i="1"/>
  <c r="BC222" i="1" s="1"/>
  <c r="BD221" i="1"/>
  <c r="BC221" i="1" s="1"/>
  <c r="BD220" i="1"/>
  <c r="BC220" i="1" s="1"/>
  <c r="BD219" i="1"/>
  <c r="BC219" i="1" s="1"/>
  <c r="BD218" i="1"/>
  <c r="BC218" i="1" s="1"/>
  <c r="BD217" i="1"/>
  <c r="BC217" i="1" s="1"/>
  <c r="BD216" i="1"/>
  <c r="BC216" i="1" s="1"/>
  <c r="BD215" i="1"/>
  <c r="BC215" i="1" s="1"/>
  <c r="BD214" i="1"/>
  <c r="BC214" i="1" s="1"/>
  <c r="BD213" i="1"/>
  <c r="BC213" i="1" s="1"/>
  <c r="BD212" i="1"/>
  <c r="BC212" i="1" s="1"/>
  <c r="BD211" i="1"/>
  <c r="BC211" i="1" s="1"/>
  <c r="BD210" i="1"/>
  <c r="BC210" i="1" s="1"/>
  <c r="BD209" i="1"/>
  <c r="BC209" i="1" s="1"/>
  <c r="BD208" i="1"/>
  <c r="BC208" i="1" s="1"/>
  <c r="BD207" i="1"/>
  <c r="BC207" i="1" s="1"/>
  <c r="BD206" i="1"/>
  <c r="BC206" i="1" s="1"/>
  <c r="BD205" i="1"/>
  <c r="BC205" i="1" s="1"/>
  <c r="BD204" i="1"/>
  <c r="BC204" i="1" s="1"/>
  <c r="BD203" i="1"/>
  <c r="BC203" i="1" s="1"/>
  <c r="BD202" i="1"/>
  <c r="BC202" i="1" s="1"/>
  <c r="BD201" i="1"/>
  <c r="BC201" i="1" s="1"/>
  <c r="BD200" i="1"/>
  <c r="BC200" i="1" s="1"/>
  <c r="BD199" i="1"/>
  <c r="BC199" i="1" s="1"/>
  <c r="BD198" i="1"/>
  <c r="BC198" i="1" s="1"/>
  <c r="BD197" i="1"/>
  <c r="BC197" i="1" s="1"/>
  <c r="BD196" i="1"/>
  <c r="BC196" i="1" s="1"/>
  <c r="BD195" i="1"/>
  <c r="BC195" i="1" s="1"/>
  <c r="BD194" i="1"/>
  <c r="BC194" i="1" s="1"/>
  <c r="BD193" i="1"/>
  <c r="BC193" i="1" s="1"/>
  <c r="BD192" i="1"/>
  <c r="BC192" i="1" s="1"/>
  <c r="BD190" i="1"/>
  <c r="BC190" i="1" s="1"/>
  <c r="BD188" i="1"/>
  <c r="BC188" i="1" s="1"/>
  <c r="BD187" i="1"/>
  <c r="BC187" i="1" s="1"/>
  <c r="BD186" i="1"/>
  <c r="BC186" i="1" s="1"/>
  <c r="BD185" i="1"/>
  <c r="BC185" i="1" s="1"/>
  <c r="BD184" i="1"/>
  <c r="BC184" i="1" s="1"/>
  <c r="BD183" i="1"/>
  <c r="BC183" i="1" s="1"/>
  <c r="BD182" i="1"/>
  <c r="BC182" i="1" s="1"/>
  <c r="BD181" i="1"/>
  <c r="BC181" i="1" s="1"/>
  <c r="BD179" i="1"/>
  <c r="BC179" i="1" s="1"/>
  <c r="BD178" i="1"/>
  <c r="BC178" i="1" s="1"/>
  <c r="BD177" i="1"/>
  <c r="BC177" i="1" s="1"/>
  <c r="BD176" i="1"/>
  <c r="BC176" i="1" s="1"/>
  <c r="BD175" i="1"/>
  <c r="BC175" i="1" s="1"/>
  <c r="BD174" i="1"/>
  <c r="BC174" i="1" s="1"/>
  <c r="BD173" i="1"/>
  <c r="BC173" i="1" s="1"/>
  <c r="BD172" i="1"/>
  <c r="BC172" i="1" s="1"/>
  <c r="BD171" i="1"/>
  <c r="BC171" i="1" s="1"/>
  <c r="BD170" i="1"/>
  <c r="BC170" i="1" s="1"/>
  <c r="BD169" i="1"/>
  <c r="BC169" i="1" s="1"/>
  <c r="BD165" i="1"/>
  <c r="BC165" i="1" s="1"/>
  <c r="BD164" i="1"/>
  <c r="BC164" i="1" s="1"/>
  <c r="BD163" i="1"/>
  <c r="BC163" i="1" s="1"/>
  <c r="BD162" i="1"/>
  <c r="BC162" i="1" s="1"/>
  <c r="BD161" i="1"/>
  <c r="BC161" i="1" s="1"/>
  <c r="BD159" i="1"/>
  <c r="BC159" i="1" s="1"/>
  <c r="BD158" i="1"/>
  <c r="BC158" i="1" s="1"/>
  <c r="BD157" i="1"/>
  <c r="BC157" i="1" s="1"/>
  <c r="BD156" i="1"/>
  <c r="BC156" i="1" s="1"/>
  <c r="BD150" i="1"/>
  <c r="BC150" i="1" s="1"/>
  <c r="BD149" i="1"/>
  <c r="BC149" i="1" s="1"/>
  <c r="BD148" i="1"/>
  <c r="BC148" i="1" s="1"/>
  <c r="BD147" i="1"/>
  <c r="BC147" i="1" s="1"/>
  <c r="BD146" i="1"/>
  <c r="BC146" i="1" s="1"/>
  <c r="BD145" i="1"/>
  <c r="BC145" i="1" s="1"/>
  <c r="BD144" i="1"/>
  <c r="BC144" i="1" s="1"/>
  <c r="BD143" i="1"/>
  <c r="BC143" i="1" s="1"/>
  <c r="BD142" i="1"/>
  <c r="BC142" i="1" s="1"/>
  <c r="BD141" i="1"/>
  <c r="BC141" i="1" s="1"/>
  <c r="BD140" i="1"/>
  <c r="BC140" i="1" s="1"/>
  <c r="BD139" i="1"/>
  <c r="BC139" i="1" s="1"/>
  <c r="BD138" i="1"/>
  <c r="BC138" i="1" s="1"/>
  <c r="BD134" i="1"/>
  <c r="BC134" i="1" s="1"/>
  <c r="BD133" i="1"/>
  <c r="BC133" i="1" s="1"/>
  <c r="BD132" i="1"/>
  <c r="BC132" i="1" s="1"/>
  <c r="BD130" i="1"/>
  <c r="BC130" i="1" s="1"/>
  <c r="BD129" i="1"/>
  <c r="BC129" i="1" s="1"/>
  <c r="BD128" i="1"/>
  <c r="BC128" i="1" s="1"/>
  <c r="BD127" i="1"/>
  <c r="BC127" i="1" s="1"/>
  <c r="BD126" i="1"/>
  <c r="BC126" i="1" s="1"/>
  <c r="BD125" i="1"/>
  <c r="BC125" i="1" s="1"/>
  <c r="BD124" i="1"/>
  <c r="BC124" i="1" s="1"/>
  <c r="BD123" i="1"/>
  <c r="BC123" i="1" s="1"/>
  <c r="BD122" i="1"/>
  <c r="BC122" i="1" s="1"/>
  <c r="BD121" i="1"/>
  <c r="BC121" i="1" s="1"/>
  <c r="BD120" i="1"/>
  <c r="BC120" i="1" s="1"/>
  <c r="BD119" i="1"/>
  <c r="BC119" i="1" s="1"/>
  <c r="BD118" i="1"/>
  <c r="BC118" i="1" s="1"/>
  <c r="BD117" i="1"/>
  <c r="BC117" i="1" s="1"/>
  <c r="BD116" i="1"/>
  <c r="BC116" i="1" s="1"/>
  <c r="BD115" i="1"/>
  <c r="BC115" i="1" s="1"/>
  <c r="BD114" i="1"/>
  <c r="BC114" i="1" s="1"/>
  <c r="BD113" i="1"/>
  <c r="BC113" i="1" s="1"/>
  <c r="BD112" i="1"/>
  <c r="BC112" i="1" s="1"/>
  <c r="BD110" i="1"/>
  <c r="BC110" i="1" s="1"/>
  <c r="BD109" i="1"/>
  <c r="BC109" i="1" s="1"/>
  <c r="BD108" i="1"/>
  <c r="BC108" i="1" s="1"/>
  <c r="BD107" i="1"/>
  <c r="BC107" i="1" s="1"/>
  <c r="BD106" i="1"/>
  <c r="BC106" i="1" s="1"/>
  <c r="BD105" i="1"/>
  <c r="BC105" i="1" s="1"/>
  <c r="BD104" i="1"/>
  <c r="BC104" i="1" s="1"/>
  <c r="BD103" i="1"/>
  <c r="BC103" i="1" s="1"/>
  <c r="BD102" i="1"/>
  <c r="BC102" i="1" s="1"/>
  <c r="BD101" i="1"/>
  <c r="BC101" i="1" s="1"/>
  <c r="BD100" i="1"/>
  <c r="BC100" i="1" s="1"/>
  <c r="BD99" i="1"/>
  <c r="BC99" i="1" s="1"/>
  <c r="BD96" i="1"/>
  <c r="BC96" i="1" s="1"/>
  <c r="BD95" i="1"/>
  <c r="BC95" i="1" s="1"/>
  <c r="BD94" i="1"/>
  <c r="BC94" i="1" s="1"/>
  <c r="BD93" i="1"/>
  <c r="BC93" i="1" s="1"/>
  <c r="BD92" i="1"/>
  <c r="BC92" i="1" s="1"/>
  <c r="BD89" i="1"/>
  <c r="BC89" i="1" s="1"/>
  <c r="BD88" i="1"/>
  <c r="BC88" i="1" s="1"/>
  <c r="BD87" i="1"/>
  <c r="BC87" i="1" s="1"/>
  <c r="BD86" i="1"/>
  <c r="BC86" i="1" s="1"/>
  <c r="BD85" i="1"/>
  <c r="BC85" i="1" s="1"/>
  <c r="BD84" i="1"/>
  <c r="BC84" i="1" s="1"/>
  <c r="BD83" i="1"/>
  <c r="BC83" i="1" s="1"/>
  <c r="BD82" i="1"/>
  <c r="BC82" i="1" s="1"/>
  <c r="BD81" i="1"/>
  <c r="BC81" i="1" s="1"/>
  <c r="BD80" i="1"/>
  <c r="BC80" i="1" s="1"/>
  <c r="BD79" i="1"/>
  <c r="BC79" i="1" s="1"/>
  <c r="BD78" i="1"/>
  <c r="BC78" i="1" s="1"/>
  <c r="BD77" i="1"/>
  <c r="BC77" i="1" s="1"/>
  <c r="BD76" i="1"/>
  <c r="BC76" i="1" s="1"/>
  <c r="BD75" i="1"/>
  <c r="BC75" i="1" s="1"/>
  <c r="BD72" i="1"/>
  <c r="BC72" i="1" s="1"/>
  <c r="BD71" i="1"/>
  <c r="BC71" i="1" s="1"/>
  <c r="BD69" i="1"/>
  <c r="BC69" i="1" s="1"/>
  <c r="BD68" i="1"/>
  <c r="BC68" i="1" s="1"/>
  <c r="BD67" i="1"/>
  <c r="BC67" i="1" s="1"/>
  <c r="BD66" i="1"/>
  <c r="BC66" i="1" s="1"/>
  <c r="BD65" i="1"/>
  <c r="BC65" i="1" s="1"/>
  <c r="BD61" i="1"/>
  <c r="BC61" i="1" s="1"/>
  <c r="BD60" i="1"/>
  <c r="BC60" i="1" s="1"/>
  <c r="BD59" i="1"/>
  <c r="BC59" i="1" s="1"/>
  <c r="BD58" i="1"/>
  <c r="BC58" i="1" s="1"/>
  <c r="BD56" i="1"/>
  <c r="BC56" i="1" s="1"/>
  <c r="BD55" i="1"/>
  <c r="BC55" i="1" s="1"/>
  <c r="BD54" i="1"/>
  <c r="BC54" i="1" s="1"/>
  <c r="BD53" i="1"/>
  <c r="BC53" i="1" s="1"/>
  <c r="BD52" i="1"/>
  <c r="BC52" i="1" s="1"/>
  <c r="BD51" i="1"/>
  <c r="BC51" i="1" s="1"/>
  <c r="BD46" i="1"/>
  <c r="BC46" i="1" s="1"/>
  <c r="BD45" i="1"/>
  <c r="BC45" i="1" s="1"/>
  <c r="BD44" i="1"/>
  <c r="BC44" i="1" s="1"/>
  <c r="BD43" i="1"/>
  <c r="BC43" i="1" s="1"/>
  <c r="BD42" i="1"/>
  <c r="BC42" i="1" s="1"/>
  <c r="BD41" i="1"/>
  <c r="BC41" i="1" s="1"/>
  <c r="BD40" i="1"/>
  <c r="BC40" i="1" s="1"/>
  <c r="BD39" i="1"/>
  <c r="BC39" i="1" s="1"/>
  <c r="BD38" i="1"/>
  <c r="BC38" i="1" s="1"/>
  <c r="BD37" i="1"/>
  <c r="BC37" i="1" s="1"/>
  <c r="BD36" i="1"/>
  <c r="BC36" i="1" s="1"/>
  <c r="BD35" i="1"/>
  <c r="BC35" i="1" s="1"/>
  <c r="BD32" i="1"/>
  <c r="BC32" i="1" s="1"/>
  <c r="BD31" i="1"/>
  <c r="BC31" i="1" s="1"/>
  <c r="BD30" i="1"/>
  <c r="BC30" i="1" s="1"/>
  <c r="BD29" i="1"/>
  <c r="BC29" i="1" s="1"/>
  <c r="BD28" i="1"/>
  <c r="BC28" i="1" s="1"/>
  <c r="BD27" i="1"/>
  <c r="BC27" i="1" s="1"/>
  <c r="BD23" i="1"/>
  <c r="BC23" i="1" s="1"/>
  <c r="BD22" i="1"/>
  <c r="BC22" i="1" s="1"/>
  <c r="BD21" i="1"/>
  <c r="BC21" i="1" s="1"/>
  <c r="BD20" i="1"/>
  <c r="BC20" i="1" s="1"/>
  <c r="BD19" i="1"/>
  <c r="BC19" i="1" s="1"/>
  <c r="BD18" i="1"/>
  <c r="BC18" i="1" s="1"/>
  <c r="BD17" i="1"/>
  <c r="BC17" i="1" s="1"/>
  <c r="BD16" i="1"/>
  <c r="BC16" i="1" s="1"/>
  <c r="BD15" i="1"/>
  <c r="BC15" i="1" s="1"/>
  <c r="BD14" i="1"/>
  <c r="BC14" i="1" s="1"/>
  <c r="BD13" i="1"/>
  <c r="BC13" i="1" s="1"/>
  <c r="BD12" i="1"/>
  <c r="AQ268" i="1"/>
  <c r="AP268" i="1" s="1"/>
  <c r="AP267" i="1" s="1"/>
  <c r="AQ265" i="1"/>
  <c r="AP265" i="1" s="1"/>
  <c r="AQ264" i="1"/>
  <c r="AP264" i="1" s="1"/>
  <c r="AQ263" i="1"/>
  <c r="AP263" i="1" s="1"/>
  <c r="AQ262" i="1"/>
  <c r="AP262" i="1" s="1"/>
  <c r="AQ261" i="1"/>
  <c r="AP261" i="1" s="1"/>
  <c r="AQ260" i="1"/>
  <c r="AP260" i="1" s="1"/>
  <c r="AQ259" i="1"/>
  <c r="AP259" i="1" s="1"/>
  <c r="AQ258" i="1"/>
  <c r="AP258" i="1" s="1"/>
  <c r="AQ257" i="1"/>
  <c r="AP257" i="1" s="1"/>
  <c r="AQ256" i="1"/>
  <c r="AP256" i="1" s="1"/>
  <c r="AQ255" i="1"/>
  <c r="AP255" i="1" s="1"/>
  <c r="AQ254" i="1"/>
  <c r="AP254" i="1" s="1"/>
  <c r="AQ253" i="1"/>
  <c r="AP253" i="1" s="1"/>
  <c r="AQ252" i="1"/>
  <c r="AP252" i="1" s="1"/>
  <c r="AQ251" i="1"/>
  <c r="AP251" i="1" s="1"/>
  <c r="AQ250" i="1"/>
  <c r="AP250" i="1" s="1"/>
  <c r="AQ249" i="1"/>
  <c r="AP249" i="1" s="1"/>
  <c r="AQ248" i="1"/>
  <c r="AP248" i="1" s="1"/>
  <c r="AQ247" i="1"/>
  <c r="AP247" i="1" s="1"/>
  <c r="AQ246" i="1"/>
  <c r="AP246" i="1" s="1"/>
  <c r="AQ245" i="1"/>
  <c r="AP245" i="1" s="1"/>
  <c r="AQ244" i="1"/>
  <c r="AP244" i="1" s="1"/>
  <c r="AQ243" i="1"/>
  <c r="AP243" i="1" s="1"/>
  <c r="AQ242" i="1"/>
  <c r="AP242" i="1" s="1"/>
  <c r="AQ241" i="1"/>
  <c r="AP241" i="1" s="1"/>
  <c r="AQ238" i="1"/>
  <c r="AP238" i="1" s="1"/>
  <c r="AQ237" i="1"/>
  <c r="AP237" i="1" s="1"/>
  <c r="AQ236" i="1"/>
  <c r="AP236" i="1" s="1"/>
  <c r="AQ235" i="1"/>
  <c r="AP235" i="1" s="1"/>
  <c r="AQ234" i="1"/>
  <c r="AP234" i="1" s="1"/>
  <c r="AQ233" i="1"/>
  <c r="AP233" i="1" s="1"/>
  <c r="AQ232" i="1"/>
  <c r="AP232" i="1" s="1"/>
  <c r="AQ231" i="1"/>
  <c r="AP231" i="1" s="1"/>
  <c r="AQ230" i="1"/>
  <c r="AP230" i="1" s="1"/>
  <c r="AQ229" i="1"/>
  <c r="AP229" i="1" s="1"/>
  <c r="AQ228" i="1"/>
  <c r="AP228" i="1" s="1"/>
  <c r="AQ227" i="1"/>
  <c r="AP227" i="1" s="1"/>
  <c r="AQ226" i="1"/>
  <c r="AP226" i="1" s="1"/>
  <c r="AQ225" i="1"/>
  <c r="AP225" i="1" s="1"/>
  <c r="AQ224" i="1"/>
  <c r="AP224" i="1" s="1"/>
  <c r="AQ223" i="1"/>
  <c r="AP223" i="1" s="1"/>
  <c r="AQ222" i="1"/>
  <c r="AP222" i="1" s="1"/>
  <c r="AQ221" i="1"/>
  <c r="AP221" i="1" s="1"/>
  <c r="AQ220" i="1"/>
  <c r="AP220" i="1" s="1"/>
  <c r="AQ219" i="1"/>
  <c r="AP219" i="1" s="1"/>
  <c r="AQ218" i="1"/>
  <c r="AP218" i="1" s="1"/>
  <c r="AQ217" i="1"/>
  <c r="AP217" i="1" s="1"/>
  <c r="AQ216" i="1"/>
  <c r="AP216" i="1" s="1"/>
  <c r="AQ215" i="1"/>
  <c r="AP215" i="1" s="1"/>
  <c r="AQ214" i="1"/>
  <c r="AP214" i="1" s="1"/>
  <c r="AQ213" i="1"/>
  <c r="AP213" i="1" s="1"/>
  <c r="AQ212" i="1"/>
  <c r="AP212" i="1" s="1"/>
  <c r="AQ211" i="1"/>
  <c r="AP211" i="1" s="1"/>
  <c r="AQ210" i="1"/>
  <c r="AP210" i="1" s="1"/>
  <c r="AQ209" i="1"/>
  <c r="AP209" i="1" s="1"/>
  <c r="AQ208" i="1"/>
  <c r="AP208" i="1" s="1"/>
  <c r="AQ207" i="1"/>
  <c r="AP207" i="1" s="1"/>
  <c r="AQ206" i="1"/>
  <c r="AP206" i="1" s="1"/>
  <c r="AQ205" i="1"/>
  <c r="AP205" i="1" s="1"/>
  <c r="AQ204" i="1"/>
  <c r="AP204" i="1" s="1"/>
  <c r="AQ203" i="1"/>
  <c r="AP203" i="1" s="1"/>
  <c r="AQ202" i="1"/>
  <c r="AP202" i="1" s="1"/>
  <c r="AQ201" i="1"/>
  <c r="AP201" i="1" s="1"/>
  <c r="AQ200" i="1"/>
  <c r="AP200" i="1" s="1"/>
  <c r="AQ199" i="1"/>
  <c r="AP199" i="1" s="1"/>
  <c r="AQ198" i="1"/>
  <c r="AP198" i="1" s="1"/>
  <c r="AQ197" i="1"/>
  <c r="AP197" i="1" s="1"/>
  <c r="AQ196" i="1"/>
  <c r="AP196" i="1" s="1"/>
  <c r="AQ195" i="1"/>
  <c r="AP195" i="1" s="1"/>
  <c r="AQ194" i="1"/>
  <c r="AP194" i="1" s="1"/>
  <c r="AQ193" i="1"/>
  <c r="AP193" i="1" s="1"/>
  <c r="AQ192" i="1"/>
  <c r="AP192" i="1" s="1"/>
  <c r="AQ190" i="1"/>
  <c r="AP190" i="1" s="1"/>
  <c r="AQ188" i="1"/>
  <c r="AP188" i="1" s="1"/>
  <c r="AQ187" i="1"/>
  <c r="AP187" i="1" s="1"/>
  <c r="AQ186" i="1"/>
  <c r="AP186" i="1" s="1"/>
  <c r="AQ185" i="1"/>
  <c r="AP185" i="1" s="1"/>
  <c r="AQ184" i="1"/>
  <c r="AP184" i="1" s="1"/>
  <c r="AQ183" i="1"/>
  <c r="AP183" i="1" s="1"/>
  <c r="AQ182" i="1"/>
  <c r="AP182" i="1" s="1"/>
  <c r="AQ181" i="1"/>
  <c r="AP181" i="1" s="1"/>
  <c r="AQ179" i="1"/>
  <c r="AP179" i="1" s="1"/>
  <c r="AQ178" i="1"/>
  <c r="AP178" i="1" s="1"/>
  <c r="AQ177" i="1"/>
  <c r="AP177" i="1" s="1"/>
  <c r="AQ176" i="1"/>
  <c r="AP176" i="1" s="1"/>
  <c r="AQ175" i="1"/>
  <c r="AP175" i="1" s="1"/>
  <c r="AQ174" i="1"/>
  <c r="AP174" i="1" s="1"/>
  <c r="AQ173" i="1"/>
  <c r="AP173" i="1" s="1"/>
  <c r="AQ172" i="1"/>
  <c r="AP172" i="1" s="1"/>
  <c r="AQ171" i="1"/>
  <c r="AP171" i="1" s="1"/>
  <c r="AQ170" i="1"/>
  <c r="AP170" i="1" s="1"/>
  <c r="AQ169" i="1"/>
  <c r="AP169" i="1" s="1"/>
  <c r="AQ165" i="1"/>
  <c r="AP165" i="1" s="1"/>
  <c r="AQ164" i="1"/>
  <c r="AP164" i="1" s="1"/>
  <c r="AQ163" i="1"/>
  <c r="AP163" i="1" s="1"/>
  <c r="AQ162" i="1"/>
  <c r="AP162" i="1" s="1"/>
  <c r="AQ161" i="1"/>
  <c r="AP161" i="1" s="1"/>
  <c r="AQ159" i="1"/>
  <c r="AP159" i="1" s="1"/>
  <c r="AQ158" i="1"/>
  <c r="AP158" i="1" s="1"/>
  <c r="AQ157" i="1"/>
  <c r="AP157" i="1" s="1"/>
  <c r="AQ156" i="1"/>
  <c r="AP156" i="1" s="1"/>
  <c r="AQ150" i="1"/>
  <c r="AP150" i="1" s="1"/>
  <c r="AQ149" i="1"/>
  <c r="AP149" i="1" s="1"/>
  <c r="AQ148" i="1"/>
  <c r="AP148" i="1" s="1"/>
  <c r="AQ147" i="1"/>
  <c r="AP147" i="1" s="1"/>
  <c r="AQ146" i="1"/>
  <c r="AP146" i="1" s="1"/>
  <c r="AQ145" i="1"/>
  <c r="AP145" i="1" s="1"/>
  <c r="AQ144" i="1"/>
  <c r="AP144" i="1" s="1"/>
  <c r="AQ143" i="1"/>
  <c r="AP143" i="1" s="1"/>
  <c r="AQ142" i="1"/>
  <c r="AP142" i="1" s="1"/>
  <c r="AQ141" i="1"/>
  <c r="AP141" i="1" s="1"/>
  <c r="AQ140" i="1"/>
  <c r="AP140" i="1" s="1"/>
  <c r="AQ139" i="1"/>
  <c r="AP139" i="1" s="1"/>
  <c r="AQ138" i="1"/>
  <c r="AP138" i="1" s="1"/>
  <c r="AQ134" i="1"/>
  <c r="AP134" i="1" s="1"/>
  <c r="AQ133" i="1"/>
  <c r="AP133" i="1" s="1"/>
  <c r="AQ132" i="1"/>
  <c r="AP132" i="1" s="1"/>
  <c r="AQ130" i="1"/>
  <c r="AP130" i="1" s="1"/>
  <c r="AQ129" i="1"/>
  <c r="AP129" i="1" s="1"/>
  <c r="AQ128" i="1"/>
  <c r="AP128" i="1" s="1"/>
  <c r="AQ127" i="1"/>
  <c r="AP127" i="1" s="1"/>
  <c r="AQ126" i="1"/>
  <c r="AP126" i="1" s="1"/>
  <c r="AQ125" i="1"/>
  <c r="AP125" i="1" s="1"/>
  <c r="AQ124" i="1"/>
  <c r="AP124" i="1" s="1"/>
  <c r="AQ123" i="1"/>
  <c r="AP123" i="1" s="1"/>
  <c r="AQ122" i="1"/>
  <c r="AP122" i="1" s="1"/>
  <c r="AQ121" i="1"/>
  <c r="AP121" i="1" s="1"/>
  <c r="AQ120" i="1"/>
  <c r="AP120" i="1" s="1"/>
  <c r="AQ119" i="1"/>
  <c r="AP119" i="1" s="1"/>
  <c r="AQ118" i="1"/>
  <c r="AP118" i="1" s="1"/>
  <c r="AQ117" i="1"/>
  <c r="AP117" i="1" s="1"/>
  <c r="AQ116" i="1"/>
  <c r="AP116" i="1" s="1"/>
  <c r="AQ115" i="1"/>
  <c r="AP115" i="1" s="1"/>
  <c r="AQ114" i="1"/>
  <c r="AP114" i="1" s="1"/>
  <c r="AQ113" i="1"/>
  <c r="AP113" i="1" s="1"/>
  <c r="AQ112" i="1"/>
  <c r="AP112" i="1" s="1"/>
  <c r="AQ110" i="1"/>
  <c r="AP110" i="1" s="1"/>
  <c r="AQ109" i="1"/>
  <c r="AP109" i="1" s="1"/>
  <c r="AQ108" i="1"/>
  <c r="AP108" i="1" s="1"/>
  <c r="AQ107" i="1"/>
  <c r="AP107" i="1" s="1"/>
  <c r="AQ106" i="1"/>
  <c r="AP106" i="1" s="1"/>
  <c r="AQ105" i="1"/>
  <c r="AP105" i="1" s="1"/>
  <c r="AQ104" i="1"/>
  <c r="AP104" i="1" s="1"/>
  <c r="AQ103" i="1"/>
  <c r="AP103" i="1" s="1"/>
  <c r="AQ102" i="1"/>
  <c r="AP102" i="1" s="1"/>
  <c r="AQ101" i="1"/>
  <c r="AP101" i="1" s="1"/>
  <c r="AQ100" i="1"/>
  <c r="AP100" i="1" s="1"/>
  <c r="AQ99" i="1"/>
  <c r="AP99" i="1" s="1"/>
  <c r="AQ96" i="1"/>
  <c r="AP96" i="1" s="1"/>
  <c r="AQ95" i="1"/>
  <c r="AP95" i="1" s="1"/>
  <c r="AQ94" i="1"/>
  <c r="AP94" i="1" s="1"/>
  <c r="AQ93" i="1"/>
  <c r="AP93" i="1" s="1"/>
  <c r="AQ92" i="1"/>
  <c r="AP92" i="1" s="1"/>
  <c r="AQ89" i="1"/>
  <c r="AP89" i="1" s="1"/>
  <c r="AQ88" i="1"/>
  <c r="AP88" i="1" s="1"/>
  <c r="AQ87" i="1"/>
  <c r="AP87" i="1" s="1"/>
  <c r="AQ86" i="1"/>
  <c r="AP86" i="1" s="1"/>
  <c r="AQ85" i="1"/>
  <c r="AP85" i="1" s="1"/>
  <c r="AQ84" i="1"/>
  <c r="AP84" i="1" s="1"/>
  <c r="AQ83" i="1"/>
  <c r="AP83" i="1" s="1"/>
  <c r="AQ82" i="1"/>
  <c r="AP82" i="1" s="1"/>
  <c r="AQ81" i="1"/>
  <c r="AP81" i="1" s="1"/>
  <c r="AQ80" i="1"/>
  <c r="AP80" i="1" s="1"/>
  <c r="AQ79" i="1"/>
  <c r="AP79" i="1" s="1"/>
  <c r="AQ78" i="1"/>
  <c r="AP78" i="1" s="1"/>
  <c r="AQ77" i="1"/>
  <c r="AP77" i="1" s="1"/>
  <c r="AQ76" i="1"/>
  <c r="AP76" i="1" s="1"/>
  <c r="AQ75" i="1"/>
  <c r="AP75" i="1" s="1"/>
  <c r="AQ72" i="1"/>
  <c r="AP72" i="1" s="1"/>
  <c r="AQ71" i="1"/>
  <c r="AP71" i="1" s="1"/>
  <c r="AQ69" i="1"/>
  <c r="AP69" i="1" s="1"/>
  <c r="AQ68" i="1"/>
  <c r="AP68" i="1" s="1"/>
  <c r="AQ67" i="1"/>
  <c r="AP67" i="1" s="1"/>
  <c r="AQ66" i="1"/>
  <c r="AP66" i="1" s="1"/>
  <c r="AQ65" i="1"/>
  <c r="AP65" i="1" s="1"/>
  <c r="AQ61" i="1"/>
  <c r="AP61" i="1" s="1"/>
  <c r="AQ60" i="1"/>
  <c r="AP60" i="1" s="1"/>
  <c r="AQ59" i="1"/>
  <c r="AP59" i="1" s="1"/>
  <c r="AQ58" i="1"/>
  <c r="AP58" i="1" s="1"/>
  <c r="AQ56" i="1"/>
  <c r="AP56" i="1" s="1"/>
  <c r="AQ55" i="1"/>
  <c r="AP55" i="1" s="1"/>
  <c r="AQ54" i="1"/>
  <c r="AP54" i="1" s="1"/>
  <c r="AQ53" i="1"/>
  <c r="AP53" i="1" s="1"/>
  <c r="AQ52" i="1"/>
  <c r="AP52" i="1" s="1"/>
  <c r="AQ51" i="1"/>
  <c r="AP51" i="1" s="1"/>
  <c r="AQ46" i="1"/>
  <c r="AP46" i="1" s="1"/>
  <c r="AQ45" i="1"/>
  <c r="AP45" i="1" s="1"/>
  <c r="AQ44" i="1"/>
  <c r="AP44" i="1" s="1"/>
  <c r="AQ43" i="1"/>
  <c r="AP43" i="1" s="1"/>
  <c r="AQ42" i="1"/>
  <c r="AP42" i="1" s="1"/>
  <c r="AQ41" i="1"/>
  <c r="AP41" i="1" s="1"/>
  <c r="AQ40" i="1"/>
  <c r="AP40" i="1" s="1"/>
  <c r="AQ39" i="1"/>
  <c r="AP39" i="1" s="1"/>
  <c r="AQ38" i="1"/>
  <c r="AP38" i="1" s="1"/>
  <c r="AQ37" i="1"/>
  <c r="AP37" i="1" s="1"/>
  <c r="AQ36" i="1"/>
  <c r="AP36" i="1" s="1"/>
  <c r="AQ35" i="1"/>
  <c r="AP35" i="1" s="1"/>
  <c r="AQ32" i="1"/>
  <c r="AP32" i="1" s="1"/>
  <c r="AQ31" i="1"/>
  <c r="AP31" i="1" s="1"/>
  <c r="AQ30" i="1"/>
  <c r="AP30" i="1" s="1"/>
  <c r="AQ29" i="1"/>
  <c r="AP29" i="1" s="1"/>
  <c r="AQ28" i="1"/>
  <c r="AP28" i="1" s="1"/>
  <c r="AQ27" i="1"/>
  <c r="AP27" i="1" s="1"/>
  <c r="AQ23" i="1"/>
  <c r="AP23" i="1" s="1"/>
  <c r="AQ22" i="1"/>
  <c r="AP22" i="1" s="1"/>
  <c r="AQ21" i="1"/>
  <c r="AP21" i="1" s="1"/>
  <c r="AQ20" i="1"/>
  <c r="AP20" i="1" s="1"/>
  <c r="AQ19" i="1"/>
  <c r="AP19" i="1" s="1"/>
  <c r="AQ18" i="1"/>
  <c r="AP18" i="1" s="1"/>
  <c r="AQ17" i="1"/>
  <c r="AP17" i="1" s="1"/>
  <c r="AQ16" i="1"/>
  <c r="AP16" i="1" s="1"/>
  <c r="AQ15" i="1"/>
  <c r="AP15" i="1" s="1"/>
  <c r="AQ14" i="1"/>
  <c r="AP14" i="1" s="1"/>
  <c r="AQ13" i="1"/>
  <c r="AP13" i="1" s="1"/>
  <c r="AQ12" i="1"/>
  <c r="AP12" i="1" s="1"/>
  <c r="AE265" i="1"/>
  <c r="AD265" i="1" s="1"/>
  <c r="AE264" i="1"/>
  <c r="AD264" i="1" s="1"/>
  <c r="AE263" i="1"/>
  <c r="AD263" i="1" s="1"/>
  <c r="AE262" i="1"/>
  <c r="AD262" i="1" s="1"/>
  <c r="AE261" i="1"/>
  <c r="AD261" i="1" s="1"/>
  <c r="AE260" i="1"/>
  <c r="AD260" i="1" s="1"/>
  <c r="AE259" i="1"/>
  <c r="AD259" i="1" s="1"/>
  <c r="AE258" i="1"/>
  <c r="AD258" i="1" s="1"/>
  <c r="AE257" i="1"/>
  <c r="AD257" i="1" s="1"/>
  <c r="AE256" i="1"/>
  <c r="AD256" i="1" s="1"/>
  <c r="AE255" i="1"/>
  <c r="AD255" i="1" s="1"/>
  <c r="AE254" i="1"/>
  <c r="AD254" i="1" s="1"/>
  <c r="AE253" i="1"/>
  <c r="AD253" i="1" s="1"/>
  <c r="AE252" i="1"/>
  <c r="AD252" i="1" s="1"/>
  <c r="AE251" i="1"/>
  <c r="AD251" i="1" s="1"/>
  <c r="AE250" i="1"/>
  <c r="AD250" i="1" s="1"/>
  <c r="AE249" i="1"/>
  <c r="AD249" i="1" s="1"/>
  <c r="AE248" i="1"/>
  <c r="AD248" i="1" s="1"/>
  <c r="AE247" i="1"/>
  <c r="AD247" i="1" s="1"/>
  <c r="AE246" i="1"/>
  <c r="AD246" i="1" s="1"/>
  <c r="AE245" i="1"/>
  <c r="AD245" i="1" s="1"/>
  <c r="AE244" i="1"/>
  <c r="AD244" i="1" s="1"/>
  <c r="AE243" i="1"/>
  <c r="AD243" i="1" s="1"/>
  <c r="AE242" i="1"/>
  <c r="AD242" i="1" s="1"/>
  <c r="AE241" i="1"/>
  <c r="AD241" i="1" s="1"/>
  <c r="AE238" i="1"/>
  <c r="AD238" i="1" s="1"/>
  <c r="AE237" i="1"/>
  <c r="AD237" i="1" s="1"/>
  <c r="AE236" i="1"/>
  <c r="AD236" i="1" s="1"/>
  <c r="AE235" i="1"/>
  <c r="AD235" i="1" s="1"/>
  <c r="AE234" i="1"/>
  <c r="AD234" i="1" s="1"/>
  <c r="AE233" i="1"/>
  <c r="AD233" i="1" s="1"/>
  <c r="AE232" i="1"/>
  <c r="AD232" i="1" s="1"/>
  <c r="AE231" i="1"/>
  <c r="AD231" i="1" s="1"/>
  <c r="AE230" i="1"/>
  <c r="AD230" i="1" s="1"/>
  <c r="AE229" i="1"/>
  <c r="AD229" i="1" s="1"/>
  <c r="AE228" i="1"/>
  <c r="AD228" i="1" s="1"/>
  <c r="AE227" i="1"/>
  <c r="AD227" i="1" s="1"/>
  <c r="AE226" i="1"/>
  <c r="AD226" i="1" s="1"/>
  <c r="AE225" i="1"/>
  <c r="AD225" i="1" s="1"/>
  <c r="AE224" i="1"/>
  <c r="AD224" i="1" s="1"/>
  <c r="AE223" i="1"/>
  <c r="AD223" i="1" s="1"/>
  <c r="AE222" i="1"/>
  <c r="AD222" i="1" s="1"/>
  <c r="AE221" i="1"/>
  <c r="AD221" i="1" s="1"/>
  <c r="AE220" i="1"/>
  <c r="AD220" i="1" s="1"/>
  <c r="AE219" i="1"/>
  <c r="AD219" i="1" s="1"/>
  <c r="AE218" i="1"/>
  <c r="AD218" i="1" s="1"/>
  <c r="AE217" i="1"/>
  <c r="AD217" i="1" s="1"/>
  <c r="AE216" i="1"/>
  <c r="AD216" i="1" s="1"/>
  <c r="AE215" i="1"/>
  <c r="AD215" i="1" s="1"/>
  <c r="AE214" i="1"/>
  <c r="AD214" i="1" s="1"/>
  <c r="AE213" i="1"/>
  <c r="AD213" i="1" s="1"/>
  <c r="AE212" i="1"/>
  <c r="AD212" i="1" s="1"/>
  <c r="AE211" i="1"/>
  <c r="AD211" i="1" s="1"/>
  <c r="AE210" i="1"/>
  <c r="AD210" i="1" s="1"/>
  <c r="AE209" i="1"/>
  <c r="AD209" i="1" s="1"/>
  <c r="AE208" i="1"/>
  <c r="AD208" i="1" s="1"/>
  <c r="AE207" i="1"/>
  <c r="AD207" i="1" s="1"/>
  <c r="AE206" i="1"/>
  <c r="AD206" i="1" s="1"/>
  <c r="AE205" i="1"/>
  <c r="AD205" i="1" s="1"/>
  <c r="AE204" i="1"/>
  <c r="AD204" i="1" s="1"/>
  <c r="AE203" i="1"/>
  <c r="AD203" i="1" s="1"/>
  <c r="AE202" i="1"/>
  <c r="AD202" i="1" s="1"/>
  <c r="AE201" i="1"/>
  <c r="AD201" i="1" s="1"/>
  <c r="AE200" i="1"/>
  <c r="AD200" i="1" s="1"/>
  <c r="AE199" i="1"/>
  <c r="AD199" i="1" s="1"/>
  <c r="AE198" i="1"/>
  <c r="AD198" i="1" s="1"/>
  <c r="AE197" i="1"/>
  <c r="AD197" i="1" s="1"/>
  <c r="AE196" i="1"/>
  <c r="AD196" i="1" s="1"/>
  <c r="AE195" i="1"/>
  <c r="AD195" i="1" s="1"/>
  <c r="AE194" i="1"/>
  <c r="AD194" i="1" s="1"/>
  <c r="AE193" i="1"/>
  <c r="AD193" i="1" s="1"/>
  <c r="AE192" i="1"/>
  <c r="AD192" i="1" s="1"/>
  <c r="AE190" i="1"/>
  <c r="AD190" i="1" s="1"/>
  <c r="AE188" i="1"/>
  <c r="AD188" i="1" s="1"/>
  <c r="AE187" i="1"/>
  <c r="AD187" i="1" s="1"/>
  <c r="AE186" i="1"/>
  <c r="AD186" i="1" s="1"/>
  <c r="AE185" i="1"/>
  <c r="AD185" i="1" s="1"/>
  <c r="AE184" i="1"/>
  <c r="AD184" i="1" s="1"/>
  <c r="AE183" i="1"/>
  <c r="AD183" i="1" s="1"/>
  <c r="AE182" i="1"/>
  <c r="AD182" i="1" s="1"/>
  <c r="AE181" i="1"/>
  <c r="AD181" i="1" s="1"/>
  <c r="AE179" i="1"/>
  <c r="AD179" i="1" s="1"/>
  <c r="AE178" i="1"/>
  <c r="AD178" i="1" s="1"/>
  <c r="AE177" i="1"/>
  <c r="AD177" i="1" s="1"/>
  <c r="AE176" i="1"/>
  <c r="AD176" i="1" s="1"/>
  <c r="AE175" i="1"/>
  <c r="AD175" i="1" s="1"/>
  <c r="AE174" i="1"/>
  <c r="AD174" i="1" s="1"/>
  <c r="AE173" i="1"/>
  <c r="AD173" i="1" s="1"/>
  <c r="AE172" i="1"/>
  <c r="AD172" i="1" s="1"/>
  <c r="AE171" i="1"/>
  <c r="AD171" i="1" s="1"/>
  <c r="AE170" i="1"/>
  <c r="AD170" i="1" s="1"/>
  <c r="AE169" i="1"/>
  <c r="AD169" i="1" s="1"/>
  <c r="AE165" i="1"/>
  <c r="AD165" i="1" s="1"/>
  <c r="AE164" i="1"/>
  <c r="AD164" i="1" s="1"/>
  <c r="AE163" i="1"/>
  <c r="AD163" i="1" s="1"/>
  <c r="AE162" i="1"/>
  <c r="AD162" i="1" s="1"/>
  <c r="AE161" i="1"/>
  <c r="AD161" i="1" s="1"/>
  <c r="AE159" i="1"/>
  <c r="AD159" i="1" s="1"/>
  <c r="AE158" i="1"/>
  <c r="AD158" i="1" s="1"/>
  <c r="AE157" i="1"/>
  <c r="AD157" i="1" s="1"/>
  <c r="AE156" i="1"/>
  <c r="AD156" i="1" s="1"/>
  <c r="AE150" i="1"/>
  <c r="AD150" i="1" s="1"/>
  <c r="AE149" i="1"/>
  <c r="AD149" i="1" s="1"/>
  <c r="AE148" i="1"/>
  <c r="AD148" i="1" s="1"/>
  <c r="AE147" i="1"/>
  <c r="AD147" i="1" s="1"/>
  <c r="AE146" i="1"/>
  <c r="AD146" i="1" s="1"/>
  <c r="AE145" i="1"/>
  <c r="AD145" i="1" s="1"/>
  <c r="AE144" i="1"/>
  <c r="AD144" i="1" s="1"/>
  <c r="AE143" i="1"/>
  <c r="AD143" i="1" s="1"/>
  <c r="AE142" i="1"/>
  <c r="AD142" i="1" s="1"/>
  <c r="AE141" i="1"/>
  <c r="AD141" i="1" s="1"/>
  <c r="AE140" i="1"/>
  <c r="AD140" i="1" s="1"/>
  <c r="AE139" i="1"/>
  <c r="AD139" i="1" s="1"/>
  <c r="AE138" i="1"/>
  <c r="AD138" i="1" s="1"/>
  <c r="AE134" i="1"/>
  <c r="AD134" i="1" s="1"/>
  <c r="AE133" i="1"/>
  <c r="AD133" i="1" s="1"/>
  <c r="AE132" i="1"/>
  <c r="AD132" i="1" s="1"/>
  <c r="AE130" i="1"/>
  <c r="AD130" i="1" s="1"/>
  <c r="AE129" i="1"/>
  <c r="AD129" i="1" s="1"/>
  <c r="AE128" i="1"/>
  <c r="AD128" i="1" s="1"/>
  <c r="AE127" i="1"/>
  <c r="AD127" i="1" s="1"/>
  <c r="AE126" i="1"/>
  <c r="AD126" i="1" s="1"/>
  <c r="AE125" i="1"/>
  <c r="AD125" i="1" s="1"/>
  <c r="AE124" i="1"/>
  <c r="AD124" i="1" s="1"/>
  <c r="AE123" i="1"/>
  <c r="AD123" i="1" s="1"/>
  <c r="AE122" i="1"/>
  <c r="AD122" i="1" s="1"/>
  <c r="AE121" i="1"/>
  <c r="AD121" i="1" s="1"/>
  <c r="AE120" i="1"/>
  <c r="AD120" i="1" s="1"/>
  <c r="AE119" i="1"/>
  <c r="AD119" i="1" s="1"/>
  <c r="AE118" i="1"/>
  <c r="AD118" i="1" s="1"/>
  <c r="AE117" i="1"/>
  <c r="AD117" i="1" s="1"/>
  <c r="AE116" i="1"/>
  <c r="AD116" i="1" s="1"/>
  <c r="AE115" i="1"/>
  <c r="AD115" i="1" s="1"/>
  <c r="AE114" i="1"/>
  <c r="AD114" i="1" s="1"/>
  <c r="AE113" i="1"/>
  <c r="AD113" i="1" s="1"/>
  <c r="AE112" i="1"/>
  <c r="AD112" i="1" s="1"/>
  <c r="AE110" i="1"/>
  <c r="AD110" i="1" s="1"/>
  <c r="AE109" i="1"/>
  <c r="AD109" i="1" s="1"/>
  <c r="AE108" i="1"/>
  <c r="AD108" i="1" s="1"/>
  <c r="AE107" i="1"/>
  <c r="AD107" i="1" s="1"/>
  <c r="AE106" i="1"/>
  <c r="AD106" i="1" s="1"/>
  <c r="AE105" i="1"/>
  <c r="AD105" i="1" s="1"/>
  <c r="AE104" i="1"/>
  <c r="AD104" i="1" s="1"/>
  <c r="AE103" i="1"/>
  <c r="AD103" i="1" s="1"/>
  <c r="AE102" i="1"/>
  <c r="AD102" i="1" s="1"/>
  <c r="AE101" i="1"/>
  <c r="AD101" i="1" s="1"/>
  <c r="AE100" i="1"/>
  <c r="AD100" i="1" s="1"/>
  <c r="AE99" i="1"/>
  <c r="AD99" i="1" s="1"/>
  <c r="AE96" i="1"/>
  <c r="AD96" i="1" s="1"/>
  <c r="AE95" i="1"/>
  <c r="AD95" i="1" s="1"/>
  <c r="AE94" i="1"/>
  <c r="AD94" i="1" s="1"/>
  <c r="AE93" i="1"/>
  <c r="AD93" i="1" s="1"/>
  <c r="AE92" i="1"/>
  <c r="AD92" i="1" s="1"/>
  <c r="AE89" i="1"/>
  <c r="AD89" i="1" s="1"/>
  <c r="AE88" i="1"/>
  <c r="AD88" i="1" s="1"/>
  <c r="AE87" i="1"/>
  <c r="AD87" i="1" s="1"/>
  <c r="AE86" i="1"/>
  <c r="AD86" i="1" s="1"/>
  <c r="AE85" i="1"/>
  <c r="AD85" i="1" s="1"/>
  <c r="AE84" i="1"/>
  <c r="AD84" i="1" s="1"/>
  <c r="AE83" i="1"/>
  <c r="AD83" i="1" s="1"/>
  <c r="AE82" i="1"/>
  <c r="AD82" i="1" s="1"/>
  <c r="AE81" i="1"/>
  <c r="AD81" i="1" s="1"/>
  <c r="AE80" i="1"/>
  <c r="AD80" i="1" s="1"/>
  <c r="AE79" i="1"/>
  <c r="AD79" i="1" s="1"/>
  <c r="AE78" i="1"/>
  <c r="AD78" i="1" s="1"/>
  <c r="AE77" i="1"/>
  <c r="AD77" i="1" s="1"/>
  <c r="AE76" i="1"/>
  <c r="AD76" i="1" s="1"/>
  <c r="AE75" i="1"/>
  <c r="AD75" i="1" s="1"/>
  <c r="AE72" i="1"/>
  <c r="AD72" i="1" s="1"/>
  <c r="AE71" i="1"/>
  <c r="AD71" i="1" s="1"/>
  <c r="AE69" i="1"/>
  <c r="AD69" i="1" s="1"/>
  <c r="AE68" i="1"/>
  <c r="AD68" i="1" s="1"/>
  <c r="AE67" i="1"/>
  <c r="AD67" i="1" s="1"/>
  <c r="AE66" i="1"/>
  <c r="AD66" i="1" s="1"/>
  <c r="AE65" i="1"/>
  <c r="AD65" i="1" s="1"/>
  <c r="AE61" i="1"/>
  <c r="AD61" i="1" s="1"/>
  <c r="AE60" i="1"/>
  <c r="AD60" i="1" s="1"/>
  <c r="AE59" i="1"/>
  <c r="AD59" i="1" s="1"/>
  <c r="AE58" i="1"/>
  <c r="AD58" i="1" s="1"/>
  <c r="AE56" i="1"/>
  <c r="AD56" i="1" s="1"/>
  <c r="AE55" i="1"/>
  <c r="AD55" i="1" s="1"/>
  <c r="AE54" i="1"/>
  <c r="AD54" i="1" s="1"/>
  <c r="AE53" i="1"/>
  <c r="AD53" i="1" s="1"/>
  <c r="AE52" i="1"/>
  <c r="AD52" i="1" s="1"/>
  <c r="AE51" i="1"/>
  <c r="AD51" i="1" s="1"/>
  <c r="AE46" i="1"/>
  <c r="AD46" i="1" s="1"/>
  <c r="AE45" i="1"/>
  <c r="AD45" i="1" s="1"/>
  <c r="AE44" i="1"/>
  <c r="AD44" i="1" s="1"/>
  <c r="AE43" i="1"/>
  <c r="AD43" i="1" s="1"/>
  <c r="AE42" i="1"/>
  <c r="AD42" i="1" s="1"/>
  <c r="AE41" i="1"/>
  <c r="AD41" i="1" s="1"/>
  <c r="AE40" i="1"/>
  <c r="AD40" i="1" s="1"/>
  <c r="AE39" i="1"/>
  <c r="AD39" i="1" s="1"/>
  <c r="AE38" i="1"/>
  <c r="AD38" i="1" s="1"/>
  <c r="AE37" i="1"/>
  <c r="AD37" i="1" s="1"/>
  <c r="AE36" i="1"/>
  <c r="AD36" i="1" s="1"/>
  <c r="AE35" i="1"/>
  <c r="AD35" i="1" s="1"/>
  <c r="AE32" i="1"/>
  <c r="AD32" i="1" s="1"/>
  <c r="AE31" i="1"/>
  <c r="AD31" i="1" s="1"/>
  <c r="AE30" i="1"/>
  <c r="AD30" i="1" s="1"/>
  <c r="AE29" i="1"/>
  <c r="AD29" i="1" s="1"/>
  <c r="AE28" i="1"/>
  <c r="AD28" i="1" s="1"/>
  <c r="AE27" i="1"/>
  <c r="AD27" i="1" s="1"/>
  <c r="AE23" i="1"/>
  <c r="AD23" i="1" s="1"/>
  <c r="AE22" i="1"/>
  <c r="AD22" i="1" s="1"/>
  <c r="AE21" i="1"/>
  <c r="AD21" i="1" s="1"/>
  <c r="AE20" i="1"/>
  <c r="AD20" i="1" s="1"/>
  <c r="AE19" i="1"/>
  <c r="AD19" i="1" s="1"/>
  <c r="AE18" i="1"/>
  <c r="AD18" i="1" s="1"/>
  <c r="AE17" i="1"/>
  <c r="AD17" i="1" s="1"/>
  <c r="AE16" i="1"/>
  <c r="AD16" i="1" s="1"/>
  <c r="AE15" i="1"/>
  <c r="AD15" i="1" s="1"/>
  <c r="AE14" i="1"/>
  <c r="AD14" i="1" s="1"/>
  <c r="AE13" i="1"/>
  <c r="AD13" i="1" s="1"/>
  <c r="AE12" i="1"/>
  <c r="AD12" i="1" s="1"/>
  <c r="J267" i="1"/>
  <c r="J265" i="1"/>
  <c r="I265" i="1" s="1"/>
  <c r="J264" i="1"/>
  <c r="I264" i="1" s="1"/>
  <c r="J263" i="1"/>
  <c r="I263" i="1" s="1"/>
  <c r="B13" i="5" s="1"/>
  <c r="J262" i="1"/>
  <c r="I262" i="1" s="1"/>
  <c r="J261" i="1"/>
  <c r="I261" i="1" s="1"/>
  <c r="J260" i="1"/>
  <c r="I260" i="1" s="1"/>
  <c r="J259" i="1"/>
  <c r="I259" i="1" s="1"/>
  <c r="J258" i="1"/>
  <c r="I258" i="1" s="1"/>
  <c r="J257" i="1"/>
  <c r="I257" i="1" s="1"/>
  <c r="J256" i="1"/>
  <c r="I256" i="1" s="1"/>
  <c r="J255" i="1"/>
  <c r="I255" i="1" s="1"/>
  <c r="J254" i="1"/>
  <c r="I254" i="1" s="1"/>
  <c r="J253" i="1"/>
  <c r="I253" i="1" s="1"/>
  <c r="J252" i="1"/>
  <c r="I252" i="1" s="1"/>
  <c r="J251" i="1"/>
  <c r="I251" i="1" s="1"/>
  <c r="J250" i="1"/>
  <c r="I250" i="1" s="1"/>
  <c r="J249" i="1"/>
  <c r="I249" i="1" s="1"/>
  <c r="J248" i="1"/>
  <c r="I248" i="1" s="1"/>
  <c r="J247" i="1"/>
  <c r="I247" i="1" s="1"/>
  <c r="J246" i="1"/>
  <c r="I246" i="1" s="1"/>
  <c r="J245" i="1"/>
  <c r="I245" i="1" s="1"/>
  <c r="J244" i="1"/>
  <c r="I244" i="1" s="1"/>
  <c r="J243" i="1"/>
  <c r="I243" i="1" s="1"/>
  <c r="J242" i="1"/>
  <c r="J241" i="1"/>
  <c r="I241" i="1" s="1"/>
  <c r="J238" i="1"/>
  <c r="I238" i="1" s="1"/>
  <c r="J237" i="1"/>
  <c r="I237" i="1" s="1"/>
  <c r="J236" i="1"/>
  <c r="I236" i="1" s="1"/>
  <c r="J235" i="1"/>
  <c r="I235" i="1" s="1"/>
  <c r="J234" i="1"/>
  <c r="I234" i="1" s="1"/>
  <c r="J233" i="1"/>
  <c r="I233" i="1" s="1"/>
  <c r="J232" i="1"/>
  <c r="I232" i="1" s="1"/>
  <c r="J231" i="1"/>
  <c r="I231" i="1" s="1"/>
  <c r="J230" i="1"/>
  <c r="I230" i="1" s="1"/>
  <c r="J229" i="1"/>
  <c r="I229" i="1" s="1"/>
  <c r="J228" i="1"/>
  <c r="I228" i="1" s="1"/>
  <c r="J227" i="1"/>
  <c r="I227" i="1" s="1"/>
  <c r="J226" i="1"/>
  <c r="I226" i="1" s="1"/>
  <c r="J225" i="1"/>
  <c r="I225" i="1" s="1"/>
  <c r="J224" i="1"/>
  <c r="I224" i="1" s="1"/>
  <c r="J223" i="1"/>
  <c r="I223" i="1" s="1"/>
  <c r="J222" i="1"/>
  <c r="I222" i="1" s="1"/>
  <c r="J221" i="1"/>
  <c r="I221" i="1" s="1"/>
  <c r="J220" i="1"/>
  <c r="I220" i="1" s="1"/>
  <c r="J219" i="1"/>
  <c r="I219" i="1" s="1"/>
  <c r="J218" i="1"/>
  <c r="I218" i="1" s="1"/>
  <c r="J217" i="1"/>
  <c r="I217" i="1" s="1"/>
  <c r="J216" i="1"/>
  <c r="I216" i="1" s="1"/>
  <c r="J215" i="1"/>
  <c r="I215" i="1" s="1"/>
  <c r="J214" i="1"/>
  <c r="I214" i="1" s="1"/>
  <c r="J213" i="1"/>
  <c r="I213" i="1" s="1"/>
  <c r="J212" i="1"/>
  <c r="I212" i="1" s="1"/>
  <c r="J211" i="1"/>
  <c r="I211" i="1" s="1"/>
  <c r="J210" i="1"/>
  <c r="I210" i="1" s="1"/>
  <c r="J209" i="1"/>
  <c r="I209" i="1" s="1"/>
  <c r="J208" i="1"/>
  <c r="I208" i="1" s="1"/>
  <c r="J207" i="1"/>
  <c r="I207" i="1" s="1"/>
  <c r="J206" i="1"/>
  <c r="I206" i="1" s="1"/>
  <c r="J205" i="1"/>
  <c r="I205" i="1" s="1"/>
  <c r="J204" i="1"/>
  <c r="I204" i="1" s="1"/>
  <c r="J203" i="1"/>
  <c r="I203" i="1" s="1"/>
  <c r="J202" i="1"/>
  <c r="I202" i="1" s="1"/>
  <c r="J201" i="1"/>
  <c r="I201" i="1" s="1"/>
  <c r="J200" i="1"/>
  <c r="I200" i="1" s="1"/>
  <c r="J199" i="1"/>
  <c r="I199" i="1" s="1"/>
  <c r="J198" i="1"/>
  <c r="I198" i="1" s="1"/>
  <c r="J197" i="1"/>
  <c r="I197" i="1" s="1"/>
  <c r="J196" i="1"/>
  <c r="I196" i="1" s="1"/>
  <c r="J195" i="1"/>
  <c r="I195" i="1" s="1"/>
  <c r="J194" i="1"/>
  <c r="I194" i="1" s="1"/>
  <c r="J193" i="1"/>
  <c r="I193" i="1" s="1"/>
  <c r="J192" i="1"/>
  <c r="I192" i="1" s="1"/>
  <c r="J190" i="1"/>
  <c r="I190" i="1" s="1"/>
  <c r="J188" i="1"/>
  <c r="I188" i="1" s="1"/>
  <c r="J187" i="1"/>
  <c r="I187" i="1" s="1"/>
  <c r="J186" i="1"/>
  <c r="I186" i="1" s="1"/>
  <c r="J185" i="1"/>
  <c r="I185" i="1" s="1"/>
  <c r="J184" i="1"/>
  <c r="I184" i="1" s="1"/>
  <c r="J183" i="1"/>
  <c r="I183" i="1" s="1"/>
  <c r="J182" i="1"/>
  <c r="I182" i="1" s="1"/>
  <c r="J181" i="1"/>
  <c r="I181" i="1" s="1"/>
  <c r="J179" i="1"/>
  <c r="I179" i="1" s="1"/>
  <c r="J178" i="1"/>
  <c r="I178" i="1" s="1"/>
  <c r="J177" i="1"/>
  <c r="I177" i="1" s="1"/>
  <c r="J176" i="1"/>
  <c r="I176" i="1" s="1"/>
  <c r="J175" i="1"/>
  <c r="I175" i="1" s="1"/>
  <c r="J174" i="1"/>
  <c r="I174" i="1" s="1"/>
  <c r="J173" i="1"/>
  <c r="I173" i="1" s="1"/>
  <c r="J172" i="1"/>
  <c r="I172" i="1" s="1"/>
  <c r="J171" i="1"/>
  <c r="I171" i="1" s="1"/>
  <c r="J170" i="1"/>
  <c r="I170" i="1" s="1"/>
  <c r="J169" i="1"/>
  <c r="I169" i="1" s="1"/>
  <c r="J165" i="1"/>
  <c r="I165" i="1" s="1"/>
  <c r="J164" i="1"/>
  <c r="I164" i="1" s="1"/>
  <c r="J163" i="1"/>
  <c r="I163" i="1" s="1"/>
  <c r="J162" i="1"/>
  <c r="I162" i="1" s="1"/>
  <c r="J161" i="1"/>
  <c r="I161" i="1" s="1"/>
  <c r="J159" i="1"/>
  <c r="I159" i="1" s="1"/>
  <c r="J158" i="1"/>
  <c r="I158" i="1" s="1"/>
  <c r="J157" i="1"/>
  <c r="I157" i="1" s="1"/>
  <c r="J156" i="1"/>
  <c r="I156" i="1" s="1"/>
  <c r="J150" i="1"/>
  <c r="I150" i="1" s="1"/>
  <c r="J149" i="1"/>
  <c r="I149" i="1" s="1"/>
  <c r="J148" i="1"/>
  <c r="I148" i="1" s="1"/>
  <c r="J147" i="1"/>
  <c r="I147" i="1" s="1"/>
  <c r="J146" i="1"/>
  <c r="I146" i="1" s="1"/>
  <c r="J145" i="1"/>
  <c r="I145" i="1" s="1"/>
  <c r="J144" i="1"/>
  <c r="I144" i="1" s="1"/>
  <c r="J143" i="1"/>
  <c r="I143" i="1" s="1"/>
  <c r="J142" i="1"/>
  <c r="I142" i="1" s="1"/>
  <c r="J141" i="1"/>
  <c r="I141" i="1" s="1"/>
  <c r="J140" i="1"/>
  <c r="I140" i="1" s="1"/>
  <c r="J139" i="1"/>
  <c r="I139" i="1" s="1"/>
  <c r="J138" i="1"/>
  <c r="I138" i="1" s="1"/>
  <c r="J134" i="1"/>
  <c r="I134" i="1" s="1"/>
  <c r="J133" i="1"/>
  <c r="I133" i="1" s="1"/>
  <c r="J132" i="1"/>
  <c r="I132" i="1" s="1"/>
  <c r="J130" i="1"/>
  <c r="I130" i="1" s="1"/>
  <c r="J129" i="1"/>
  <c r="I129" i="1" s="1"/>
  <c r="J128" i="1"/>
  <c r="I128" i="1" s="1"/>
  <c r="J127" i="1"/>
  <c r="I127" i="1" s="1"/>
  <c r="J126" i="1"/>
  <c r="I126" i="1" s="1"/>
  <c r="J125" i="1"/>
  <c r="I125" i="1" s="1"/>
  <c r="J124" i="1"/>
  <c r="I124" i="1" s="1"/>
  <c r="J123" i="1"/>
  <c r="I123" i="1" s="1"/>
  <c r="J122" i="1"/>
  <c r="I122" i="1" s="1"/>
  <c r="J121" i="1"/>
  <c r="I121" i="1" s="1"/>
  <c r="J120" i="1"/>
  <c r="I120" i="1" s="1"/>
  <c r="J119" i="1"/>
  <c r="I119" i="1" s="1"/>
  <c r="J118" i="1"/>
  <c r="I118" i="1" s="1"/>
  <c r="J117" i="1"/>
  <c r="I117" i="1" s="1"/>
  <c r="J116" i="1"/>
  <c r="I116" i="1" s="1"/>
  <c r="J115" i="1"/>
  <c r="I115" i="1" s="1"/>
  <c r="J114" i="1"/>
  <c r="I114" i="1" s="1"/>
  <c r="J113" i="1"/>
  <c r="I113" i="1" s="1"/>
  <c r="J112" i="1"/>
  <c r="I112" i="1" s="1"/>
  <c r="J110" i="1"/>
  <c r="I110" i="1" s="1"/>
  <c r="J109" i="1"/>
  <c r="I109" i="1" s="1"/>
  <c r="J108" i="1"/>
  <c r="I108" i="1" s="1"/>
  <c r="J107" i="1"/>
  <c r="I107" i="1" s="1"/>
  <c r="J106" i="1"/>
  <c r="I106" i="1" s="1"/>
  <c r="J105" i="1"/>
  <c r="I105" i="1" s="1"/>
  <c r="J104" i="1"/>
  <c r="I104" i="1" s="1"/>
  <c r="J103" i="1"/>
  <c r="I103" i="1" s="1"/>
  <c r="J102" i="1"/>
  <c r="I102" i="1" s="1"/>
  <c r="J101" i="1"/>
  <c r="I101" i="1" s="1"/>
  <c r="J100" i="1"/>
  <c r="I100" i="1" s="1"/>
  <c r="J99" i="1"/>
  <c r="J96" i="1"/>
  <c r="I96" i="1" s="1"/>
  <c r="J95" i="1"/>
  <c r="I95" i="1" s="1"/>
  <c r="J94" i="1"/>
  <c r="I94" i="1" s="1"/>
  <c r="J93" i="1"/>
  <c r="J92" i="1"/>
  <c r="I92" i="1" s="1"/>
  <c r="J89" i="1"/>
  <c r="I89" i="1" s="1"/>
  <c r="J88" i="1"/>
  <c r="I88" i="1" s="1"/>
  <c r="J87" i="1"/>
  <c r="I87" i="1" s="1"/>
  <c r="J86" i="1"/>
  <c r="I86" i="1" s="1"/>
  <c r="J85" i="1"/>
  <c r="I85" i="1" s="1"/>
  <c r="J84" i="1"/>
  <c r="I84" i="1" s="1"/>
  <c r="J83" i="1"/>
  <c r="I83" i="1" s="1"/>
  <c r="J82" i="1"/>
  <c r="I82" i="1" s="1"/>
  <c r="J81" i="1"/>
  <c r="I81" i="1" s="1"/>
  <c r="J80" i="1"/>
  <c r="I80" i="1" s="1"/>
  <c r="J79" i="1"/>
  <c r="I79" i="1" s="1"/>
  <c r="J78" i="1"/>
  <c r="I78" i="1" s="1"/>
  <c r="J77" i="1"/>
  <c r="J76" i="1"/>
  <c r="I76" i="1" s="1"/>
  <c r="J75" i="1"/>
  <c r="I75" i="1" s="1"/>
  <c r="J72" i="1"/>
  <c r="I72" i="1" s="1"/>
  <c r="J71" i="1"/>
  <c r="I71" i="1" s="1"/>
  <c r="J69" i="1"/>
  <c r="I69" i="1" s="1"/>
  <c r="J68" i="1"/>
  <c r="J67" i="1"/>
  <c r="I67" i="1" s="1"/>
  <c r="J66" i="1"/>
  <c r="I66" i="1" s="1"/>
  <c r="J65" i="1"/>
  <c r="I65" i="1" s="1"/>
  <c r="J61" i="1"/>
  <c r="I61" i="1" s="1"/>
  <c r="J60" i="1"/>
  <c r="I60" i="1" s="1"/>
  <c r="J59" i="1"/>
  <c r="I59" i="1" s="1"/>
  <c r="J58" i="1"/>
  <c r="I58" i="1" s="1"/>
  <c r="J56" i="1"/>
  <c r="I56" i="1" s="1"/>
  <c r="J55" i="1"/>
  <c r="I55" i="1" s="1"/>
  <c r="J54" i="1"/>
  <c r="I54" i="1" s="1"/>
  <c r="J53" i="1"/>
  <c r="I53" i="1" s="1"/>
  <c r="J52" i="1"/>
  <c r="I52" i="1" s="1"/>
  <c r="J51" i="1"/>
  <c r="I51" i="1" s="1"/>
  <c r="J46" i="1"/>
  <c r="I46" i="1" s="1"/>
  <c r="J45" i="1"/>
  <c r="I45" i="1" s="1"/>
  <c r="J44" i="1"/>
  <c r="I44" i="1" s="1"/>
  <c r="J43" i="1"/>
  <c r="I43" i="1" s="1"/>
  <c r="J42" i="1"/>
  <c r="I42" i="1" s="1"/>
  <c r="J41" i="1"/>
  <c r="I41" i="1" s="1"/>
  <c r="J40" i="1"/>
  <c r="I40" i="1" s="1"/>
  <c r="J39" i="1"/>
  <c r="I39" i="1" s="1"/>
  <c r="J38" i="1"/>
  <c r="J37" i="1"/>
  <c r="I37" i="1" s="1"/>
  <c r="J36" i="1"/>
  <c r="I36" i="1" s="1"/>
  <c r="J35" i="1"/>
  <c r="I35" i="1" s="1"/>
  <c r="J32" i="1"/>
  <c r="I32" i="1" s="1"/>
  <c r="J31" i="1"/>
  <c r="I31" i="1" s="1"/>
  <c r="J30" i="1"/>
  <c r="I30" i="1" s="1"/>
  <c r="J29" i="1"/>
  <c r="I29" i="1" s="1"/>
  <c r="J28" i="1"/>
  <c r="I28" i="1" s="1"/>
  <c r="J27" i="1"/>
  <c r="J23" i="1"/>
  <c r="I23" i="1" s="1"/>
  <c r="J22" i="1"/>
  <c r="I22" i="1" s="1"/>
  <c r="J21" i="1"/>
  <c r="I21" i="1" s="1"/>
  <c r="J20" i="1"/>
  <c r="I20" i="1" s="1"/>
  <c r="J19" i="1"/>
  <c r="I19" i="1" s="1"/>
  <c r="J18" i="1"/>
  <c r="I18" i="1" s="1"/>
  <c r="J17" i="1"/>
  <c r="I17" i="1" s="1"/>
  <c r="J16" i="1"/>
  <c r="I16" i="1" s="1"/>
  <c r="J15" i="1"/>
  <c r="I15" i="1" s="1"/>
  <c r="J14" i="1"/>
  <c r="I14" i="1" s="1"/>
  <c r="J13" i="1"/>
  <c r="I13" i="1" s="1"/>
  <c r="J12" i="1"/>
  <c r="K91" i="1"/>
  <c r="L91" i="1"/>
  <c r="M91" i="1"/>
  <c r="N91" i="1"/>
  <c r="O91" i="1"/>
  <c r="P91" i="1"/>
  <c r="Q91" i="1"/>
  <c r="R91" i="1"/>
  <c r="S91" i="1"/>
  <c r="T91" i="1"/>
  <c r="W91" i="1"/>
  <c r="AB91" i="1"/>
  <c r="AC91" i="1"/>
  <c r="AF91" i="1"/>
  <c r="AG91" i="1"/>
  <c r="AH91" i="1"/>
  <c r="AI91" i="1"/>
  <c r="AJ91" i="1"/>
  <c r="AN91" i="1"/>
  <c r="AO91" i="1"/>
  <c r="AR91" i="1"/>
  <c r="AS91" i="1"/>
  <c r="AT91" i="1"/>
  <c r="AU91" i="1"/>
  <c r="AV91" i="1"/>
  <c r="AZ91" i="1"/>
  <c r="BA91" i="1"/>
  <c r="BB91" i="1"/>
  <c r="BE91" i="1"/>
  <c r="BF91" i="1"/>
  <c r="BG91" i="1"/>
  <c r="BH91" i="1"/>
  <c r="BI91" i="1"/>
  <c r="BJ91" i="1"/>
  <c r="BK91" i="1"/>
  <c r="BL91" i="1"/>
  <c r="BO91" i="1"/>
  <c r="BP91" i="1"/>
  <c r="BQ91" i="1"/>
  <c r="BR91" i="1"/>
  <c r="BS91" i="1"/>
  <c r="BW91" i="1"/>
  <c r="H91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0" i="1"/>
  <c r="F188" i="1"/>
  <c r="F187" i="1"/>
  <c r="F186" i="1"/>
  <c r="F185" i="1"/>
  <c r="F184" i="1"/>
  <c r="F183" i="1"/>
  <c r="F182" i="1"/>
  <c r="F181" i="1"/>
  <c r="F179" i="1"/>
  <c r="F178" i="1"/>
  <c r="F177" i="1"/>
  <c r="F176" i="1"/>
  <c r="F175" i="1"/>
  <c r="F174" i="1"/>
  <c r="F173" i="1"/>
  <c r="F172" i="1"/>
  <c r="F171" i="1"/>
  <c r="F170" i="1"/>
  <c r="F169" i="1"/>
  <c r="F165" i="1"/>
  <c r="F164" i="1"/>
  <c r="F163" i="1"/>
  <c r="F162" i="1"/>
  <c r="F161" i="1"/>
  <c r="F159" i="1"/>
  <c r="F158" i="1"/>
  <c r="F157" i="1"/>
  <c r="F156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4" i="1"/>
  <c r="F133" i="1"/>
  <c r="F132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6" i="1"/>
  <c r="F95" i="1"/>
  <c r="F94" i="1"/>
  <c r="F93" i="1"/>
  <c r="F92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2" i="1"/>
  <c r="F71" i="1"/>
  <c r="F69" i="1"/>
  <c r="F68" i="1"/>
  <c r="F67" i="1"/>
  <c r="F66" i="1"/>
  <c r="F65" i="1"/>
  <c r="F61" i="1"/>
  <c r="F60" i="1"/>
  <c r="F59" i="1"/>
  <c r="F58" i="1"/>
  <c r="F56" i="1"/>
  <c r="F55" i="1"/>
  <c r="F54" i="1"/>
  <c r="F53" i="1"/>
  <c r="F52" i="1"/>
  <c r="F51" i="1"/>
  <c r="F46" i="1"/>
  <c r="F45" i="1"/>
  <c r="F44" i="1"/>
  <c r="F43" i="1"/>
  <c r="F42" i="1"/>
  <c r="F41" i="1"/>
  <c r="F40" i="1"/>
  <c r="F39" i="1"/>
  <c r="F38" i="1"/>
  <c r="F37" i="1"/>
  <c r="F36" i="1"/>
  <c r="F32" i="1"/>
  <c r="F31" i="1"/>
  <c r="F30" i="1"/>
  <c r="F29" i="1"/>
  <c r="F28" i="1"/>
  <c r="F27" i="1"/>
  <c r="F23" i="1"/>
  <c r="F22" i="1"/>
  <c r="F21" i="1"/>
  <c r="F20" i="1"/>
  <c r="F19" i="1"/>
  <c r="F18" i="1"/>
  <c r="F17" i="1"/>
  <c r="F16" i="1"/>
  <c r="F15" i="1"/>
  <c r="F14" i="1"/>
  <c r="F13" i="1"/>
  <c r="F12" i="1"/>
  <c r="P103" i="4" l="1"/>
  <c r="P8" i="4" s="1"/>
  <c r="P162" i="4" s="1"/>
  <c r="F97" i="4"/>
  <c r="U17" i="4"/>
  <c r="F12" i="4"/>
  <c r="F70" i="4"/>
  <c r="AJ96" i="4"/>
  <c r="AJ27" i="4"/>
  <c r="AJ95" i="4"/>
  <c r="U68" i="4"/>
  <c r="AJ98" i="4"/>
  <c r="AJ88" i="4"/>
  <c r="AJ150" i="4"/>
  <c r="U80" i="4"/>
  <c r="AJ22" i="4"/>
  <c r="U12" i="4"/>
  <c r="AJ40" i="4"/>
  <c r="AJ38" i="4" s="1"/>
  <c r="V106" i="4"/>
  <c r="V105" i="4" s="1"/>
  <c r="U29" i="4"/>
  <c r="U47" i="4"/>
  <c r="U156" i="4"/>
  <c r="U70" i="4"/>
  <c r="U122" i="4"/>
  <c r="U90" i="4"/>
  <c r="AJ24" i="4"/>
  <c r="U106" i="4"/>
  <c r="AJ85" i="4"/>
  <c r="U59" i="4"/>
  <c r="F61" i="4"/>
  <c r="U56" i="4"/>
  <c r="AJ43" i="4"/>
  <c r="AJ42" i="4"/>
  <c r="U33" i="4"/>
  <c r="V148" i="4"/>
  <c r="G26" i="4"/>
  <c r="V53" i="4"/>
  <c r="V50" i="4" s="1"/>
  <c r="V59" i="4"/>
  <c r="V26" i="4"/>
  <c r="F23" i="4"/>
  <c r="G193" i="1"/>
  <c r="F38" i="4"/>
  <c r="AJ62" i="4"/>
  <c r="F84" i="4"/>
  <c r="G148" i="4"/>
  <c r="G246" i="1"/>
  <c r="G262" i="1"/>
  <c r="V37" i="4"/>
  <c r="G236" i="1"/>
  <c r="G225" i="1"/>
  <c r="G138" i="1"/>
  <c r="G188" i="1"/>
  <c r="G113" i="1"/>
  <c r="G209" i="1"/>
  <c r="G50" i="4"/>
  <c r="G37" i="4"/>
  <c r="G54" i="1"/>
  <c r="G207" i="1"/>
  <c r="G124" i="1"/>
  <c r="AJ71" i="4"/>
  <c r="AJ69" i="4"/>
  <c r="G16" i="4"/>
  <c r="G15" i="4" s="1"/>
  <c r="U41" i="4"/>
  <c r="AJ123" i="4"/>
  <c r="V83" i="4"/>
  <c r="V79" i="4" s="1"/>
  <c r="G118" i="1"/>
  <c r="G171" i="1"/>
  <c r="BN91" i="1"/>
  <c r="G15" i="1"/>
  <c r="G19" i="1"/>
  <c r="G23" i="1"/>
  <c r="G36" i="1"/>
  <c r="G40" i="1"/>
  <c r="G52" i="1"/>
  <c r="G56" i="1"/>
  <c r="G61" i="1"/>
  <c r="G75" i="1"/>
  <c r="G79" i="1"/>
  <c r="G83" i="1"/>
  <c r="G87" i="1"/>
  <c r="G107" i="1"/>
  <c r="G116" i="1"/>
  <c r="G120" i="1"/>
  <c r="G133" i="1"/>
  <c r="G140" i="1"/>
  <c r="G144" i="1"/>
  <c r="G148" i="1"/>
  <c r="G157" i="1"/>
  <c r="G162" i="1"/>
  <c r="G169" i="1"/>
  <c r="G177" i="1"/>
  <c r="G186" i="1"/>
  <c r="G196" i="1"/>
  <c r="G200" i="1"/>
  <c r="G204" i="1"/>
  <c r="G212" i="1"/>
  <c r="G220" i="1"/>
  <c r="G228" i="1"/>
  <c r="G250" i="1"/>
  <c r="G44" i="1"/>
  <c r="G103" i="1"/>
  <c r="G128" i="1"/>
  <c r="G192" i="1"/>
  <c r="G216" i="1"/>
  <c r="G16" i="1"/>
  <c r="G31" i="1"/>
  <c r="G41" i="1"/>
  <c r="G58" i="1"/>
  <c r="G65" i="1"/>
  <c r="G69" i="1"/>
  <c r="G76" i="1"/>
  <c r="G80" i="1"/>
  <c r="G84" i="1"/>
  <c r="G88" i="1"/>
  <c r="G100" i="1"/>
  <c r="G104" i="1"/>
  <c r="G121" i="1"/>
  <c r="G125" i="1"/>
  <c r="G141" i="1"/>
  <c r="G149" i="1"/>
  <c r="G158" i="1"/>
  <c r="G163" i="1"/>
  <c r="G174" i="1"/>
  <c r="G197" i="1"/>
  <c r="G201" i="1"/>
  <c r="G243" i="1"/>
  <c r="G251" i="1"/>
  <c r="G259" i="1"/>
  <c r="G30" i="1"/>
  <c r="G173" i="1"/>
  <c r="G182" i="1"/>
  <c r="G208" i="1"/>
  <c r="G232" i="1"/>
  <c r="G254" i="1"/>
  <c r="AE91" i="1"/>
  <c r="G17" i="1"/>
  <c r="G81" i="1"/>
  <c r="G109" i="1"/>
  <c r="G150" i="1"/>
  <c r="G164" i="1"/>
  <c r="G179" i="1"/>
  <c r="G112" i="1"/>
  <c r="G224" i="1"/>
  <c r="G258" i="1"/>
  <c r="G32" i="1"/>
  <c r="G59" i="1"/>
  <c r="G71" i="1"/>
  <c r="G101" i="1"/>
  <c r="G146" i="1"/>
  <c r="G159" i="1"/>
  <c r="G184" i="1"/>
  <c r="G22" i="1"/>
  <c r="G29" i="1"/>
  <c r="G39" i="1"/>
  <c r="G51" i="1"/>
  <c r="G55" i="1"/>
  <c r="G67" i="1"/>
  <c r="G78" i="1"/>
  <c r="G92" i="1"/>
  <c r="G96" i="1"/>
  <c r="G102" i="1"/>
  <c r="G115" i="1"/>
  <c r="G127" i="1"/>
  <c r="G132" i="1"/>
  <c r="G143" i="1"/>
  <c r="G156" i="1"/>
  <c r="G165" i="1"/>
  <c r="G172" i="1"/>
  <c r="G181" i="1"/>
  <c r="G185" i="1"/>
  <c r="G195" i="1"/>
  <c r="G211" i="1"/>
  <c r="G215" i="1"/>
  <c r="G219" i="1"/>
  <c r="G223" i="1"/>
  <c r="G241" i="1"/>
  <c r="G253" i="1"/>
  <c r="G257" i="1"/>
  <c r="G20" i="1"/>
  <c r="G37" i="1"/>
  <c r="G45" i="1"/>
  <c r="G53" i="1"/>
  <c r="G94" i="1"/>
  <c r="G108" i="1"/>
  <c r="G117" i="1"/>
  <c r="G129" i="1"/>
  <c r="G134" i="1"/>
  <c r="G145" i="1"/>
  <c r="G170" i="1"/>
  <c r="G178" i="1"/>
  <c r="G183" i="1"/>
  <c r="G187" i="1"/>
  <c r="G205" i="1"/>
  <c r="G213" i="1"/>
  <c r="G217" i="1"/>
  <c r="G221" i="1"/>
  <c r="AQ91" i="1"/>
  <c r="G21" i="1"/>
  <c r="G28" i="1"/>
  <c r="J34" i="1"/>
  <c r="G42" i="1"/>
  <c r="G46" i="1"/>
  <c r="G66" i="1"/>
  <c r="G85" i="1"/>
  <c r="G89" i="1"/>
  <c r="G95" i="1"/>
  <c r="G105" i="1"/>
  <c r="G114" i="1"/>
  <c r="G122" i="1"/>
  <c r="G126" i="1"/>
  <c r="G130" i="1"/>
  <c r="G142" i="1"/>
  <c r="G175" i="1"/>
  <c r="G194" i="1"/>
  <c r="G198" i="1"/>
  <c r="G202" i="1"/>
  <c r="G206" i="1"/>
  <c r="G210" i="1"/>
  <c r="G214" i="1"/>
  <c r="G218" i="1"/>
  <c r="G14" i="1"/>
  <c r="G18" i="1"/>
  <c r="G35" i="1"/>
  <c r="G43" i="1"/>
  <c r="G60" i="1"/>
  <c r="G72" i="1"/>
  <c r="G82" i="1"/>
  <c r="G86" i="1"/>
  <c r="G106" i="1"/>
  <c r="G110" i="1"/>
  <c r="G119" i="1"/>
  <c r="G123" i="1"/>
  <c r="G139" i="1"/>
  <c r="G147" i="1"/>
  <c r="G161" i="1"/>
  <c r="G176" i="1"/>
  <c r="G190" i="1"/>
  <c r="G199" i="1"/>
  <c r="G203" i="1"/>
  <c r="G227" i="1"/>
  <c r="G231" i="1"/>
  <c r="G229" i="1"/>
  <c r="G233" i="1"/>
  <c r="G237" i="1"/>
  <c r="G247" i="1"/>
  <c r="G255" i="1"/>
  <c r="G263" i="1"/>
  <c r="G222" i="1"/>
  <c r="G226" i="1"/>
  <c r="G230" i="1"/>
  <c r="G234" i="1"/>
  <c r="G238" i="1"/>
  <c r="G244" i="1"/>
  <c r="G248" i="1"/>
  <c r="G252" i="1"/>
  <c r="G256" i="1"/>
  <c r="G260" i="1"/>
  <c r="G264" i="1"/>
  <c r="G235" i="1"/>
  <c r="G245" i="1"/>
  <c r="G249" i="1"/>
  <c r="G261" i="1"/>
  <c r="G265" i="1"/>
  <c r="X103" i="4"/>
  <c r="X8" i="4" s="1"/>
  <c r="X162" i="4" s="1"/>
  <c r="U20" i="4"/>
  <c r="AJ84" i="4"/>
  <c r="K103" i="4"/>
  <c r="K161" i="4" s="1"/>
  <c r="AJ82" i="4"/>
  <c r="G83" i="4"/>
  <c r="G79" i="4" s="1"/>
  <c r="F54" i="4"/>
  <c r="AJ55" i="4"/>
  <c r="AB103" i="4"/>
  <c r="AB8" i="4" s="1"/>
  <c r="AB162" i="4" s="1"/>
  <c r="J103" i="4"/>
  <c r="J8" i="4" s="1"/>
  <c r="J162" i="4" s="1"/>
  <c r="I103" i="4"/>
  <c r="I8" i="4" s="1"/>
  <c r="I162" i="4" s="1"/>
  <c r="Q103" i="4"/>
  <c r="Q161" i="4" s="1"/>
  <c r="F107" i="4"/>
  <c r="AJ109" i="4"/>
  <c r="AA103" i="4"/>
  <c r="AA8" i="4" s="1"/>
  <c r="AA162" i="4" s="1"/>
  <c r="W103" i="4"/>
  <c r="W8" i="4" s="1"/>
  <c r="W162" i="4" s="1"/>
  <c r="U93" i="4"/>
  <c r="F93" i="4"/>
  <c r="G106" i="4"/>
  <c r="G105" i="4" s="1"/>
  <c r="F17" i="4"/>
  <c r="AJ18" i="4"/>
  <c r="M103" i="4"/>
  <c r="M161" i="4" s="1"/>
  <c r="F156" i="4"/>
  <c r="AJ157" i="4"/>
  <c r="V16" i="4"/>
  <c r="V15" i="4" s="1"/>
  <c r="F30" i="4"/>
  <c r="AJ31" i="4"/>
  <c r="F90" i="4"/>
  <c r="AJ91" i="4"/>
  <c r="S103" i="4"/>
  <c r="S8" i="4" s="1"/>
  <c r="S162" i="4" s="1"/>
  <c r="AE103" i="4"/>
  <c r="AE8" i="4" s="1"/>
  <c r="AE162" i="4" s="1"/>
  <c r="AJ13" i="4"/>
  <c r="F33" i="4"/>
  <c r="AJ34" i="4"/>
  <c r="AJ57" i="4"/>
  <c r="AD103" i="4"/>
  <c r="AD8" i="4" s="1"/>
  <c r="AD162" i="4" s="1"/>
  <c r="L103" i="4"/>
  <c r="L8" i="4" s="1"/>
  <c r="L162" i="4" s="1"/>
  <c r="Z103" i="4"/>
  <c r="Z161" i="4" s="1"/>
  <c r="H103" i="4"/>
  <c r="H8" i="4" s="1"/>
  <c r="H162" i="4" s="1"/>
  <c r="O103" i="4"/>
  <c r="O8" i="4" s="1"/>
  <c r="O162" i="4" s="1"/>
  <c r="AF103" i="4"/>
  <c r="AF161" i="4" s="1"/>
  <c r="Y103" i="4"/>
  <c r="Y8" i="4" s="1"/>
  <c r="Y162" i="4" s="1"/>
  <c r="AH103" i="4"/>
  <c r="AH8" i="4" s="1"/>
  <c r="AH162" i="4" s="1"/>
  <c r="N103" i="4"/>
  <c r="N8" i="4" s="1"/>
  <c r="N162" i="4" s="1"/>
  <c r="AG103" i="4"/>
  <c r="AG8" i="4" s="1"/>
  <c r="AG162" i="4" s="1"/>
  <c r="R103" i="4"/>
  <c r="R8" i="4" s="1"/>
  <c r="R162" i="4" s="1"/>
  <c r="AC103" i="4"/>
  <c r="AC8" i="4" s="1"/>
  <c r="AC162" i="4" s="1"/>
  <c r="J74" i="1"/>
  <c r="I77" i="1"/>
  <c r="G77" i="1" s="1"/>
  <c r="I38" i="1"/>
  <c r="G38" i="1" s="1"/>
  <c r="BC91" i="1"/>
  <c r="BM13" i="1"/>
  <c r="G13" i="1" s="1"/>
  <c r="J64" i="1"/>
  <c r="J91" i="1"/>
  <c r="J98" i="1"/>
  <c r="J240" i="1"/>
  <c r="I68" i="1"/>
  <c r="G68" i="1" s="1"/>
  <c r="I93" i="1"/>
  <c r="I99" i="1"/>
  <c r="G99" i="1" s="1"/>
  <c r="I242" i="1"/>
  <c r="G242" i="1" s="1"/>
  <c r="J11" i="1"/>
  <c r="J137" i="1"/>
  <c r="BD91" i="1"/>
  <c r="J299" i="1"/>
  <c r="J26" i="1"/>
  <c r="I12" i="1"/>
  <c r="I11" i="1" s="1"/>
  <c r="I27" i="1"/>
  <c r="G27" i="1" s="1"/>
  <c r="BC12" i="1"/>
  <c r="BC11" i="1" s="1"/>
  <c r="BM91" i="1"/>
  <c r="AP91" i="1"/>
  <c r="AD91" i="1"/>
  <c r="K267" i="1"/>
  <c r="K299" i="1" s="1"/>
  <c r="L267" i="1"/>
  <c r="L299" i="1" s="1"/>
  <c r="M267" i="1"/>
  <c r="M299" i="1" s="1"/>
  <c r="N267" i="1"/>
  <c r="N299" i="1" s="1"/>
  <c r="O267" i="1"/>
  <c r="O299" i="1" s="1"/>
  <c r="P267" i="1"/>
  <c r="P299" i="1" s="1"/>
  <c r="Q267" i="1"/>
  <c r="Q299" i="1" s="1"/>
  <c r="R267" i="1"/>
  <c r="R299" i="1" s="1"/>
  <c r="S267" i="1"/>
  <c r="S299" i="1" s="1"/>
  <c r="T267" i="1"/>
  <c r="T299" i="1" s="1"/>
  <c r="W267" i="1"/>
  <c r="W299" i="1" s="1"/>
  <c r="AB267" i="1"/>
  <c r="AB299" i="1" s="1"/>
  <c r="AE267" i="1"/>
  <c r="AE299" i="1" s="1"/>
  <c r="AF267" i="1"/>
  <c r="AF299" i="1" s="1"/>
  <c r="AG267" i="1"/>
  <c r="AG299" i="1" s="1"/>
  <c r="AH267" i="1"/>
  <c r="AH299" i="1" s="1"/>
  <c r="AI267" i="1"/>
  <c r="AI299" i="1" s="1"/>
  <c r="AJ267" i="1"/>
  <c r="AJ299" i="1" s="1"/>
  <c r="AN267" i="1"/>
  <c r="AN299" i="1" s="1"/>
  <c r="AO267" i="1"/>
  <c r="AO299" i="1" s="1"/>
  <c r="AP299" i="1"/>
  <c r="AQ267" i="1"/>
  <c r="AQ299" i="1" s="1"/>
  <c r="AR267" i="1"/>
  <c r="AR299" i="1" s="1"/>
  <c r="AS267" i="1"/>
  <c r="AS299" i="1" s="1"/>
  <c r="AT267" i="1"/>
  <c r="AT299" i="1" s="1"/>
  <c r="AU267" i="1"/>
  <c r="AU299" i="1" s="1"/>
  <c r="AV267" i="1"/>
  <c r="AV299" i="1" s="1"/>
  <c r="AZ267" i="1"/>
  <c r="AZ299" i="1" s="1"/>
  <c r="BA267" i="1"/>
  <c r="BA299" i="1" s="1"/>
  <c r="BB267" i="1"/>
  <c r="BB299" i="1" s="1"/>
  <c r="BD267" i="1"/>
  <c r="BD299" i="1" s="1"/>
  <c r="BE267" i="1"/>
  <c r="BE299" i="1" s="1"/>
  <c r="BF267" i="1"/>
  <c r="BF299" i="1" s="1"/>
  <c r="BG267" i="1"/>
  <c r="BG299" i="1" s="1"/>
  <c r="BH267" i="1"/>
  <c r="BH299" i="1" s="1"/>
  <c r="BI267" i="1"/>
  <c r="BI299" i="1" s="1"/>
  <c r="BJ267" i="1"/>
  <c r="BJ299" i="1" s="1"/>
  <c r="BK267" i="1"/>
  <c r="BK299" i="1" s="1"/>
  <c r="BL267" i="1"/>
  <c r="BL299" i="1" s="1"/>
  <c r="BM267" i="1"/>
  <c r="BN267" i="1"/>
  <c r="BN299" i="1" s="1"/>
  <c r="BO267" i="1"/>
  <c r="BO299" i="1" s="1"/>
  <c r="BP267" i="1"/>
  <c r="BP299" i="1" s="1"/>
  <c r="BQ267" i="1"/>
  <c r="BQ299" i="1" s="1"/>
  <c r="BR267" i="1"/>
  <c r="BR299" i="1" s="1"/>
  <c r="BS267" i="1"/>
  <c r="BS299" i="1" s="1"/>
  <c r="BW267" i="1"/>
  <c r="BW299" i="1" s="1"/>
  <c r="K240" i="1"/>
  <c r="L240" i="1"/>
  <c r="M240" i="1"/>
  <c r="N240" i="1"/>
  <c r="O240" i="1"/>
  <c r="P240" i="1"/>
  <c r="Q240" i="1"/>
  <c r="R240" i="1"/>
  <c r="S240" i="1"/>
  <c r="T240" i="1"/>
  <c r="W240" i="1"/>
  <c r="AB240" i="1"/>
  <c r="AC240" i="1"/>
  <c r="AD240" i="1"/>
  <c r="AE240" i="1"/>
  <c r="AF240" i="1"/>
  <c r="AG240" i="1"/>
  <c r="AH240" i="1"/>
  <c r="AI240" i="1"/>
  <c r="AJ240" i="1"/>
  <c r="AN240" i="1"/>
  <c r="AO240" i="1"/>
  <c r="AP240" i="1"/>
  <c r="AQ240" i="1"/>
  <c r="AR240" i="1"/>
  <c r="AS240" i="1"/>
  <c r="AT240" i="1"/>
  <c r="AU240" i="1"/>
  <c r="AV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W240" i="1"/>
  <c r="I137" i="1"/>
  <c r="K137" i="1"/>
  <c r="L137" i="1"/>
  <c r="M137" i="1"/>
  <c r="N137" i="1"/>
  <c r="O137" i="1"/>
  <c r="P137" i="1"/>
  <c r="Q137" i="1"/>
  <c r="R137" i="1"/>
  <c r="S137" i="1"/>
  <c r="T137" i="1"/>
  <c r="W137" i="1"/>
  <c r="AB137" i="1"/>
  <c r="AC137" i="1"/>
  <c r="AD137" i="1"/>
  <c r="AE137" i="1"/>
  <c r="AF137" i="1"/>
  <c r="AG137" i="1"/>
  <c r="AH137" i="1"/>
  <c r="AI137" i="1"/>
  <c r="AJ137" i="1"/>
  <c r="AN137" i="1"/>
  <c r="AO137" i="1"/>
  <c r="AP137" i="1"/>
  <c r="AQ137" i="1"/>
  <c r="AR137" i="1"/>
  <c r="AS137" i="1"/>
  <c r="AT137" i="1"/>
  <c r="AU137" i="1"/>
  <c r="AV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W137" i="1"/>
  <c r="K98" i="1"/>
  <c r="L98" i="1"/>
  <c r="M98" i="1"/>
  <c r="N98" i="1"/>
  <c r="O98" i="1"/>
  <c r="P98" i="1"/>
  <c r="Q98" i="1"/>
  <c r="R98" i="1"/>
  <c r="S98" i="1"/>
  <c r="T98" i="1"/>
  <c r="W98" i="1"/>
  <c r="AB98" i="1"/>
  <c r="AC98" i="1"/>
  <c r="AD98" i="1"/>
  <c r="AE98" i="1"/>
  <c r="AF98" i="1"/>
  <c r="AG98" i="1"/>
  <c r="AH98" i="1"/>
  <c r="AI98" i="1"/>
  <c r="AJ98" i="1"/>
  <c r="AN98" i="1"/>
  <c r="AO98" i="1"/>
  <c r="AP98" i="1"/>
  <c r="AQ98" i="1"/>
  <c r="AR98" i="1"/>
  <c r="AS98" i="1"/>
  <c r="AT98" i="1"/>
  <c r="AU98" i="1"/>
  <c r="AV98" i="1"/>
  <c r="AZ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W98" i="1"/>
  <c r="K74" i="1"/>
  <c r="L74" i="1"/>
  <c r="M74" i="1"/>
  <c r="N74" i="1"/>
  <c r="O74" i="1"/>
  <c r="P74" i="1"/>
  <c r="Q74" i="1"/>
  <c r="R74" i="1"/>
  <c r="S74" i="1"/>
  <c r="T74" i="1"/>
  <c r="W74" i="1"/>
  <c r="AB74" i="1"/>
  <c r="AC74" i="1"/>
  <c r="AD74" i="1"/>
  <c r="AE74" i="1"/>
  <c r="AF74" i="1"/>
  <c r="AG74" i="1"/>
  <c r="AH74" i="1"/>
  <c r="AI74" i="1"/>
  <c r="AJ74" i="1"/>
  <c r="AN74" i="1"/>
  <c r="AO74" i="1"/>
  <c r="AP74" i="1"/>
  <c r="AQ74" i="1"/>
  <c r="AR74" i="1"/>
  <c r="AS74" i="1"/>
  <c r="AT74" i="1"/>
  <c r="AU74" i="1"/>
  <c r="AV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W74" i="1"/>
  <c r="K64" i="1"/>
  <c r="L64" i="1"/>
  <c r="M64" i="1"/>
  <c r="N64" i="1"/>
  <c r="O64" i="1"/>
  <c r="P64" i="1"/>
  <c r="Q64" i="1"/>
  <c r="R64" i="1"/>
  <c r="S64" i="1"/>
  <c r="T64" i="1"/>
  <c r="W64" i="1"/>
  <c r="AB64" i="1"/>
  <c r="AC64" i="1"/>
  <c r="AD64" i="1"/>
  <c r="AE64" i="1"/>
  <c r="AF64" i="1"/>
  <c r="AG64" i="1"/>
  <c r="AH64" i="1"/>
  <c r="AI64" i="1"/>
  <c r="AJ64" i="1"/>
  <c r="AN64" i="1"/>
  <c r="AO64" i="1"/>
  <c r="AP64" i="1"/>
  <c r="AQ64" i="1"/>
  <c r="AR64" i="1"/>
  <c r="AS64" i="1"/>
  <c r="AT64" i="1"/>
  <c r="AU64" i="1"/>
  <c r="AV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W64" i="1"/>
  <c r="K34" i="1"/>
  <c r="L34" i="1"/>
  <c r="M34" i="1"/>
  <c r="N34" i="1"/>
  <c r="O34" i="1"/>
  <c r="P34" i="1"/>
  <c r="Q34" i="1"/>
  <c r="R34" i="1"/>
  <c r="S34" i="1"/>
  <c r="T34" i="1"/>
  <c r="AB34" i="1"/>
  <c r="AC34" i="1"/>
  <c r="AD34" i="1"/>
  <c r="AE34" i="1"/>
  <c r="AF34" i="1"/>
  <c r="AG34" i="1"/>
  <c r="AH34" i="1"/>
  <c r="AI34" i="1"/>
  <c r="AJ34" i="1"/>
  <c r="AN34" i="1"/>
  <c r="AO34" i="1"/>
  <c r="AP34" i="1"/>
  <c r="AQ34" i="1"/>
  <c r="AR34" i="1"/>
  <c r="AS34" i="1"/>
  <c r="AT34" i="1"/>
  <c r="AU34" i="1"/>
  <c r="AV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W34" i="1"/>
  <c r="K26" i="1"/>
  <c r="L26" i="1"/>
  <c r="M26" i="1"/>
  <c r="N26" i="1"/>
  <c r="O26" i="1"/>
  <c r="P26" i="1"/>
  <c r="Q26" i="1"/>
  <c r="R26" i="1"/>
  <c r="S26" i="1"/>
  <c r="T26" i="1"/>
  <c r="W26" i="1"/>
  <c r="AB26" i="1"/>
  <c r="AC26" i="1"/>
  <c r="AD26" i="1"/>
  <c r="AE26" i="1"/>
  <c r="AF26" i="1"/>
  <c r="AG26" i="1"/>
  <c r="AH26" i="1"/>
  <c r="AI26" i="1"/>
  <c r="AJ26" i="1"/>
  <c r="AN26" i="1"/>
  <c r="AO26" i="1"/>
  <c r="AP26" i="1"/>
  <c r="AQ26" i="1"/>
  <c r="AR26" i="1"/>
  <c r="AS26" i="1"/>
  <c r="AT26" i="1"/>
  <c r="AU26" i="1"/>
  <c r="AV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W26" i="1"/>
  <c r="H26" i="1"/>
  <c r="K11" i="1"/>
  <c r="L11" i="1"/>
  <c r="M11" i="1"/>
  <c r="N11" i="1"/>
  <c r="O11" i="1"/>
  <c r="P11" i="1"/>
  <c r="Q11" i="1"/>
  <c r="R11" i="1"/>
  <c r="S11" i="1"/>
  <c r="T11" i="1"/>
  <c r="W11" i="1"/>
  <c r="AB11" i="1"/>
  <c r="AC11" i="1"/>
  <c r="AD11" i="1"/>
  <c r="AE11" i="1"/>
  <c r="AF11" i="1"/>
  <c r="AG11" i="1"/>
  <c r="AH11" i="1"/>
  <c r="AI11" i="1"/>
  <c r="AJ11" i="1"/>
  <c r="AN11" i="1"/>
  <c r="AO11" i="1"/>
  <c r="AP11" i="1"/>
  <c r="AQ11" i="1"/>
  <c r="AR11" i="1"/>
  <c r="AS11" i="1"/>
  <c r="AT11" i="1"/>
  <c r="AU11" i="1"/>
  <c r="AV11" i="1"/>
  <c r="AZ11" i="1"/>
  <c r="BA11" i="1"/>
  <c r="BB11" i="1"/>
  <c r="BD11" i="1"/>
  <c r="BE11" i="1"/>
  <c r="BF11" i="1"/>
  <c r="BG11" i="1"/>
  <c r="BH11" i="1"/>
  <c r="BI11" i="1"/>
  <c r="BJ11" i="1"/>
  <c r="BK11" i="1"/>
  <c r="BL11" i="1"/>
  <c r="BN11" i="1"/>
  <c r="BO11" i="1"/>
  <c r="BP11" i="1"/>
  <c r="BQ11" i="1"/>
  <c r="BR11" i="1"/>
  <c r="BS11" i="1"/>
  <c r="BW11" i="1"/>
  <c r="H11" i="1"/>
  <c r="F137" i="1" l="1"/>
  <c r="AJ93" i="4"/>
  <c r="AJ20" i="4"/>
  <c r="AJ30" i="4"/>
  <c r="F155" i="4"/>
  <c r="F16" i="4"/>
  <c r="AJ68" i="4"/>
  <c r="D4" i="5"/>
  <c r="F11" i="4"/>
  <c r="AJ12" i="4"/>
  <c r="AJ156" i="4"/>
  <c r="U16" i="4"/>
  <c r="F29" i="4"/>
  <c r="AJ70" i="4"/>
  <c r="AJ23" i="4"/>
  <c r="U155" i="4"/>
  <c r="U26" i="4"/>
  <c r="AJ17" i="4"/>
  <c r="U83" i="4"/>
  <c r="AJ80" i="4"/>
  <c r="AJ90" i="4"/>
  <c r="U11" i="4"/>
  <c r="AJ107" i="4"/>
  <c r="U105" i="4"/>
  <c r="AJ61" i="4"/>
  <c r="AJ54" i="4"/>
  <c r="U53" i="4"/>
  <c r="U37" i="4"/>
  <c r="F32" i="4"/>
  <c r="AJ33" i="4"/>
  <c r="U32" i="4"/>
  <c r="I240" i="1"/>
  <c r="G240" i="1" s="1"/>
  <c r="N297" i="1"/>
  <c r="BA297" i="1"/>
  <c r="O161" i="4"/>
  <c r="I74" i="1"/>
  <c r="G74" i="1" s="1"/>
  <c r="V103" i="4"/>
  <c r="V8" i="4" s="1"/>
  <c r="V162" i="4" s="1"/>
  <c r="BM11" i="1"/>
  <c r="BM300" i="1" s="1"/>
  <c r="I34" i="1"/>
  <c r="G34" i="1" s="1"/>
  <c r="F83" i="4"/>
  <c r="G103" i="4"/>
  <c r="G161" i="4" s="1"/>
  <c r="W161" i="4"/>
  <c r="I98" i="1"/>
  <c r="G98" i="1" s="1"/>
  <c r="I26" i="1"/>
  <c r="G26" i="1" s="1"/>
  <c r="I64" i="1"/>
  <c r="G64" i="1" s="1"/>
  <c r="G137" i="1"/>
  <c r="BM299" i="1"/>
  <c r="BR300" i="1"/>
  <c r="BN300" i="1"/>
  <c r="BJ300" i="1"/>
  <c r="BF300" i="1"/>
  <c r="BB300" i="1"/>
  <c r="AU300" i="1"/>
  <c r="AQ300" i="1"/>
  <c r="AJ300" i="1"/>
  <c r="AF300" i="1"/>
  <c r="AB300" i="1"/>
  <c r="R300" i="1"/>
  <c r="N300" i="1"/>
  <c r="BQ297" i="1"/>
  <c r="BI298" i="1"/>
  <c r="BE297" i="1"/>
  <c r="AT297" i="1"/>
  <c r="AI298" i="1"/>
  <c r="W298" i="1"/>
  <c r="Q298" i="1"/>
  <c r="M298" i="1"/>
  <c r="AZ297" i="1"/>
  <c r="AS297" i="1"/>
  <c r="AH298" i="1"/>
  <c r="T298" i="1"/>
  <c r="P298" i="1"/>
  <c r="L298" i="1"/>
  <c r="AN297" i="1"/>
  <c r="AG297" i="1"/>
  <c r="G12" i="1"/>
  <c r="I91" i="1"/>
  <c r="G91" i="1" s="1"/>
  <c r="G93" i="1"/>
  <c r="J298" i="1"/>
  <c r="J297" i="1"/>
  <c r="AD161" i="4"/>
  <c r="K8" i="4"/>
  <c r="K162" i="4" s="1"/>
  <c r="I161" i="4"/>
  <c r="Y161" i="4"/>
  <c r="Z8" i="4"/>
  <c r="Z162" i="4" s="1"/>
  <c r="P161" i="4"/>
  <c r="J161" i="4"/>
  <c r="AF8" i="4"/>
  <c r="AF162" i="4" s="1"/>
  <c r="X161" i="4"/>
  <c r="AB161" i="4"/>
  <c r="Q8" i="4"/>
  <c r="Q162" i="4" s="1"/>
  <c r="N161" i="4"/>
  <c r="S161" i="4"/>
  <c r="M8" i="4"/>
  <c r="M162" i="4" s="1"/>
  <c r="L161" i="4"/>
  <c r="AH161" i="4"/>
  <c r="AE161" i="4"/>
  <c r="AA161" i="4"/>
  <c r="R161" i="4"/>
  <c r="AC161" i="4"/>
  <c r="H161" i="4"/>
  <c r="AG161" i="4"/>
  <c r="AB297" i="1"/>
  <c r="R297" i="1"/>
  <c r="F11" i="1"/>
  <c r="BQ300" i="1"/>
  <c r="BI300" i="1"/>
  <c r="BE300" i="1"/>
  <c r="BA300" i="1"/>
  <c r="AT300" i="1"/>
  <c r="AP300" i="1"/>
  <c r="AI300" i="1"/>
  <c r="AE300" i="1"/>
  <c r="W300" i="1"/>
  <c r="Q300" i="1"/>
  <c r="M300" i="1"/>
  <c r="F26" i="1"/>
  <c r="BW297" i="1"/>
  <c r="BP297" i="1"/>
  <c r="BH297" i="1"/>
  <c r="AH297" i="1"/>
  <c r="T297" i="1"/>
  <c r="P297" i="1"/>
  <c r="L297" i="1"/>
  <c r="BC299" i="1"/>
  <c r="J300" i="1"/>
  <c r="BR297" i="1"/>
  <c r="BW300" i="1"/>
  <c r="BP300" i="1"/>
  <c r="BL300" i="1"/>
  <c r="BH300" i="1"/>
  <c r="BD300" i="1"/>
  <c r="AZ300" i="1"/>
  <c r="AS300" i="1"/>
  <c r="AO300" i="1"/>
  <c r="AH300" i="1"/>
  <c r="T300" i="1"/>
  <c r="P300" i="1"/>
  <c r="L300" i="1"/>
  <c r="BS297" i="1"/>
  <c r="BO297" i="1"/>
  <c r="BK297" i="1"/>
  <c r="BG297" i="1"/>
  <c r="AV297" i="1"/>
  <c r="AR297" i="1"/>
  <c r="AN298" i="1"/>
  <c r="AG298" i="1"/>
  <c r="S297" i="1"/>
  <c r="O297" i="1"/>
  <c r="K297" i="1"/>
  <c r="BS300" i="1"/>
  <c r="BO300" i="1"/>
  <c r="BK300" i="1"/>
  <c r="BG300" i="1"/>
  <c r="BC300" i="1"/>
  <c r="AV300" i="1"/>
  <c r="AR300" i="1"/>
  <c r="AN300" i="1"/>
  <c r="AG300" i="1"/>
  <c r="S300" i="1"/>
  <c r="O300" i="1"/>
  <c r="K300" i="1"/>
  <c r="BR298" i="1"/>
  <c r="BJ297" i="1"/>
  <c r="BF297" i="1"/>
  <c r="AU297" i="1"/>
  <c r="AJ298" i="1"/>
  <c r="AF298" i="1"/>
  <c r="AB298" i="1"/>
  <c r="R298" i="1"/>
  <c r="N298" i="1"/>
  <c r="BN297" i="1"/>
  <c r="BN298" i="1"/>
  <c r="BD297" i="1"/>
  <c r="BC297" i="1"/>
  <c r="AP297" i="1"/>
  <c r="AQ297" i="1"/>
  <c r="AD297" i="1"/>
  <c r="AE298" i="1"/>
  <c r="BQ298" i="1"/>
  <c r="BE298" i="1"/>
  <c r="AS298" i="1"/>
  <c r="BI297" i="1"/>
  <c r="AE297" i="1"/>
  <c r="BW298" i="1"/>
  <c r="BP298" i="1"/>
  <c r="BH298" i="1"/>
  <c r="BD298" i="1"/>
  <c r="AV298" i="1"/>
  <c r="AR298" i="1"/>
  <c r="S298" i="1"/>
  <c r="O298" i="1"/>
  <c r="K298" i="1"/>
  <c r="AJ297" i="1"/>
  <c r="AF297" i="1"/>
  <c r="W297" i="1"/>
  <c r="Q297" i="1"/>
  <c r="M297" i="1"/>
  <c r="AZ298" i="1"/>
  <c r="BS298" i="1"/>
  <c r="BO298" i="1"/>
  <c r="BK298" i="1"/>
  <c r="BG298" i="1"/>
  <c r="BC298" i="1"/>
  <c r="D5" i="5" s="1"/>
  <c r="AU298" i="1"/>
  <c r="AQ298" i="1"/>
  <c r="AI297" i="1"/>
  <c r="BJ298" i="1"/>
  <c r="BF298" i="1"/>
  <c r="AT298" i="1"/>
  <c r="AP298" i="1"/>
  <c r="AJ16" i="4" l="1"/>
  <c r="AJ15" i="4" s="1"/>
  <c r="F26" i="4"/>
  <c r="AJ155" i="4"/>
  <c r="F10" i="4"/>
  <c r="F148" i="4"/>
  <c r="U10" i="4"/>
  <c r="AJ83" i="4"/>
  <c r="U148" i="4"/>
  <c r="U15" i="4"/>
  <c r="AJ11" i="4"/>
  <c r="F15" i="4"/>
  <c r="AJ29" i="4"/>
  <c r="F79" i="4"/>
  <c r="U50" i="4"/>
  <c r="AJ32" i="4"/>
  <c r="V161" i="4"/>
  <c r="I268" i="1"/>
  <c r="H267" i="1"/>
  <c r="BM298" i="1"/>
  <c r="G11" i="1"/>
  <c r="BM297" i="1"/>
  <c r="I297" i="1"/>
  <c r="G8" i="4"/>
  <c r="G162" i="4" s="1"/>
  <c r="E143" i="4"/>
  <c r="F143" i="4" s="1"/>
  <c r="D9" i="5" l="1"/>
  <c r="AJ148" i="4"/>
  <c r="AJ26" i="4"/>
  <c r="AJ10" i="4"/>
  <c r="AJ143" i="4"/>
  <c r="H299" i="1"/>
  <c r="I267" i="1"/>
  <c r="AI131" i="4"/>
  <c r="AI57" i="4"/>
  <c r="I299" i="1" l="1"/>
  <c r="I298" i="1"/>
  <c r="I300" i="1"/>
  <c r="F268" i="1"/>
  <c r="E127" i="4"/>
  <c r="F127" i="4" s="1"/>
  <c r="F122" i="4" l="1"/>
  <c r="AC267" i="1"/>
  <c r="G268" i="1"/>
  <c r="AJ127" i="4"/>
  <c r="AI77" i="4"/>
  <c r="AD267" i="1" l="1"/>
  <c r="B10" i="5"/>
  <c r="AC299" i="1"/>
  <c r="AC300" i="1"/>
  <c r="F267" i="1"/>
  <c r="F299" i="1" s="1"/>
  <c r="AI69" i="4"/>
  <c r="AD299" i="1" l="1"/>
  <c r="AD300" i="1"/>
  <c r="AD298" i="1"/>
  <c r="G267" i="1"/>
  <c r="F115" i="4"/>
  <c r="G299" i="1" l="1"/>
  <c r="G300" i="1"/>
  <c r="AJ115" i="4"/>
  <c r="F111" i="4"/>
  <c r="T100" i="4"/>
  <c r="U100" i="4" s="1"/>
  <c r="F106" i="4" l="1"/>
  <c r="AJ111" i="4"/>
  <c r="U97" i="4"/>
  <c r="AJ100" i="4"/>
  <c r="T78" i="4"/>
  <c r="U78" i="4" s="1"/>
  <c r="U79" i="4" l="1"/>
  <c r="AJ97" i="4"/>
  <c r="AJ106" i="4"/>
  <c r="F105" i="4"/>
  <c r="AJ78" i="4"/>
  <c r="U75" i="4"/>
  <c r="E133" i="4"/>
  <c r="AJ79" i="4" l="1"/>
  <c r="AJ105" i="4"/>
  <c r="AJ75" i="4"/>
  <c r="U103" i="4"/>
  <c r="AJ133" i="4"/>
  <c r="E156" i="4"/>
  <c r="AJ122" i="4" l="1"/>
  <c r="B9" i="5" s="1"/>
  <c r="B11" i="5"/>
  <c r="U161" i="4"/>
  <c r="U8" i="4"/>
  <c r="U162" i="4" s="1"/>
  <c r="E58" i="4"/>
  <c r="F58" i="4" s="1"/>
  <c r="AJ58" i="4" l="1"/>
  <c r="F56" i="4"/>
  <c r="E52" i="4"/>
  <c r="F52" i="4" s="1"/>
  <c r="F53" i="4" l="1"/>
  <c r="AJ56" i="4"/>
  <c r="F51" i="4"/>
  <c r="AJ52" i="4"/>
  <c r="E67" i="4"/>
  <c r="F67" i="4" s="1"/>
  <c r="E66" i="4"/>
  <c r="F66" i="4" s="1"/>
  <c r="E65" i="4"/>
  <c r="F65" i="4" s="1"/>
  <c r="E49" i="4"/>
  <c r="F49" i="4" s="1"/>
  <c r="E44" i="4"/>
  <c r="F44" i="4" s="1"/>
  <c r="AJ67" i="4" l="1"/>
  <c r="AJ66" i="4"/>
  <c r="AJ53" i="4"/>
  <c r="AJ51" i="4"/>
  <c r="F50" i="4"/>
  <c r="AJ49" i="4"/>
  <c r="F48" i="4"/>
  <c r="F64" i="4"/>
  <c r="AJ65" i="4"/>
  <c r="AJ44" i="4"/>
  <c r="F41" i="4"/>
  <c r="E35" i="4"/>
  <c r="T35" i="4"/>
  <c r="F47" i="4" l="1"/>
  <c r="AJ41" i="4"/>
  <c r="AJ37" i="4" s="1"/>
  <c r="AJ48" i="4"/>
  <c r="F59" i="4"/>
  <c r="AJ64" i="4"/>
  <c r="AJ50" i="4"/>
  <c r="F37" i="4"/>
  <c r="E56" i="4"/>
  <c r="T56" i="4"/>
  <c r="E54" i="4"/>
  <c r="T54" i="4"/>
  <c r="E30" i="4"/>
  <c r="F103" i="4" l="1"/>
  <c r="F8" i="4" s="1"/>
  <c r="AJ47" i="4"/>
  <c r="AJ59" i="4"/>
  <c r="E68" i="4"/>
  <c r="T68" i="4"/>
  <c r="AI68" i="4"/>
  <c r="F161" i="4" l="1"/>
  <c r="AJ103" i="4"/>
  <c r="F162" i="4"/>
  <c r="AI78" i="4"/>
  <c r="AJ8" i="4" l="1"/>
  <c r="AJ162" i="4" s="1"/>
  <c r="B4" i="5"/>
  <c r="AJ161" i="4"/>
  <c r="AI82" i="4"/>
  <c r="AI113" i="4" l="1"/>
  <c r="AI114" i="4"/>
  <c r="AI115" i="4"/>
  <c r="AI116" i="4"/>
  <c r="E75" i="4" l="1"/>
  <c r="T80" i="4" l="1"/>
  <c r="E80" i="4"/>
  <c r="AI35" i="4" l="1"/>
  <c r="D10" i="5" l="1"/>
  <c r="AI158" i="4" l="1"/>
  <c r="AI157" i="4"/>
  <c r="AI152" i="4"/>
  <c r="AI151" i="4"/>
  <c r="AI144" i="4"/>
  <c r="AI143" i="4"/>
  <c r="AI142" i="4"/>
  <c r="AI140" i="4"/>
  <c r="AI139" i="4"/>
  <c r="AI138" i="4"/>
  <c r="AI137" i="4"/>
  <c r="AI136" i="4"/>
  <c r="AI135" i="4"/>
  <c r="AI134" i="4"/>
  <c r="AI132" i="4"/>
  <c r="AI129" i="4"/>
  <c r="AI128" i="4"/>
  <c r="AI127" i="4"/>
  <c r="AI126" i="4"/>
  <c r="AI123" i="4"/>
  <c r="AI111" i="4"/>
  <c r="AI110" i="4"/>
  <c r="AI109" i="4"/>
  <c r="AI100" i="4"/>
  <c r="AI99" i="4"/>
  <c r="AI96" i="4"/>
  <c r="AI95" i="4"/>
  <c r="AI94" i="4"/>
  <c r="AI92" i="4"/>
  <c r="AI91" i="4"/>
  <c r="AI89" i="4"/>
  <c r="AI87" i="4"/>
  <c r="AI86" i="4"/>
  <c r="AI85" i="4"/>
  <c r="AI81" i="4"/>
  <c r="AI80" i="4" s="1"/>
  <c r="AI76" i="4"/>
  <c r="AI74" i="4"/>
  <c r="AI73" i="4"/>
  <c r="AI72" i="4"/>
  <c r="AI67" i="4"/>
  <c r="AI66" i="4"/>
  <c r="AI65" i="4"/>
  <c r="AI63" i="4"/>
  <c r="AI62" i="4"/>
  <c r="AI60" i="4"/>
  <c r="AI58" i="4"/>
  <c r="AI56" i="4" s="1"/>
  <c r="AI55" i="4"/>
  <c r="AI54" i="4" s="1"/>
  <c r="AI52" i="4"/>
  <c r="AI49" i="4"/>
  <c r="AI46" i="4"/>
  <c r="AI45" i="4"/>
  <c r="AI44" i="4"/>
  <c r="AI43" i="4"/>
  <c r="AI42" i="4"/>
  <c r="AI40" i="4"/>
  <c r="AI39" i="4"/>
  <c r="AI34" i="4"/>
  <c r="AI31" i="4"/>
  <c r="AI28" i="4"/>
  <c r="AI25" i="4"/>
  <c r="AI24" i="4"/>
  <c r="AI22" i="4"/>
  <c r="AI21" i="4"/>
  <c r="AI19" i="4"/>
  <c r="AI18" i="4"/>
  <c r="AI141" i="4" l="1"/>
  <c r="AI156" i="4" l="1"/>
  <c r="AI155" i="4" s="1"/>
  <c r="D8" i="5" s="1"/>
  <c r="AI150" i="4"/>
  <c r="AI107" i="4"/>
  <c r="AI98" i="4"/>
  <c r="AI88" i="4"/>
  <c r="AI75" i="4"/>
  <c r="AI71" i="4"/>
  <c r="AI70" i="4" s="1"/>
  <c r="AI64" i="4"/>
  <c r="AI61" i="4"/>
  <c r="AI48" i="4"/>
  <c r="AI47" i="4" s="1"/>
  <c r="AI38" i="4"/>
  <c r="AI33" i="4"/>
  <c r="AI30" i="4"/>
  <c r="AI29" i="4" s="1"/>
  <c r="AI23" i="4"/>
  <c r="AI20" i="4"/>
  <c r="AI17" i="4"/>
  <c r="AI51" i="4"/>
  <c r="AI27" i="4"/>
  <c r="T156" i="4"/>
  <c r="T155" i="4" s="1"/>
  <c r="T150" i="4"/>
  <c r="T122" i="4"/>
  <c r="T111" i="4"/>
  <c r="T107" i="4"/>
  <c r="T98" i="4"/>
  <c r="T97" i="4" s="1"/>
  <c r="T93" i="4"/>
  <c r="T90" i="4"/>
  <c r="T88" i="4"/>
  <c r="T84" i="4"/>
  <c r="T75" i="4"/>
  <c r="T71" i="4"/>
  <c r="T70" i="4" s="1"/>
  <c r="T64" i="4"/>
  <c r="T61" i="4"/>
  <c r="T51" i="4"/>
  <c r="T48" i="4"/>
  <c r="T47" i="4" s="1"/>
  <c r="T41" i="4"/>
  <c r="T38" i="4"/>
  <c r="T33" i="4"/>
  <c r="T30" i="4"/>
  <c r="T29" i="4" s="1"/>
  <c r="T27" i="4"/>
  <c r="T23" i="4"/>
  <c r="T20" i="4"/>
  <c r="T17" i="4"/>
  <c r="T12" i="4"/>
  <c r="T11" i="4" s="1"/>
  <c r="T10" i="4" s="1"/>
  <c r="AI16" i="4" l="1"/>
  <c r="AI15" i="4" s="1"/>
  <c r="T32" i="4"/>
  <c r="AI32" i="4"/>
  <c r="T59" i="4"/>
  <c r="AI59" i="4"/>
  <c r="T106" i="4"/>
  <c r="T105" i="4" s="1"/>
  <c r="AI41" i="4"/>
  <c r="AI37" i="4" s="1"/>
  <c r="AI93" i="4"/>
  <c r="AI84" i="4"/>
  <c r="AI90" i="4"/>
  <c r="AI12" i="4"/>
  <c r="AI11" i="4" s="1"/>
  <c r="AI10" i="4" s="1"/>
  <c r="AI106" i="4"/>
  <c r="AI105" i="4" s="1"/>
  <c r="T37" i="4"/>
  <c r="T53" i="4"/>
  <c r="T50" i="4" s="1"/>
  <c r="T16" i="4"/>
  <c r="T15" i="4" s="1"/>
  <c r="AI53" i="4"/>
  <c r="AI50" i="4" s="1"/>
  <c r="AI26" i="4"/>
  <c r="T26" i="4"/>
  <c r="T83" i="4"/>
  <c r="T79" i="4" s="1"/>
  <c r="T148" i="4"/>
  <c r="AI148" i="4"/>
  <c r="T103" i="4" l="1"/>
  <c r="T8" i="4" s="1"/>
  <c r="T162" i="4" s="1"/>
  <c r="AI83" i="4"/>
  <c r="T161" i="4" l="1"/>
  <c r="BL298" i="1" l="1"/>
  <c r="BL297" i="1"/>
  <c r="AI133" i="4" l="1"/>
  <c r="E23" i="4" l="1"/>
  <c r="E20" i="4"/>
  <c r="E17" i="4"/>
  <c r="E16" i="4" l="1"/>
  <c r="E48" i="4" l="1"/>
  <c r="E47" i="4" s="1"/>
  <c r="E33" i="4" l="1"/>
  <c r="G297" i="1" l="1"/>
  <c r="BA298" i="1"/>
  <c r="G298" i="1" s="1"/>
  <c r="F304" i="1" s="1"/>
  <c r="E32" i="4" l="1"/>
  <c r="E53" i="4" l="1"/>
  <c r="E150" i="4" l="1"/>
  <c r="E111" i="4"/>
  <c r="E107" i="4"/>
  <c r="E98" i="4"/>
  <c r="E88" i="4"/>
  <c r="E64" i="4"/>
  <c r="E61" i="4"/>
  <c r="E51" i="4"/>
  <c r="E41" i="4"/>
  <c r="E38" i="4"/>
  <c r="E29" i="4"/>
  <c r="E27" i="4"/>
  <c r="E12" i="4"/>
  <c r="E11" i="4" s="1"/>
  <c r="E10" i="4" s="1"/>
  <c r="E59" i="4" l="1"/>
  <c r="E26" i="4"/>
  <c r="E155" i="4"/>
  <c r="E90" i="4"/>
  <c r="E97" i="4"/>
  <c r="E37" i="4"/>
  <c r="E50" i="4"/>
  <c r="E93" i="4"/>
  <c r="E71" i="4"/>
  <c r="E84" i="4"/>
  <c r="E106" i="4"/>
  <c r="E105" i="4" s="1"/>
  <c r="AI97" i="4" l="1"/>
  <c r="AI79" i="4" s="1"/>
  <c r="E148" i="4"/>
  <c r="E15" i="4"/>
  <c r="E83" i="4"/>
  <c r="E79" i="4" s="1"/>
  <c r="E70" i="4"/>
  <c r="E103" i="4" l="1"/>
  <c r="AI103" i="4"/>
  <c r="AI161" i="4" l="1"/>
  <c r="E161" i="4" l="1"/>
  <c r="BB297" i="1" l="1"/>
  <c r="BB298" i="1"/>
  <c r="AO298" i="1"/>
  <c r="AO297" i="1"/>
  <c r="AC297" i="1"/>
  <c r="AC298" i="1"/>
  <c r="B12" i="5"/>
  <c r="BX301" i="1"/>
  <c r="BA301" i="1" l="1"/>
  <c r="F91" i="1" l="1"/>
  <c r="H64" i="1" l="1"/>
  <c r="F64" i="1" s="1"/>
  <c r="H98" i="1"/>
  <c r="F98" i="1" s="1"/>
  <c r="H74" i="1"/>
  <c r="F74" i="1" s="1"/>
  <c r="B5" i="5" l="1"/>
  <c r="H240" i="1" l="1"/>
  <c r="F240" i="1" s="1"/>
  <c r="AI125" i="4" l="1"/>
  <c r="AI124" i="4" l="1"/>
  <c r="AI122" i="4" s="1"/>
  <c r="E122" i="4"/>
  <c r="E8" i="4" s="1"/>
  <c r="E162" i="4" l="1"/>
  <c r="AI8" i="4"/>
  <c r="AI162" i="4" s="1"/>
  <c r="AI164" i="4" l="1"/>
  <c r="B8" i="5" l="1"/>
  <c r="AC301" i="1" l="1"/>
  <c r="H34" i="1"/>
  <c r="H300" i="1" l="1"/>
  <c r="F34" i="1"/>
  <c r="F300" i="1" s="1"/>
  <c r="H297" i="1"/>
  <c r="F297" i="1" s="1"/>
  <c r="H298" i="1"/>
  <c r="F298" i="1" s="1"/>
  <c r="AO301" i="1"/>
  <c r="BB301" i="1"/>
  <c r="D7" i="5"/>
  <c r="B7" i="5" l="1"/>
  <c r="H301" i="1"/>
  <c r="F301" i="1" l="1"/>
</calcChain>
</file>

<file path=xl/comments1.xml><?xml version="1.0" encoding="utf-8"?>
<comments xmlns="http://schemas.openxmlformats.org/spreadsheetml/2006/main">
  <authors>
    <author>Elina Markaine</author>
  </authors>
  <commentList>
    <comment ref="AF228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R.Nr.47</t>
        </r>
      </text>
    </comment>
    <comment ref="L268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No projekta (04.1.16) uz ieņēmumu pārsniegumu</t>
        </r>
      </text>
    </comment>
    <comment ref="AF268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R. Nr.47. -23855 no MD atlikuma inter.pedag. Sporta skolai</t>
        </r>
      </text>
    </comment>
  </commentList>
</comments>
</file>

<file path=xl/comments2.xml><?xml version="1.0" encoding="utf-8"?>
<comments xmlns="http://schemas.openxmlformats.org/spreadsheetml/2006/main">
  <authors>
    <author>Elina Markaine</author>
    <author>Sandra Dzērve</author>
  </authors>
  <commentList>
    <comment ref="J58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no Ostas projekta</t>
        </r>
      </text>
    </comment>
    <comment ref="J72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LP MD asistentu pakalp.nodr. 191307 EUR</t>
        </r>
      </text>
    </comment>
    <comment ref="H78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Tehniska neprecizitāte pie budžeta sastādīšanas</t>
        </r>
      </text>
    </comment>
    <comment ref="J82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apstiprinātā budžeta tehnisks labojums</t>
        </r>
      </text>
    </comment>
    <comment ref="J99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apstiprinātā budžeta tehnisks labojums</t>
        </r>
      </text>
    </comment>
    <comment ref="H125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Domei 3681 + BJIC 1395+4940</t>
        </r>
      </text>
    </comment>
    <comment ref="I125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Domei</t>
        </r>
      </text>
    </comment>
    <comment ref="J125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BJIC -900 (09.4.5.)</t>
        </r>
      </text>
    </comment>
    <comment ref="E126" authorId="1">
      <text>
        <r>
          <rPr>
            <b/>
            <sz val="8"/>
            <color indexed="81"/>
            <rFont val="Times New Roman"/>
            <family val="1"/>
            <charset val="186"/>
          </rPr>
          <t>Sandra Dzērve:</t>
        </r>
        <r>
          <rPr>
            <sz val="8"/>
            <color indexed="81"/>
            <rFont val="Times New Roman"/>
            <family val="1"/>
            <charset val="186"/>
          </rPr>
          <t xml:space="preserve">
bijušais privatizācijas fonds</t>
        </r>
      </text>
    </comment>
    <comment ref="E133" authorId="1">
      <text>
        <r>
          <rPr>
            <b/>
            <sz val="8"/>
            <color indexed="81"/>
            <rFont val="Times New Roman"/>
            <family val="1"/>
            <charset val="186"/>
          </rPr>
          <t>Sandra Dzērve:</t>
        </r>
        <r>
          <rPr>
            <sz val="8"/>
            <color indexed="81"/>
            <rFont val="Times New Roman"/>
            <family val="1"/>
            <charset val="186"/>
          </rPr>
          <t xml:space="preserve">
58 294 € decembrī ieskaitīts par janvāri un 307 € "Atvasei" gāja pāri plānam, atstāts VK kontā</t>
        </r>
      </text>
    </comment>
    <comment ref="E141" authorId="1">
      <text>
        <r>
          <rPr>
            <b/>
            <sz val="8"/>
            <color indexed="81"/>
            <rFont val="Times New Roman"/>
            <family val="1"/>
            <charset val="186"/>
          </rPr>
          <t>Sandra Dzērve:</t>
        </r>
        <r>
          <rPr>
            <sz val="8"/>
            <color indexed="81"/>
            <rFont val="Times New Roman"/>
            <family val="1"/>
            <charset val="186"/>
          </rPr>
          <t xml:space="preserve">
zveja - ??????? €; ūdenstilpj.noma ???????€</t>
        </r>
      </text>
    </comment>
  </commentList>
</comments>
</file>

<file path=xl/sharedStrings.xml><?xml version="1.0" encoding="utf-8"?>
<sst xmlns="http://schemas.openxmlformats.org/spreadsheetml/2006/main" count="1002" uniqueCount="816">
  <si>
    <t>Kopā</t>
  </si>
  <si>
    <t>Pamatbudžets</t>
  </si>
  <si>
    <t>Maksas pakalpojumi</t>
  </si>
  <si>
    <t>Ziedojumi</t>
  </si>
  <si>
    <t>01</t>
  </si>
  <si>
    <t>Jūrmalas pilsētas dome</t>
  </si>
  <si>
    <t>03</t>
  </si>
  <si>
    <t>04</t>
  </si>
  <si>
    <t>Ekonomiskā darbība</t>
  </si>
  <si>
    <t>05</t>
  </si>
  <si>
    <t>Vides aizsardzība</t>
  </si>
  <si>
    <t>06</t>
  </si>
  <si>
    <t>07</t>
  </si>
  <si>
    <t>Veselība</t>
  </si>
  <si>
    <t>08</t>
  </si>
  <si>
    <t>Atpūta, kultūra un reliģija</t>
  </si>
  <si>
    <t>Jūrmalas pilsētas muzejs</t>
  </si>
  <si>
    <t>09</t>
  </si>
  <si>
    <t>Izglītība</t>
  </si>
  <si>
    <t>Vaivaru pamatskola</t>
  </si>
  <si>
    <t>Pumpuru vidusskola</t>
  </si>
  <si>
    <t>10</t>
  </si>
  <si>
    <t>Sociālā aizsardzība</t>
  </si>
  <si>
    <t>Kontrole 1:</t>
  </si>
  <si>
    <t>Kontrole 2:</t>
  </si>
  <si>
    <t>Kontrole 3:</t>
  </si>
  <si>
    <t>Kods</t>
  </si>
  <si>
    <t>Ieņēmumu veids</t>
  </si>
  <si>
    <t>1.0.0.0.</t>
  </si>
  <si>
    <t>IENĀKUMA NODOKĻI</t>
  </si>
  <si>
    <t>1.1.0.0.</t>
  </si>
  <si>
    <t>Ieņēmumi no iedzīvotāju ienākuma nodokļa</t>
  </si>
  <si>
    <t>1.1.1.0.</t>
  </si>
  <si>
    <t>Iedzīvotāju ienākuma nodoklis</t>
  </si>
  <si>
    <t>1.1.1.1.</t>
  </si>
  <si>
    <t>1.1.1.2.</t>
  </si>
  <si>
    <t>4.0.0.0.</t>
  </si>
  <si>
    <t>ĪPAŠUMA NODOKĻI</t>
  </si>
  <si>
    <t>4.1.0.0.</t>
  </si>
  <si>
    <t>Nekustamā īpašuma nodoklis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</si>
  <si>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</si>
  <si>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</si>
  <si>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</si>
  <si>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</si>
  <si>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>4.1.2.0.</t>
  </si>
  <si>
    <t>4.1.2.1.</t>
  </si>
  <si>
    <t>4.1.2.2.</t>
  </si>
  <si>
    <t>5.0.0.0.</t>
  </si>
  <si>
    <t>NODOKĻI PAR PAKALPOJUMIEM UN PRECĒM</t>
  </si>
  <si>
    <t>5.4.0.0.</t>
  </si>
  <si>
    <t>Nodokļi atsevišķām precēm un pakalpojumu veidiem</t>
  </si>
  <si>
    <t>5.4.1.0.</t>
  </si>
  <si>
    <t>Azartspēļu nodoklis</t>
  </si>
  <si>
    <t>5.5.0.0.</t>
  </si>
  <si>
    <t>Nodokļi un maksājumi par tiesībām lietot atsevišķas preces</t>
  </si>
  <si>
    <t>5.5.3.0.</t>
  </si>
  <si>
    <t>Dabas resursu nodoklis</t>
  </si>
  <si>
    <t>8.0.0.0.</t>
  </si>
  <si>
    <t>8.6.0.0.</t>
  </si>
  <si>
    <t>9.0.0.0.</t>
  </si>
  <si>
    <t>VALSTS (PAŠVALDĪBU) NODEVAS UN KANCELEJAS NODEVAS</t>
  </si>
  <si>
    <t>9.4.0.0.</t>
  </si>
  <si>
    <t>Valsts nodevas, kuras ieskaita pašvaldību budžetā</t>
  </si>
  <si>
    <t>9.4.5.0.</t>
  </si>
  <si>
    <t>9.4.9.0.</t>
  </si>
  <si>
    <t>9.5.0.0.</t>
  </si>
  <si>
    <t>Pašvaldību nodevas</t>
  </si>
  <si>
    <t>9.5.1.3.</t>
  </si>
  <si>
    <t>9.5.1.4.</t>
  </si>
  <si>
    <t>9.5.1.6.</t>
  </si>
  <si>
    <t>9.5.1.7.</t>
  </si>
  <si>
    <t>10.0.0.0.</t>
  </si>
  <si>
    <t>NAUDAS SODI UN SANKCIJAS</t>
  </si>
  <si>
    <t>10.1.0.0.</t>
  </si>
  <si>
    <t>Naudas sodi</t>
  </si>
  <si>
    <t>10.1.4.0.</t>
  </si>
  <si>
    <t>Naudas sodi, ko uzliek pašvaldības</t>
  </si>
  <si>
    <t>12.0.0.0.</t>
  </si>
  <si>
    <t>PĀRĒJIE NENODOKĻU IEŅĒMUMI</t>
  </si>
  <si>
    <t>12.2.0.0.</t>
  </si>
  <si>
    <t>Nenodokļu ieņēmumi un ieņēmumi no zaudējumu atlīdzībām un kompensācijām</t>
  </si>
  <si>
    <t xml:space="preserve">12.2.3.0. </t>
  </si>
  <si>
    <t>Ieņēmumi no ūdenstilpju un zvejas tiesību nomas un zvejas tiesību rūpnieciskas izmantošanas (licences)</t>
  </si>
  <si>
    <t>12.3.0.0.</t>
  </si>
  <si>
    <t>Citi dažādi nenodokļu ieņēmumi</t>
  </si>
  <si>
    <t>13.0.0.0.</t>
  </si>
  <si>
    <t>18.0.0.0.</t>
  </si>
  <si>
    <t>VALSTS BUDŽETA TRANSFERTI</t>
  </si>
  <si>
    <t>18.6.0.0.</t>
  </si>
  <si>
    <t xml:space="preserve">18.6.2.0. </t>
  </si>
  <si>
    <t>19.0.0.0.</t>
  </si>
  <si>
    <t>PAŠVALDĪBU BUDŽETU TRANSFERTI</t>
  </si>
  <si>
    <t>19.2.0.0.</t>
  </si>
  <si>
    <t>21.0.0.0.</t>
  </si>
  <si>
    <t>21.1.0.0.</t>
  </si>
  <si>
    <t>21.3.0.0.</t>
  </si>
  <si>
    <t>21.3.5.0.</t>
  </si>
  <si>
    <t>Maksa par izglītības pakalpojumiem</t>
  </si>
  <si>
    <t>21.3.5.1.</t>
  </si>
  <si>
    <t>21.3.5.2.</t>
  </si>
  <si>
    <t>Ieņēmumi no vecāku maksām</t>
  </si>
  <si>
    <t>21.3.5.9.</t>
  </si>
  <si>
    <t>21.3.7.0.</t>
  </si>
  <si>
    <t>Ieņēmumi par dokumentu izsniegšanu un kancelejas pakalpojumiem</t>
  </si>
  <si>
    <t>21.3.7.9.</t>
  </si>
  <si>
    <t>21.3.8.0.</t>
  </si>
  <si>
    <t>21.3.8.1.</t>
  </si>
  <si>
    <t>21.3.8.3.</t>
  </si>
  <si>
    <t>21.3.9.0.</t>
  </si>
  <si>
    <t>21.3.9.1.</t>
  </si>
  <si>
    <t>21.3.9.3.</t>
  </si>
  <si>
    <t>21.3.9.9.</t>
  </si>
  <si>
    <t>21.4.2.0.</t>
  </si>
  <si>
    <t>23.0.0.0.</t>
  </si>
  <si>
    <t>23.5.0.0.</t>
  </si>
  <si>
    <t>Ienākumi no valsts un pašvaldību īpašuma iznomāšanas</t>
  </si>
  <si>
    <t>Zemes noma</t>
  </si>
  <si>
    <t>Telpu noma</t>
  </si>
  <si>
    <t>Pludmales noma</t>
  </si>
  <si>
    <t>I Pamatbudžets</t>
  </si>
  <si>
    <t>Pašvaldības konsolidētie budžeta ieņēmumi</t>
  </si>
  <si>
    <t>Dažādi nenodokļu ieņēmumi</t>
  </si>
  <si>
    <t>12.3.9.0.</t>
  </si>
  <si>
    <t>12.3.9.9.</t>
  </si>
  <si>
    <t>Pārējie dažādi nenodokļu ieņēmumi, kas nav iepriekš klasificēti šajā klasifikācijā</t>
  </si>
  <si>
    <t>18.6.3.0.</t>
  </si>
  <si>
    <t>18.6.9.0.</t>
  </si>
  <si>
    <t>Mērķdotācijas pašvaldību autoceļu (ielu) fondiem</t>
  </si>
  <si>
    <t>Kopā pamatbudžeta ieņēmumi (bez kredītlīdzekļiem un atlikuma gada sākumā):</t>
  </si>
  <si>
    <t>IEŅĒMUMI NO UZŅĒMĒJDARBĪBAS UN ĪPAŠUMA</t>
  </si>
  <si>
    <t>PVN nomaksa</t>
  </si>
  <si>
    <t>Atlikums gada beigās</t>
  </si>
  <si>
    <t>Kopā izdevumi bez atlikuma gada beigās un atdotajiem kredītiem</t>
  </si>
  <si>
    <t>Pavisam kopā izdevumi</t>
  </si>
  <si>
    <t>Kopā pašvaldības konsolidētā budžeta ieņēmumi bez atlikumiem gada sākumā un plānotajiem kredītiem</t>
  </si>
  <si>
    <t>Kopā atlikums gada beigās, t.sk.:</t>
  </si>
  <si>
    <t>Atlikums no projektu līdzekļiem</t>
  </si>
  <si>
    <t>Mērķdotācija pedagogu atalgojumam</t>
  </si>
  <si>
    <t>Aizņēmumi</t>
  </si>
  <si>
    <t>Atlikums pārskaitītajam pamatkapitāla palielinājumam</t>
  </si>
  <si>
    <t>F40220010</t>
  </si>
  <si>
    <t>9.5.2.1.</t>
  </si>
  <si>
    <t>13.2.1.0.</t>
  </si>
  <si>
    <t>Ieņēmumi no zemes īpašuma pārdošanas</t>
  </si>
  <si>
    <t>13.5.0.0.</t>
  </si>
  <si>
    <t>13.5.1.0.</t>
  </si>
  <si>
    <t>13.5.2.0.</t>
  </si>
  <si>
    <t>13.5.3.0.</t>
  </si>
  <si>
    <t>Jūrmalas Valsts ģimnāzija</t>
  </si>
  <si>
    <t xml:space="preserve">Saņemts no Valsts kases sadales konta iepriekšējā gada nesadalītais iedzīvotāju ienākuma nodokļa atlikums </t>
  </si>
  <si>
    <t xml:space="preserve">Nekustamā īpašuma nodoklis par ēkām </t>
  </si>
  <si>
    <t>Pašvaldības nodeva par atpūtnieku un tūristu uzņemšanu</t>
  </si>
  <si>
    <t>Pašvaldības nodeva par tirdzniecību publiskās vietās</t>
  </si>
  <si>
    <t>Pašvaldības nodeva par transportlīdzekļu iebraukšanu īpaša režīma zonās</t>
  </si>
  <si>
    <t>Pašvaldības nodeva par reklāmas, afišu un sludinājumu izvietošanu publiskās vietās</t>
  </si>
  <si>
    <t>Mērķdotācijas pašvaldībām pasažieru regulārajiem pārvadājumiem</t>
  </si>
  <si>
    <t>Ieņēmumi par telpu nomu </t>
  </si>
  <si>
    <t>23.4.1.0.</t>
  </si>
  <si>
    <t>Juridisku personu ziedojumi un dāvinājumi naudā</t>
  </si>
  <si>
    <t>Dotācijas skolēniem ēdināšanas izdevumiem</t>
  </si>
  <si>
    <t>Nekustamā īpašuma nodokļa par ēkām  kārtējā gada maksājumi</t>
  </si>
  <si>
    <t>Nekustamā īpašuma nodokļa par ēkām parādi par iepriekšējiem gadiem</t>
  </si>
  <si>
    <t>IEŅĒMUMI NO VALSTS (PAŠVALDĪBU) ĪPAŠUMA IZNOMĀŠANAS, PĀRDOŠANAS UN NO NODOKĻU PAMATPARĀDA KAPITALIZĀCIJAS</t>
  </si>
  <si>
    <t>Jūrmalas Kultūras centrs</t>
  </si>
  <si>
    <t>Jūrmalas Bērnu un jauniešu interešu centrs</t>
  </si>
  <si>
    <t>Jūrmalas pilsētas Mežmalas vidusskola</t>
  </si>
  <si>
    <t>Jūrmalas sākumskola "Atvase"</t>
  </si>
  <si>
    <t>Jūrmalas vakara vidusskola</t>
  </si>
  <si>
    <t xml:space="preserve">                                                                                        Tāmes Nr.</t>
  </si>
  <si>
    <t>Programma</t>
  </si>
  <si>
    <t>Nozares pēc valdības funkciju klasifikācijas / Budžeta finansēta institūcija</t>
  </si>
  <si>
    <t>II Speciālais budžets</t>
  </si>
  <si>
    <t>SAŅEMTIE ZIEDOJUMI UN DĀVINĀJUMI</t>
  </si>
  <si>
    <t>Speciālā budžeta līdzekļu atlikums gada sākumā</t>
  </si>
  <si>
    <t>Saņemtie ziedojumi un dāvinājumi</t>
  </si>
  <si>
    <t xml:space="preserve">ziedojumi un dāvinājumi, kas saņemti no juridiskām personām </t>
  </si>
  <si>
    <t xml:space="preserve">ziedojumi un dāvinājumi, kas saņemti no fiziskām personām </t>
  </si>
  <si>
    <t>Ziedojumi un dāvinājumi, kas saņemti no fiziskām personām</t>
  </si>
  <si>
    <t>Vispārējie valdības dienesti</t>
  </si>
  <si>
    <t>Sabiedriskā kārtība un drošība</t>
  </si>
  <si>
    <t>Teritoriju un mājokļu apsaimniekošana</t>
  </si>
  <si>
    <t>Pašvaldības pamatbudžets</t>
  </si>
  <si>
    <t>Līdzfinansējuma un priekšfinansējuma nodrošināšana ES un citas ārvalstu finanšu palīdzības projektu īstenošanā</t>
  </si>
  <si>
    <t>Apstādījumu atjaunošanas līdzekļi</t>
  </si>
  <si>
    <t>Nekustamā īpašuma nodoklis par zemi</t>
  </si>
  <si>
    <t>4.1.1.0.</t>
  </si>
  <si>
    <t>Mācību maksa</t>
  </si>
  <si>
    <t>Pārējie ieņēmumi par izglītības pakalpojumiem</t>
  </si>
  <si>
    <t>Ieņēmumi par pārējo dokumentu izsniegšanu un pārējiem kancelejas pakalpojumiem</t>
  </si>
  <si>
    <t>Ieņēmumi no kustamā īpašuma iznomāšanas</t>
  </si>
  <si>
    <t>Ieņēmumi par nomu un īri</t>
  </si>
  <si>
    <t>Maksa par personu uzturēšanos sociālās aprūpes iestādēs</t>
  </si>
  <si>
    <t>Citi ieņēmumi par maksas pakalpojumiem</t>
  </si>
  <si>
    <t>Pamatbudžeta līdzekļu atlikums gada sākumā</t>
  </si>
  <si>
    <t>Pašvaldības budžeta līdzekļu atlikums</t>
  </si>
  <si>
    <t>Maksas pakalpojumu atlikums</t>
  </si>
  <si>
    <t>Apropriācijas rezerve</t>
  </si>
  <si>
    <t>Iestādes uzturēšana</t>
  </si>
  <si>
    <t>Iemaksas pašvaldību izlīdzināšanas fondā</t>
  </si>
  <si>
    <t>Izdevumi neparedzētiem gadījumiem</t>
  </si>
  <si>
    <t>Iebraukšanas nodevas iekasēšanas nodrošinājums</t>
  </si>
  <si>
    <t>Sociālā palīdzība</t>
  </si>
  <si>
    <t>Pretplūdu pasākumu veikšana un iestādes uzturēšanas izdevumi</t>
  </si>
  <si>
    <t>Kapsētu teritoriju apsaimniekošana</t>
  </si>
  <si>
    <t>Specializēto medicīnisko pakalpojumu līdzfinansējums</t>
  </si>
  <si>
    <t xml:space="preserve">Pilsētas kultūras un atpūtas pasākumi </t>
  </si>
  <si>
    <t>Aprūpe pašvaldības sociālās aprūpes institūcijās</t>
  </si>
  <si>
    <t>Bērnu tiesību aizsardzības nodrošināšana</t>
  </si>
  <si>
    <t>Piezīmes</t>
  </si>
  <si>
    <t>Pārējās valsts nodevas, kuras ieskaita pašvaldību budžetā</t>
  </si>
  <si>
    <t>Ieņēmumi par biļešu realizāciju</t>
  </si>
  <si>
    <t>POS termināla nodrošinājums u.c.</t>
  </si>
  <si>
    <t>Jūrmalas Centrālā bibliotēka</t>
  </si>
  <si>
    <t>Jūrmalas pilsētas bāriņtiesa</t>
  </si>
  <si>
    <t>Jūrmalas Kauguru vidusskola</t>
  </si>
  <si>
    <t>Majoru vidusskola</t>
  </si>
  <si>
    <t>Sākumskola "Ābelīte"</t>
  </si>
  <si>
    <t>Jūrmalas sākumskola "Taurenītis"</t>
  </si>
  <si>
    <t>Slokas pamatskola</t>
  </si>
  <si>
    <t>21.4.2.9.</t>
  </si>
  <si>
    <t>Ieņēmumi no ēku un būvju īpašuma pārdošanas</t>
  </si>
  <si>
    <t>13.1.0.0.</t>
  </si>
  <si>
    <t>Pārējo veselības aprūpes pakalpojumu līdzfinansējums</t>
  </si>
  <si>
    <t>Integrācijas projektu īstenošana</t>
  </si>
  <si>
    <t>Sociālā aizsardzība invaliditātes gadījumā</t>
  </si>
  <si>
    <t>Atbalsts gados veciem cilvēkiem</t>
  </si>
  <si>
    <t>Atbalsts ģimenēm ar bērniem</t>
  </si>
  <si>
    <t>Mājokļa atbalsts</t>
  </si>
  <si>
    <t>Atkarību profilakses programmu finansējums</t>
  </si>
  <si>
    <t>Pansionāta pakalpojumu sniegšana</t>
  </si>
  <si>
    <t>Nakts patversme</t>
  </si>
  <si>
    <t>Zupas virtuves pakalpojumu nodrošināšana</t>
  </si>
  <si>
    <t>13.2.0.0.</t>
  </si>
  <si>
    <t>Ieņēmumi no zemes, meža īpašuma pārdošanas</t>
  </si>
  <si>
    <t>13.4.0.0.</t>
  </si>
  <si>
    <t>Sabiedriskā transporta organizēšanas pasākumi</t>
  </si>
  <si>
    <t>Vides aizsardzības veicināšanas pasākumu vadība, regulēšana, uzraudzība</t>
  </si>
  <si>
    <t>Centralizētie pasākumi vispārējās izglītības jomā</t>
  </si>
  <si>
    <t>Pašvaldības īpašumu pārvaldīšana</t>
  </si>
  <si>
    <t>Sporta pasākumi</t>
  </si>
  <si>
    <t>Tūrisma attīstības nodrošināšanas pasākumi</t>
  </si>
  <si>
    <t>21.1.9.2.</t>
  </si>
  <si>
    <t>Ieņēmumi no citu valstu finanšu palīdzības programmu īstenošanas</t>
  </si>
  <si>
    <t>Pilsētas svētku noformējums</t>
  </si>
  <si>
    <t>Mērķdotācija pašvaldību spec. skolu izdevumiem</t>
  </si>
  <si>
    <t>Norēķini par izglītības pakalpojumiem, ko sniedz citas pašvaldības</t>
  </si>
  <si>
    <t>Atskaitījumi CSDD par apstāšanās un stāvēšanas noteikumu pārkāpumu iekasēšanas nodrošināšanu</t>
  </si>
  <si>
    <t>Pašvaldības pārziņā esošo teritoriju apsaimniekošana (kopšana un tīrīšana)</t>
  </si>
  <si>
    <t>Iestādes uzturēšana un vispārējās izglītības nodrošināšana</t>
  </si>
  <si>
    <t>Iestādes uzturēšana un pirmsskolas izglītības nodrošināšana</t>
  </si>
  <si>
    <t>Pašvaldību saņemtie valsts budžeta transferti noteiktam mērķim</t>
  </si>
  <si>
    <t>Pašvaldību no valsts budžeta iestādēm saņemtie transferti Eiropas Savienības politiku instrumentu un pārējās ārvalstu finanšu palīdzības līdzfinansētajiem projektiem (pasākumiem)</t>
  </si>
  <si>
    <t xml:space="preserve">Pārējie pašvaldību saņemtie valsts budžeta iestāžu transferti </t>
  </si>
  <si>
    <t>Pašvaldību saņemtie transferti no citām pašvaldībām</t>
  </si>
  <si>
    <t>Pašvaldību saņemtie transferti no valsts budžeta</t>
  </si>
  <si>
    <t>Vidēja termiņa un ilgtermiņa aizņēmumi</t>
  </si>
  <si>
    <t>21.4.9.9.</t>
  </si>
  <si>
    <t>Pārējie iepriekš neklasificētie pašu ieņēmumi</t>
  </si>
  <si>
    <t>21.4.0.0.</t>
  </si>
  <si>
    <t>8.3.0.0.</t>
  </si>
  <si>
    <t>8.3.9.0.</t>
  </si>
  <si>
    <t>Ieņēmumi no dividendēm (ieņēmumi no valsts (pašvaldību) kapitāla izmantošanas)</t>
  </si>
  <si>
    <t>Vidēja termiņa aizņēmumi</t>
  </si>
  <si>
    <t>Ilgtermiņa aizņēmumi</t>
  </si>
  <si>
    <t>Pirmsskolas izglītības iestāžu labiekārtošanas pasākumi</t>
  </si>
  <si>
    <t>Pilsētas kultūrvēsturiskā mantojuma saglabāšana</t>
  </si>
  <si>
    <t>Budžeta finansētas institūcijas reģistrācijas  Nr.</t>
  </si>
  <si>
    <t>Brīvpusdienu nodrošināšana</t>
  </si>
  <si>
    <t>Jūrmalas pilsētas internātpamatskola</t>
  </si>
  <si>
    <t>Iestādes uzturēšana, interešu un profesionālās ievirzes izglītības nodrošināšana</t>
  </si>
  <si>
    <t>Iestādes uzturēšana, profesionālās ievirzes izglītības nodrošināšana</t>
  </si>
  <si>
    <t>Iestādes uzturēšana un sabiedriskās kārtības nodrošināšana</t>
  </si>
  <si>
    <t>Ar ārējo sakaru attīstību saistītās starptautiskās un institucionālās sadarbības aktivitātes</t>
  </si>
  <si>
    <t>Jūrmalas Alternatīvā skola</t>
  </si>
  <si>
    <t>Kredīta atmaksa - Mācību korpusa lit.002 rekonstrukcija bez apjoma palielināšanas Dūņu ceļš 2, Jūrmalā</t>
  </si>
  <si>
    <t>Notekūdeņu apsaimniekošana (meliorācijas sistēmas apsaimniekošana)</t>
  </si>
  <si>
    <t>Reģionālā metodiskā centra un pedagogu tālākizglītības centra darbības nodrošināšana</t>
  </si>
  <si>
    <t>Iestādes uzturēšana,interešu un profesionālās ievirzes izglītības nodrošināšana</t>
  </si>
  <si>
    <t>Projekts "Atcere – totalitārisms Eiropā un vēsturiskā apziņa Eiropas kontekstā"</t>
  </si>
  <si>
    <t>Saņemts  no Valsts kases sadales konta pārskata gadā ieskaitītais iedzīvotāju ienākuma nodoklis</t>
  </si>
  <si>
    <t>Ieņēmumi no valsts un pašvaldību kustamā īpašuma un mantas realizācijas</t>
  </si>
  <si>
    <t>Kredīta atmaksa - Bērnudārza jaunbūve Tukuma ielā 9, Jūrmalā</t>
  </si>
  <si>
    <t>Kredīta atmaksa - Ēkas rekonstrukcija ar funkcijas maiņu par sociālās aprūpes ēku ar publiski pieejamām telpām 1.stāvā Skolas ielā 44</t>
  </si>
  <si>
    <t>Kredīta atmaksa - Aspazijas mājas Nr.002 restaurācija un ēkas Nr.001 rekonstrukcija, saglabājot funkciju muzejs Z.Meierovica prospektā 18/20, Jūrmalā</t>
  </si>
  <si>
    <t>Kredīta atmaksa - Jūrmalas Valsts ģimnāzijas un sākumskolas "Atvase" daudzfunkcionālās sporta halles projektēšana un celtniecība</t>
  </si>
  <si>
    <t>Kredīta atmaksa - Jūrmalas pilsētas tranzītielas P128 (Talsu šoseja/Kolkas iela) izbūve</t>
  </si>
  <si>
    <t>Sporta skolas pasākumi</t>
  </si>
  <si>
    <t>Kredīta atmaksa - Ēkas lit.002 rekonstrukcija par Mākslas skolu Strēlnieku prospektā 30 un Jāņa Poruka prospekta izbūve posmā no Friča Brīvzemnieka ielas līdz sporta zālei "Taurenītis" Jūrmalā</t>
  </si>
  <si>
    <t>Kredīta atmaksa - Kompleksi risinājumi siltumnīcefekta gāzu emisiju samazināšanai Jūrmalas pilsētas Mežmalas vidusskolā</t>
  </si>
  <si>
    <t>Aizņēmumu atmaksa F40020020</t>
  </si>
  <si>
    <t>5.5.3.1.</t>
  </si>
  <si>
    <t>Dabas resursu nodoklis par dabas resursu ieguvi un vides piesārņošanu</t>
  </si>
  <si>
    <t>Pilsētas ekonomiskās attīstības pasākumi</t>
  </si>
  <si>
    <t>Centralizēti pasākumi</t>
  </si>
  <si>
    <t>Administratīvo ēku būvniecība, atjaunošana un uzlabošana</t>
  </si>
  <si>
    <t>Glābšanas staciju būvniecība, atjaunošana un uzlabošana</t>
  </si>
  <si>
    <t>Publisku teritoriju, ēku un mājokļu būvniecība, atjaunošana un uzlabošana</t>
  </si>
  <si>
    <t>Bibliotēku ēku būvniecība, atjaunošana un uzlabošana</t>
  </si>
  <si>
    <t>Kultūras centru un namu būvniecība, atjaunošana un uzlabošana</t>
  </si>
  <si>
    <t>Pirmsskolas izglītības iestāžu būvniecība, atjaunošana un uzlabošana</t>
  </si>
  <si>
    <t>Sākumskolu, pamatskolu un vidusskolu būvniecība, atjaunošana un uzlabošana</t>
  </si>
  <si>
    <t>Interešu un profesionālās ievirzes izglītības iestāžu būvniecība, atjaunošana un uzlabošana</t>
  </si>
  <si>
    <t>Muzeju ēku būvniecība, atjaunošana un uzlabošana</t>
  </si>
  <si>
    <t>Pilsētas mežu un publiskās teritorijās esošo koku kopšanas pasākumi</t>
  </si>
  <si>
    <t>Sabiedrisko attiecību veidošanas pasākumi</t>
  </si>
  <si>
    <t>Vides piesārņojuma novēršana un samazināšana</t>
  </si>
  <si>
    <t>Vides aizsardzības pasākumi bioloģiskās daudzveidības un ainavas aizsardzības jomā</t>
  </si>
  <si>
    <t>Ar tiesvedības procesiem saistīti izdevumi</t>
  </si>
  <si>
    <t>Juridiskie pakalpojumi ar pašvaldības darbu saistītos jautājumos</t>
  </si>
  <si>
    <t>Nacionālo vērtību stiprināšana</t>
  </si>
  <si>
    <t>Etniskā integrācija</t>
  </si>
  <si>
    <t>Integrācija kultūras aspektā</t>
  </si>
  <si>
    <t>Sociālā integrācija</t>
  </si>
  <si>
    <t>Integrācijas rīcības virzieni izglītības jomā</t>
  </si>
  <si>
    <t>Pilsoniskās sabiedrības stiprināšana</t>
  </si>
  <si>
    <t xml:space="preserve">Pārējais citur neklasificēts atbalsts sociāli atstumtām personām </t>
  </si>
  <si>
    <t>Pārējie citur neklasificētie sociālās aizsardzības pasākumi</t>
  </si>
  <si>
    <t>Bilance</t>
  </si>
  <si>
    <t>12.3.1.0.</t>
  </si>
  <si>
    <t>12.3.1.2.</t>
  </si>
  <si>
    <t>Ieņēmumi no privatizācijs</t>
  </si>
  <si>
    <t>Ieņēmumi no dzīvojamo māju privatizācijas</t>
  </si>
  <si>
    <t>19.1.0.0.</t>
  </si>
  <si>
    <t>Pašvaldības budžeta iekšējie transferti starp vienas pašvaldības budžeta veidiem</t>
  </si>
  <si>
    <t>Mājas aprūpes un pavadoņu pakalpojuma nodrošināšana</t>
  </si>
  <si>
    <t>Pilsētas teritoriju labiekārtošanas pasākumi</t>
  </si>
  <si>
    <t>Pilsētas ielu apgaismojuma nodrošināšana</t>
  </si>
  <si>
    <t>Pilsētas kultūras un atpūtas pasākumi</t>
  </si>
  <si>
    <t>Jūrmalas pilsētas Jaundubultu vidusskola</t>
  </si>
  <si>
    <t>Jūrmalas Mākslas skola</t>
  </si>
  <si>
    <t>Jūrmalas Mūzikas vidusskola</t>
  </si>
  <si>
    <t>Jūrmalas Sporta skola</t>
  </si>
  <si>
    <t>F40320010</t>
  </si>
  <si>
    <t>Mērķdotācija asistentu pakalpojumu nodrošināšanai skolās</t>
  </si>
  <si>
    <t>F40020010</t>
  </si>
  <si>
    <t>Procentu ieņēmumi par depozītiem, kontu atlikumiem, valsts parāda vērtspapīriem un atlikto maksājumu</t>
  </si>
  <si>
    <t>IESTĀDES IEŅĒMUMI</t>
  </si>
  <si>
    <t>Iestādes ieņēmumi no ārvalstu finanšu palīdzības</t>
  </si>
  <si>
    <t>Ieņēmumi no iestāžu sniegtajiem maksas pakalpojumiem un citi pašu ieņēmumi</t>
  </si>
  <si>
    <t>Pārējie 21.3.0.0.grupā neklasificētie iestāžu ieņēmumi par iestāžu sniegtajiem maksas pakalpojumiem un citi pašu ieņēmumi</t>
  </si>
  <si>
    <t>4.1.3.0.</t>
  </si>
  <si>
    <t>4.1.3.1.</t>
  </si>
  <si>
    <t>4.1.3.2.</t>
  </si>
  <si>
    <t>Nekustamā īpašuma nodoklis par mājokļiem</t>
  </si>
  <si>
    <t>Nekustamā īpašuma nodokļa par mājokļiem  kārtējā saimnieciskā gada ieņēmumi</t>
  </si>
  <si>
    <t>Nekustamā īpašuma nodokļa par mājokļiem parādi par iepriekšējiem gadiem</t>
  </si>
  <si>
    <t>Ostas būvniecība, atjaunošana un uzlabošana</t>
  </si>
  <si>
    <t>Jūrmalas ostas pārvalde</t>
  </si>
  <si>
    <t>Sabiedrība ar ierobežotu atbildību "Jūrmalas gaisma"</t>
  </si>
  <si>
    <t>Jūrmalas pilsētas stadiona "Sloka" uzturēšana</t>
  </si>
  <si>
    <t>Majoru sporta laukuma uzturēšana</t>
  </si>
  <si>
    <t>Sporta nama "Taurenītis" uzturēšana</t>
  </si>
  <si>
    <t>Sabiedrība ar ierobežotu atbildību "Dzintaru koncertzāle"</t>
  </si>
  <si>
    <t>"LATVIJAS STARPTAUTISKĀ SKOLA"</t>
  </si>
  <si>
    <t>Jūrmalas pilsētas pašvaldības iestāde "Sprīdītis"</t>
  </si>
  <si>
    <t>Sabiedrība ar ierobežotu atbildību "Jūrmalas ūdens"</t>
  </si>
  <si>
    <t>Kredīta atmaksa - SIA "Jūrmalas ūdens" pamatkapitāla palielināšanai, Jūrmalas ūdenssaimniecības attīstības projekta II kārta īstenošanai</t>
  </si>
  <si>
    <t>Kredīta atmaksa - SIA "Jūrmalas ūdens" pamatkapitāla palielināšanai, Jūrmalas ūdenssaimniecības attīstības projekta III kārta īstenošanai</t>
  </si>
  <si>
    <t>Notekūdeņu apsaimniekošana (lietus ūdens kanalizācijas apsaimniekošana)</t>
  </si>
  <si>
    <t>01.1.1.</t>
  </si>
  <si>
    <t>01.1.2.,
01.1.3.</t>
  </si>
  <si>
    <t>01.1.4.</t>
  </si>
  <si>
    <t>01.1.5.</t>
  </si>
  <si>
    <t>01.1.6.</t>
  </si>
  <si>
    <t>03.1.1.</t>
  </si>
  <si>
    <t>03.1.2.</t>
  </si>
  <si>
    <t>03.1.3.</t>
  </si>
  <si>
    <t>03.4.1.</t>
  </si>
  <si>
    <t>04.1.1.,
04.1.2.</t>
  </si>
  <si>
    <t>04.1.3.</t>
  </si>
  <si>
    <t>04.1.5.</t>
  </si>
  <si>
    <t>04.1.6.</t>
  </si>
  <si>
    <t>04.1.7.</t>
  </si>
  <si>
    <t>05.1.1.</t>
  </si>
  <si>
    <t>05.1.2.</t>
  </si>
  <si>
    <t>05.1.3.</t>
  </si>
  <si>
    <t>05.1.4.</t>
  </si>
  <si>
    <t>05.1.5.</t>
  </si>
  <si>
    <t>05.2.1.</t>
  </si>
  <si>
    <t>04.3.1.</t>
  </si>
  <si>
    <t>04.3.2.</t>
  </si>
  <si>
    <t>04.3.3.</t>
  </si>
  <si>
    <t>06.1.1.</t>
  </si>
  <si>
    <t>06.1.2.</t>
  </si>
  <si>
    <t>06.1.5.</t>
  </si>
  <si>
    <t>06.1.3.
06.1.4.</t>
  </si>
  <si>
    <t>06.1.6.</t>
  </si>
  <si>
    <t>08.1.3.</t>
  </si>
  <si>
    <t>08.1.4.</t>
  </si>
  <si>
    <t>08.1.5.</t>
  </si>
  <si>
    <t>08.1.6.</t>
  </si>
  <si>
    <t>08.1.7.</t>
  </si>
  <si>
    <t>09.1.1.</t>
  </si>
  <si>
    <t>09.1.2.</t>
  </si>
  <si>
    <t>09.1.3.</t>
  </si>
  <si>
    <t>09.1.4.</t>
  </si>
  <si>
    <t>09.1.5.</t>
  </si>
  <si>
    <t>03.2.1.</t>
  </si>
  <si>
    <t>03.3.1.</t>
  </si>
  <si>
    <t>05.2.2.</t>
  </si>
  <si>
    <t>06.2.1.</t>
  </si>
  <si>
    <t>06.3.1.</t>
  </si>
  <si>
    <t>07.1.1.</t>
  </si>
  <si>
    <t>07.1.2.</t>
  </si>
  <si>
    <t>07.1.3.</t>
  </si>
  <si>
    <t>07.2.1.</t>
  </si>
  <si>
    <t>08.2.1.</t>
  </si>
  <si>
    <t>08.2.2.</t>
  </si>
  <si>
    <t>08.2.3.</t>
  </si>
  <si>
    <t>08.2.4.</t>
  </si>
  <si>
    <t>08.2.5.</t>
  </si>
  <si>
    <t>08.2.6.</t>
  </si>
  <si>
    <t>08.2.7.</t>
  </si>
  <si>
    <t>08.3.1.</t>
  </si>
  <si>
    <t>08.4.1.</t>
  </si>
  <si>
    <t>08.4.2.</t>
  </si>
  <si>
    <t>08.5.1.</t>
  </si>
  <si>
    <t>08.5.2.</t>
  </si>
  <si>
    <t>08.5.3.</t>
  </si>
  <si>
    <t>08.5.4.</t>
  </si>
  <si>
    <t>08.5.5.</t>
  </si>
  <si>
    <t>08.6.1.</t>
  </si>
  <si>
    <t>08.7.1.</t>
  </si>
  <si>
    <t>09.2.1.</t>
  </si>
  <si>
    <t>09.2.2.</t>
  </si>
  <si>
    <t>09.3.1.</t>
  </si>
  <si>
    <t>09.3.2.</t>
  </si>
  <si>
    <t>09.4.1.</t>
  </si>
  <si>
    <t>09.5.1.</t>
  </si>
  <si>
    <t>09.5.2.</t>
  </si>
  <si>
    <t>09.5.3.</t>
  </si>
  <si>
    <t>09.5.4.</t>
  </si>
  <si>
    <t>09.6.1.</t>
  </si>
  <si>
    <t>09.6.2.</t>
  </si>
  <si>
    <t>09.7.1.</t>
  </si>
  <si>
    <t>09.7.2.</t>
  </si>
  <si>
    <t>09.8.1.</t>
  </si>
  <si>
    <t>09.8.2.</t>
  </si>
  <si>
    <t>09.9.1.</t>
  </si>
  <si>
    <t>09.9.2.</t>
  </si>
  <si>
    <t>09.10.1.</t>
  </si>
  <si>
    <t>09.11.2.</t>
  </si>
  <si>
    <t>09.10.2.</t>
  </si>
  <si>
    <t>09.11.1.</t>
  </si>
  <si>
    <t>09.12.1.</t>
  </si>
  <si>
    <t>09.13.1.</t>
  </si>
  <si>
    <t>09.13.2.</t>
  </si>
  <si>
    <t>09.14.1.</t>
  </si>
  <si>
    <t>09.14.2.</t>
  </si>
  <si>
    <t>09.15.1.</t>
  </si>
  <si>
    <t>09.15.2.</t>
  </si>
  <si>
    <t>09.16.1.</t>
  </si>
  <si>
    <t>09.16.2.</t>
  </si>
  <si>
    <t>09.17.1.</t>
  </si>
  <si>
    <t>09.17.2.</t>
  </si>
  <si>
    <t>09.18.1.</t>
  </si>
  <si>
    <t>09.18.2.</t>
  </si>
  <si>
    <t>09.19.1.</t>
  </si>
  <si>
    <t>09.19.2.</t>
  </si>
  <si>
    <t>09.20.1.</t>
  </si>
  <si>
    <t>09.21.1.</t>
  </si>
  <si>
    <t>09.21.2.</t>
  </si>
  <si>
    <t>09.22.1.</t>
  </si>
  <si>
    <t>09.22.2.</t>
  </si>
  <si>
    <t>09.23.1.</t>
  </si>
  <si>
    <t>09.23.2.</t>
  </si>
  <si>
    <t>09.23.3.</t>
  </si>
  <si>
    <t>09.24.1.</t>
  </si>
  <si>
    <t>09.24.2.</t>
  </si>
  <si>
    <t>09.25.1.</t>
  </si>
  <si>
    <t>09.25.2.</t>
  </si>
  <si>
    <t>09.26.1.</t>
  </si>
  <si>
    <t>09.26.2.</t>
  </si>
  <si>
    <t>09.27.1.</t>
  </si>
  <si>
    <t>09.27.2.</t>
  </si>
  <si>
    <t>09.28.1.</t>
  </si>
  <si>
    <t>09.29.1.</t>
  </si>
  <si>
    <t>09.29.2.</t>
  </si>
  <si>
    <t>09.31.1.</t>
  </si>
  <si>
    <t>09.31.2.</t>
  </si>
  <si>
    <t>09.32.1.</t>
  </si>
  <si>
    <t>09.32.2.</t>
  </si>
  <si>
    <t>09.33.1.</t>
  </si>
  <si>
    <t>10.2.1.</t>
  </si>
  <si>
    <t>10.2.2.</t>
  </si>
  <si>
    <t>10.2.3.</t>
  </si>
  <si>
    <t>10.2.4.</t>
  </si>
  <si>
    <t>10.2.5.</t>
  </si>
  <si>
    <t>10.2.6.</t>
  </si>
  <si>
    <t>10.2.7.</t>
  </si>
  <si>
    <t>10.2.8.</t>
  </si>
  <si>
    <t>10.3.4.</t>
  </si>
  <si>
    <t>10.3.5.</t>
  </si>
  <si>
    <t>10.3.6.</t>
  </si>
  <si>
    <t>10.3.7.</t>
  </si>
  <si>
    <t>10.4.1.</t>
  </si>
  <si>
    <t>10.4.2.</t>
  </si>
  <si>
    <t>10.5.1.</t>
  </si>
  <si>
    <t>Konsolidējamie izdevumi</t>
  </si>
  <si>
    <t>4.pielikums</t>
  </si>
  <si>
    <t>5.pielikums</t>
  </si>
  <si>
    <t>3.pielikums</t>
  </si>
  <si>
    <t>21.pielikums</t>
  </si>
  <si>
    <t>15.pielikums</t>
  </si>
  <si>
    <t>12.pielikums</t>
  </si>
  <si>
    <t>10.pielikums</t>
  </si>
  <si>
    <t>04.2.1.</t>
  </si>
  <si>
    <t>26.pielikums</t>
  </si>
  <si>
    <t>24.pielikums</t>
  </si>
  <si>
    <t>Jūrmalas Valsts ģimnāzijas sporta halles uzturēšana</t>
  </si>
  <si>
    <t>Jūrmalas Sporta servisa centrs</t>
  </si>
  <si>
    <t>25.pielikums</t>
  </si>
  <si>
    <t>29.pielikums</t>
  </si>
  <si>
    <t>Jūrmalas pilsētas pašvaldības policija</t>
  </si>
  <si>
    <t>Iestādes uzturēšana un bibliotēku pakalpojumu pieejamības nodrošināšana</t>
  </si>
  <si>
    <t>Iestādes uzturēšana un kultūras pakalpojumu sniegšanas nodrošināšana</t>
  </si>
  <si>
    <t>Iestādes uzturēšana un muzeju un izstāžu pakalpojumu sniegšanas nodrošināšana</t>
  </si>
  <si>
    <t>Iestādes uzturēšana, interešu izglītības un jaunatnes darba nodrošināšana</t>
  </si>
  <si>
    <t>19.3.0.0.</t>
  </si>
  <si>
    <t>01.1.8.</t>
  </si>
  <si>
    <t>Procentu maksājumi Valsts kasei</t>
  </si>
  <si>
    <t>Pārējo sociālo iestāžu būvniecība, atjaunošana un uzlabošana</t>
  </si>
  <si>
    <t>Pamatkapitāla palielināšana</t>
  </si>
  <si>
    <t>06.1.7.,
06.1.8.</t>
  </si>
  <si>
    <t>Sporta attīstības un publicitātes pasākumi</t>
  </si>
  <si>
    <t>Kapitālsabiedrības organizēto koncertu pieejamības veicināšana</t>
  </si>
  <si>
    <t>08.1.1.,
08.1.2.</t>
  </si>
  <si>
    <t>Konsolidē-jamie ieņēmumi</t>
  </si>
  <si>
    <t>Ieņēmumu pārsniegums pār izdevumiem</t>
  </si>
  <si>
    <t>Finansēšana</t>
  </si>
  <si>
    <t>euro</t>
  </si>
  <si>
    <t xml:space="preserve">    Atlikums gada sākumā</t>
  </si>
  <si>
    <t xml:space="preserve">    Atlikums gada beigās</t>
  </si>
  <si>
    <t xml:space="preserve">    Aizņēmumi</t>
  </si>
  <si>
    <t xml:space="preserve">    Aizņēmumu atmaksa</t>
  </si>
  <si>
    <t xml:space="preserve">    Pamatkapitāla palielinājums</t>
  </si>
  <si>
    <t>Kultūras pasākumi</t>
  </si>
  <si>
    <t xml:space="preserve">Projekts "Eiropas jaunieši aktīvā mācīšanās procesā" </t>
  </si>
  <si>
    <t>Jūrmalas pilsētas pašvaldības iestāde "Jūrmalas veselības veicināšanas un sociālo pakalpojumu centrs"</t>
  </si>
  <si>
    <t>Jūrmalas pilsētas pāsvaldības iestāde "Jūrmalas kapi"</t>
  </si>
  <si>
    <t>Jūrmalas pilsētas Lielupes pamatskola</t>
  </si>
  <si>
    <t>Ķemeru pamatskola</t>
  </si>
  <si>
    <t>Projekts "Sniegt iespēju bērniem/EmpowerKids"</t>
  </si>
  <si>
    <t>Projekts "Antropogēnās slodzes mazināšana dabas liegumā "Lielupes grīvas pļavās", izveidojot trīs labiekārtotas peldvietas pie Lielupes"</t>
  </si>
  <si>
    <t>Projekts "Antropogēnās slodzes un klimata pārmaiņu mazināšana izmantojot vides resursus - uzstādot ar alternatīvo enerģiju darbināmas laternas piecās izejās uz jūras pludmali"</t>
  </si>
  <si>
    <t xml:space="preserve">Dubultu kultūras un izglītības centra Strēlnieku prospektā 30, Jūrmalā būvniecībai" daļai, kas nepieciešama Jūrmalas Mūzikas vidusskolas 2.kārtas būvniecības darbu īstenošanai </t>
  </si>
  <si>
    <t>Pašvaldības un tās iestāžu savstarpējie transferti</t>
  </si>
  <si>
    <t>Jūrmalas pludmales centra uzturēšana</t>
  </si>
  <si>
    <t>Sporta veida attīstība</t>
  </si>
  <si>
    <t>Līdzfinansējums privātajām  izglītības iestādēm</t>
  </si>
  <si>
    <t>Kultūrizglītības un vides  izglītības pasākumi</t>
  </si>
  <si>
    <t>14.pielikums</t>
  </si>
  <si>
    <t>20.pielikums</t>
  </si>
  <si>
    <t>08.1.8.</t>
  </si>
  <si>
    <t>09.1.6.</t>
  </si>
  <si>
    <t>09.1.7.</t>
  </si>
  <si>
    <t>Dienas aprūpes centru bērniem pakalpojuma nodrošināšana</t>
  </si>
  <si>
    <t xml:space="preserve">Dienas  centrs pensijas vecuma personām un invalīdiem </t>
  </si>
  <si>
    <t>Invalīdu pārvadāšanas nodrošināšana</t>
  </si>
  <si>
    <t>8.6.4.0.</t>
  </si>
  <si>
    <t>Ceļu un to kompleksa investīciju projektiem</t>
  </si>
  <si>
    <t>Dubultu kultūras un izglītības centra Strēlnieku prospektā 30, Jūrmalā būvniecība</t>
  </si>
  <si>
    <t>Mērķdotācija pansionāta iemītniekiem</t>
  </si>
  <si>
    <t>21.1.9.4.</t>
  </si>
  <si>
    <t>Līdzfinansējuma nodrošināšana konferenču, semināru un starpnozaru pasākumu īstenošanai</t>
  </si>
  <si>
    <t>04.3.4.</t>
  </si>
  <si>
    <t>Veselības aprūpes pieejamības palielināšana</t>
  </si>
  <si>
    <t>08.1.10.</t>
  </si>
  <si>
    <t>09.20.2.</t>
  </si>
  <si>
    <t>Pašvaldības budžeta norēķini ar valsts budžetu</t>
  </si>
  <si>
    <t>01.1.7.</t>
  </si>
  <si>
    <t>08.1.11.</t>
  </si>
  <si>
    <t>08.1.12.</t>
  </si>
  <si>
    <t>09.1.11.</t>
  </si>
  <si>
    <t>04.1.13.</t>
  </si>
  <si>
    <t>04.1.14.</t>
  </si>
  <si>
    <t>04.2.2.</t>
  </si>
  <si>
    <t>06.1.9.</t>
  </si>
  <si>
    <t>06.1.10.</t>
  </si>
  <si>
    <t>08.1.9.</t>
  </si>
  <si>
    <t>08.5.6.</t>
  </si>
  <si>
    <t>09.4.2.</t>
  </si>
  <si>
    <t>10.2.9.</t>
  </si>
  <si>
    <t>10.3.3.</t>
  </si>
  <si>
    <t>18.pielikums</t>
  </si>
  <si>
    <t>28.pielikums</t>
  </si>
  <si>
    <t>22.pielikums</t>
  </si>
  <si>
    <t>Pasākumi kvalitatīvas un daudzveidīgas izglītības attīstībai un atbalstam</t>
  </si>
  <si>
    <t>10.6.1.</t>
  </si>
  <si>
    <t xml:space="preserve">Pašvaldības sabiedrība ar ierobežotu atbildību "Veselības un sociālās aprūpes centrs-Sloka" </t>
  </si>
  <si>
    <t>Sociālo pakalpojumu centra "Ķemeri" darbības nodrošināšana</t>
  </si>
  <si>
    <t>Pirmsskolas izglītības iestādes "Bitīte" pārbūve</t>
  </si>
  <si>
    <t>Mellužu estrādes un Piena paviljona/bāra ēkas atjaunošana, t.sk.teritorijas labiekārtošana</t>
  </si>
  <si>
    <t>Atpūtu un sportu veicinošas infrastruktūras izveide, atjaunošana un labiekārtošana</t>
  </si>
  <si>
    <t>Kredīta atmaksa - Raiņa ielas rekonstrukcija posmā no Satiksmes ielas līdz Nometņu ielai</t>
  </si>
  <si>
    <t>30.pielikums</t>
  </si>
  <si>
    <t>Jūrmalas pirmsskolas izglītības iestāde "Austras koks"</t>
  </si>
  <si>
    <t>Jūrmalas pirmsskolas izglītības iestāde "Bitīte"</t>
  </si>
  <si>
    <t>Jūrmalas pirmsskolas izglītības iestāde "Katrīna"</t>
  </si>
  <si>
    <t>Jūrmalas pirmsskolas izglītības iestāde "Lācītis"</t>
  </si>
  <si>
    <t>Jūrmalas pirmsskolas izglītības iestāde "Madara"</t>
  </si>
  <si>
    <t>Jūrmalas pirmsskolas izglītības iestāde "Mārīte"</t>
  </si>
  <si>
    <t>Jūrmalas pirmsskolas izglītības iestāde "Namiņš"</t>
  </si>
  <si>
    <t>Jūrmalas pirmsskolas izglītības iestāde "Podziņa"</t>
  </si>
  <si>
    <t>Jūrmalas pirmsskolas izglītības iestāde "Saulīte"</t>
  </si>
  <si>
    <t>Jūrmalas pirmsskolas izglītības iestāde "Zvaniņš"</t>
  </si>
  <si>
    <t>Jūrmalas pilsētas domes Labklājības pārvalde</t>
  </si>
  <si>
    <r>
      <t>Jūrmalas pilsētas pašvaldības 2018.gada budžeta ieņēmumi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</si>
  <si>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r>
      <t>Jūrmalas pilsētas pašvaldības budžeta izdevumi 2018.gadam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</si>
  <si>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Asignējumu apjoms 2018.gadam</t>
  </si>
  <si>
    <t>Pārējie ieņēmumi no dividendēm (ieņēmumi no valsts (pašvaldību) kapitāla izmantošanas)</t>
  </si>
  <si>
    <t>Procentu ieņēmumi par atlikto maksājumu no vēl nesamaksātās pirkuma maksas daļas</t>
  </si>
  <si>
    <t>Valsts nodevas par laulības reģistrāciju, civilstāvokļa akta reģistra ieraksta aktualizēšanu vai atjaunošanu un atkārtotas civilstāvokļa aktu reģistrācijas apliecības izsniegšanu</t>
  </si>
  <si>
    <t>Pašvaldības nodeva par būvatļaujas izdošanu vai būvniecības ieceres akceptu</t>
  </si>
  <si>
    <t>Ieņēmumi no vadošā partnera partneru grupas īstenotajiem Eiropas Savienības politiku instrumentu projektiem</t>
  </si>
  <si>
    <t>Ieņēmumi par pārējiem sniegtajiem maksas pakalpojumiem</t>
  </si>
  <si>
    <t>Pārējie šajā klasifikācijā iepriekš neklasificētie ieņēmumi</t>
  </si>
  <si>
    <t>Pārējie iepriekš neklasificētie īpašiem mērķiem noteiktie ieņēmumi</t>
  </si>
  <si>
    <t>12.3.9.2.</t>
  </si>
  <si>
    <t>Maksājumi par konkursa vai izsoles nolikumu</t>
  </si>
  <si>
    <t>17.0.0.0.</t>
  </si>
  <si>
    <t>NO VALSTS BUDŽETA DAĻĒJI FINANSĒTO ATVASINĀTO PUBLISKO PERSONU UN BUDŽETA NEFINANSĒTO IESTĀŽU TRANSFERTI</t>
  </si>
  <si>
    <t>17.2.0.0.</t>
  </si>
  <si>
    <t>Pašvaldību saņemtie transferti no valsts budžeta daļēji finansētām atsavinātām publiskām personām un no budžeta nefinansētām iestādēm</t>
  </si>
  <si>
    <t>Mērķdotācija grāmatu un mācību līdzekļu iegādei</t>
  </si>
  <si>
    <t>Kredīti valsts kases kontos</t>
  </si>
  <si>
    <t xml:space="preserve">XXVI Vispārējie latviešu Dziesmu un XVI Deju svētki </t>
  </si>
  <si>
    <t>Projekts "Atbalsts integrētu teritoriālo investīciju īstenošanai Jūrmalas pilsētas pašvaldībā”</t>
  </si>
  <si>
    <t>Projekts "Algoti pagaidu sabiedriskie darbi 2017"</t>
  </si>
  <si>
    <t>Projekts "Latvijas starptautiskās konkurētspējas veicināšana tūrismā/2018.gada aktivitātes"</t>
  </si>
  <si>
    <t>Projekts "Starptautiskās konkurētspējas veicināšana" (uzņēmējdarbībā)/ 2018.gada aktivitātes"</t>
  </si>
  <si>
    <t>Projekts "Uzlabota jahtu ostu infrastruktūra un ostu tīkla attīstība Igaunijā un Latvijā"</t>
  </si>
  <si>
    <t>Projekts  "Pasākumi vietējās sabiedrības veselības veicināšanai un slimību profilaksei Jūrmalā"</t>
  </si>
  <si>
    <t>Projekts "Kafija ar politiķiem Jūrmalā"</t>
  </si>
  <si>
    <t>Projekts "Jūrmalas brīvdabas muzeja infrastruktūras attīstība, veicinot zvejas un jūras kultūras mantojuma saglabāšanu"</t>
  </si>
  <si>
    <t>Projekts "Be prepared"</t>
  </si>
  <si>
    <t xml:space="preserve">Projekts "Fingerprint of Cultures"/"Kultūras pirkstu nospiedumi" </t>
  </si>
  <si>
    <t>Projekts "Proti un dari"</t>
  </si>
  <si>
    <t>Projekts ''Vēro, dalies, audz."'</t>
  </si>
  <si>
    <t>Projekts "Mācies zaļāk-pārbīdi klases robežas"</t>
  </si>
  <si>
    <t xml:space="preserve">Projekts "Autisks bērns vispārizglītojošā klasē: skolas personāla iespējas pilnvērtība iekļaujoša mācību procesa veicināšanai" </t>
  </si>
  <si>
    <t>Projekts "Deinstitucionalizācija un sociālie pakalpojumi personām ar invaliditāti un bērniem"</t>
  </si>
  <si>
    <t xml:space="preserve">Projekts "Profesionāla sociālā darba attīstība pašvaldībās" </t>
  </si>
  <si>
    <t>Projekts "Karjeras atbalsts vispārējās un profesionālās izglītības iestādēs"</t>
  </si>
  <si>
    <t>Projekts "Atbalsts izglītojamo individuālo kompetenču attīstībai"</t>
  </si>
  <si>
    <t>Projekts "LABI!" / "OK!"</t>
  </si>
  <si>
    <t xml:space="preserve"> Projekts "Accelerate SUNShINE" (SUNShINE paātrināšana)"</t>
  </si>
  <si>
    <t>01.2.1.</t>
  </si>
  <si>
    <t>01.2.2.</t>
  </si>
  <si>
    <t>01.2.3.</t>
  </si>
  <si>
    <t>01.2.4.</t>
  </si>
  <si>
    <t>01.2.5.</t>
  </si>
  <si>
    <t>04.1.4.</t>
  </si>
  <si>
    <t>04.1.8.</t>
  </si>
  <si>
    <t>06.1.11.</t>
  </si>
  <si>
    <t>07.1.4.</t>
  </si>
  <si>
    <t>08.4.3.</t>
  </si>
  <si>
    <t>08.6.2.</t>
  </si>
  <si>
    <t>09.4.3.</t>
  </si>
  <si>
    <t>09.4.4.</t>
  </si>
  <si>
    <t>09.4.5.</t>
  </si>
  <si>
    <t>09.5.5.</t>
  </si>
  <si>
    <t>09.9.3.</t>
  </si>
  <si>
    <t>09.11.3.</t>
  </si>
  <si>
    <t>09.23.4.</t>
  </si>
  <si>
    <t>09.24.3.</t>
  </si>
  <si>
    <t>09.27.3.</t>
  </si>
  <si>
    <t>09.31.3.</t>
  </si>
  <si>
    <t>10.2.10.</t>
  </si>
  <si>
    <t>10.2.11.</t>
  </si>
  <si>
    <t>10.3.8.</t>
  </si>
  <si>
    <t>10.3.1.
10.3.2.</t>
  </si>
  <si>
    <t>Jūrmalas pilsētas pašvaldības 2018.-2020.gada Ceļu fonda izlietojuma programma</t>
  </si>
  <si>
    <t>Kredīta atmaksa - Dzintaru koncertzāles slēgtās telpas rekonstrukcija/restaurācija Turaidas ielā 1, Jūrmalā</t>
  </si>
  <si>
    <t>Projekts "Veidosim nākotni"</t>
  </si>
  <si>
    <t>09.23.5.</t>
  </si>
  <si>
    <t>04.1.15.</t>
  </si>
  <si>
    <t>04.1.16.</t>
  </si>
  <si>
    <t>08.1.13.</t>
  </si>
  <si>
    <t>09.1.8.</t>
  </si>
  <si>
    <t>09.1.9.</t>
  </si>
  <si>
    <t>09.1.10.</t>
  </si>
  <si>
    <t>09.1.12.</t>
  </si>
  <si>
    <t>09.1.13.</t>
  </si>
  <si>
    <t>Administratīvās ēkas pārbūve sociālo funkciju nodrošināšanai</t>
  </si>
  <si>
    <t>Jūrmalas pilsētas pašvaldības 2018.-2020.gada Ceļu fonda izlietojuma programma: Kredīta atmaksa - Ceļu un to kompleksa investīciju projektu īstenošana</t>
  </si>
  <si>
    <t>10.1.1.
10.1.2.</t>
  </si>
  <si>
    <t>23.pielikums</t>
  </si>
  <si>
    <t>13., 16., 19., 22.pielikums</t>
  </si>
  <si>
    <t>7., 12., 15.pielikums</t>
  </si>
  <si>
    <t xml:space="preserve">6., 8.pielikums </t>
  </si>
  <si>
    <t>11.pielikums</t>
  </si>
  <si>
    <t>17.pielikums</t>
  </si>
  <si>
    <t>9.pielikums</t>
  </si>
  <si>
    <t>31.pielikums</t>
  </si>
  <si>
    <t>28., 29.pielikums</t>
  </si>
  <si>
    <t>27., 28.pielikums</t>
  </si>
  <si>
    <t>27., 28., 29.pielikums</t>
  </si>
  <si>
    <t>Mērķdotācija interešu pedagogiem</t>
  </si>
  <si>
    <t>Mērķdotācija 5.6.gadīgo apmācībai pedagogu atalgojumam</t>
  </si>
  <si>
    <t>kārtējā gada ieņēmumi</t>
  </si>
  <si>
    <t>kārtējā gada izdevumi</t>
  </si>
  <si>
    <t>Kredīta atmaksa - Ceļu un to kompleksa investīciju projektu īstenošana</t>
  </si>
  <si>
    <t>2018.gada budžets</t>
  </si>
  <si>
    <t>2018.gada budžets kopā ar konsolidāciju</t>
  </si>
  <si>
    <t>2.pielikums apstiprināts ar Jūrmalas pilsētas domes</t>
  </si>
  <si>
    <t>2017.gada 19.decembra saistošajiem noteikumiem Nr.39</t>
  </si>
  <si>
    <t>Kopā apstiprināts</t>
  </si>
  <si>
    <t>Pamatbudžets, apstiprināts</t>
  </si>
  <si>
    <t>SN/Rīkojuma Nr.</t>
  </si>
  <si>
    <t>Valsts un citu pašvaldību (iestāžu) budžeta transferti, apstiprināti</t>
  </si>
  <si>
    <t>Valsts un citu pašvaldību (iestāžu) budžeta transferti</t>
  </si>
  <si>
    <t>Valsts un citu pašvaldību (iestāžu) budžeta transferti, izmaiņas kopā</t>
  </si>
  <si>
    <t>Maksas pakalpojumi, apstiprināti</t>
  </si>
  <si>
    <t>Maksas pakalpojumi, izmaiņas kopā</t>
  </si>
  <si>
    <t>Ziedojumi, apstiprināti</t>
  </si>
  <si>
    <t>Ziedojumi, izmaiņas kopā</t>
  </si>
  <si>
    <t>Konsolidējamie izdevumi, apstiprināti</t>
  </si>
  <si>
    <t>Konsolidējamie izdevumi, izmaiņas kopā</t>
  </si>
  <si>
    <t>Pamatbudžets, izmaiņas kopā</t>
  </si>
  <si>
    <t>11</t>
  </si>
  <si>
    <t>2018.gada budžets, apstiprināts</t>
  </si>
  <si>
    <t>2018.gada budžets, izmaiņas kopā</t>
  </si>
  <si>
    <t>Konsolidē-jamie ieņēmumi, apstiprināti</t>
  </si>
  <si>
    <t>Konsolidējamie ieņēmumi, izmaiņas kopā</t>
  </si>
  <si>
    <t>2018.gada budžets kopā ar konsolidāciju, apstiprināts</t>
  </si>
  <si>
    <t>1.pielikums apstiprināts ar Jūrmalas pilsētas domes</t>
  </si>
  <si>
    <t>18.01.SN Nr.1</t>
  </si>
  <si>
    <t>Projekts "Jaunie gidi"</t>
  </si>
  <si>
    <t>09.1.14.</t>
  </si>
  <si>
    <t>Projekts "Jaunu dabas un kultūras tūrisma pakalpojumu radīšana Rīgas jūras līča Rietumu piekrastē" īstenošanai - Mellužu estrādes ēkas restaurācija un bāra ēkas pārbūve, teritorijas labiekārtojums"</t>
  </si>
  <si>
    <t>08.1.14.</t>
  </si>
  <si>
    <t>Mellužu estrādes ēkas restaurācija un bāra ēkas pārbūve, teritorijas labiekārtojums</t>
  </si>
  <si>
    <t>Projekts "Algoti pagaidu sabiedriskie darbi 2018"</t>
  </si>
  <si>
    <t>04.1.17.</t>
  </si>
  <si>
    <t>Projekts "Be active!"/"Esi aktīvs!"</t>
  </si>
  <si>
    <t>09.4.6.</t>
  </si>
  <si>
    <t>Projekts "Me.You.Personality" /"Es.Tu.Personība."</t>
  </si>
  <si>
    <t>09.4.7.</t>
  </si>
  <si>
    <t>Mēķdotācija māksliniecisko kolektīvu vadītājiem</t>
  </si>
  <si>
    <t>Latvijas simtgades pasākumi: Brīvības ielas stāsti</t>
  </si>
  <si>
    <t>Projekts "Līdzdalība pilsētplānošanā sabiedrības veselības uzlabošanai/ HEAT"</t>
  </si>
  <si>
    <t>04.1.18.</t>
  </si>
  <si>
    <t>01.02.r Nr.1.1-14/47, 09.02.r Nr.1.1-14/66</t>
  </si>
  <si>
    <t>16.02.SN Nr.9</t>
  </si>
  <si>
    <t>Projekts "Eurodesk reģionālā koordinatora pakalpojumi 2018.gadā"</t>
  </si>
  <si>
    <t>09.4.8.</t>
  </si>
  <si>
    <t>15.03.SN Nr.11</t>
  </si>
  <si>
    <t>Kredīta atmaksas - Jaunu dabas un kultūras tūrisma pakalpojumu radīšana Rīgas jūras līča Rietumu piekrastē - Mellužu estrādes ēkas restaurācija un bāra ēkas pārbūve, teritorijas labiekārtojums</t>
  </si>
  <si>
    <t>23.03.SN Nr.13</t>
  </si>
  <si>
    <t>Projekts "Pilnveidot nodarbināto personu profesionālo kompetenci"</t>
  </si>
  <si>
    <t>09.1.15.</t>
  </si>
  <si>
    <t>Projekts "Eiropas galda klāšana"</t>
  </si>
  <si>
    <t>09.3.3.</t>
  </si>
  <si>
    <t>Atgriežamās fizisku un juridisku personu pārmaksas pašvaldībai no iepriekšējiem pārskata periodiem</t>
  </si>
  <si>
    <t>04.3.5.</t>
  </si>
  <si>
    <t>Projekts "Alberta Kronenberga interaktīvā izstāde "Zīmē un Rīmē" Aspazijas mājā"</t>
  </si>
  <si>
    <t>08.6.3.</t>
  </si>
  <si>
    <t>26.04.SN Nr.14</t>
  </si>
  <si>
    <t>Projekts "Ērģeļspēles apguves nodrošināšana Jūrmalas Mūzikas vidusskolā"</t>
  </si>
  <si>
    <t>09.12.2.</t>
  </si>
  <si>
    <t>Pašvaldības budžeta ieņēmumu atlikums</t>
  </si>
  <si>
    <t>Atlikums no projektu līdzekļiem Domei</t>
  </si>
  <si>
    <t>Atlikums no projektu līdzekļiem iestādēs (bez Domes)</t>
  </si>
  <si>
    <t>Maksas pakalpojumu atlikums (Dome)</t>
  </si>
  <si>
    <t>Maksas pakalpojumu atlikums iestāžu kontos (bez domes)</t>
  </si>
  <si>
    <t>Mērķdotācija Mācību līdzekļu un grāmatu iegādei</t>
  </si>
  <si>
    <t>Mērķdotācija pedagogu atalgojumam vispārējā izglītība</t>
  </si>
  <si>
    <t>Mērķdotācija atlikums interešu izglītības pedagogu atalgojumam</t>
  </si>
  <si>
    <t>Mērķdotācija atlikums pedagogu atalgojumam</t>
  </si>
  <si>
    <t>Mērķdotācja izglītības iestādēm (5.,6. gadīgie)</t>
  </si>
  <si>
    <t>Mērķdotācija profesionālās ievirzes pedagogiem</t>
  </si>
  <si>
    <t>Mērķdotācijas asistenta pakalpojumiem</t>
  </si>
  <si>
    <t>Mēķdotācijamāksliniecisko kolektīvu vadītājiem (Mūz.sk.)</t>
  </si>
  <si>
    <t>Zvejas tiesību noma</t>
  </si>
  <si>
    <t>Mēķdotācija speciālajām skolām</t>
  </si>
  <si>
    <t>Mērķdotācija Autoceļu fondam</t>
  </si>
  <si>
    <t>Konsolidējamie izdevumi uz ieņēmumu pārsniegumu</t>
  </si>
  <si>
    <t>Atlikums no projektu līdzekļiem Kopējais</t>
  </si>
  <si>
    <t>Maksas pakalpojumu atlikums (Kopējais)</t>
  </si>
  <si>
    <t>Projekts "Nacionālas nozīmes projekts "Piekrastes apsaimniekošanas praktisko aktivitāšu realizēšana", Jūrmalas pašvaldībā"</t>
  </si>
  <si>
    <t>05.1.6.</t>
  </si>
  <si>
    <t>4., 34. pielikums</t>
  </si>
  <si>
    <t>4., 12., 34. pielikums</t>
  </si>
  <si>
    <t>25.04.r Nr.1.1-14/174, 18.05.r Nr.1.1-14/206</t>
  </si>
  <si>
    <t>24.05.SN Nr.22</t>
  </si>
  <si>
    <t>4., 34.pielikums</t>
  </si>
  <si>
    <t>Projekts "Laivu, dzinēju un kvadricikla iegāde zivju resursu aizsardzībai"</t>
  </si>
  <si>
    <t>04.4.1.</t>
  </si>
  <si>
    <t>Projekts "Jūrmalas jauniešu informācijas tīkls"</t>
  </si>
  <si>
    <t>09.1.16.</t>
  </si>
  <si>
    <t>Projekts "Karte visiem"</t>
  </si>
  <si>
    <t>04.1.19.</t>
  </si>
  <si>
    <t>04.1.9., 04.1.10.</t>
  </si>
  <si>
    <t>Projekts „Starpkultūru saiknes veidošana ar Eiropas Brīvprātīgā Darba starpniecību”</t>
  </si>
  <si>
    <t>09.8.3.</t>
  </si>
  <si>
    <t>Mērķdotācija pedagogu atalgojumam sporta profesionālās ievirzes izglītības programmu finansēšanai</t>
  </si>
  <si>
    <t>Mērķdotācija pedagogu atalgojumam kultūras profesionālās ievirzes izglītības programmu finansēšanai</t>
  </si>
  <si>
    <t>05.06.r Nr.1.1-14/225, 08.06.r Nr.1.1-14/233</t>
  </si>
  <si>
    <t>14.06.SN Nr.24</t>
  </si>
  <si>
    <t>20.06.r Nr.1.1-14/246, 29.06.r Nr.1.1-14/254</t>
  </si>
  <si>
    <t>26.07.SN Nr.27</t>
  </si>
  <si>
    <t>26.08.SN Nr.27</t>
  </si>
  <si>
    <t xml:space="preserve">Projekts  "Es esmu moderns skolotājs/ I am a modern teacher" </t>
  </si>
  <si>
    <t>09.11.4.</t>
  </si>
  <si>
    <t>Latvijas simtgades pasākumi: Latvijas skolas soma</t>
  </si>
  <si>
    <t xml:space="preserve">Projekts "Lielupes radīto plūdu un krasta erozijas risku apdraudējumu novēršanas pasākumi Dubultos-Majoros-Dzintaros" </t>
  </si>
  <si>
    <t>04.1.20</t>
  </si>
  <si>
    <t>Projekts "Jūrmalas pilsētas Jaundubultu vidusskolas ēkas k-1 (autoskolas ēkas) energoefektivitātes paaugstināšana"</t>
  </si>
  <si>
    <t xml:space="preserve">Projekts "Jūrmalas pilsētas Jaundubultu vidusskolas ēkas energoefektivitātes paaugstināšana" </t>
  </si>
  <si>
    <t>09.1.17.</t>
  </si>
  <si>
    <t>09.1.18</t>
  </si>
  <si>
    <t>23.08.SN Nr.31</t>
  </si>
  <si>
    <t>nākamie</t>
  </si>
  <si>
    <t>Jūrmalas pilsētas vēlēšanu komisija</t>
  </si>
  <si>
    <t>01.3.1.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</si>
</sst>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indexed="10"/>
      <name val="Times New Roman"/>
      <family val="1"/>
      <charset val="186"/>
    </font>
    <font>
      <b/>
      <sz val="9"/>
      <color indexed="9"/>
      <name val="Times New Roman"/>
      <family val="1"/>
      <charset val="186"/>
    </font>
    <font>
      <b/>
      <u/>
      <sz val="9"/>
      <name val="Times New Roman"/>
      <family val="1"/>
      <charset val="186"/>
    </font>
    <font>
      <sz val="6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4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8"/>
      <color indexed="81"/>
      <name val="Times New Roman"/>
      <family val="1"/>
      <charset val="186"/>
    </font>
    <font>
      <sz val="8"/>
      <color indexed="81"/>
      <name val="Times New Roman"/>
      <family val="1"/>
      <charset val="186"/>
    </font>
    <font>
      <b/>
      <sz val="9"/>
      <color theme="0"/>
      <name val="Times New Roman"/>
      <family val="1"/>
      <charset val="186"/>
    </font>
    <font>
      <sz val="13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i/>
      <sz val="13"/>
      <name val="Times New Roman"/>
      <family val="1"/>
      <charset val="186"/>
    </font>
    <font>
      <sz val="13"/>
      <color theme="0"/>
      <name val="Times New Roman"/>
      <family val="1"/>
      <charset val="186"/>
    </font>
    <font>
      <i/>
      <sz val="13"/>
      <color theme="0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66"/>
        <bgColor indexed="64"/>
      </patternFill>
    </fill>
  </fills>
  <borders count="1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590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49" fontId="4" fillId="0" borderId="12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3" fontId="4" fillId="0" borderId="17" xfId="0" applyNumberFormat="1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3" fontId="4" fillId="0" borderId="23" xfId="0" applyNumberFormat="1" applyFont="1" applyFill="1" applyBorder="1" applyAlignment="1">
      <alignment horizontal="right" vertical="center" wrapText="1"/>
    </xf>
    <xf numFmtId="49" fontId="4" fillId="0" borderId="24" xfId="0" applyNumberFormat="1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2" applyFont="1" applyFill="1" applyBorder="1"/>
    <xf numFmtId="3" fontId="7" fillId="2" borderId="3" xfId="2" applyNumberFormat="1" applyFont="1" applyFill="1" applyBorder="1" applyAlignment="1">
      <alignment horizontal="right" vertical="center" wrapText="1"/>
    </xf>
    <xf numFmtId="0" fontId="7" fillId="0" borderId="28" xfId="2" applyFont="1" applyFill="1" applyBorder="1" applyAlignment="1">
      <alignment horizontal="center" vertical="center" wrapText="1"/>
    </xf>
    <xf numFmtId="0" fontId="7" fillId="0" borderId="25" xfId="2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0" fontId="7" fillId="0" borderId="29" xfId="2" applyFont="1" applyFill="1" applyBorder="1" applyAlignment="1">
      <alignment horizontal="center" vertical="center" wrapText="1"/>
    </xf>
    <xf numFmtId="3" fontId="7" fillId="0" borderId="29" xfId="2" applyNumberFormat="1" applyFont="1" applyFill="1" applyBorder="1" applyAlignment="1">
      <alignment horizontal="right" vertical="center" wrapText="1"/>
    </xf>
    <xf numFmtId="0" fontId="8" fillId="3" borderId="29" xfId="2" applyFont="1" applyFill="1" applyBorder="1" applyAlignment="1">
      <alignment horizontal="left" vertical="center" wrapText="1"/>
    </xf>
    <xf numFmtId="3" fontId="8" fillId="3" borderId="29" xfId="2" applyNumberFormat="1" applyFont="1" applyFill="1" applyBorder="1" applyAlignment="1">
      <alignment horizontal="right" vertical="center" wrapText="1"/>
    </xf>
    <xf numFmtId="0" fontId="5" fillId="0" borderId="28" xfId="2" applyFont="1" applyFill="1" applyBorder="1" applyAlignment="1">
      <alignment vertical="center"/>
    </xf>
    <xf numFmtId="0" fontId="5" fillId="0" borderId="29" xfId="2" applyFont="1" applyFill="1" applyBorder="1" applyAlignment="1">
      <alignment vertical="center" wrapText="1"/>
    </xf>
    <xf numFmtId="0" fontId="4" fillId="0" borderId="30" xfId="2" applyFont="1" applyFill="1" applyBorder="1" applyAlignment="1">
      <alignment vertical="center"/>
    </xf>
    <xf numFmtId="0" fontId="4" fillId="0" borderId="31" xfId="2" applyFont="1" applyFill="1" applyBorder="1" applyAlignment="1">
      <alignment vertical="center" wrapText="1"/>
    </xf>
    <xf numFmtId="0" fontId="4" fillId="0" borderId="32" xfId="2" applyFont="1" applyFill="1" applyBorder="1" applyAlignment="1">
      <alignment vertical="center"/>
    </xf>
    <xf numFmtId="0" fontId="4" fillId="0" borderId="33" xfId="2" applyFont="1" applyFill="1" applyBorder="1" applyAlignment="1">
      <alignment vertical="center" wrapText="1"/>
    </xf>
    <xf numFmtId="0" fontId="4" fillId="0" borderId="34" xfId="2" applyFont="1" applyFill="1" applyBorder="1" applyAlignment="1">
      <alignment vertical="center"/>
    </xf>
    <xf numFmtId="0" fontId="4" fillId="0" borderId="35" xfId="2" applyFont="1" applyFill="1" applyBorder="1" applyAlignment="1">
      <alignment vertical="center" wrapText="1"/>
    </xf>
    <xf numFmtId="3" fontId="8" fillId="3" borderId="29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vertical="center"/>
    </xf>
    <xf numFmtId="0" fontId="4" fillId="0" borderId="29" xfId="2" applyFont="1" applyFill="1" applyBorder="1" applyAlignment="1">
      <alignment vertical="center" wrapText="1"/>
    </xf>
    <xf numFmtId="3" fontId="4" fillId="0" borderId="29" xfId="2" applyNumberFormat="1" applyFont="1" applyFill="1" applyBorder="1" applyAlignment="1">
      <alignment vertical="center"/>
    </xf>
    <xf numFmtId="0" fontId="5" fillId="0" borderId="29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vertical="center"/>
    </xf>
    <xf numFmtId="0" fontId="4" fillId="0" borderId="3" xfId="2" applyFont="1" applyFill="1" applyBorder="1" applyAlignment="1">
      <alignment vertical="center" wrapText="1"/>
    </xf>
    <xf numFmtId="0" fontId="5" fillId="0" borderId="15" xfId="2" applyFont="1" applyFill="1" applyBorder="1" applyAlignment="1">
      <alignment wrapText="1"/>
    </xf>
    <xf numFmtId="0" fontId="4" fillId="0" borderId="28" xfId="2" applyFont="1" applyFill="1" applyBorder="1"/>
    <xf numFmtId="0" fontId="4" fillId="0" borderId="29" xfId="2" applyFont="1" applyFill="1" applyBorder="1" applyAlignment="1">
      <alignment wrapText="1"/>
    </xf>
    <xf numFmtId="0" fontId="8" fillId="3" borderId="29" xfId="2" applyFont="1" applyFill="1" applyBorder="1" applyAlignment="1">
      <alignment vertical="center" wrapText="1"/>
    </xf>
    <xf numFmtId="0" fontId="4" fillId="0" borderId="13" xfId="2" applyFont="1" applyFill="1" applyBorder="1" applyAlignment="1">
      <alignment vertical="center"/>
    </xf>
    <xf numFmtId="0" fontId="4" fillId="0" borderId="15" xfId="2" applyFont="1" applyFill="1" applyBorder="1" applyAlignment="1">
      <alignment vertical="center" wrapText="1"/>
    </xf>
    <xf numFmtId="3" fontId="4" fillId="0" borderId="15" xfId="2" applyNumberFormat="1" applyFont="1" applyFill="1" applyBorder="1" applyAlignment="1">
      <alignment vertical="center"/>
    </xf>
    <xf numFmtId="0" fontId="4" fillId="0" borderId="36" xfId="2" applyFont="1" applyFill="1" applyBorder="1" applyAlignment="1">
      <alignment vertical="center"/>
    </xf>
    <xf numFmtId="0" fontId="4" fillId="0" borderId="37" xfId="2" applyFont="1" applyFill="1" applyBorder="1" applyAlignment="1">
      <alignment vertical="center" wrapText="1"/>
    </xf>
    <xf numFmtId="0" fontId="5" fillId="0" borderId="15" xfId="2" applyFont="1" applyFill="1" applyBorder="1" applyAlignment="1">
      <alignment vertical="top" wrapText="1"/>
    </xf>
    <xf numFmtId="0" fontId="4" fillId="0" borderId="29" xfId="2" applyFont="1" applyFill="1" applyBorder="1" applyAlignment="1">
      <alignment vertical="top" wrapText="1"/>
    </xf>
    <xf numFmtId="0" fontId="5" fillId="0" borderId="28" xfId="2" applyFont="1" applyFill="1" applyBorder="1" applyAlignment="1">
      <alignment horizontal="left" vertical="center"/>
    </xf>
    <xf numFmtId="0" fontId="5" fillId="0" borderId="28" xfId="2" applyFont="1" applyFill="1" applyBorder="1"/>
    <xf numFmtId="0" fontId="5" fillId="0" borderId="29" xfId="2" applyFont="1" applyFill="1" applyBorder="1" applyAlignment="1">
      <alignment wrapText="1"/>
    </xf>
    <xf numFmtId="0" fontId="4" fillId="0" borderId="39" xfId="2" applyFont="1" applyFill="1" applyBorder="1" applyAlignment="1">
      <alignment vertical="center"/>
    </xf>
    <xf numFmtId="0" fontId="4" fillId="0" borderId="40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0" fontId="4" fillId="0" borderId="26" xfId="2" applyFont="1" applyFill="1" applyBorder="1" applyAlignment="1">
      <alignment vertical="center"/>
    </xf>
    <xf numFmtId="0" fontId="4" fillId="0" borderId="25" xfId="2" applyFont="1" applyFill="1" applyBorder="1"/>
    <xf numFmtId="0" fontId="4" fillId="0" borderId="26" xfId="2" applyFont="1" applyFill="1" applyBorder="1"/>
    <xf numFmtId="0" fontId="5" fillId="0" borderId="25" xfId="2" applyFont="1" applyFill="1" applyBorder="1"/>
    <xf numFmtId="0" fontId="5" fillId="0" borderId="26" xfId="2" applyFont="1" applyFill="1" applyBorder="1"/>
    <xf numFmtId="0" fontId="4" fillId="0" borderId="29" xfId="2" applyFont="1" applyFill="1" applyBorder="1" applyAlignment="1">
      <alignment horizontal="left" wrapText="1"/>
    </xf>
    <xf numFmtId="0" fontId="4" fillId="0" borderId="13" xfId="2" applyFont="1" applyFill="1" applyBorder="1"/>
    <xf numFmtId="0" fontId="4" fillId="0" borderId="14" xfId="2" applyFont="1" applyFill="1" applyBorder="1"/>
    <xf numFmtId="0" fontId="4" fillId="0" borderId="41" xfId="2" applyFont="1" applyFill="1" applyBorder="1"/>
    <xf numFmtId="3" fontId="5" fillId="0" borderId="42" xfId="2" applyNumberFormat="1" applyFont="1" applyFill="1" applyBorder="1" applyAlignment="1">
      <alignment vertical="center"/>
    </xf>
    <xf numFmtId="0" fontId="4" fillId="0" borderId="0" xfId="2" applyFont="1" applyFill="1"/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3" fontId="4" fillId="0" borderId="15" xfId="2" applyNumberFormat="1" applyFont="1" applyFill="1" applyBorder="1" applyAlignment="1">
      <alignment horizontal="right" vertical="center"/>
    </xf>
    <xf numFmtId="0" fontId="9" fillId="0" borderId="44" xfId="2" applyFont="1" applyFill="1" applyBorder="1" applyAlignment="1">
      <alignment horizontal="center" vertical="center"/>
    </xf>
    <xf numFmtId="0" fontId="9" fillId="0" borderId="44" xfId="2" applyFont="1" applyFill="1" applyBorder="1" applyAlignment="1">
      <alignment horizontal="center" vertical="center" wrapText="1"/>
    </xf>
    <xf numFmtId="0" fontId="8" fillId="4" borderId="29" xfId="2" applyFont="1" applyFill="1" applyBorder="1" applyAlignment="1">
      <alignment wrapText="1"/>
    </xf>
    <xf numFmtId="3" fontId="8" fillId="4" borderId="15" xfId="2" applyNumberFormat="1" applyFont="1" applyFill="1" applyBorder="1" applyAlignment="1">
      <alignment horizontal="right" vertical="center"/>
    </xf>
    <xf numFmtId="0" fontId="4" fillId="0" borderId="29" xfId="2" applyFont="1" applyFill="1" applyBorder="1" applyAlignment="1">
      <alignment horizontal="right" wrapText="1"/>
    </xf>
    <xf numFmtId="0" fontId="4" fillId="0" borderId="45" xfId="2" applyFont="1" applyFill="1" applyBorder="1" applyAlignment="1">
      <alignment vertical="center" wrapText="1"/>
    </xf>
    <xf numFmtId="49" fontId="4" fillId="0" borderId="46" xfId="0" applyNumberFormat="1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3" fontId="4" fillId="0" borderId="48" xfId="0" applyNumberFormat="1" applyFont="1" applyFill="1" applyBorder="1" applyAlignment="1">
      <alignment horizontal="right" vertical="center" wrapText="1"/>
    </xf>
    <xf numFmtId="3" fontId="4" fillId="0" borderId="37" xfId="0" applyNumberFormat="1" applyFont="1" applyFill="1" applyBorder="1" applyAlignment="1">
      <alignment horizontal="right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3" fontId="4" fillId="0" borderId="51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31" xfId="2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1" fillId="0" borderId="28" xfId="2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horizontal="right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57" xfId="2" applyFont="1" applyFill="1" applyBorder="1" applyAlignment="1">
      <alignment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3" fontId="4" fillId="0" borderId="65" xfId="0" applyNumberFormat="1" applyFont="1" applyFill="1" applyBorder="1" applyAlignment="1">
      <alignment horizontal="right" vertical="center" wrapText="1"/>
    </xf>
    <xf numFmtId="3" fontId="4" fillId="0" borderId="63" xfId="0" applyNumberFormat="1" applyFont="1" applyFill="1" applyBorder="1" applyAlignment="1">
      <alignment horizontal="right" vertical="center" wrapText="1"/>
    </xf>
    <xf numFmtId="3" fontId="4" fillId="0" borderId="66" xfId="0" applyNumberFormat="1" applyFont="1" applyFill="1" applyBorder="1" applyAlignment="1">
      <alignment horizontal="right" vertical="center" wrapText="1"/>
    </xf>
    <xf numFmtId="3" fontId="4" fillId="0" borderId="69" xfId="0" applyNumberFormat="1" applyFont="1" applyFill="1" applyBorder="1" applyAlignment="1">
      <alignment horizontal="right" vertical="center" wrapText="1"/>
    </xf>
    <xf numFmtId="0" fontId="8" fillId="0" borderId="28" xfId="2" applyFont="1" applyFill="1" applyBorder="1" applyAlignment="1">
      <alignment horizontal="left" vertical="center"/>
    </xf>
    <xf numFmtId="0" fontId="4" fillId="0" borderId="30" xfId="2" applyFont="1" applyFill="1" applyBorder="1"/>
    <xf numFmtId="0" fontId="4" fillId="0" borderId="39" xfId="2" applyFont="1" applyFill="1" applyBorder="1"/>
    <xf numFmtId="0" fontId="5" fillId="0" borderId="39" xfId="0" applyFont="1" applyBorder="1" applyAlignment="1">
      <alignment horizontal="center"/>
    </xf>
    <xf numFmtId="0" fontId="4" fillId="0" borderId="31" xfId="2" applyFont="1" applyFill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2" applyFont="1" applyFill="1" applyBorder="1" applyAlignment="1">
      <alignment horizontal="right" vertical="center"/>
    </xf>
    <xf numFmtId="0" fontId="4" fillId="0" borderId="61" xfId="2" applyFont="1" applyFill="1" applyBorder="1" applyAlignment="1">
      <alignment horizontal="right" vertical="center"/>
    </xf>
    <xf numFmtId="0" fontId="5" fillId="0" borderId="25" xfId="0" applyFont="1" applyBorder="1" applyAlignment="1">
      <alignment horizontal="center"/>
    </xf>
    <xf numFmtId="0" fontId="5" fillId="0" borderId="25" xfId="2" applyFont="1" applyFill="1" applyBorder="1" applyAlignment="1">
      <alignment horizontal="left" vertical="center"/>
    </xf>
    <xf numFmtId="0" fontId="4" fillId="0" borderId="96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8" fillId="0" borderId="0" xfId="2" applyFont="1" applyFill="1" applyBorder="1"/>
    <xf numFmtId="0" fontId="4" fillId="0" borderId="110" xfId="2" applyFont="1" applyFill="1" applyBorder="1" applyAlignment="1">
      <alignment vertical="center"/>
    </xf>
    <xf numFmtId="0" fontId="4" fillId="0" borderId="111" xfId="2" applyFont="1" applyFill="1" applyBorder="1" applyAlignment="1">
      <alignment vertical="center"/>
    </xf>
    <xf numFmtId="0" fontId="4" fillId="0" borderId="110" xfId="2" applyFont="1" applyFill="1" applyBorder="1" applyAlignment="1">
      <alignment horizontal="left" vertical="center"/>
    </xf>
    <xf numFmtId="0" fontId="11" fillId="0" borderId="0" xfId="2" applyFont="1" applyFill="1" applyBorder="1"/>
    <xf numFmtId="0" fontId="9" fillId="0" borderId="92" xfId="2" applyFont="1" applyFill="1" applyBorder="1" applyAlignment="1">
      <alignment horizontal="center" vertical="center" wrapText="1"/>
    </xf>
    <xf numFmtId="0" fontId="4" fillId="0" borderId="91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25" xfId="2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10" fillId="0" borderId="51" xfId="0" applyNumberFormat="1" applyFont="1" applyFill="1" applyBorder="1" applyAlignment="1">
      <alignment horizontal="center" vertical="center" wrapText="1"/>
    </xf>
    <xf numFmtId="1" fontId="10" fillId="0" borderId="56" xfId="0" applyNumberFormat="1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30" xfId="2" applyFont="1" applyFill="1" applyBorder="1" applyAlignment="1">
      <alignment vertical="center"/>
    </xf>
    <xf numFmtId="0" fontId="4" fillId="0" borderId="67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>
      <alignment horizontal="right" vertical="center" wrapText="1"/>
    </xf>
    <xf numFmtId="0" fontId="4" fillId="0" borderId="47" xfId="2" applyFont="1" applyFill="1" applyBorder="1" applyAlignment="1">
      <alignment horizontal="right" vertical="center"/>
    </xf>
    <xf numFmtId="0" fontId="4" fillId="0" borderId="61" xfId="2" applyFont="1" applyFill="1" applyBorder="1" applyAlignment="1">
      <alignment horizontal="right" vertical="center"/>
    </xf>
    <xf numFmtId="0" fontId="16" fillId="0" borderId="47" xfId="0" applyFont="1" applyFill="1" applyBorder="1" applyAlignment="1">
      <alignment horizontal="center" vertical="center" wrapText="1"/>
    </xf>
    <xf numFmtId="3" fontId="16" fillId="0" borderId="48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5" xfId="2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59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4" xfId="2" applyFont="1" applyFill="1" applyBorder="1" applyAlignment="1">
      <alignment horizontal="center" vertical="center" wrapText="1"/>
    </xf>
    <xf numFmtId="3" fontId="5" fillId="0" borderId="116" xfId="2" applyNumberFormat="1" applyFont="1" applyFill="1" applyBorder="1" applyAlignment="1">
      <alignment vertical="center"/>
    </xf>
    <xf numFmtId="0" fontId="5" fillId="0" borderId="25" xfId="2" applyFont="1" applyFill="1" applyBorder="1" applyAlignment="1">
      <alignment horizontal="left" vertical="center"/>
    </xf>
    <xf numFmtId="0" fontId="5" fillId="0" borderId="117" xfId="2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" fontId="20" fillId="5" borderId="15" xfId="2" applyNumberFormat="1" applyFont="1" applyFill="1" applyBorder="1" applyAlignment="1">
      <alignment horizontal="right" vertical="center"/>
    </xf>
    <xf numFmtId="0" fontId="21" fillId="0" borderId="0" xfId="0" applyFont="1"/>
    <xf numFmtId="0" fontId="22" fillId="0" borderId="0" xfId="0" applyFont="1" applyAlignment="1">
      <alignment horizontal="right"/>
    </xf>
    <xf numFmtId="0" fontId="21" fillId="0" borderId="0" xfId="0" applyFont="1" applyBorder="1"/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wrapText="1"/>
    </xf>
    <xf numFmtId="0" fontId="24" fillId="0" borderId="0" xfId="0" applyFont="1" applyBorder="1"/>
    <xf numFmtId="3" fontId="24" fillId="0" borderId="0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wrapText="1"/>
    </xf>
    <xf numFmtId="3" fontId="2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3" fontId="16" fillId="0" borderId="37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33" xfId="0" applyNumberFormat="1" applyFont="1" applyFill="1" applyBorder="1" applyAlignment="1">
      <alignment horizontal="right" vertical="center" wrapText="1"/>
    </xf>
    <xf numFmtId="3" fontId="4" fillId="0" borderId="50" xfId="0" applyNumberFormat="1" applyFont="1" applyFill="1" applyBorder="1" applyAlignment="1">
      <alignment horizontal="right" vertical="center" wrapText="1"/>
    </xf>
    <xf numFmtId="0" fontId="4" fillId="0" borderId="47" xfId="2" applyFont="1" applyFill="1" applyBorder="1" applyAlignment="1">
      <alignment horizontal="right" vertical="center"/>
    </xf>
    <xf numFmtId="0" fontId="4" fillId="0" borderId="61" xfId="2" applyFont="1" applyFill="1" applyBorder="1" applyAlignment="1">
      <alignment horizontal="right" vertical="center"/>
    </xf>
    <xf numFmtId="0" fontId="4" fillId="0" borderId="30" xfId="2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35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2" applyFont="1" applyFill="1" applyBorder="1" applyAlignment="1">
      <alignment horizontal="right" vertical="center"/>
    </xf>
    <xf numFmtId="0" fontId="4" fillId="0" borderId="61" xfId="2" applyFont="1" applyFill="1" applyBorder="1" applyAlignment="1">
      <alignment horizontal="right" vertical="center"/>
    </xf>
    <xf numFmtId="3" fontId="4" fillId="0" borderId="0" xfId="2" applyNumberFormat="1" applyFont="1" applyFill="1"/>
    <xf numFmtId="0" fontId="4" fillId="0" borderId="0" xfId="0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 horizontal="left"/>
    </xf>
    <xf numFmtId="0" fontId="4" fillId="0" borderId="25" xfId="2" applyFont="1" applyFill="1" applyBorder="1" applyAlignment="1">
      <alignment horizontal="right" vertical="center"/>
    </xf>
    <xf numFmtId="0" fontId="5" fillId="0" borderId="25" xfId="2" applyFont="1" applyFill="1" applyBorder="1" applyAlignment="1">
      <alignment horizontal="left" vertical="center"/>
    </xf>
    <xf numFmtId="0" fontId="5" fillId="0" borderId="13" xfId="2" applyFont="1" applyFill="1" applyBorder="1"/>
    <xf numFmtId="0" fontId="4" fillId="0" borderId="14" xfId="2" applyFont="1" applyFill="1" applyBorder="1" applyAlignment="1">
      <alignment horizontal="center"/>
    </xf>
    <xf numFmtId="0" fontId="4" fillId="0" borderId="41" xfId="2" applyFont="1" applyFill="1" applyBorder="1" applyAlignment="1">
      <alignment horizontal="center"/>
    </xf>
    <xf numFmtId="3" fontId="5" fillId="0" borderId="29" xfId="2" applyNumberFormat="1" applyFont="1" applyFill="1" applyBorder="1" applyAlignment="1">
      <alignment horizontal="right" vertical="center" wrapText="1"/>
    </xf>
    <xf numFmtId="3" fontId="4" fillId="0" borderId="31" xfId="2" applyNumberFormat="1" applyFont="1" applyFill="1" applyBorder="1" applyAlignment="1">
      <alignment vertical="center"/>
    </xf>
    <xf numFmtId="3" fontId="4" fillId="0" borderId="33" xfId="2" applyNumberFormat="1" applyFont="1" applyFill="1" applyBorder="1" applyAlignment="1">
      <alignment vertical="center"/>
    </xf>
    <xf numFmtId="3" fontId="4" fillId="0" borderId="35" xfId="2" applyNumberFormat="1" applyFont="1" applyFill="1" applyBorder="1" applyAlignment="1">
      <alignment vertical="center"/>
    </xf>
    <xf numFmtId="3" fontId="4" fillId="0" borderId="45" xfId="2" applyNumberFormat="1" applyFont="1" applyFill="1" applyBorder="1" applyAlignment="1">
      <alignment vertical="center"/>
    </xf>
    <xf numFmtId="3" fontId="4" fillId="0" borderId="3" xfId="2" applyNumberFormat="1" applyFont="1" applyFill="1" applyBorder="1" applyAlignment="1">
      <alignment vertical="center"/>
    </xf>
    <xf numFmtId="3" fontId="5" fillId="0" borderId="29" xfId="2" applyNumberFormat="1" applyFont="1" applyFill="1" applyBorder="1" applyAlignment="1">
      <alignment vertical="center"/>
    </xf>
    <xf numFmtId="3" fontId="4" fillId="0" borderId="37" xfId="2" applyNumberFormat="1" applyFont="1" applyFill="1" applyBorder="1" applyAlignment="1">
      <alignment vertical="center"/>
    </xf>
    <xf numFmtId="3" fontId="4" fillId="0" borderId="57" xfId="2" applyNumberFormat="1" applyFont="1" applyFill="1" applyBorder="1" applyAlignment="1">
      <alignment vertical="center"/>
    </xf>
    <xf numFmtId="3" fontId="4" fillId="0" borderId="29" xfId="2" applyNumberFormat="1" applyFont="1" applyFill="1" applyBorder="1" applyAlignment="1">
      <alignment horizontal="right" vertical="center"/>
    </xf>
    <xf numFmtId="3" fontId="8" fillId="4" borderId="31" xfId="2" applyNumberFormat="1" applyFont="1" applyFill="1" applyBorder="1" applyAlignment="1">
      <alignment vertical="center"/>
    </xf>
    <xf numFmtId="3" fontId="5" fillId="0" borderId="31" xfId="2" applyNumberFormat="1" applyFont="1" applyFill="1" applyBorder="1" applyAlignment="1">
      <alignment vertical="center"/>
    </xf>
    <xf numFmtId="3" fontId="11" fillId="0" borderId="29" xfId="2" applyNumberFormat="1" applyFont="1" applyFill="1" applyBorder="1" applyAlignment="1">
      <alignment vertical="center"/>
    </xf>
    <xf numFmtId="3" fontId="5" fillId="0" borderId="15" xfId="2" applyNumberFormat="1" applyFont="1" applyFill="1" applyBorder="1" applyAlignment="1">
      <alignment vertical="center"/>
    </xf>
    <xf numFmtId="3" fontId="5" fillId="0" borderId="15" xfId="2" applyNumberFormat="1" applyFont="1" applyFill="1" applyBorder="1" applyAlignment="1">
      <alignment horizontal="right" vertical="center"/>
    </xf>
    <xf numFmtId="0" fontId="4" fillId="0" borderId="113" xfId="2" applyFont="1" applyFill="1" applyBorder="1" applyAlignment="1">
      <alignment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12" fillId="0" borderId="58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13" fillId="0" borderId="47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71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68" xfId="0" applyFont="1" applyFill="1" applyBorder="1" applyAlignment="1">
      <alignment horizontal="left"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49" fontId="16" fillId="0" borderId="49" xfId="0" applyNumberFormat="1" applyFont="1" applyFill="1" applyBorder="1" applyAlignment="1">
      <alignment horizontal="left" vertical="center" wrapText="1"/>
    </xf>
    <xf numFmtId="49" fontId="4" fillId="0" borderId="53" xfId="0" applyNumberFormat="1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vertical="center" wrapText="1"/>
    </xf>
    <xf numFmtId="0" fontId="4" fillId="0" borderId="47" xfId="0" applyFont="1" applyFill="1" applyBorder="1" applyAlignment="1">
      <alignment vertical="center" wrapText="1"/>
    </xf>
    <xf numFmtId="0" fontId="12" fillId="0" borderId="47" xfId="0" applyFont="1" applyFill="1" applyBorder="1" applyAlignment="1">
      <alignment vertical="center" wrapText="1"/>
    </xf>
    <xf numFmtId="0" fontId="4" fillId="0" borderId="1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left" vertical="center" wrapText="1"/>
    </xf>
    <xf numFmtId="49" fontId="4" fillId="0" borderId="54" xfId="0" applyNumberFormat="1" applyFont="1" applyFill="1" applyBorder="1" applyAlignment="1">
      <alignment horizontal="left" vertical="center" wrapText="1"/>
    </xf>
    <xf numFmtId="49" fontId="4" fillId="0" borderId="55" xfId="0" applyNumberFormat="1" applyFont="1" applyFill="1" applyBorder="1" applyAlignment="1">
      <alignment horizontal="left" vertical="center" wrapText="1"/>
    </xf>
    <xf numFmtId="49" fontId="4" fillId="0" borderId="49" xfId="0" applyNumberFormat="1" applyFont="1" applyFill="1" applyBorder="1" applyAlignment="1">
      <alignment vertical="center" wrapText="1"/>
    </xf>
    <xf numFmtId="3" fontId="14" fillId="0" borderId="31" xfId="2" applyNumberFormat="1" applyFont="1" applyFill="1" applyBorder="1" applyAlignment="1">
      <alignment vertical="center"/>
    </xf>
    <xf numFmtId="0" fontId="4" fillId="0" borderId="52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115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textRotation="90" wrapText="1"/>
    </xf>
    <xf numFmtId="0" fontId="4" fillId="0" borderId="96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3" fontId="4" fillId="0" borderId="68" xfId="0" applyNumberFormat="1" applyFont="1" applyFill="1" applyBorder="1" applyAlignment="1">
      <alignment horizontal="right" vertical="center" wrapText="1"/>
    </xf>
    <xf numFmtId="3" fontId="4" fillId="0" borderId="67" xfId="0" applyNumberFormat="1" applyFont="1" applyFill="1" applyBorder="1" applyAlignment="1">
      <alignment horizontal="right" vertical="center" wrapText="1"/>
    </xf>
    <xf numFmtId="3" fontId="16" fillId="0" borderId="66" xfId="0" applyNumberFormat="1" applyFont="1" applyFill="1" applyBorder="1" applyAlignment="1">
      <alignment horizontal="right" vertical="center" wrapText="1"/>
    </xf>
    <xf numFmtId="3" fontId="4" fillId="0" borderId="113" xfId="0" applyNumberFormat="1" applyFont="1" applyFill="1" applyBorder="1" applyAlignment="1">
      <alignment horizontal="right" vertical="center" wrapText="1"/>
    </xf>
    <xf numFmtId="0" fontId="4" fillId="0" borderId="86" xfId="0" applyFont="1" applyFill="1" applyBorder="1" applyAlignment="1">
      <alignment horizontal="center" vertical="center" textRotation="90" wrapText="1"/>
    </xf>
    <xf numFmtId="0" fontId="9" fillId="0" borderId="85" xfId="0" applyFont="1" applyFill="1" applyBorder="1" applyAlignment="1">
      <alignment horizontal="center" vertical="center" wrapText="1"/>
    </xf>
    <xf numFmtId="0" fontId="4" fillId="0" borderId="119" xfId="0" applyFont="1" applyFill="1" applyBorder="1" applyAlignment="1">
      <alignment horizontal="center" vertical="center" wrapText="1"/>
    </xf>
    <xf numFmtId="3" fontId="4" fillId="0" borderId="112" xfId="0" applyNumberFormat="1" applyFont="1" applyFill="1" applyBorder="1" applyAlignment="1">
      <alignment horizontal="right" vertical="center" wrapText="1"/>
    </xf>
    <xf numFmtId="3" fontId="4" fillId="0" borderId="85" xfId="0" applyNumberFormat="1" applyFont="1" applyFill="1" applyBorder="1" applyAlignment="1">
      <alignment horizontal="right" vertical="center" wrapText="1"/>
    </xf>
    <xf numFmtId="3" fontId="4" fillId="0" borderId="120" xfId="0" applyNumberFormat="1" applyFont="1" applyFill="1" applyBorder="1" applyAlignment="1">
      <alignment horizontal="right" vertical="center" wrapText="1"/>
    </xf>
    <xf numFmtId="3" fontId="4" fillId="0" borderId="121" xfId="0" applyNumberFormat="1" applyFont="1" applyFill="1" applyBorder="1" applyAlignment="1">
      <alignment horizontal="right" vertical="center" wrapText="1"/>
    </xf>
    <xf numFmtId="3" fontId="4" fillId="0" borderId="122" xfId="0" applyNumberFormat="1" applyFont="1" applyFill="1" applyBorder="1" applyAlignment="1">
      <alignment horizontal="right" vertical="center" wrapText="1"/>
    </xf>
    <xf numFmtId="3" fontId="16" fillId="0" borderId="112" xfId="0" applyNumberFormat="1" applyFont="1" applyFill="1" applyBorder="1" applyAlignment="1">
      <alignment horizontal="right" vertical="center" wrapText="1"/>
    </xf>
    <xf numFmtId="3" fontId="4" fillId="0" borderId="123" xfId="0" applyNumberFormat="1" applyFont="1" applyFill="1" applyBorder="1" applyAlignment="1">
      <alignment horizontal="right" vertical="center" wrapText="1"/>
    </xf>
    <xf numFmtId="3" fontId="4" fillId="0" borderId="124" xfId="0" applyNumberFormat="1" applyFont="1" applyFill="1" applyBorder="1" applyAlignment="1">
      <alignment horizontal="right" vertical="center" wrapText="1"/>
    </xf>
    <xf numFmtId="3" fontId="4" fillId="0" borderId="125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 wrapText="1"/>
    </xf>
    <xf numFmtId="3" fontId="5" fillId="0" borderId="130" xfId="0" applyNumberFormat="1" applyFont="1" applyFill="1" applyBorder="1" applyAlignment="1">
      <alignment horizontal="right" vertical="center" wrapText="1"/>
    </xf>
    <xf numFmtId="3" fontId="4" fillId="0" borderId="36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5" fillId="0" borderId="72" xfId="0" applyNumberFormat="1" applyFont="1" applyFill="1" applyBorder="1" applyAlignment="1">
      <alignment horizontal="right" vertical="center" wrapText="1"/>
    </xf>
    <xf numFmtId="3" fontId="4" fillId="0" borderId="32" xfId="0" applyNumberFormat="1" applyFont="1" applyFill="1" applyBorder="1" applyAlignment="1">
      <alignment horizontal="right" vertical="center" wrapText="1"/>
    </xf>
    <xf numFmtId="3" fontId="4" fillId="0" borderId="131" xfId="0" applyNumberFormat="1" applyFont="1" applyFill="1" applyBorder="1" applyAlignment="1">
      <alignment horizontal="right" vertical="center" wrapText="1"/>
    </xf>
    <xf numFmtId="3" fontId="16" fillId="0" borderId="36" xfId="0" applyNumberFormat="1" applyFont="1" applyFill="1" applyBorder="1" applyAlignment="1">
      <alignment horizontal="right" vertical="center" wrapText="1"/>
    </xf>
    <xf numFmtId="3" fontId="4" fillId="0" borderId="34" xfId="0" applyNumberFormat="1" applyFont="1" applyFill="1" applyBorder="1" applyAlignment="1">
      <alignment horizontal="right" vertical="center" wrapText="1"/>
    </xf>
    <xf numFmtId="3" fontId="5" fillId="0" borderId="89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3" fontId="7" fillId="2" borderId="31" xfId="2" applyNumberFormat="1" applyFont="1" applyFill="1" applyBorder="1" applyAlignment="1">
      <alignment horizontal="right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54" xfId="0" applyFont="1" applyFill="1" applyBorder="1" applyAlignment="1">
      <alignment horizontal="left" vertical="center" wrapText="1"/>
    </xf>
    <xf numFmtId="3" fontId="4" fillId="0" borderId="47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vertical="center" wrapText="1"/>
    </xf>
    <xf numFmtId="0" fontId="12" fillId="0" borderId="100" xfId="0" applyFont="1" applyFill="1" applyBorder="1" applyAlignment="1">
      <alignment vertical="center" wrapText="1"/>
    </xf>
    <xf numFmtId="0" fontId="4" fillId="0" borderId="60" xfId="0" applyFont="1" applyFill="1" applyBorder="1" applyAlignment="1">
      <alignment vertical="center" wrapText="1"/>
    </xf>
    <xf numFmtId="3" fontId="4" fillId="0" borderId="43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3" fontId="4" fillId="0" borderId="9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4" fillId="0" borderId="58" xfId="0" applyNumberFormat="1" applyFont="1" applyFill="1" applyBorder="1" applyAlignment="1">
      <alignment horizontal="right" vertical="center" wrapText="1"/>
    </xf>
    <xf numFmtId="3" fontId="4" fillId="0" borderId="60" xfId="0" applyNumberFormat="1" applyFont="1" applyFill="1" applyBorder="1" applyAlignment="1">
      <alignment horizontal="right" vertical="center" wrapText="1"/>
    </xf>
    <xf numFmtId="3" fontId="4" fillId="0" borderId="70" xfId="0" applyNumberFormat="1" applyFont="1" applyFill="1" applyBorder="1" applyAlignment="1">
      <alignment horizontal="right" vertical="center" wrapText="1"/>
    </xf>
    <xf numFmtId="3" fontId="4" fillId="0" borderId="132" xfId="0" applyNumberFormat="1" applyFont="1" applyFill="1" applyBorder="1" applyAlignment="1">
      <alignment horizontal="right" vertical="center" wrapText="1"/>
    </xf>
    <xf numFmtId="3" fontId="16" fillId="0" borderId="47" xfId="0" applyNumberFormat="1" applyFont="1" applyFill="1" applyBorder="1" applyAlignment="1">
      <alignment horizontal="right" vertical="center" wrapText="1"/>
    </xf>
    <xf numFmtId="3" fontId="4" fillId="0" borderId="133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3" fontId="5" fillId="0" borderId="0" xfId="2" applyNumberFormat="1" applyFont="1" applyFill="1" applyBorder="1"/>
    <xf numFmtId="0" fontId="4" fillId="0" borderId="115" xfId="0" applyFont="1" applyFill="1" applyBorder="1" applyAlignment="1">
      <alignment horizontal="center" vertical="center" textRotation="90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5" fillId="0" borderId="0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47" xfId="2" applyFont="1" applyFill="1" applyBorder="1" applyAlignment="1">
      <alignment horizontal="right" vertical="center"/>
    </xf>
    <xf numFmtId="0" fontId="4" fillId="0" borderId="61" xfId="2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3" fontId="4" fillId="7" borderId="11" xfId="0" applyNumberFormat="1" applyFont="1" applyFill="1" applyBorder="1" applyAlignment="1">
      <alignment horizontal="right" vertical="center" wrapText="1"/>
    </xf>
    <xf numFmtId="3" fontId="4" fillId="7" borderId="37" xfId="0" applyNumberFormat="1" applyFont="1" applyFill="1" applyBorder="1" applyAlignment="1">
      <alignment horizontal="right" vertical="center" wrapText="1"/>
    </xf>
    <xf numFmtId="3" fontId="4" fillId="7" borderId="3" xfId="0" applyNumberFormat="1" applyFont="1" applyFill="1" applyBorder="1" applyAlignment="1">
      <alignment horizontal="right" vertical="center" wrapText="1"/>
    </xf>
    <xf numFmtId="3" fontId="4" fillId="7" borderId="33" xfId="0" applyNumberFormat="1" applyFont="1" applyFill="1" applyBorder="1" applyAlignment="1">
      <alignment horizontal="right" vertical="center" wrapText="1"/>
    </xf>
    <xf numFmtId="3" fontId="4" fillId="7" borderId="35" xfId="0" applyNumberFormat="1" applyFont="1" applyFill="1" applyBorder="1" applyAlignment="1">
      <alignment horizontal="right" vertical="center" wrapText="1"/>
    </xf>
    <xf numFmtId="3" fontId="4" fillId="7" borderId="50" xfId="0" applyNumberFormat="1" applyFont="1" applyFill="1" applyBorder="1" applyAlignment="1">
      <alignment horizontal="right" vertical="center" wrapText="1"/>
    </xf>
    <xf numFmtId="3" fontId="16" fillId="7" borderId="37" xfId="0" applyNumberFormat="1" applyFont="1" applyFill="1" applyBorder="1" applyAlignment="1">
      <alignment horizontal="right" vertical="center" wrapText="1"/>
    </xf>
    <xf numFmtId="3" fontId="4" fillId="7" borderId="65" xfId="0" applyNumberFormat="1" applyFont="1" applyFill="1" applyBorder="1" applyAlignment="1">
      <alignment horizontal="right" vertical="center" wrapText="1"/>
    </xf>
    <xf numFmtId="3" fontId="4" fillId="7" borderId="23" xfId="0" applyNumberFormat="1" applyFont="1" applyFill="1" applyBorder="1" applyAlignment="1">
      <alignment horizontal="right" vertical="center" wrapText="1"/>
    </xf>
    <xf numFmtId="3" fontId="4" fillId="7" borderId="15" xfId="0" applyNumberFormat="1" applyFont="1" applyFill="1" applyBorder="1" applyAlignment="1">
      <alignment horizontal="right" vertical="center" wrapText="1"/>
    </xf>
    <xf numFmtId="3" fontId="5" fillId="7" borderId="0" xfId="0" applyNumberFormat="1" applyFont="1" applyFill="1" applyBorder="1" applyAlignment="1">
      <alignment horizontal="right" vertical="center" wrapText="1"/>
    </xf>
    <xf numFmtId="0" fontId="5" fillId="7" borderId="25" xfId="0" applyFont="1" applyFill="1" applyBorder="1" applyAlignment="1">
      <alignment horizontal="center" vertical="center" wrapText="1"/>
    </xf>
    <xf numFmtId="3" fontId="6" fillId="7" borderId="0" xfId="0" applyNumberFormat="1" applyFont="1" applyFill="1" applyBorder="1" applyAlignment="1">
      <alignment horizontal="center" vertical="center" wrapText="1"/>
    </xf>
    <xf numFmtId="0" fontId="4" fillId="7" borderId="97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7" borderId="44" xfId="0" applyFont="1" applyFill="1" applyBorder="1" applyAlignment="1">
      <alignment horizontal="center" vertical="center" textRotation="90" wrapText="1"/>
    </xf>
    <xf numFmtId="4" fontId="4" fillId="7" borderId="37" xfId="0" applyNumberFormat="1" applyFont="1" applyFill="1" applyBorder="1" applyAlignment="1">
      <alignment horizontal="right"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left" vertical="center" wrapText="1"/>
    </xf>
    <xf numFmtId="0" fontId="4" fillId="0" borderId="114" xfId="0" applyFont="1" applyFill="1" applyBorder="1" applyAlignment="1">
      <alignment horizontal="center" vertical="center" textRotation="90" wrapText="1"/>
    </xf>
    <xf numFmtId="0" fontId="4" fillId="0" borderId="115" xfId="0" applyFont="1" applyFill="1" applyBorder="1" applyAlignment="1">
      <alignment horizontal="center" vertical="center" textRotation="90" wrapText="1"/>
    </xf>
    <xf numFmtId="0" fontId="4" fillId="0" borderId="91" xfId="0" applyFont="1" applyFill="1" applyBorder="1" applyAlignment="1">
      <alignment horizontal="center" vertical="center" wrapText="1"/>
    </xf>
    <xf numFmtId="0" fontId="4" fillId="0" borderId="126" xfId="0" applyFont="1" applyFill="1" applyBorder="1" applyAlignment="1">
      <alignment horizontal="center" vertical="center" wrapText="1"/>
    </xf>
    <xf numFmtId="0" fontId="4" fillId="0" borderId="118" xfId="0" applyFont="1" applyFill="1" applyBorder="1" applyAlignment="1">
      <alignment horizontal="center" vertical="center" wrapText="1"/>
    </xf>
    <xf numFmtId="0" fontId="4" fillId="0" borderId="127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128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44" xfId="0" applyFont="1" applyFill="1" applyBorder="1" applyAlignment="1">
      <alignment horizontal="center" vertical="center" textRotation="90" wrapText="1"/>
    </xf>
    <xf numFmtId="49" fontId="4" fillId="0" borderId="75" xfId="0" applyNumberFormat="1" applyFont="1" applyFill="1" applyBorder="1" applyAlignment="1">
      <alignment horizontal="center" vertical="center" textRotation="90" wrapText="1"/>
    </xf>
    <xf numFmtId="49" fontId="4" fillId="0" borderId="76" xfId="0" applyNumberFormat="1" applyFont="1" applyFill="1" applyBorder="1" applyAlignment="1">
      <alignment horizontal="center" vertical="center" textRotation="90" wrapText="1"/>
    </xf>
    <xf numFmtId="49" fontId="4" fillId="0" borderId="77" xfId="0" applyNumberFormat="1" applyFont="1" applyFill="1" applyBorder="1" applyAlignment="1">
      <alignment horizontal="center" vertical="center" textRotation="90" wrapText="1"/>
    </xf>
    <xf numFmtId="0" fontId="4" fillId="0" borderId="91" xfId="0" applyFont="1" applyFill="1" applyBorder="1" applyAlignment="1">
      <alignment horizontal="center" vertical="center" textRotation="90" wrapText="1"/>
    </xf>
    <xf numFmtId="0" fontId="4" fillId="0" borderId="92" xfId="0" applyFont="1" applyFill="1" applyBorder="1" applyAlignment="1">
      <alignment horizontal="center" vertical="center" textRotation="90" wrapText="1"/>
    </xf>
    <xf numFmtId="0" fontId="4" fillId="0" borderId="93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 textRotation="90" wrapText="1"/>
    </xf>
    <xf numFmtId="0" fontId="4" fillId="0" borderId="97" xfId="0" applyFont="1" applyFill="1" applyBorder="1" applyAlignment="1">
      <alignment horizontal="center" vertical="center" textRotation="90" wrapText="1"/>
    </xf>
    <xf numFmtId="0" fontId="5" fillId="0" borderId="79" xfId="0" applyFont="1" applyFill="1" applyBorder="1" applyAlignment="1">
      <alignment horizontal="center" vertical="center" textRotation="90" wrapText="1"/>
    </xf>
    <xf numFmtId="0" fontId="5" fillId="0" borderId="80" xfId="0" applyFont="1" applyFill="1" applyBorder="1" applyAlignment="1">
      <alignment horizontal="center" vertical="center" textRotation="90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70" xfId="0" applyFont="1" applyFill="1" applyBorder="1" applyAlignment="1">
      <alignment horizontal="left" vertical="center" wrapText="1"/>
    </xf>
    <xf numFmtId="0" fontId="12" fillId="0" borderId="78" xfId="0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left" vertical="center" wrapText="1"/>
    </xf>
    <xf numFmtId="0" fontId="17" fillId="0" borderId="61" xfId="0" applyFont="1" applyFill="1" applyBorder="1" applyAlignment="1">
      <alignment horizontal="left" vertical="center" wrapText="1"/>
    </xf>
    <xf numFmtId="49" fontId="4" fillId="0" borderId="73" xfId="0" applyNumberFormat="1" applyFont="1" applyFill="1" applyBorder="1" applyAlignment="1">
      <alignment horizontal="left" vertical="center" wrapText="1"/>
    </xf>
    <xf numFmtId="49" fontId="4" fillId="0" borderId="74" xfId="0" applyNumberFormat="1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9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71" xfId="0" applyNumberFormat="1" applyFont="1" applyFill="1" applyBorder="1" applyAlignment="1">
      <alignment horizontal="left" vertical="center" wrapText="1"/>
    </xf>
    <xf numFmtId="49" fontId="12" fillId="0" borderId="73" xfId="0" applyNumberFormat="1" applyFont="1" applyFill="1" applyBorder="1" applyAlignment="1">
      <alignment horizontal="left" vertical="center" wrapText="1"/>
    </xf>
    <xf numFmtId="49" fontId="12" fillId="0" borderId="74" xfId="0" applyNumberFormat="1" applyFont="1" applyFill="1" applyBorder="1" applyAlignment="1">
      <alignment horizontal="left" vertical="center" wrapText="1"/>
    </xf>
    <xf numFmtId="0" fontId="5" fillId="0" borderId="129" xfId="0" applyFont="1" applyFill="1" applyBorder="1" applyAlignment="1">
      <alignment horizontal="center" vertical="center" textRotation="90" wrapText="1"/>
    </xf>
    <xf numFmtId="0" fontId="5" fillId="0" borderId="103" xfId="0" applyFont="1" applyFill="1" applyBorder="1" applyAlignment="1">
      <alignment horizontal="center" vertical="center" textRotation="90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49" fontId="5" fillId="0" borderId="72" xfId="0" applyNumberFormat="1" applyFont="1" applyFill="1" applyBorder="1" applyAlignment="1">
      <alignment horizontal="center" vertical="center" wrapText="1"/>
    </xf>
    <xf numFmtId="0" fontId="9" fillId="0" borderId="8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90" xfId="0" applyFont="1" applyFill="1" applyBorder="1" applyAlignment="1">
      <alignment horizontal="center" vertical="center" wrapText="1"/>
    </xf>
    <xf numFmtId="49" fontId="4" fillId="0" borderId="73" xfId="0" applyNumberFormat="1" applyFont="1" applyFill="1" applyBorder="1" applyAlignment="1">
      <alignment horizontal="center" vertical="center" wrapText="1"/>
    </xf>
    <xf numFmtId="49" fontId="4" fillId="0" borderId="74" xfId="0" applyNumberFormat="1" applyFont="1" applyFill="1" applyBorder="1" applyAlignment="1">
      <alignment horizontal="center" vertical="center" wrapText="1"/>
    </xf>
    <xf numFmtId="0" fontId="4" fillId="0" borderId="47" xfId="2" applyFont="1" applyFill="1" applyBorder="1" applyAlignment="1">
      <alignment horizontal="left" wrapText="1"/>
    </xf>
    <xf numFmtId="0" fontId="4" fillId="0" borderId="112" xfId="2" applyFont="1" applyFill="1" applyBorder="1" applyAlignment="1">
      <alignment horizontal="left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86" xfId="0" applyFont="1" applyFill="1" applyBorder="1" applyAlignment="1">
      <alignment horizontal="center" vertical="center" wrapText="1"/>
    </xf>
    <xf numFmtId="0" fontId="4" fillId="0" borderId="47" xfId="2" applyFont="1" applyFill="1" applyBorder="1" applyAlignment="1">
      <alignment horizontal="left" vertical="top" wrapText="1"/>
    </xf>
    <xf numFmtId="0" fontId="4" fillId="0" borderId="112" xfId="2" applyFont="1" applyFill="1" applyBorder="1" applyAlignment="1">
      <alignment horizontal="left" vertical="top" wrapText="1"/>
    </xf>
    <xf numFmtId="0" fontId="3" fillId="0" borderId="0" xfId="2" applyFont="1" applyFill="1" applyAlignment="1">
      <alignment horizontal="center"/>
    </xf>
    <xf numFmtId="0" fontId="4" fillId="0" borderId="79" xfId="2" applyFont="1" applyFill="1" applyBorder="1" applyAlignment="1">
      <alignment horizontal="center" vertical="center" wrapText="1"/>
    </xf>
    <xf numFmtId="0" fontId="4" fillId="0" borderId="96" xfId="2" applyFont="1" applyFill="1" applyBorder="1" applyAlignment="1">
      <alignment horizontal="center" vertical="center" wrapText="1"/>
    </xf>
    <xf numFmtId="0" fontId="9" fillId="0" borderId="103" xfId="2" applyFont="1" applyFill="1" applyBorder="1" applyAlignment="1">
      <alignment horizontal="center" vertical="center" wrapText="1"/>
    </xf>
    <xf numFmtId="0" fontId="9" fillId="0" borderId="104" xfId="2" applyFont="1" applyFill="1" applyBorder="1" applyAlignment="1">
      <alignment horizontal="center" vertical="center" wrapText="1"/>
    </xf>
    <xf numFmtId="0" fontId="9" fillId="0" borderId="105" xfId="2" applyFont="1" applyFill="1" applyBorder="1" applyAlignment="1">
      <alignment horizontal="center" vertical="center" wrapText="1"/>
    </xf>
    <xf numFmtId="0" fontId="4" fillId="0" borderId="58" xfId="2" applyFont="1" applyFill="1" applyBorder="1" applyAlignment="1">
      <alignment horizontal="right" vertical="center" wrapText="1"/>
    </xf>
    <xf numFmtId="0" fontId="4" fillId="0" borderId="60" xfId="2" applyFont="1" applyFill="1" applyBorder="1" applyAlignment="1">
      <alignment horizontal="right" vertical="center"/>
    </xf>
    <xf numFmtId="0" fontId="8" fillId="3" borderId="28" xfId="2" applyFont="1" applyFill="1" applyBorder="1" applyAlignment="1">
      <alignment horizontal="left" vertical="center"/>
    </xf>
    <xf numFmtId="0" fontId="8" fillId="3" borderId="25" xfId="2" applyFont="1" applyFill="1" applyBorder="1" applyAlignment="1">
      <alignment horizontal="left" vertical="center"/>
    </xf>
    <xf numFmtId="0" fontId="5" fillId="0" borderId="25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left"/>
    </xf>
    <xf numFmtId="0" fontId="5" fillId="0" borderId="41" xfId="2" applyFont="1" applyFill="1" applyBorder="1" applyAlignment="1">
      <alignment horizontal="left"/>
    </xf>
    <xf numFmtId="0" fontId="4" fillId="0" borderId="25" xfId="2" applyFont="1" applyFill="1" applyBorder="1" applyAlignment="1">
      <alignment horizontal="center" vertical="center"/>
    </xf>
    <xf numFmtId="0" fontId="4" fillId="0" borderId="58" xfId="2" applyFont="1" applyFill="1" applyBorder="1" applyAlignment="1">
      <alignment horizontal="right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71" xfId="2" applyFont="1" applyFill="1" applyBorder="1" applyAlignment="1">
      <alignment horizontal="center" vertical="center" wrapText="1"/>
    </xf>
    <xf numFmtId="0" fontId="4" fillId="0" borderId="39" xfId="2" applyFont="1" applyFill="1" applyBorder="1" applyAlignment="1">
      <alignment horizontal="center" vertical="center"/>
    </xf>
    <xf numFmtId="0" fontId="4" fillId="0" borderId="60" xfId="2" applyFont="1" applyFill="1" applyBorder="1" applyAlignment="1">
      <alignment horizontal="right" vertical="center" wrapText="1"/>
    </xf>
    <xf numFmtId="0" fontId="4" fillId="0" borderId="14" xfId="2" applyFont="1" applyFill="1" applyBorder="1" applyAlignment="1">
      <alignment horizontal="center" vertical="center"/>
    </xf>
    <xf numFmtId="0" fontId="4" fillId="0" borderId="47" xfId="2" applyFont="1" applyFill="1" applyBorder="1" applyAlignment="1">
      <alignment horizontal="right" vertical="center"/>
    </xf>
    <xf numFmtId="0" fontId="4" fillId="0" borderId="25" xfId="2" applyFont="1" applyFill="1" applyBorder="1" applyAlignment="1">
      <alignment horizontal="center"/>
    </xf>
    <xf numFmtId="0" fontId="4" fillId="0" borderId="26" xfId="2" applyFont="1" applyFill="1" applyBorder="1" applyAlignment="1">
      <alignment horizontal="center"/>
    </xf>
    <xf numFmtId="0" fontId="5" fillId="0" borderId="26" xfId="2" applyFont="1" applyFill="1" applyBorder="1" applyAlignment="1">
      <alignment horizontal="left" vertical="center"/>
    </xf>
    <xf numFmtId="0" fontId="4" fillId="0" borderId="26" xfId="2" applyFont="1" applyFill="1" applyBorder="1" applyAlignment="1">
      <alignment horizontal="center" vertical="center"/>
    </xf>
    <xf numFmtId="0" fontId="4" fillId="0" borderId="101" xfId="2" applyFont="1" applyFill="1" applyBorder="1" applyAlignment="1">
      <alignment horizontal="right" vertical="center"/>
    </xf>
    <xf numFmtId="0" fontId="4" fillId="0" borderId="102" xfId="2" applyFont="1" applyFill="1" applyBorder="1" applyAlignment="1">
      <alignment horizontal="right" vertical="center"/>
    </xf>
    <xf numFmtId="0" fontId="5" fillId="0" borderId="14" xfId="2" applyFont="1" applyFill="1" applyBorder="1" applyAlignment="1">
      <alignment horizontal="left" vertical="top"/>
    </xf>
    <xf numFmtId="0" fontId="5" fillId="0" borderId="41" xfId="2" applyFont="1" applyFill="1" applyBorder="1" applyAlignment="1">
      <alignment horizontal="left" vertical="top"/>
    </xf>
    <xf numFmtId="0" fontId="4" fillId="0" borderId="25" xfId="2" applyFont="1" applyFill="1" applyBorder="1" applyAlignment="1">
      <alignment horizontal="center" vertical="top"/>
    </xf>
    <xf numFmtId="0" fontId="4" fillId="0" borderId="26" xfId="2" applyFont="1" applyFill="1" applyBorder="1" applyAlignment="1">
      <alignment horizontal="center" vertical="top"/>
    </xf>
    <xf numFmtId="0" fontId="4" fillId="0" borderId="25" xfId="2" applyFont="1" applyFill="1" applyBorder="1" applyAlignment="1">
      <alignment horizontal="right" vertical="center"/>
    </xf>
    <xf numFmtId="0" fontId="4" fillId="0" borderId="26" xfId="2" applyFont="1" applyFill="1" applyBorder="1" applyAlignment="1">
      <alignment horizontal="right" vertical="center"/>
    </xf>
    <xf numFmtId="0" fontId="4" fillId="0" borderId="98" xfId="2" applyFont="1" applyFill="1" applyBorder="1" applyAlignment="1">
      <alignment horizontal="center" vertical="center"/>
    </xf>
    <xf numFmtId="0" fontId="4" fillId="0" borderId="98" xfId="2" applyFont="1" applyFill="1" applyBorder="1" applyAlignment="1">
      <alignment horizontal="right" vertical="center"/>
    </xf>
    <xf numFmtId="0" fontId="4" fillId="0" borderId="99" xfId="2" applyFont="1" applyFill="1" applyBorder="1" applyAlignment="1">
      <alignment horizontal="right" vertical="center"/>
    </xf>
    <xf numFmtId="0" fontId="4" fillId="0" borderId="61" xfId="2" applyFont="1" applyFill="1" applyBorder="1" applyAlignment="1">
      <alignment horizontal="right" vertical="center"/>
    </xf>
    <xf numFmtId="0" fontId="8" fillId="3" borderId="26" xfId="2" applyFont="1" applyFill="1" applyBorder="1" applyAlignment="1">
      <alignment horizontal="left" vertical="center"/>
    </xf>
    <xf numFmtId="0" fontId="4" fillId="0" borderId="100" xfId="2" applyFont="1" applyFill="1" applyBorder="1" applyAlignment="1">
      <alignment horizontal="right" vertical="center"/>
    </xf>
    <xf numFmtId="0" fontId="11" fillId="0" borderId="28" xfId="2" applyFont="1" applyFill="1" applyBorder="1" applyAlignment="1">
      <alignment horizontal="center" vertical="center" wrapText="1"/>
    </xf>
    <xf numFmtId="0" fontId="11" fillId="0" borderId="25" xfId="2" applyFont="1" applyFill="1" applyBorder="1" applyAlignment="1">
      <alignment horizontal="center" vertical="center" wrapText="1"/>
    </xf>
    <xf numFmtId="0" fontId="11" fillId="0" borderId="26" xfId="2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49" fontId="4" fillId="0" borderId="0" xfId="2" applyNumberFormat="1" applyFont="1" applyFill="1" applyAlignment="1">
      <alignment horizontal="left"/>
    </xf>
    <xf numFmtId="0" fontId="8" fillId="4" borderId="28" xfId="2" applyFont="1" applyFill="1" applyBorder="1" applyAlignment="1">
      <alignment horizontal="center"/>
    </xf>
    <xf numFmtId="0" fontId="8" fillId="4" borderId="25" xfId="2" applyFont="1" applyFill="1" applyBorder="1" applyAlignment="1">
      <alignment horizontal="center"/>
    </xf>
    <xf numFmtId="0" fontId="8" fillId="4" borderId="26" xfId="2" applyFont="1" applyFill="1" applyBorder="1" applyAlignment="1">
      <alignment horizontal="center"/>
    </xf>
    <xf numFmtId="0" fontId="5" fillId="0" borderId="107" xfId="2" applyFont="1" applyFill="1" applyBorder="1" applyAlignment="1">
      <alignment horizontal="center" vertical="center" wrapText="1"/>
    </xf>
    <xf numFmtId="0" fontId="5" fillId="0" borderId="108" xfId="2" applyFont="1" applyFill="1" applyBorder="1" applyAlignment="1">
      <alignment horizontal="center" vertical="center" wrapText="1"/>
    </xf>
    <xf numFmtId="0" fontId="5" fillId="0" borderId="109" xfId="2" applyFont="1" applyFill="1" applyBorder="1" applyAlignment="1">
      <alignment horizontal="center" vertical="center" wrapText="1"/>
    </xf>
    <xf numFmtId="0" fontId="5" fillId="0" borderId="87" xfId="2" applyFont="1" applyFill="1" applyBorder="1" applyAlignment="1">
      <alignment horizontal="center"/>
    </xf>
    <xf numFmtId="0" fontId="5" fillId="0" borderId="88" xfId="2" applyFont="1" applyFill="1" applyBorder="1" applyAlignment="1">
      <alignment horizontal="center"/>
    </xf>
    <xf numFmtId="0" fontId="5" fillId="0" borderId="106" xfId="2" applyFont="1" applyFill="1" applyBorder="1" applyAlignment="1">
      <alignment horizontal="center"/>
    </xf>
    <xf numFmtId="0" fontId="20" fillId="5" borderId="28" xfId="2" applyFont="1" applyFill="1" applyBorder="1" applyAlignment="1">
      <alignment horizontal="center"/>
    </xf>
    <xf numFmtId="0" fontId="20" fillId="5" borderId="25" xfId="2" applyFont="1" applyFill="1" applyBorder="1" applyAlignment="1">
      <alignment horizontal="center"/>
    </xf>
    <xf numFmtId="0" fontId="20" fillId="5" borderId="26" xfId="2" applyFont="1" applyFill="1" applyBorder="1" applyAlignment="1">
      <alignment horizont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wrapText="1"/>
    </xf>
  </cellXfs>
  <cellStyles count="4">
    <cellStyle name="Normal" xfId="0" builtinId="0"/>
    <cellStyle name="Normal 2" xfId="1"/>
    <cellStyle name="Normal 2 3" xfId="3"/>
    <cellStyle name="Normal_2007_budz ienem" xfId="2"/>
  </cellStyles>
  <dxfs count="0"/>
  <tableStyles count="0" defaultTableStyle="TableStyleMedium9" defaultPivotStyle="PivotStyleLight16"/>
  <colors>
    <mruColors>
      <color rgb="FFCCFF66"/>
      <color rgb="FFFFFF99"/>
      <color rgb="FFFFF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35"/>
  </sheetPr>
  <dimension ref="A1:CG1435"/>
  <sheetViews>
    <sheetView tabSelected="1" view="pageLayout" zoomScaleNormal="85" workbookViewId="0">
      <selection activeCell="BC13" sqref="BC13"/>
    </sheetView>
  </sheetViews>
  <sheetFormatPr defaultColWidth="8.42578125" defaultRowHeight="12" outlineLevelRow="1" outlineLevelCol="1" x14ac:dyDescent="0.2"/>
  <cols>
    <col min="1" max="1" width="11" style="131" customWidth="1"/>
    <col min="2" max="2" width="4.140625" style="1" customWidth="1"/>
    <col min="3" max="3" width="2.140625" style="2" customWidth="1"/>
    <col min="4" max="4" width="20" style="1" customWidth="1"/>
    <col min="5" max="5" width="24.85546875" style="1" customWidth="1"/>
    <col min="6" max="6" width="10.42578125" style="3" hidden="1" customWidth="1" outlineLevel="1"/>
    <col min="7" max="7" width="10.42578125" style="3" customWidth="1" collapsed="1"/>
    <col min="8" max="8" width="9.140625" style="1" hidden="1" customWidth="1" outlineLevel="1"/>
    <col min="9" max="9" width="9.140625" style="324" customWidth="1" collapsed="1"/>
    <col min="10" max="10" width="9.140625" style="324" hidden="1" customWidth="1" outlineLevel="1"/>
    <col min="11" max="11" width="6.42578125" style="358" hidden="1" customWidth="1" outlineLevel="1"/>
    <col min="12" max="13" width="8" style="369" hidden="1" customWidth="1" outlineLevel="1"/>
    <col min="14" max="14" width="7.140625" style="372" hidden="1" customWidth="1" outlineLevel="1"/>
    <col min="15" max="15" width="6.42578125" style="375" hidden="1" customWidth="1" outlineLevel="1"/>
    <col min="16" max="16" width="7.140625" style="383" hidden="1" customWidth="1" outlineLevel="1"/>
    <col min="17" max="17" width="8" style="394" hidden="1" customWidth="1" outlineLevel="1"/>
    <col min="18" max="18" width="7.140625" style="394" hidden="1" customWidth="1" outlineLevel="1"/>
    <col min="19" max="19" width="8" style="412" hidden="1" customWidth="1" outlineLevel="1"/>
    <col min="20" max="20" width="7.140625" style="412" hidden="1" customWidth="1" outlineLevel="1"/>
    <col min="21" max="21" width="8" style="424" hidden="1" customWidth="1" outlineLevel="1"/>
    <col min="22" max="22" width="6.42578125" style="424" hidden="1" customWidth="1" outlineLevel="1"/>
    <col min="23" max="23" width="8" style="440" hidden="1" customWidth="1" outlineLevel="1"/>
    <col min="24" max="24" width="5.85546875" style="441" hidden="1" customWidth="1" outlineLevel="1"/>
    <col min="25" max="27" width="8" style="440" hidden="1" customWidth="1" outlineLevel="1"/>
    <col min="28" max="28" width="9.140625" style="324" hidden="1" customWidth="1" outlineLevel="1"/>
    <col min="29" max="29" width="10.7109375" style="235" hidden="1" customWidth="1" outlineLevel="1"/>
    <col min="30" max="30" width="9" style="324" customWidth="1" collapsed="1"/>
    <col min="31" max="31" width="11" style="324" hidden="1" customWidth="1" outlineLevel="1"/>
    <col min="32" max="32" width="6.7109375" style="369" hidden="1" customWidth="1" outlineLevel="1"/>
    <col min="33" max="33" width="5.85546875" style="372" hidden="1" customWidth="1" outlineLevel="1"/>
    <col min="34" max="34" width="6.7109375" style="383" hidden="1" customWidth="1" outlineLevel="1"/>
    <col min="35" max="35" width="5.7109375" style="394" hidden="1" customWidth="1" outlineLevel="1"/>
    <col min="36" max="36" width="5.85546875" style="424" hidden="1" customWidth="1" outlineLevel="1"/>
    <col min="37" max="37" width="5.85546875" style="440" hidden="1" customWidth="1" outlineLevel="1"/>
    <col min="38" max="38" width="6.42578125" style="441" hidden="1" customWidth="1" outlineLevel="1"/>
    <col min="39" max="39" width="5.85546875" style="424" hidden="1" customWidth="1" outlineLevel="1"/>
    <col min="40" max="40" width="9.42578125" style="324" hidden="1" customWidth="1" outlineLevel="1"/>
    <col min="41" max="41" width="8.42578125" style="1" hidden="1" customWidth="1" outlineLevel="1"/>
    <col min="42" max="42" width="8.42578125" style="324" customWidth="1" collapsed="1"/>
    <col min="43" max="43" width="8.42578125" style="324" hidden="1" customWidth="1" outlineLevel="1"/>
    <col min="44" max="44" width="6.7109375" style="369" hidden="1" customWidth="1" outlineLevel="1"/>
    <col min="45" max="45" width="6.7109375" style="372" hidden="1" customWidth="1" outlineLevel="1"/>
    <col min="46" max="46" width="6.42578125" style="383" hidden="1" customWidth="1" outlineLevel="1"/>
    <col min="47" max="47" width="5.7109375" style="394" hidden="1" customWidth="1" outlineLevel="1"/>
    <col min="48" max="48" width="5.7109375" style="424" hidden="1" customWidth="1" outlineLevel="1"/>
    <col min="49" max="49" width="5.7109375" style="440" hidden="1" customWidth="1" outlineLevel="1"/>
    <col min="50" max="51" width="5.7109375" style="424" hidden="1" customWidth="1" outlineLevel="1"/>
    <col min="52" max="52" width="8.42578125" style="324" hidden="1" customWidth="1" outlineLevel="1"/>
    <col min="53" max="53" width="8.42578125" style="1" customWidth="1" collapsed="1"/>
    <col min="54" max="54" width="6.7109375" style="1" hidden="1" customWidth="1" outlineLevel="1"/>
    <col min="55" max="55" width="6.7109375" style="324" customWidth="1" collapsed="1"/>
    <col min="56" max="56" width="6.7109375" style="324" hidden="1" customWidth="1" outlineLevel="1"/>
    <col min="57" max="57" width="5.7109375" style="383" hidden="1" customWidth="1" outlineLevel="1"/>
    <col min="58" max="58" width="5.7109375" style="394" hidden="1" customWidth="1" outlineLevel="1"/>
    <col min="59" max="63" width="6.7109375" style="324" hidden="1" customWidth="1" outlineLevel="1"/>
    <col min="64" max="64" width="8.28515625" style="196" hidden="1" customWidth="1" outlineLevel="1"/>
    <col min="65" max="65" width="8.28515625" style="324" customWidth="1" collapsed="1"/>
    <col min="66" max="66" width="8.28515625" style="324" hidden="1" customWidth="1" outlineLevel="1"/>
    <col min="67" max="67" width="8" style="369" hidden="1" customWidth="1" outlineLevel="1"/>
    <col min="68" max="68" width="4.140625" style="369" hidden="1" customWidth="1" outlineLevel="1"/>
    <col min="69" max="69" width="5.7109375" style="372" hidden="1" customWidth="1" outlineLevel="1"/>
    <col min="70" max="70" width="5.7109375" style="383" hidden="1" customWidth="1" outlineLevel="1"/>
    <col min="71" max="71" width="6.42578125" style="394" hidden="1" customWidth="1" outlineLevel="1"/>
    <col min="72" max="72" width="5.7109375" style="412" hidden="1" customWidth="1" outlineLevel="1"/>
    <col min="73" max="73" width="6.42578125" style="424" hidden="1" customWidth="1" outlineLevel="1"/>
    <col min="74" max="74" width="6.42578125" style="396" hidden="1" customWidth="1" outlineLevel="1"/>
    <col min="75" max="75" width="8.28515625" style="324" hidden="1" customWidth="1" outlineLevel="1"/>
    <col min="76" max="76" width="7.28515625" style="2" customWidth="1" collapsed="1"/>
    <col min="77" max="77" width="10.7109375" style="1" customWidth="1"/>
    <col min="78" max="80" width="8.42578125" style="1" customWidth="1"/>
    <col min="81" max="81" width="11" style="1" customWidth="1"/>
    <col min="82" max="16384" width="8.42578125" style="1"/>
  </cols>
  <sheetData>
    <row r="1" spans="1:85" s="324" customFormat="1" x14ac:dyDescent="0.2">
      <c r="C1" s="2"/>
      <c r="F1" s="3"/>
      <c r="G1" s="3"/>
      <c r="K1" s="358"/>
      <c r="L1" s="369"/>
      <c r="M1" s="369"/>
      <c r="N1" s="372"/>
      <c r="O1" s="375"/>
      <c r="P1" s="383"/>
      <c r="Q1" s="394"/>
      <c r="R1" s="394"/>
      <c r="S1" s="412"/>
      <c r="T1" s="412"/>
      <c r="U1" s="424"/>
      <c r="V1" s="424"/>
      <c r="W1" s="440"/>
      <c r="X1" s="441"/>
      <c r="Y1" s="440"/>
      <c r="Z1" s="440"/>
      <c r="AA1" s="440"/>
      <c r="AF1" s="369"/>
      <c r="AG1" s="372"/>
      <c r="AH1" s="383"/>
      <c r="AI1" s="394"/>
      <c r="AJ1" s="424"/>
      <c r="AK1" s="440"/>
      <c r="AL1" s="441"/>
      <c r="AM1" s="424"/>
      <c r="AR1" s="369"/>
      <c r="AS1" s="372"/>
      <c r="AT1" s="383"/>
      <c r="AU1" s="394"/>
      <c r="AV1" s="424"/>
      <c r="AW1" s="440"/>
      <c r="AX1" s="424"/>
      <c r="AY1" s="424"/>
      <c r="BE1" s="383"/>
      <c r="BF1" s="394"/>
      <c r="BO1" s="369"/>
      <c r="BP1" s="369"/>
      <c r="BQ1" s="372"/>
      <c r="BR1" s="383"/>
      <c r="BS1" s="394"/>
      <c r="BT1" s="412"/>
      <c r="BU1" s="424"/>
      <c r="BV1" s="396"/>
      <c r="BX1" s="2"/>
      <c r="BY1" s="327" t="s">
        <v>705</v>
      </c>
    </row>
    <row r="2" spans="1:85" s="324" customFormat="1" x14ac:dyDescent="0.2">
      <c r="C2" s="2"/>
      <c r="F2" s="3"/>
      <c r="G2" s="3"/>
      <c r="K2" s="358"/>
      <c r="L2" s="369"/>
      <c r="M2" s="369"/>
      <c r="N2" s="372"/>
      <c r="O2" s="375"/>
      <c r="P2" s="383"/>
      <c r="Q2" s="394"/>
      <c r="R2" s="394"/>
      <c r="S2" s="412"/>
      <c r="T2" s="412"/>
      <c r="U2" s="424"/>
      <c r="V2" s="424"/>
      <c r="W2" s="440"/>
      <c r="X2" s="441"/>
      <c r="Y2" s="440"/>
      <c r="Z2" s="440"/>
      <c r="AA2" s="440"/>
      <c r="AF2" s="369"/>
      <c r="AG2" s="372"/>
      <c r="AH2" s="383"/>
      <c r="AI2" s="394"/>
      <c r="AJ2" s="424"/>
      <c r="AK2" s="440"/>
      <c r="AL2" s="441"/>
      <c r="AM2" s="424"/>
      <c r="AR2" s="369"/>
      <c r="AS2" s="372"/>
      <c r="AT2" s="383"/>
      <c r="AU2" s="394"/>
      <c r="AV2" s="424"/>
      <c r="AW2" s="440"/>
      <c r="AX2" s="424"/>
      <c r="AY2" s="424"/>
      <c r="BE2" s="383"/>
      <c r="BF2" s="394"/>
      <c r="BO2" s="369"/>
      <c r="BP2" s="369"/>
      <c r="BQ2" s="372"/>
      <c r="BR2" s="383"/>
      <c r="BS2" s="394"/>
      <c r="BT2" s="412"/>
      <c r="BU2" s="424"/>
      <c r="BV2" s="396"/>
      <c r="BX2" s="2"/>
      <c r="BY2" s="327" t="s">
        <v>706</v>
      </c>
    </row>
    <row r="3" spans="1:85" s="324" customFormat="1" x14ac:dyDescent="0.2">
      <c r="C3" s="2"/>
      <c r="F3" s="3"/>
      <c r="G3" s="3"/>
      <c r="K3" s="358"/>
      <c r="L3" s="369"/>
      <c r="M3" s="369"/>
      <c r="N3" s="372"/>
      <c r="O3" s="375"/>
      <c r="P3" s="383"/>
      <c r="Q3" s="394"/>
      <c r="R3" s="394"/>
      <c r="S3" s="412"/>
      <c r="T3" s="412"/>
      <c r="U3" s="424"/>
      <c r="V3" s="424"/>
      <c r="W3" s="440"/>
      <c r="X3" s="441"/>
      <c r="Y3" s="440"/>
      <c r="Z3" s="440"/>
      <c r="AA3" s="440"/>
      <c r="AF3" s="369"/>
      <c r="AG3" s="372"/>
      <c r="AH3" s="383"/>
      <c r="AI3" s="394"/>
      <c r="AJ3" s="424"/>
      <c r="AK3" s="440"/>
      <c r="AL3" s="441"/>
      <c r="AM3" s="424"/>
      <c r="AR3" s="369"/>
      <c r="AS3" s="372"/>
      <c r="AT3" s="383"/>
      <c r="AU3" s="394"/>
      <c r="AV3" s="424"/>
      <c r="AW3" s="440"/>
      <c r="AX3" s="424"/>
      <c r="AY3" s="424"/>
      <c r="BE3" s="383"/>
      <c r="BF3" s="394"/>
      <c r="BO3" s="369"/>
      <c r="BP3" s="369"/>
      <c r="BQ3" s="372"/>
      <c r="BR3" s="383"/>
      <c r="BS3" s="394"/>
      <c r="BT3" s="412"/>
      <c r="BU3" s="424"/>
      <c r="BV3" s="396"/>
      <c r="BX3" s="2"/>
      <c r="BY3" s="202"/>
    </row>
    <row r="4" spans="1:85" ht="18.75" customHeight="1" x14ac:dyDescent="0.2">
      <c r="B4" s="474" t="s">
        <v>608</v>
      </c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74"/>
      <c r="AA4" s="474"/>
      <c r="AB4" s="474"/>
      <c r="AC4" s="474"/>
      <c r="AD4" s="474"/>
      <c r="AE4" s="474"/>
      <c r="AF4" s="474"/>
      <c r="AG4" s="474"/>
      <c r="AH4" s="474"/>
      <c r="AI4" s="474"/>
      <c r="AJ4" s="474"/>
      <c r="AK4" s="474"/>
      <c r="AL4" s="474"/>
      <c r="AM4" s="474"/>
      <c r="AN4" s="474"/>
      <c r="AO4" s="474"/>
      <c r="AP4" s="474"/>
      <c r="AQ4" s="474"/>
      <c r="AR4" s="474"/>
      <c r="AS4" s="474"/>
      <c r="AT4" s="474"/>
      <c r="AU4" s="474"/>
      <c r="AV4" s="474"/>
      <c r="AW4" s="474"/>
      <c r="AX4" s="474"/>
      <c r="AY4" s="474"/>
      <c r="AZ4" s="474"/>
      <c r="BA4" s="474"/>
      <c r="BB4" s="474"/>
      <c r="BC4" s="474"/>
      <c r="BD4" s="474"/>
      <c r="BE4" s="474"/>
      <c r="BF4" s="474"/>
      <c r="BG4" s="474"/>
      <c r="BH4" s="474"/>
      <c r="BI4" s="474"/>
      <c r="BJ4" s="474"/>
      <c r="BK4" s="474"/>
      <c r="BL4" s="474"/>
      <c r="BM4" s="474"/>
      <c r="BN4" s="474"/>
      <c r="BO4" s="474"/>
      <c r="BP4" s="474"/>
      <c r="BQ4" s="474"/>
      <c r="BR4" s="474"/>
      <c r="BS4" s="474"/>
      <c r="BT4" s="474"/>
      <c r="BU4" s="474"/>
      <c r="BV4" s="474"/>
      <c r="BW4" s="474"/>
      <c r="BX4" s="474"/>
      <c r="BY4" s="474"/>
    </row>
    <row r="5" spans="1:85" ht="12.75" thickBot="1" x14ac:dyDescent="0.25"/>
    <row r="6" spans="1:85" ht="13.5" customHeight="1" thickBot="1" x14ac:dyDescent="0.25">
      <c r="A6" s="472" t="s">
        <v>266</v>
      </c>
      <c r="B6" s="482" t="s">
        <v>170</v>
      </c>
      <c r="C6" s="483"/>
      <c r="D6" s="484"/>
      <c r="E6" s="492" t="s">
        <v>169</v>
      </c>
      <c r="F6" s="469" t="s">
        <v>609</v>
      </c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  <c r="AJ6" s="470"/>
      <c r="AK6" s="470"/>
      <c r="AL6" s="470"/>
      <c r="AM6" s="470"/>
      <c r="AN6" s="470"/>
      <c r="AO6" s="470"/>
      <c r="AP6" s="470"/>
      <c r="AQ6" s="470"/>
      <c r="AR6" s="470"/>
      <c r="AS6" s="470"/>
      <c r="AT6" s="470"/>
      <c r="AU6" s="470"/>
      <c r="AV6" s="470"/>
      <c r="AW6" s="470"/>
      <c r="AX6" s="470"/>
      <c r="AY6" s="470"/>
      <c r="AZ6" s="470"/>
      <c r="BA6" s="470"/>
      <c r="BB6" s="470"/>
      <c r="BC6" s="470"/>
      <c r="BD6" s="470"/>
      <c r="BE6" s="470"/>
      <c r="BF6" s="470"/>
      <c r="BG6" s="470"/>
      <c r="BH6" s="470"/>
      <c r="BI6" s="470"/>
      <c r="BJ6" s="470"/>
      <c r="BK6" s="470"/>
      <c r="BL6" s="470"/>
      <c r="BM6" s="470"/>
      <c r="BN6" s="470"/>
      <c r="BO6" s="470"/>
      <c r="BP6" s="470"/>
      <c r="BQ6" s="470"/>
      <c r="BR6" s="470"/>
      <c r="BS6" s="470"/>
      <c r="BT6" s="470"/>
      <c r="BU6" s="470"/>
      <c r="BV6" s="470"/>
      <c r="BW6" s="471"/>
      <c r="BX6" s="477" t="s">
        <v>168</v>
      </c>
      <c r="BY6" s="477" t="s">
        <v>208</v>
      </c>
    </row>
    <row r="7" spans="1:85" ht="13.5" customHeight="1" x14ac:dyDescent="0.2">
      <c r="A7" s="473"/>
      <c r="B7" s="485"/>
      <c r="C7" s="486"/>
      <c r="D7" s="487"/>
      <c r="E7" s="493"/>
      <c r="F7" s="512" t="s">
        <v>707</v>
      </c>
      <c r="G7" s="490" t="s">
        <v>0</v>
      </c>
      <c r="H7" s="475" t="s">
        <v>708</v>
      </c>
      <c r="I7" s="475" t="s">
        <v>1</v>
      </c>
      <c r="J7" s="475" t="s">
        <v>719</v>
      </c>
      <c r="K7" s="465" t="s">
        <v>709</v>
      </c>
      <c r="L7" s="466"/>
      <c r="M7" s="466"/>
      <c r="N7" s="466"/>
      <c r="O7" s="466"/>
      <c r="P7" s="466"/>
      <c r="Q7" s="466"/>
      <c r="R7" s="466"/>
      <c r="S7" s="466"/>
      <c r="T7" s="466"/>
      <c r="U7" s="466"/>
      <c r="V7" s="466"/>
      <c r="W7" s="466"/>
      <c r="X7" s="466"/>
      <c r="Y7" s="466"/>
      <c r="Z7" s="466"/>
      <c r="AA7" s="466"/>
      <c r="AB7" s="467"/>
      <c r="AC7" s="475" t="s">
        <v>710</v>
      </c>
      <c r="AD7" s="475" t="s">
        <v>711</v>
      </c>
      <c r="AE7" s="475" t="s">
        <v>712</v>
      </c>
      <c r="AF7" s="465" t="s">
        <v>709</v>
      </c>
      <c r="AG7" s="466"/>
      <c r="AH7" s="466"/>
      <c r="AI7" s="466"/>
      <c r="AJ7" s="466"/>
      <c r="AK7" s="466"/>
      <c r="AL7" s="466"/>
      <c r="AM7" s="466"/>
      <c r="AN7" s="467"/>
      <c r="AO7" s="488" t="s">
        <v>713</v>
      </c>
      <c r="AP7" s="488" t="s">
        <v>2</v>
      </c>
      <c r="AQ7" s="488" t="s">
        <v>714</v>
      </c>
      <c r="AR7" s="465" t="s">
        <v>709</v>
      </c>
      <c r="AS7" s="466"/>
      <c r="AT7" s="466"/>
      <c r="AU7" s="466"/>
      <c r="AV7" s="466"/>
      <c r="AW7" s="466"/>
      <c r="AX7" s="466"/>
      <c r="AY7" s="466"/>
      <c r="AZ7" s="467"/>
      <c r="BA7" s="480" t="s">
        <v>289</v>
      </c>
      <c r="BB7" s="463" t="s">
        <v>715</v>
      </c>
      <c r="BC7" s="463" t="s">
        <v>3</v>
      </c>
      <c r="BD7" s="463" t="s">
        <v>716</v>
      </c>
      <c r="BE7" s="465" t="s">
        <v>709</v>
      </c>
      <c r="BF7" s="466"/>
      <c r="BG7" s="466"/>
      <c r="BH7" s="466"/>
      <c r="BI7" s="466"/>
      <c r="BJ7" s="466"/>
      <c r="BK7" s="467"/>
      <c r="BL7" s="463" t="s">
        <v>717</v>
      </c>
      <c r="BM7" s="463" t="s">
        <v>498</v>
      </c>
      <c r="BN7" s="463" t="s">
        <v>718</v>
      </c>
      <c r="BO7" s="465" t="s">
        <v>709</v>
      </c>
      <c r="BP7" s="466"/>
      <c r="BQ7" s="466"/>
      <c r="BR7" s="466"/>
      <c r="BS7" s="466"/>
      <c r="BT7" s="466"/>
      <c r="BU7" s="466"/>
      <c r="BV7" s="466"/>
      <c r="BW7" s="468"/>
      <c r="BX7" s="478"/>
      <c r="BY7" s="478"/>
    </row>
    <row r="8" spans="1:85" ht="62.25" customHeight="1" thickBot="1" x14ac:dyDescent="0.25">
      <c r="A8" s="473"/>
      <c r="B8" s="485"/>
      <c r="C8" s="486"/>
      <c r="D8" s="487"/>
      <c r="E8" s="494"/>
      <c r="F8" s="513"/>
      <c r="G8" s="491"/>
      <c r="H8" s="476"/>
      <c r="I8" s="476"/>
      <c r="J8" s="476"/>
      <c r="K8" s="357" t="s">
        <v>727</v>
      </c>
      <c r="L8" s="368" t="s">
        <v>743</v>
      </c>
      <c r="M8" s="368" t="s">
        <v>744</v>
      </c>
      <c r="N8" s="371" t="s">
        <v>747</v>
      </c>
      <c r="O8" s="374" t="s">
        <v>749</v>
      </c>
      <c r="P8" s="382" t="s">
        <v>758</v>
      </c>
      <c r="Q8" s="393" t="s">
        <v>784</v>
      </c>
      <c r="R8" s="393" t="s">
        <v>785</v>
      </c>
      <c r="S8" s="411" t="s">
        <v>798</v>
      </c>
      <c r="T8" s="411" t="s">
        <v>799</v>
      </c>
      <c r="U8" s="423" t="s">
        <v>800</v>
      </c>
      <c r="V8" s="423" t="s">
        <v>801</v>
      </c>
      <c r="W8" s="439" t="s">
        <v>812</v>
      </c>
      <c r="X8" s="459" t="s">
        <v>813</v>
      </c>
      <c r="Y8" s="439"/>
      <c r="Z8" s="439"/>
      <c r="AA8" s="439"/>
      <c r="AB8" s="322"/>
      <c r="AC8" s="476"/>
      <c r="AD8" s="476"/>
      <c r="AE8" s="476"/>
      <c r="AF8" s="368" t="s">
        <v>744</v>
      </c>
      <c r="AG8" s="371" t="s">
        <v>747</v>
      </c>
      <c r="AH8" s="382" t="s">
        <v>758</v>
      </c>
      <c r="AI8" s="393" t="s">
        <v>785</v>
      </c>
      <c r="AJ8" s="423" t="s">
        <v>801</v>
      </c>
      <c r="AK8" s="439" t="s">
        <v>812</v>
      </c>
      <c r="AL8" s="457" t="s">
        <v>813</v>
      </c>
      <c r="AM8" s="425"/>
      <c r="AN8" s="325"/>
      <c r="AO8" s="489"/>
      <c r="AP8" s="489"/>
      <c r="AQ8" s="489"/>
      <c r="AR8" s="368" t="s">
        <v>744</v>
      </c>
      <c r="AS8" s="371" t="s">
        <v>747</v>
      </c>
      <c r="AT8" s="382" t="s">
        <v>758</v>
      </c>
      <c r="AU8" s="393" t="s">
        <v>785</v>
      </c>
      <c r="AV8" s="423" t="s">
        <v>801</v>
      </c>
      <c r="AW8" s="439" t="s">
        <v>812</v>
      </c>
      <c r="AX8" s="422"/>
      <c r="AY8" s="422"/>
      <c r="AZ8" s="323"/>
      <c r="BA8" s="481"/>
      <c r="BB8" s="464"/>
      <c r="BC8" s="464"/>
      <c r="BD8" s="464"/>
      <c r="BE8" s="382" t="s">
        <v>758</v>
      </c>
      <c r="BF8" s="393" t="s">
        <v>785</v>
      </c>
      <c r="BG8" s="323"/>
      <c r="BH8" s="323"/>
      <c r="BI8" s="323"/>
      <c r="BJ8" s="323"/>
      <c r="BK8" s="323"/>
      <c r="BL8" s="464"/>
      <c r="BM8" s="464"/>
      <c r="BN8" s="464"/>
      <c r="BO8" s="368" t="s">
        <v>743</v>
      </c>
      <c r="BP8" s="368" t="s">
        <v>744</v>
      </c>
      <c r="BQ8" s="371" t="s">
        <v>747</v>
      </c>
      <c r="BR8" s="382" t="s">
        <v>758</v>
      </c>
      <c r="BS8" s="393" t="s">
        <v>785</v>
      </c>
      <c r="BT8" s="411" t="s">
        <v>799</v>
      </c>
      <c r="BU8" s="423" t="s">
        <v>801</v>
      </c>
      <c r="BV8" s="395"/>
      <c r="BW8" s="332"/>
      <c r="BX8" s="479"/>
      <c r="BY8" s="479"/>
    </row>
    <row r="9" spans="1:85" s="132" customFormat="1" ht="9" customHeight="1" thickTop="1" thickBot="1" x14ac:dyDescent="0.25">
      <c r="A9" s="185">
        <v>1</v>
      </c>
      <c r="B9" s="518">
        <v>2</v>
      </c>
      <c r="C9" s="519"/>
      <c r="D9" s="520"/>
      <c r="E9" s="186">
        <v>3</v>
      </c>
      <c r="F9" s="344">
        <v>9</v>
      </c>
      <c r="G9" s="187">
        <v>4</v>
      </c>
      <c r="H9" s="188">
        <v>10</v>
      </c>
      <c r="I9" s="188">
        <v>5</v>
      </c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442"/>
      <c r="Y9" s="188"/>
      <c r="Z9" s="188"/>
      <c r="AA9" s="188"/>
      <c r="AB9" s="188"/>
      <c r="AC9" s="188">
        <v>11</v>
      </c>
      <c r="AD9" s="188">
        <v>6</v>
      </c>
      <c r="AE9" s="188"/>
      <c r="AF9" s="188"/>
      <c r="AG9" s="188"/>
      <c r="AH9" s="188"/>
      <c r="AI9" s="188"/>
      <c r="AJ9" s="188"/>
      <c r="AK9" s="188"/>
      <c r="AL9" s="442"/>
      <c r="AM9" s="188"/>
      <c r="AN9" s="188"/>
      <c r="AO9" s="188">
        <v>12</v>
      </c>
      <c r="AP9" s="189">
        <v>7</v>
      </c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>
        <v>8</v>
      </c>
      <c r="BB9" s="189">
        <v>14</v>
      </c>
      <c r="BC9" s="189">
        <v>9</v>
      </c>
      <c r="BD9" s="189"/>
      <c r="BE9" s="189"/>
      <c r="BF9" s="189"/>
      <c r="BG9" s="189"/>
      <c r="BH9" s="189"/>
      <c r="BI9" s="189"/>
      <c r="BJ9" s="189"/>
      <c r="BK9" s="189"/>
      <c r="BL9" s="189">
        <v>15</v>
      </c>
      <c r="BM9" s="188">
        <v>10</v>
      </c>
      <c r="BN9" s="188"/>
      <c r="BO9" s="188"/>
      <c r="BP9" s="188"/>
      <c r="BQ9" s="188"/>
      <c r="BR9" s="188"/>
      <c r="BS9" s="188"/>
      <c r="BT9" s="186"/>
      <c r="BU9" s="188"/>
      <c r="BV9" s="188"/>
      <c r="BW9" s="333"/>
      <c r="BX9" s="190" t="s">
        <v>720</v>
      </c>
      <c r="BY9" s="185">
        <v>12</v>
      </c>
    </row>
    <row r="10" spans="1:85" ht="13.5" thickTop="1" thickBot="1" x14ac:dyDescent="0.25">
      <c r="A10" s="114"/>
      <c r="B10" s="514"/>
      <c r="C10" s="515"/>
      <c r="D10" s="516"/>
      <c r="E10" s="4"/>
      <c r="F10" s="345"/>
      <c r="G10" s="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443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443"/>
      <c r="AM10" s="6"/>
      <c r="AN10" s="6"/>
      <c r="AO10" s="6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6"/>
      <c r="BN10" s="6"/>
      <c r="BO10" s="6"/>
      <c r="BP10" s="6"/>
      <c r="BQ10" s="6"/>
      <c r="BR10" s="6"/>
      <c r="BS10" s="6"/>
      <c r="BT10" s="413"/>
      <c r="BU10" s="6"/>
      <c r="BV10" s="6"/>
      <c r="BW10" s="334"/>
      <c r="BX10" s="7"/>
      <c r="BY10" s="105"/>
    </row>
    <row r="11" spans="1:85" ht="24.75" thickBot="1" x14ac:dyDescent="0.25">
      <c r="A11" s="106"/>
      <c r="B11" s="517" t="s">
        <v>4</v>
      </c>
      <c r="C11" s="499"/>
      <c r="D11" s="170" t="s">
        <v>178</v>
      </c>
      <c r="E11" s="8"/>
      <c r="F11" s="346">
        <f t="shared" ref="F11:F23" si="0">H11+AC11+AO11+BA11+BB11+BL11</f>
        <v>18156703</v>
      </c>
      <c r="G11" s="9">
        <f>I11+AD11+AP11+BA11+BC11+BM11</f>
        <v>18150045</v>
      </c>
      <c r="H11" s="10">
        <f>SUM(H12:H25)</f>
        <v>18144053</v>
      </c>
      <c r="I11" s="10">
        <f t="shared" ref="I11:BW11" si="1">SUM(I12:I25)</f>
        <v>18078695</v>
      </c>
      <c r="J11" s="10">
        <f t="shared" si="1"/>
        <v>-65358</v>
      </c>
      <c r="K11" s="10">
        <f t="shared" si="1"/>
        <v>-55864</v>
      </c>
      <c r="L11" s="10">
        <f t="shared" si="1"/>
        <v>-7639</v>
      </c>
      <c r="M11" s="10">
        <f t="shared" si="1"/>
        <v>0</v>
      </c>
      <c r="N11" s="10">
        <f t="shared" si="1"/>
        <v>0</v>
      </c>
      <c r="O11" s="10">
        <f t="shared" si="1"/>
        <v>0</v>
      </c>
      <c r="P11" s="10">
        <f t="shared" si="1"/>
        <v>-7170</v>
      </c>
      <c r="Q11" s="10">
        <f t="shared" si="1"/>
        <v>-8120</v>
      </c>
      <c r="R11" s="10">
        <f t="shared" si="1"/>
        <v>5296</v>
      </c>
      <c r="S11" s="10">
        <f t="shared" si="1"/>
        <v>-10368</v>
      </c>
      <c r="T11" s="10">
        <f t="shared" si="1"/>
        <v>0</v>
      </c>
      <c r="U11" s="10">
        <f t="shared" ref="U11:V11" si="2">SUM(U12:U25)</f>
        <v>-6294</v>
      </c>
      <c r="V11" s="10">
        <f t="shared" si="2"/>
        <v>5510</v>
      </c>
      <c r="W11" s="10">
        <f t="shared" si="1"/>
        <v>19291</v>
      </c>
      <c r="X11" s="444">
        <f t="shared" ref="X11:AA11" si="3">SUM(X12:X25)</f>
        <v>0</v>
      </c>
      <c r="Y11" s="10">
        <f t="shared" si="3"/>
        <v>0</v>
      </c>
      <c r="Z11" s="10">
        <f t="shared" si="3"/>
        <v>0</v>
      </c>
      <c r="AA11" s="10">
        <f t="shared" si="3"/>
        <v>0</v>
      </c>
      <c r="AB11" s="10">
        <f t="shared" si="1"/>
        <v>0</v>
      </c>
      <c r="AC11" s="10">
        <f t="shared" si="1"/>
        <v>0</v>
      </c>
      <c r="AD11" s="10">
        <f t="shared" si="1"/>
        <v>58700</v>
      </c>
      <c r="AE11" s="10">
        <f t="shared" si="1"/>
        <v>58700</v>
      </c>
      <c r="AF11" s="10">
        <f t="shared" si="1"/>
        <v>813</v>
      </c>
      <c r="AG11" s="10">
        <f t="shared" si="1"/>
        <v>0</v>
      </c>
      <c r="AH11" s="10">
        <f t="shared" si="1"/>
        <v>0</v>
      </c>
      <c r="AI11" s="10">
        <f t="shared" si="1"/>
        <v>0</v>
      </c>
      <c r="AJ11" s="10">
        <f t="shared" si="1"/>
        <v>10647</v>
      </c>
      <c r="AK11" s="10">
        <f t="shared" ref="AK11:AM11" si="4">SUM(AK12:AK25)</f>
        <v>0</v>
      </c>
      <c r="AL11" s="444">
        <f t="shared" si="4"/>
        <v>47240</v>
      </c>
      <c r="AM11" s="10">
        <f t="shared" si="4"/>
        <v>0</v>
      </c>
      <c r="AN11" s="10">
        <f t="shared" si="1"/>
        <v>0</v>
      </c>
      <c r="AO11" s="10">
        <f t="shared" si="1"/>
        <v>12650</v>
      </c>
      <c r="AP11" s="10">
        <f t="shared" si="1"/>
        <v>12650</v>
      </c>
      <c r="AQ11" s="10">
        <f t="shared" si="1"/>
        <v>0</v>
      </c>
      <c r="AR11" s="10">
        <f t="shared" si="1"/>
        <v>0</v>
      </c>
      <c r="AS11" s="10">
        <f t="shared" si="1"/>
        <v>0</v>
      </c>
      <c r="AT11" s="10">
        <f t="shared" si="1"/>
        <v>0</v>
      </c>
      <c r="AU11" s="10">
        <f t="shared" si="1"/>
        <v>0</v>
      </c>
      <c r="AV11" s="10">
        <f t="shared" si="1"/>
        <v>0</v>
      </c>
      <c r="AW11" s="10">
        <f t="shared" ref="AW11:AY11" si="5">SUM(AW12:AW25)</f>
        <v>0</v>
      </c>
      <c r="AX11" s="10">
        <f t="shared" si="5"/>
        <v>0</v>
      </c>
      <c r="AY11" s="10">
        <f t="shared" si="5"/>
        <v>0</v>
      </c>
      <c r="AZ11" s="10">
        <f t="shared" si="1"/>
        <v>0</v>
      </c>
      <c r="BA11" s="10">
        <f t="shared" si="1"/>
        <v>0</v>
      </c>
      <c r="BB11" s="10">
        <f t="shared" si="1"/>
        <v>0</v>
      </c>
      <c r="BC11" s="10">
        <f t="shared" si="1"/>
        <v>0</v>
      </c>
      <c r="BD11" s="10">
        <f t="shared" si="1"/>
        <v>0</v>
      </c>
      <c r="BE11" s="10">
        <f t="shared" si="1"/>
        <v>0</v>
      </c>
      <c r="BF11" s="10">
        <f t="shared" si="1"/>
        <v>0</v>
      </c>
      <c r="BG11" s="10">
        <f t="shared" si="1"/>
        <v>0</v>
      </c>
      <c r="BH11" s="10">
        <f t="shared" si="1"/>
        <v>0</v>
      </c>
      <c r="BI11" s="10">
        <f t="shared" si="1"/>
        <v>0</v>
      </c>
      <c r="BJ11" s="10">
        <f t="shared" si="1"/>
        <v>0</v>
      </c>
      <c r="BK11" s="10">
        <f t="shared" si="1"/>
        <v>0</v>
      </c>
      <c r="BL11" s="10">
        <f t="shared" si="1"/>
        <v>0</v>
      </c>
      <c r="BM11" s="10">
        <f t="shared" si="1"/>
        <v>0</v>
      </c>
      <c r="BN11" s="10">
        <f t="shared" si="1"/>
        <v>0</v>
      </c>
      <c r="BO11" s="10">
        <f t="shared" si="1"/>
        <v>0</v>
      </c>
      <c r="BP11" s="10">
        <f t="shared" si="1"/>
        <v>0</v>
      </c>
      <c r="BQ11" s="10">
        <f t="shared" si="1"/>
        <v>0</v>
      </c>
      <c r="BR11" s="10">
        <f t="shared" si="1"/>
        <v>0</v>
      </c>
      <c r="BS11" s="10">
        <f t="shared" si="1"/>
        <v>0</v>
      </c>
      <c r="BT11" s="121">
        <f t="shared" ref="BT11:BV11" si="6">SUM(BT12:BT25)</f>
        <v>0</v>
      </c>
      <c r="BU11" s="10">
        <f t="shared" si="6"/>
        <v>0</v>
      </c>
      <c r="BV11" s="10">
        <f t="shared" si="6"/>
        <v>0</v>
      </c>
      <c r="BW11" s="404">
        <f t="shared" si="1"/>
        <v>0</v>
      </c>
      <c r="BX11" s="11"/>
      <c r="BY11" s="106"/>
      <c r="CA11" s="36"/>
      <c r="CB11" s="36"/>
      <c r="CC11" s="36"/>
      <c r="CD11" s="36"/>
      <c r="CE11" s="36"/>
      <c r="CF11" s="36"/>
      <c r="CG11" s="36"/>
    </row>
    <row r="12" spans="1:85" ht="13.5" thickTop="1" x14ac:dyDescent="0.2">
      <c r="A12" s="168">
        <v>90000056357</v>
      </c>
      <c r="B12" s="176"/>
      <c r="C12" s="497" t="s">
        <v>5</v>
      </c>
      <c r="D12" s="498"/>
      <c r="E12" s="100" t="s">
        <v>197</v>
      </c>
      <c r="F12" s="347">
        <f t="shared" si="0"/>
        <v>853861</v>
      </c>
      <c r="G12" s="101">
        <f t="shared" ref="G12:G23" si="7">I12+AD12+AP12+BA12+BC12+BM12</f>
        <v>872361</v>
      </c>
      <c r="H12" s="102">
        <v>841211</v>
      </c>
      <c r="I12" s="102">
        <f>J12+H12</f>
        <v>859711</v>
      </c>
      <c r="J12" s="102">
        <f>SUM(K12:AB12)</f>
        <v>18500</v>
      </c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>
        <v>18500</v>
      </c>
      <c r="X12" s="445"/>
      <c r="Y12" s="102"/>
      <c r="Z12" s="102"/>
      <c r="AA12" s="102"/>
      <c r="AB12" s="102"/>
      <c r="AC12" s="102">
        <v>0</v>
      </c>
      <c r="AD12" s="102">
        <f>AC12+AE12</f>
        <v>0</v>
      </c>
      <c r="AE12" s="102">
        <f>SUM(AF12:AN12)</f>
        <v>0</v>
      </c>
      <c r="AF12" s="102"/>
      <c r="AG12" s="102"/>
      <c r="AH12" s="102"/>
      <c r="AI12" s="102"/>
      <c r="AJ12" s="102"/>
      <c r="AK12" s="102"/>
      <c r="AL12" s="445"/>
      <c r="AM12" s="102"/>
      <c r="AN12" s="102"/>
      <c r="AO12" s="102">
        <v>12650</v>
      </c>
      <c r="AP12" s="102">
        <f>AQ12+AO12</f>
        <v>12650</v>
      </c>
      <c r="AQ12" s="102">
        <f>SUM(AR12:AZ12)</f>
        <v>0</v>
      </c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>
        <v>0</v>
      </c>
      <c r="BC12" s="123">
        <f>BB12+BD12</f>
        <v>0</v>
      </c>
      <c r="BD12" s="123">
        <f>SUM(BE12:BK12)</f>
        <v>0</v>
      </c>
      <c r="BE12" s="123"/>
      <c r="BF12" s="123"/>
      <c r="BG12" s="123"/>
      <c r="BH12" s="123"/>
      <c r="BI12" s="123"/>
      <c r="BJ12" s="123"/>
      <c r="BK12" s="123"/>
      <c r="BL12" s="123"/>
      <c r="BM12" s="102">
        <f>BN12+BL12</f>
        <v>0</v>
      </c>
      <c r="BN12" s="102">
        <f>SUM(BO12:BW12)</f>
        <v>0</v>
      </c>
      <c r="BO12" s="102"/>
      <c r="BP12" s="102"/>
      <c r="BQ12" s="102"/>
      <c r="BR12" s="102"/>
      <c r="BS12" s="102"/>
      <c r="BT12" s="389"/>
      <c r="BU12" s="102"/>
      <c r="BV12" s="102"/>
      <c r="BW12" s="335"/>
      <c r="BX12" s="103" t="s">
        <v>359</v>
      </c>
      <c r="BY12" s="107"/>
      <c r="BZ12" s="36"/>
      <c r="CA12" s="36"/>
      <c r="CB12" s="36"/>
      <c r="CC12" s="36"/>
      <c r="CD12" s="36"/>
      <c r="CE12" s="36"/>
      <c r="CF12" s="36"/>
      <c r="CG12" s="36"/>
    </row>
    <row r="13" spans="1:85" s="167" customFormat="1" ht="24" x14ac:dyDescent="0.2">
      <c r="A13" s="169"/>
      <c r="B13" s="290"/>
      <c r="C13" s="283"/>
      <c r="D13" s="284"/>
      <c r="E13" s="100" t="s">
        <v>293</v>
      </c>
      <c r="F13" s="347">
        <f t="shared" si="0"/>
        <v>147171</v>
      </c>
      <c r="G13" s="101">
        <f t="shared" si="7"/>
        <v>147291</v>
      </c>
      <c r="H13" s="102">
        <v>147171</v>
      </c>
      <c r="I13" s="102">
        <f t="shared" ref="I13:I23" si="8">J13+H13</f>
        <v>147291</v>
      </c>
      <c r="J13" s="102">
        <f t="shared" ref="J13:J23" si="9">SUM(K13:AB13)</f>
        <v>120</v>
      </c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>
        <v>120</v>
      </c>
      <c r="W13" s="102"/>
      <c r="X13" s="445"/>
      <c r="Y13" s="102"/>
      <c r="Z13" s="102"/>
      <c r="AA13" s="102"/>
      <c r="AB13" s="102"/>
      <c r="AC13" s="102">
        <v>0</v>
      </c>
      <c r="AD13" s="102">
        <f t="shared" ref="AD13:AD23" si="10">AC13+AE13</f>
        <v>0</v>
      </c>
      <c r="AE13" s="102">
        <f t="shared" ref="AE13:AE23" si="11">SUM(AF13:AN13)</f>
        <v>0</v>
      </c>
      <c r="AF13" s="102"/>
      <c r="AG13" s="102"/>
      <c r="AH13" s="102"/>
      <c r="AI13" s="102"/>
      <c r="AJ13" s="102"/>
      <c r="AK13" s="102"/>
      <c r="AL13" s="445"/>
      <c r="AM13" s="102"/>
      <c r="AN13" s="102"/>
      <c r="AO13" s="102">
        <v>0</v>
      </c>
      <c r="AP13" s="102">
        <f t="shared" ref="AP13:AP23" si="12">AQ13+AO13</f>
        <v>0</v>
      </c>
      <c r="AQ13" s="102">
        <f t="shared" ref="AQ13:AQ23" si="13">SUM(AR13:AZ13)</f>
        <v>0</v>
      </c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>
        <v>0</v>
      </c>
      <c r="BC13" s="123">
        <f t="shared" ref="BC13:BC23" si="14">BB13+BD13</f>
        <v>0</v>
      </c>
      <c r="BD13" s="123">
        <f t="shared" ref="BD13:BD23" si="15">SUM(BE13:BK13)</f>
        <v>0</v>
      </c>
      <c r="BE13" s="123"/>
      <c r="BF13" s="123"/>
      <c r="BG13" s="123"/>
      <c r="BH13" s="123"/>
      <c r="BI13" s="123"/>
      <c r="BJ13" s="123"/>
      <c r="BK13" s="123"/>
      <c r="BL13" s="123"/>
      <c r="BM13" s="102">
        <f t="shared" ref="BM13:BM23" si="16">BN13+BL13</f>
        <v>0</v>
      </c>
      <c r="BN13" s="102">
        <f t="shared" ref="BN13:BN23" si="17">SUM(BO13:BW13)</f>
        <v>0</v>
      </c>
      <c r="BO13" s="102"/>
      <c r="BP13" s="102"/>
      <c r="BQ13" s="102"/>
      <c r="BR13" s="102"/>
      <c r="BS13" s="102"/>
      <c r="BT13" s="389"/>
      <c r="BU13" s="102"/>
      <c r="BV13" s="102"/>
      <c r="BW13" s="335"/>
      <c r="BX13" s="103" t="s">
        <v>360</v>
      </c>
      <c r="BY13" s="107"/>
      <c r="BZ13" s="36"/>
      <c r="CA13" s="36"/>
      <c r="CB13" s="36"/>
      <c r="CC13" s="36"/>
      <c r="CD13" s="36"/>
      <c r="CE13" s="36"/>
      <c r="CF13" s="36"/>
      <c r="CG13" s="36"/>
    </row>
    <row r="14" spans="1:85" ht="36" x14ac:dyDescent="0.2">
      <c r="A14" s="146"/>
      <c r="B14" s="117"/>
      <c r="C14" s="288"/>
      <c r="D14" s="289"/>
      <c r="E14" s="100" t="s">
        <v>245</v>
      </c>
      <c r="F14" s="347">
        <f t="shared" si="0"/>
        <v>639256</v>
      </c>
      <c r="G14" s="101">
        <f t="shared" si="7"/>
        <v>639256</v>
      </c>
      <c r="H14" s="102">
        <v>639256</v>
      </c>
      <c r="I14" s="102">
        <f t="shared" si="8"/>
        <v>639256</v>
      </c>
      <c r="J14" s="102">
        <f t="shared" si="9"/>
        <v>0</v>
      </c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445"/>
      <c r="Y14" s="102"/>
      <c r="Z14" s="102"/>
      <c r="AA14" s="102"/>
      <c r="AB14" s="102"/>
      <c r="AC14" s="102">
        <v>0</v>
      </c>
      <c r="AD14" s="102">
        <f t="shared" si="10"/>
        <v>0</v>
      </c>
      <c r="AE14" s="102">
        <f t="shared" si="11"/>
        <v>0</v>
      </c>
      <c r="AF14" s="102"/>
      <c r="AG14" s="102"/>
      <c r="AH14" s="102"/>
      <c r="AI14" s="102"/>
      <c r="AJ14" s="102"/>
      <c r="AK14" s="102"/>
      <c r="AL14" s="445"/>
      <c r="AM14" s="102"/>
      <c r="AN14" s="102"/>
      <c r="AO14" s="102">
        <v>0</v>
      </c>
      <c r="AP14" s="102">
        <f t="shared" si="12"/>
        <v>0</v>
      </c>
      <c r="AQ14" s="102">
        <f t="shared" si="13"/>
        <v>0</v>
      </c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>
        <v>0</v>
      </c>
      <c r="BC14" s="123">
        <f t="shared" si="14"/>
        <v>0</v>
      </c>
      <c r="BD14" s="123">
        <f t="shared" si="15"/>
        <v>0</v>
      </c>
      <c r="BE14" s="123"/>
      <c r="BF14" s="123"/>
      <c r="BG14" s="123"/>
      <c r="BH14" s="123"/>
      <c r="BI14" s="123"/>
      <c r="BJ14" s="123"/>
      <c r="BK14" s="123"/>
      <c r="BL14" s="123"/>
      <c r="BM14" s="102">
        <f t="shared" si="16"/>
        <v>0</v>
      </c>
      <c r="BN14" s="102">
        <f t="shared" si="17"/>
        <v>0</v>
      </c>
      <c r="BO14" s="102"/>
      <c r="BP14" s="102"/>
      <c r="BQ14" s="102"/>
      <c r="BR14" s="102"/>
      <c r="BS14" s="102"/>
      <c r="BT14" s="389"/>
      <c r="BU14" s="102"/>
      <c r="BV14" s="102"/>
      <c r="BW14" s="335"/>
      <c r="BX14" s="103" t="s">
        <v>361</v>
      </c>
      <c r="BY14" s="107"/>
      <c r="BZ14" s="36"/>
      <c r="CA14" s="36"/>
      <c r="CB14" s="36"/>
      <c r="CC14" s="36"/>
      <c r="CD14" s="36"/>
      <c r="CE14" s="36"/>
      <c r="CF14" s="36"/>
      <c r="CG14" s="36"/>
    </row>
    <row r="15" spans="1:85" s="167" customFormat="1" ht="24" x14ac:dyDescent="0.2">
      <c r="A15" s="146"/>
      <c r="B15" s="117"/>
      <c r="C15" s="279"/>
      <c r="D15" s="280"/>
      <c r="E15" s="100" t="s">
        <v>307</v>
      </c>
      <c r="F15" s="347">
        <f t="shared" si="0"/>
        <v>2894845</v>
      </c>
      <c r="G15" s="101">
        <f t="shared" si="7"/>
        <v>2894845</v>
      </c>
      <c r="H15" s="102">
        <v>2894845</v>
      </c>
      <c r="I15" s="102">
        <f t="shared" si="8"/>
        <v>2894845</v>
      </c>
      <c r="J15" s="102">
        <f t="shared" si="9"/>
        <v>0</v>
      </c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445"/>
      <c r="Y15" s="102"/>
      <c r="Z15" s="102"/>
      <c r="AA15" s="102"/>
      <c r="AB15" s="102"/>
      <c r="AC15" s="102">
        <v>0</v>
      </c>
      <c r="AD15" s="102">
        <f t="shared" si="10"/>
        <v>0</v>
      </c>
      <c r="AE15" s="102">
        <f t="shared" si="11"/>
        <v>0</v>
      </c>
      <c r="AF15" s="102"/>
      <c r="AG15" s="102"/>
      <c r="AH15" s="102"/>
      <c r="AI15" s="102"/>
      <c r="AJ15" s="102"/>
      <c r="AK15" s="102"/>
      <c r="AL15" s="445"/>
      <c r="AM15" s="102"/>
      <c r="AN15" s="102"/>
      <c r="AO15" s="102">
        <v>0</v>
      </c>
      <c r="AP15" s="102">
        <f t="shared" si="12"/>
        <v>0</v>
      </c>
      <c r="AQ15" s="102">
        <f t="shared" si="13"/>
        <v>0</v>
      </c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>
        <v>0</v>
      </c>
      <c r="BC15" s="123">
        <f t="shared" si="14"/>
        <v>0</v>
      </c>
      <c r="BD15" s="123">
        <f t="shared" si="15"/>
        <v>0</v>
      </c>
      <c r="BE15" s="123"/>
      <c r="BF15" s="123"/>
      <c r="BG15" s="123"/>
      <c r="BH15" s="123"/>
      <c r="BI15" s="123"/>
      <c r="BJ15" s="123"/>
      <c r="BK15" s="123"/>
      <c r="BL15" s="123"/>
      <c r="BM15" s="102">
        <f t="shared" si="16"/>
        <v>0</v>
      </c>
      <c r="BN15" s="102">
        <f t="shared" si="17"/>
        <v>0</v>
      </c>
      <c r="BO15" s="102"/>
      <c r="BP15" s="102"/>
      <c r="BQ15" s="102"/>
      <c r="BR15" s="102"/>
      <c r="BS15" s="102"/>
      <c r="BT15" s="389"/>
      <c r="BU15" s="102"/>
      <c r="BV15" s="102"/>
      <c r="BW15" s="335"/>
      <c r="BX15" s="103" t="s">
        <v>362</v>
      </c>
      <c r="BY15" s="107" t="s">
        <v>552</v>
      </c>
      <c r="BZ15" s="36"/>
      <c r="CA15" s="36"/>
      <c r="CB15" s="36"/>
      <c r="CC15" s="36"/>
      <c r="CD15" s="36"/>
      <c r="CE15" s="36"/>
      <c r="CF15" s="36"/>
      <c r="CG15" s="36"/>
    </row>
    <row r="16" spans="1:85" s="167" customFormat="1" ht="36" x14ac:dyDescent="0.2">
      <c r="A16" s="146"/>
      <c r="B16" s="117"/>
      <c r="C16" s="279"/>
      <c r="D16" s="280"/>
      <c r="E16" s="281" t="s">
        <v>308</v>
      </c>
      <c r="F16" s="347">
        <f t="shared" si="0"/>
        <v>6000</v>
      </c>
      <c r="G16" s="101">
        <f t="shared" si="7"/>
        <v>6000</v>
      </c>
      <c r="H16" s="102">
        <v>6000</v>
      </c>
      <c r="I16" s="102">
        <f t="shared" si="8"/>
        <v>6000</v>
      </c>
      <c r="J16" s="102">
        <f t="shared" si="9"/>
        <v>0</v>
      </c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445"/>
      <c r="Y16" s="102"/>
      <c r="Z16" s="102"/>
      <c r="AA16" s="102"/>
      <c r="AB16" s="102"/>
      <c r="AC16" s="102">
        <v>0</v>
      </c>
      <c r="AD16" s="102">
        <f t="shared" si="10"/>
        <v>0</v>
      </c>
      <c r="AE16" s="102">
        <f t="shared" si="11"/>
        <v>0</v>
      </c>
      <c r="AF16" s="102"/>
      <c r="AG16" s="102"/>
      <c r="AH16" s="102"/>
      <c r="AI16" s="102"/>
      <c r="AJ16" s="102"/>
      <c r="AK16" s="102"/>
      <c r="AL16" s="445"/>
      <c r="AM16" s="102"/>
      <c r="AN16" s="102"/>
      <c r="AO16" s="102">
        <v>0</v>
      </c>
      <c r="AP16" s="102">
        <f t="shared" si="12"/>
        <v>0</v>
      </c>
      <c r="AQ16" s="102">
        <f t="shared" si="13"/>
        <v>0</v>
      </c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>
        <v>0</v>
      </c>
      <c r="BC16" s="123">
        <f t="shared" si="14"/>
        <v>0</v>
      </c>
      <c r="BD16" s="123">
        <f t="shared" si="15"/>
        <v>0</v>
      </c>
      <c r="BE16" s="123"/>
      <c r="BF16" s="123"/>
      <c r="BG16" s="123"/>
      <c r="BH16" s="123"/>
      <c r="BI16" s="123"/>
      <c r="BJ16" s="123"/>
      <c r="BK16" s="123"/>
      <c r="BL16" s="123"/>
      <c r="BM16" s="102">
        <f t="shared" si="16"/>
        <v>0</v>
      </c>
      <c r="BN16" s="102">
        <f t="shared" si="17"/>
        <v>0</v>
      </c>
      <c r="BO16" s="102"/>
      <c r="BP16" s="102"/>
      <c r="BQ16" s="102"/>
      <c r="BR16" s="102"/>
      <c r="BS16" s="102"/>
      <c r="BT16" s="389"/>
      <c r="BU16" s="102"/>
      <c r="BV16" s="102"/>
      <c r="BW16" s="335"/>
      <c r="BX16" s="103" t="s">
        <v>363</v>
      </c>
      <c r="BY16" s="108" t="s">
        <v>505</v>
      </c>
      <c r="BZ16" s="36"/>
      <c r="CA16" s="36"/>
      <c r="CB16" s="36"/>
      <c r="CC16" s="36"/>
      <c r="CD16" s="36"/>
      <c r="CE16" s="36"/>
      <c r="CF16" s="36"/>
      <c r="CG16" s="36"/>
    </row>
    <row r="17" spans="1:85" s="221" customFormat="1" ht="24" x14ac:dyDescent="0.2">
      <c r="A17" s="146"/>
      <c r="B17" s="117"/>
      <c r="C17" s="279"/>
      <c r="D17" s="280"/>
      <c r="E17" s="100" t="s">
        <v>294</v>
      </c>
      <c r="F17" s="347">
        <f t="shared" si="0"/>
        <v>237416</v>
      </c>
      <c r="G17" s="101">
        <f t="shared" si="7"/>
        <v>243133</v>
      </c>
      <c r="H17" s="102">
        <v>237416</v>
      </c>
      <c r="I17" s="102">
        <f t="shared" si="8"/>
        <v>243133</v>
      </c>
      <c r="J17" s="102">
        <f t="shared" si="9"/>
        <v>5717</v>
      </c>
      <c r="K17" s="102"/>
      <c r="L17" s="102"/>
      <c r="M17" s="102"/>
      <c r="N17" s="102"/>
      <c r="O17" s="102"/>
      <c r="P17" s="102"/>
      <c r="Q17" s="102"/>
      <c r="R17" s="102">
        <v>4926</v>
      </c>
      <c r="S17" s="102"/>
      <c r="T17" s="102"/>
      <c r="U17" s="102"/>
      <c r="V17" s="102"/>
      <c r="W17" s="102">
        <v>791</v>
      </c>
      <c r="X17" s="445"/>
      <c r="Y17" s="102"/>
      <c r="Z17" s="102"/>
      <c r="AA17" s="102"/>
      <c r="AB17" s="102"/>
      <c r="AC17" s="102">
        <v>0</v>
      </c>
      <c r="AD17" s="102">
        <f t="shared" si="10"/>
        <v>0</v>
      </c>
      <c r="AE17" s="102">
        <f t="shared" si="11"/>
        <v>0</v>
      </c>
      <c r="AF17" s="102"/>
      <c r="AG17" s="102"/>
      <c r="AH17" s="102"/>
      <c r="AI17" s="102"/>
      <c r="AJ17" s="102"/>
      <c r="AK17" s="102"/>
      <c r="AL17" s="445"/>
      <c r="AM17" s="102"/>
      <c r="AN17" s="102"/>
      <c r="AO17" s="102">
        <v>0</v>
      </c>
      <c r="AP17" s="102">
        <f t="shared" si="12"/>
        <v>0</v>
      </c>
      <c r="AQ17" s="102">
        <f t="shared" si="13"/>
        <v>0</v>
      </c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>
        <v>0</v>
      </c>
      <c r="BC17" s="123">
        <f t="shared" si="14"/>
        <v>0</v>
      </c>
      <c r="BD17" s="123">
        <f t="shared" si="15"/>
        <v>0</v>
      </c>
      <c r="BE17" s="123"/>
      <c r="BF17" s="123"/>
      <c r="BG17" s="123"/>
      <c r="BH17" s="123"/>
      <c r="BI17" s="123"/>
      <c r="BJ17" s="123"/>
      <c r="BK17" s="123"/>
      <c r="BL17" s="123"/>
      <c r="BM17" s="102">
        <f t="shared" si="16"/>
        <v>0</v>
      </c>
      <c r="BN17" s="102">
        <f t="shared" si="17"/>
        <v>0</v>
      </c>
      <c r="BO17" s="102"/>
      <c r="BP17" s="102"/>
      <c r="BQ17" s="102"/>
      <c r="BR17" s="102"/>
      <c r="BS17" s="102"/>
      <c r="BT17" s="389"/>
      <c r="BU17" s="102"/>
      <c r="BV17" s="102"/>
      <c r="BW17" s="335"/>
      <c r="BX17" s="103" t="s">
        <v>570</v>
      </c>
      <c r="BY17" s="107" t="s">
        <v>782</v>
      </c>
      <c r="BZ17" s="36"/>
      <c r="CA17" s="36"/>
      <c r="CB17" s="36"/>
      <c r="CC17" s="36"/>
      <c r="CD17" s="36"/>
      <c r="CE17" s="36"/>
      <c r="CF17" s="36"/>
      <c r="CG17" s="36"/>
    </row>
    <row r="18" spans="1:85" s="201" customFormat="1" ht="36" x14ac:dyDescent="0.2">
      <c r="A18" s="146"/>
      <c r="B18" s="117"/>
      <c r="C18" s="266"/>
      <c r="D18" s="267"/>
      <c r="E18" s="273" t="s">
        <v>627</v>
      </c>
      <c r="F18" s="347">
        <f t="shared" si="0"/>
        <v>41202</v>
      </c>
      <c r="G18" s="101">
        <f t="shared" si="7"/>
        <v>41572</v>
      </c>
      <c r="H18" s="102">
        <v>41202</v>
      </c>
      <c r="I18" s="102">
        <f t="shared" si="8"/>
        <v>41572</v>
      </c>
      <c r="J18" s="102">
        <f t="shared" si="9"/>
        <v>370</v>
      </c>
      <c r="K18" s="102"/>
      <c r="L18" s="102"/>
      <c r="M18" s="102"/>
      <c r="N18" s="102"/>
      <c r="O18" s="102"/>
      <c r="P18" s="102"/>
      <c r="Q18" s="102"/>
      <c r="R18" s="102">
        <v>370</v>
      </c>
      <c r="S18" s="102"/>
      <c r="T18" s="102"/>
      <c r="U18" s="102"/>
      <c r="V18" s="102"/>
      <c r="W18" s="102"/>
      <c r="X18" s="445"/>
      <c r="Y18" s="102"/>
      <c r="Z18" s="102"/>
      <c r="AA18" s="102"/>
      <c r="AB18" s="102"/>
      <c r="AC18" s="102">
        <v>0</v>
      </c>
      <c r="AD18" s="102">
        <f t="shared" si="10"/>
        <v>0</v>
      </c>
      <c r="AE18" s="102">
        <f t="shared" si="11"/>
        <v>0</v>
      </c>
      <c r="AF18" s="102"/>
      <c r="AG18" s="102"/>
      <c r="AH18" s="102"/>
      <c r="AI18" s="102"/>
      <c r="AJ18" s="102"/>
      <c r="AK18" s="102"/>
      <c r="AL18" s="445"/>
      <c r="AM18" s="102"/>
      <c r="AN18" s="102"/>
      <c r="AO18" s="102">
        <v>0</v>
      </c>
      <c r="AP18" s="102">
        <f t="shared" si="12"/>
        <v>0</v>
      </c>
      <c r="AQ18" s="102">
        <f t="shared" si="13"/>
        <v>0</v>
      </c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>
        <v>0</v>
      </c>
      <c r="BC18" s="123">
        <f t="shared" si="14"/>
        <v>0</v>
      </c>
      <c r="BD18" s="123">
        <f t="shared" si="15"/>
        <v>0</v>
      </c>
      <c r="BE18" s="123"/>
      <c r="BF18" s="123"/>
      <c r="BG18" s="123"/>
      <c r="BH18" s="123"/>
      <c r="BI18" s="123"/>
      <c r="BJ18" s="123"/>
      <c r="BK18" s="123"/>
      <c r="BL18" s="123"/>
      <c r="BM18" s="102">
        <f t="shared" si="16"/>
        <v>0</v>
      </c>
      <c r="BN18" s="102">
        <f t="shared" si="17"/>
        <v>0</v>
      </c>
      <c r="BO18" s="102"/>
      <c r="BP18" s="102"/>
      <c r="BQ18" s="102"/>
      <c r="BR18" s="102"/>
      <c r="BS18" s="102"/>
      <c r="BT18" s="389"/>
      <c r="BU18" s="102"/>
      <c r="BV18" s="102"/>
      <c r="BW18" s="335"/>
      <c r="BX18" s="103" t="s">
        <v>519</v>
      </c>
      <c r="BY18" s="107"/>
      <c r="BZ18" s="36"/>
      <c r="CA18" s="36"/>
      <c r="CB18" s="36"/>
      <c r="CC18" s="36"/>
      <c r="CD18" s="36"/>
      <c r="CE18" s="36"/>
      <c r="CF18" s="36"/>
      <c r="CG18" s="36"/>
    </row>
    <row r="19" spans="1:85" ht="12.75" x14ac:dyDescent="0.2">
      <c r="A19" s="146"/>
      <c r="B19" s="117"/>
      <c r="C19" s="495" t="s">
        <v>181</v>
      </c>
      <c r="D19" s="496"/>
      <c r="E19" s="100" t="s">
        <v>130</v>
      </c>
      <c r="F19" s="347">
        <f t="shared" si="0"/>
        <v>241000</v>
      </c>
      <c r="G19" s="101">
        <f t="shared" si="7"/>
        <v>241000</v>
      </c>
      <c r="H19" s="102">
        <v>241000</v>
      </c>
      <c r="I19" s="102">
        <f t="shared" si="8"/>
        <v>241000</v>
      </c>
      <c r="J19" s="102">
        <f t="shared" si="9"/>
        <v>0</v>
      </c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445"/>
      <c r="Y19" s="102"/>
      <c r="Z19" s="102"/>
      <c r="AA19" s="102"/>
      <c r="AB19" s="102"/>
      <c r="AC19" s="102"/>
      <c r="AD19" s="102">
        <f t="shared" si="10"/>
        <v>0</v>
      </c>
      <c r="AE19" s="102">
        <f t="shared" si="11"/>
        <v>0</v>
      </c>
      <c r="AF19" s="102"/>
      <c r="AG19" s="102"/>
      <c r="AH19" s="102"/>
      <c r="AI19" s="102"/>
      <c r="AJ19" s="102"/>
      <c r="AK19" s="102"/>
      <c r="AL19" s="445"/>
      <c r="AM19" s="102"/>
      <c r="AN19" s="102"/>
      <c r="AO19" s="102"/>
      <c r="AP19" s="123">
        <f t="shared" si="12"/>
        <v>0</v>
      </c>
      <c r="AQ19" s="123">
        <f t="shared" si="13"/>
        <v>0</v>
      </c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>
        <f t="shared" si="14"/>
        <v>0</v>
      </c>
      <c r="BD19" s="123">
        <f t="shared" si="15"/>
        <v>0</v>
      </c>
      <c r="BE19" s="123"/>
      <c r="BF19" s="123"/>
      <c r="BG19" s="123"/>
      <c r="BH19" s="123"/>
      <c r="BI19" s="123"/>
      <c r="BJ19" s="123"/>
      <c r="BK19" s="123"/>
      <c r="BL19" s="123"/>
      <c r="BM19" s="102">
        <f t="shared" si="16"/>
        <v>0</v>
      </c>
      <c r="BN19" s="102">
        <f t="shared" si="17"/>
        <v>0</v>
      </c>
      <c r="BO19" s="102"/>
      <c r="BP19" s="102"/>
      <c r="BQ19" s="102"/>
      <c r="BR19" s="102"/>
      <c r="BS19" s="102"/>
      <c r="BT19" s="389"/>
      <c r="BU19" s="102"/>
      <c r="BV19" s="102"/>
      <c r="BW19" s="335"/>
      <c r="BX19" s="103" t="s">
        <v>647</v>
      </c>
      <c r="BY19" s="107"/>
      <c r="BZ19" s="36"/>
      <c r="CA19" s="36"/>
      <c r="CB19" s="36"/>
      <c r="CC19" s="36"/>
      <c r="CD19" s="36"/>
      <c r="CE19" s="36"/>
      <c r="CF19" s="36"/>
      <c r="CG19" s="36"/>
    </row>
    <row r="20" spans="1:85" ht="24" x14ac:dyDescent="0.2">
      <c r="A20" s="146"/>
      <c r="B20" s="117"/>
      <c r="C20" s="266"/>
      <c r="D20" s="271"/>
      <c r="E20" s="100" t="s">
        <v>198</v>
      </c>
      <c r="F20" s="347">
        <f t="shared" si="0"/>
        <v>12308265</v>
      </c>
      <c r="G20" s="101">
        <f t="shared" si="7"/>
        <v>12308265</v>
      </c>
      <c r="H20" s="102">
        <v>12308265</v>
      </c>
      <c r="I20" s="102">
        <f t="shared" si="8"/>
        <v>12308265</v>
      </c>
      <c r="J20" s="102">
        <f t="shared" si="9"/>
        <v>0</v>
      </c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445"/>
      <c r="Y20" s="102"/>
      <c r="Z20" s="102"/>
      <c r="AA20" s="102"/>
      <c r="AB20" s="102"/>
      <c r="AC20" s="102"/>
      <c r="AD20" s="102">
        <f t="shared" si="10"/>
        <v>0</v>
      </c>
      <c r="AE20" s="102">
        <f t="shared" si="11"/>
        <v>0</v>
      </c>
      <c r="AF20" s="102"/>
      <c r="AG20" s="102"/>
      <c r="AH20" s="102"/>
      <c r="AI20" s="102"/>
      <c r="AJ20" s="102"/>
      <c r="AK20" s="102"/>
      <c r="AL20" s="445"/>
      <c r="AM20" s="102"/>
      <c r="AN20" s="102"/>
      <c r="AO20" s="102"/>
      <c r="AP20" s="123">
        <f t="shared" si="12"/>
        <v>0</v>
      </c>
      <c r="AQ20" s="123">
        <f t="shared" si="13"/>
        <v>0</v>
      </c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>
        <f t="shared" si="14"/>
        <v>0</v>
      </c>
      <c r="BD20" s="123">
        <f t="shared" si="15"/>
        <v>0</v>
      </c>
      <c r="BE20" s="123"/>
      <c r="BF20" s="123"/>
      <c r="BG20" s="123"/>
      <c r="BH20" s="123"/>
      <c r="BI20" s="123"/>
      <c r="BJ20" s="123"/>
      <c r="BK20" s="123"/>
      <c r="BL20" s="123"/>
      <c r="BM20" s="102">
        <f t="shared" si="16"/>
        <v>0</v>
      </c>
      <c r="BN20" s="102">
        <f t="shared" si="17"/>
        <v>0</v>
      </c>
      <c r="BO20" s="102"/>
      <c r="BP20" s="102"/>
      <c r="BQ20" s="102"/>
      <c r="BR20" s="102"/>
      <c r="BS20" s="102"/>
      <c r="BT20" s="389"/>
      <c r="BU20" s="102"/>
      <c r="BV20" s="102"/>
      <c r="BW20" s="335"/>
      <c r="BX20" s="103" t="s">
        <v>648</v>
      </c>
      <c r="BY20" s="107"/>
      <c r="BZ20" s="36"/>
      <c r="CA20" s="36"/>
      <c r="CB20" s="36"/>
      <c r="CC20" s="36"/>
      <c r="CD20" s="36"/>
      <c r="CE20" s="36"/>
      <c r="CF20" s="36"/>
      <c r="CG20" s="36"/>
    </row>
    <row r="21" spans="1:85" ht="24" x14ac:dyDescent="0.2">
      <c r="A21" s="146"/>
      <c r="B21" s="117"/>
      <c r="C21" s="266"/>
      <c r="D21" s="271"/>
      <c r="E21" s="100" t="s">
        <v>199</v>
      </c>
      <c r="F21" s="347">
        <f t="shared" si="0"/>
        <v>300000</v>
      </c>
      <c r="G21" s="101">
        <f t="shared" si="7"/>
        <v>209935</v>
      </c>
      <c r="H21" s="102">
        <v>300000</v>
      </c>
      <c r="I21" s="102">
        <f t="shared" si="8"/>
        <v>209935</v>
      </c>
      <c r="J21" s="102">
        <f t="shared" si="9"/>
        <v>-90065</v>
      </c>
      <c r="K21" s="102">
        <f>-160-55000-704</f>
        <v>-55864</v>
      </c>
      <c r="L21" s="102">
        <f>-84-446-7109</f>
        <v>-7639</v>
      </c>
      <c r="M21" s="102"/>
      <c r="N21" s="102"/>
      <c r="O21" s="102"/>
      <c r="P21" s="102">
        <v>-7170</v>
      </c>
      <c r="Q21" s="102">
        <f>-8000-120</f>
        <v>-8120</v>
      </c>
      <c r="R21" s="102"/>
      <c r="S21" s="102">
        <f>-7405-2963</f>
        <v>-10368</v>
      </c>
      <c r="T21" s="102"/>
      <c r="U21" s="102">
        <f>-5390-904</f>
        <v>-6294</v>
      </c>
      <c r="V21" s="102">
        <v>5390</v>
      </c>
      <c r="W21" s="102"/>
      <c r="X21" s="445"/>
      <c r="Y21" s="102"/>
      <c r="Z21" s="102"/>
      <c r="AA21" s="102"/>
      <c r="AB21" s="102"/>
      <c r="AC21" s="102"/>
      <c r="AD21" s="102">
        <f t="shared" si="10"/>
        <v>0</v>
      </c>
      <c r="AE21" s="102">
        <f t="shared" si="11"/>
        <v>0</v>
      </c>
      <c r="AF21" s="102"/>
      <c r="AG21" s="102"/>
      <c r="AH21" s="102"/>
      <c r="AI21" s="102"/>
      <c r="AJ21" s="102"/>
      <c r="AK21" s="102"/>
      <c r="AL21" s="445"/>
      <c r="AM21" s="102"/>
      <c r="AN21" s="102"/>
      <c r="AO21" s="102"/>
      <c r="AP21" s="123">
        <f t="shared" si="12"/>
        <v>0</v>
      </c>
      <c r="AQ21" s="123">
        <f t="shared" si="13"/>
        <v>0</v>
      </c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>
        <f t="shared" si="14"/>
        <v>0</v>
      </c>
      <c r="BD21" s="123">
        <f t="shared" si="15"/>
        <v>0</v>
      </c>
      <c r="BE21" s="123"/>
      <c r="BF21" s="123"/>
      <c r="BG21" s="123"/>
      <c r="BH21" s="123"/>
      <c r="BI21" s="123"/>
      <c r="BJ21" s="123"/>
      <c r="BK21" s="123"/>
      <c r="BL21" s="123"/>
      <c r="BM21" s="102">
        <f t="shared" si="16"/>
        <v>0</v>
      </c>
      <c r="BN21" s="102">
        <f t="shared" si="17"/>
        <v>0</v>
      </c>
      <c r="BO21" s="102"/>
      <c r="BP21" s="102"/>
      <c r="BQ21" s="102"/>
      <c r="BR21" s="102"/>
      <c r="BS21" s="102"/>
      <c r="BT21" s="389"/>
      <c r="BU21" s="102"/>
      <c r="BV21" s="102"/>
      <c r="BW21" s="335"/>
      <c r="BX21" s="103" t="s">
        <v>649</v>
      </c>
      <c r="BY21" s="107"/>
      <c r="BZ21" s="36"/>
      <c r="CA21" s="36"/>
      <c r="CB21" s="36"/>
      <c r="CC21" s="36"/>
      <c r="CD21" s="36"/>
      <c r="CE21" s="36"/>
      <c r="CF21" s="36"/>
      <c r="CG21" s="36"/>
    </row>
    <row r="22" spans="1:85" s="183" customFormat="1" ht="12.75" x14ac:dyDescent="0.2">
      <c r="A22" s="146"/>
      <c r="B22" s="117"/>
      <c r="C22" s="320"/>
      <c r="D22" s="271"/>
      <c r="E22" s="100" t="s">
        <v>520</v>
      </c>
      <c r="F22" s="347">
        <f t="shared" si="0"/>
        <v>486513</v>
      </c>
      <c r="G22" s="101">
        <f t="shared" si="7"/>
        <v>486513</v>
      </c>
      <c r="H22" s="102">
        <v>486513</v>
      </c>
      <c r="I22" s="102">
        <f t="shared" si="8"/>
        <v>486513</v>
      </c>
      <c r="J22" s="102">
        <f t="shared" si="9"/>
        <v>0</v>
      </c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445"/>
      <c r="Y22" s="102"/>
      <c r="Z22" s="102"/>
      <c r="AA22" s="102"/>
      <c r="AB22" s="102"/>
      <c r="AC22" s="102"/>
      <c r="AD22" s="102">
        <f t="shared" si="10"/>
        <v>0</v>
      </c>
      <c r="AE22" s="102">
        <f t="shared" si="11"/>
        <v>0</v>
      </c>
      <c r="AF22" s="102"/>
      <c r="AG22" s="102"/>
      <c r="AH22" s="102"/>
      <c r="AI22" s="102"/>
      <c r="AJ22" s="102"/>
      <c r="AK22" s="102"/>
      <c r="AL22" s="445"/>
      <c r="AM22" s="102"/>
      <c r="AN22" s="102"/>
      <c r="AO22" s="102"/>
      <c r="AP22" s="123">
        <f t="shared" si="12"/>
        <v>0</v>
      </c>
      <c r="AQ22" s="123">
        <f t="shared" si="13"/>
        <v>0</v>
      </c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>
        <f t="shared" si="14"/>
        <v>0</v>
      </c>
      <c r="BD22" s="123">
        <f t="shared" si="15"/>
        <v>0</v>
      </c>
      <c r="BE22" s="123"/>
      <c r="BF22" s="123"/>
      <c r="BG22" s="123"/>
      <c r="BH22" s="123"/>
      <c r="BI22" s="123"/>
      <c r="BJ22" s="123"/>
      <c r="BK22" s="123"/>
      <c r="BL22" s="123"/>
      <c r="BM22" s="102">
        <f t="shared" si="16"/>
        <v>0</v>
      </c>
      <c r="BN22" s="102">
        <f t="shared" si="17"/>
        <v>0</v>
      </c>
      <c r="BO22" s="102"/>
      <c r="BP22" s="102"/>
      <c r="BQ22" s="102"/>
      <c r="BR22" s="102"/>
      <c r="BS22" s="102"/>
      <c r="BT22" s="389"/>
      <c r="BU22" s="102"/>
      <c r="BV22" s="102"/>
      <c r="BW22" s="335"/>
      <c r="BX22" s="103" t="s">
        <v>650</v>
      </c>
      <c r="BY22" s="107"/>
      <c r="BZ22" s="36"/>
      <c r="CA22" s="36"/>
      <c r="CB22" s="36"/>
      <c r="CC22" s="36"/>
      <c r="CD22" s="36"/>
      <c r="CE22" s="36"/>
      <c r="CF22" s="36"/>
      <c r="CG22" s="36"/>
    </row>
    <row r="23" spans="1:85" s="228" customFormat="1" ht="24" x14ac:dyDescent="0.2">
      <c r="A23" s="146"/>
      <c r="B23" s="117"/>
      <c r="C23" s="299"/>
      <c r="D23" s="271"/>
      <c r="E23" s="100" t="s">
        <v>569</v>
      </c>
      <c r="F23" s="347">
        <f t="shared" si="0"/>
        <v>1174</v>
      </c>
      <c r="G23" s="101">
        <f t="shared" si="7"/>
        <v>12634</v>
      </c>
      <c r="H23" s="102">
        <v>1174</v>
      </c>
      <c r="I23" s="102">
        <f t="shared" si="8"/>
        <v>1174</v>
      </c>
      <c r="J23" s="102">
        <f t="shared" si="9"/>
        <v>0</v>
      </c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445"/>
      <c r="Y23" s="102"/>
      <c r="Z23" s="102"/>
      <c r="AA23" s="102"/>
      <c r="AB23" s="102"/>
      <c r="AC23" s="102">
        <v>0</v>
      </c>
      <c r="AD23" s="102">
        <f t="shared" si="10"/>
        <v>11460</v>
      </c>
      <c r="AE23" s="102">
        <f t="shared" si="11"/>
        <v>11460</v>
      </c>
      <c r="AF23" s="102">
        <f>724+89</f>
        <v>813</v>
      </c>
      <c r="AG23" s="102"/>
      <c r="AH23" s="102"/>
      <c r="AI23" s="102"/>
      <c r="AJ23" s="102">
        <v>10647</v>
      </c>
      <c r="AK23" s="102"/>
      <c r="AL23" s="445"/>
      <c r="AM23" s="102"/>
      <c r="AN23" s="102"/>
      <c r="AO23" s="102">
        <v>0</v>
      </c>
      <c r="AP23" s="102">
        <f t="shared" si="12"/>
        <v>0</v>
      </c>
      <c r="AQ23" s="102">
        <f t="shared" si="13"/>
        <v>0</v>
      </c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>
        <v>0</v>
      </c>
      <c r="BC23" s="123">
        <f t="shared" si="14"/>
        <v>0</v>
      </c>
      <c r="BD23" s="123">
        <f t="shared" si="15"/>
        <v>0</v>
      </c>
      <c r="BE23" s="123"/>
      <c r="BF23" s="123"/>
      <c r="BG23" s="123"/>
      <c r="BH23" s="123"/>
      <c r="BI23" s="123"/>
      <c r="BJ23" s="123"/>
      <c r="BK23" s="123"/>
      <c r="BL23" s="123"/>
      <c r="BM23" s="102">
        <f t="shared" si="16"/>
        <v>0</v>
      </c>
      <c r="BN23" s="102">
        <f t="shared" si="17"/>
        <v>0</v>
      </c>
      <c r="BO23" s="102"/>
      <c r="BP23" s="102"/>
      <c r="BQ23" s="102"/>
      <c r="BR23" s="102"/>
      <c r="BS23" s="102"/>
      <c r="BT23" s="389"/>
      <c r="BU23" s="102"/>
      <c r="BV23" s="102"/>
      <c r="BW23" s="335"/>
      <c r="BX23" s="103" t="s">
        <v>651</v>
      </c>
      <c r="BY23" s="107"/>
      <c r="BZ23" s="36"/>
      <c r="CA23" s="36"/>
      <c r="CB23" s="36"/>
      <c r="CC23" s="36"/>
      <c r="CD23" s="36"/>
      <c r="CE23" s="36"/>
      <c r="CF23" s="36"/>
      <c r="CG23" s="36"/>
    </row>
    <row r="24" spans="1:85" s="458" customFormat="1" ht="26.25" customHeight="1" x14ac:dyDescent="0.2">
      <c r="A24" s="146">
        <v>90000543728</v>
      </c>
      <c r="B24" s="117"/>
      <c r="C24" s="495" t="s">
        <v>814</v>
      </c>
      <c r="D24" s="496"/>
      <c r="E24" s="100" t="s">
        <v>197</v>
      </c>
      <c r="F24" s="347">
        <f t="shared" ref="F24" si="18">H24+AC24+AO24+BA24+BB24+BL24</f>
        <v>0</v>
      </c>
      <c r="G24" s="101">
        <f t="shared" ref="G24" si="19">I24+AD24+AP24+BA24+BC24+BM24</f>
        <v>47240</v>
      </c>
      <c r="H24" s="102"/>
      <c r="I24" s="102">
        <f t="shared" ref="I24" si="20">J24+H24</f>
        <v>0</v>
      </c>
      <c r="J24" s="102">
        <f t="shared" ref="J24" si="21">SUM(K24:AB24)</f>
        <v>0</v>
      </c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445"/>
      <c r="Y24" s="102"/>
      <c r="Z24" s="102"/>
      <c r="AA24" s="102"/>
      <c r="AB24" s="102"/>
      <c r="AC24" s="102"/>
      <c r="AD24" s="102">
        <f t="shared" ref="AD24" si="22">AC24+AE24</f>
        <v>47240</v>
      </c>
      <c r="AE24" s="102">
        <f t="shared" ref="AE24" si="23">SUM(AF24:AN24)</f>
        <v>47240</v>
      </c>
      <c r="AF24" s="102"/>
      <c r="AG24" s="102"/>
      <c r="AH24" s="102"/>
      <c r="AI24" s="102"/>
      <c r="AJ24" s="102"/>
      <c r="AK24" s="102"/>
      <c r="AL24" s="445">
        <v>47240</v>
      </c>
      <c r="AM24" s="102"/>
      <c r="AN24" s="102"/>
      <c r="AO24" s="102"/>
      <c r="AP24" s="102">
        <f t="shared" ref="AP24" si="24">AQ24+AO24</f>
        <v>0</v>
      </c>
      <c r="AQ24" s="102">
        <f t="shared" ref="AQ24" si="25">SUM(AR24:AZ24)</f>
        <v>0</v>
      </c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>
        <f t="shared" ref="BC24" si="26">BB24+BD24</f>
        <v>0</v>
      </c>
      <c r="BD24" s="123">
        <f t="shared" ref="BD24" si="27">SUM(BE24:BK24)</f>
        <v>0</v>
      </c>
      <c r="BE24" s="123"/>
      <c r="BF24" s="123"/>
      <c r="BG24" s="123"/>
      <c r="BH24" s="123"/>
      <c r="BI24" s="123"/>
      <c r="BJ24" s="123"/>
      <c r="BK24" s="123"/>
      <c r="BL24" s="123"/>
      <c r="BM24" s="102">
        <f t="shared" ref="BM24" si="28">BN24+BL24</f>
        <v>0</v>
      </c>
      <c r="BN24" s="102">
        <f t="shared" ref="BN24" si="29">SUM(BO24:BW24)</f>
        <v>0</v>
      </c>
      <c r="BO24" s="102"/>
      <c r="BP24" s="102"/>
      <c r="BQ24" s="102"/>
      <c r="BR24" s="102"/>
      <c r="BS24" s="102"/>
      <c r="BT24" s="389"/>
      <c r="BU24" s="102"/>
      <c r="BV24" s="102"/>
      <c r="BW24" s="335"/>
      <c r="BX24" s="103" t="s">
        <v>815</v>
      </c>
      <c r="BY24" s="107"/>
      <c r="BZ24" s="36"/>
      <c r="CA24" s="36"/>
      <c r="CB24" s="36"/>
      <c r="CC24" s="36"/>
      <c r="CD24" s="36"/>
      <c r="CE24" s="36"/>
      <c r="CF24" s="36"/>
      <c r="CG24" s="36"/>
    </row>
    <row r="25" spans="1:85" ht="12.75" thickBot="1" x14ac:dyDescent="0.25">
      <c r="A25" s="191"/>
      <c r="B25" s="133"/>
      <c r="C25" s="521"/>
      <c r="D25" s="522"/>
      <c r="E25" s="2"/>
      <c r="F25" s="348"/>
      <c r="G25" s="89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446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446"/>
      <c r="AM25" s="90"/>
      <c r="AN25" s="90"/>
      <c r="AO25" s="90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90"/>
      <c r="BN25" s="90"/>
      <c r="BO25" s="90"/>
      <c r="BP25" s="90"/>
      <c r="BQ25" s="90"/>
      <c r="BR25" s="90"/>
      <c r="BS25" s="90"/>
      <c r="BT25" s="387"/>
      <c r="BU25" s="90"/>
      <c r="BV25" s="90"/>
      <c r="BW25" s="336"/>
      <c r="BX25" s="99"/>
      <c r="BY25" s="108"/>
      <c r="BZ25" s="36"/>
      <c r="CA25" s="36"/>
      <c r="CB25" s="36"/>
      <c r="CC25" s="36"/>
      <c r="CD25" s="36"/>
      <c r="CE25" s="36"/>
      <c r="CF25" s="36"/>
      <c r="CG25" s="36"/>
    </row>
    <row r="26" spans="1:85" ht="24.75" thickBot="1" x14ac:dyDescent="0.25">
      <c r="A26" s="173"/>
      <c r="B26" s="499" t="s">
        <v>6</v>
      </c>
      <c r="C26" s="499"/>
      <c r="D26" s="170" t="s">
        <v>179</v>
      </c>
      <c r="E26" s="16"/>
      <c r="F26" s="349">
        <f t="shared" ref="F26:F32" si="30">H26+AC26+AO26+BA26+BB26+BL26</f>
        <v>2744915</v>
      </c>
      <c r="G26" s="17">
        <f t="shared" ref="G26:G32" si="31">I26+AD26+AP26+BA26+BC26+BM26</f>
        <v>2924452</v>
      </c>
      <c r="H26" s="10">
        <f>SUM(H27:H33)</f>
        <v>2709457</v>
      </c>
      <c r="I26" s="10">
        <f t="shared" ref="I26:BW26" si="32">SUM(I27:I33)</f>
        <v>2885035</v>
      </c>
      <c r="J26" s="10">
        <f t="shared" si="32"/>
        <v>175578</v>
      </c>
      <c r="K26" s="10">
        <f t="shared" si="32"/>
        <v>0</v>
      </c>
      <c r="L26" s="10">
        <f t="shared" si="32"/>
        <v>0</v>
      </c>
      <c r="M26" s="10">
        <f t="shared" si="32"/>
        <v>0</v>
      </c>
      <c r="N26" s="10">
        <f t="shared" si="32"/>
        <v>0</v>
      </c>
      <c r="O26" s="10">
        <f t="shared" si="32"/>
        <v>0</v>
      </c>
      <c r="P26" s="10">
        <f t="shared" si="32"/>
        <v>7170</v>
      </c>
      <c r="Q26" s="10">
        <f t="shared" si="32"/>
        <v>0</v>
      </c>
      <c r="R26" s="10">
        <f t="shared" si="32"/>
        <v>0</v>
      </c>
      <c r="S26" s="10">
        <f t="shared" si="32"/>
        <v>0</v>
      </c>
      <c r="T26" s="10">
        <f t="shared" si="32"/>
        <v>74224</v>
      </c>
      <c r="U26" s="10">
        <f t="shared" ref="U26:V26" si="33">SUM(U27:U33)</f>
        <v>0</v>
      </c>
      <c r="V26" s="10">
        <f t="shared" si="33"/>
        <v>0</v>
      </c>
      <c r="W26" s="10">
        <f t="shared" si="32"/>
        <v>94184</v>
      </c>
      <c r="X26" s="444">
        <f t="shared" ref="X26:AA26" si="34">SUM(X27:X33)</f>
        <v>0</v>
      </c>
      <c r="Y26" s="10">
        <f t="shared" si="34"/>
        <v>0</v>
      </c>
      <c r="Z26" s="10">
        <f t="shared" si="34"/>
        <v>0</v>
      </c>
      <c r="AA26" s="10">
        <f t="shared" si="34"/>
        <v>0</v>
      </c>
      <c r="AB26" s="10">
        <f t="shared" si="32"/>
        <v>0</v>
      </c>
      <c r="AC26" s="10">
        <f t="shared" si="32"/>
        <v>0</v>
      </c>
      <c r="AD26" s="10">
        <f t="shared" si="32"/>
        <v>0</v>
      </c>
      <c r="AE26" s="10">
        <f t="shared" si="32"/>
        <v>0</v>
      </c>
      <c r="AF26" s="10">
        <f t="shared" si="32"/>
        <v>0</v>
      </c>
      <c r="AG26" s="10">
        <f t="shared" si="32"/>
        <v>0</v>
      </c>
      <c r="AH26" s="10">
        <f t="shared" si="32"/>
        <v>0</v>
      </c>
      <c r="AI26" s="10">
        <f t="shared" si="32"/>
        <v>0</v>
      </c>
      <c r="AJ26" s="10">
        <f t="shared" si="32"/>
        <v>0</v>
      </c>
      <c r="AK26" s="10">
        <f t="shared" ref="AK26:AM26" si="35">SUM(AK27:AK33)</f>
        <v>0</v>
      </c>
      <c r="AL26" s="444">
        <f t="shared" si="35"/>
        <v>0</v>
      </c>
      <c r="AM26" s="10">
        <f t="shared" si="35"/>
        <v>0</v>
      </c>
      <c r="AN26" s="10">
        <f t="shared" si="32"/>
        <v>0</v>
      </c>
      <c r="AO26" s="10">
        <f t="shared" si="32"/>
        <v>39658</v>
      </c>
      <c r="AP26" s="10">
        <f t="shared" si="32"/>
        <v>43617</v>
      </c>
      <c r="AQ26" s="10">
        <f t="shared" si="32"/>
        <v>3959</v>
      </c>
      <c r="AR26" s="10">
        <f t="shared" si="32"/>
        <v>274</v>
      </c>
      <c r="AS26" s="10">
        <f t="shared" si="32"/>
        <v>0</v>
      </c>
      <c r="AT26" s="10">
        <f t="shared" si="32"/>
        <v>-470</v>
      </c>
      <c r="AU26" s="10">
        <f t="shared" si="32"/>
        <v>0</v>
      </c>
      <c r="AV26" s="10">
        <f t="shared" si="32"/>
        <v>0</v>
      </c>
      <c r="AW26" s="10">
        <f t="shared" ref="AW26:AY26" si="36">SUM(AW27:AW33)</f>
        <v>4155</v>
      </c>
      <c r="AX26" s="10">
        <f t="shared" si="36"/>
        <v>0</v>
      </c>
      <c r="AY26" s="10">
        <f t="shared" si="36"/>
        <v>0</v>
      </c>
      <c r="AZ26" s="10">
        <f t="shared" si="32"/>
        <v>0</v>
      </c>
      <c r="BA26" s="10">
        <f t="shared" si="32"/>
        <v>0</v>
      </c>
      <c r="BB26" s="10">
        <f t="shared" si="32"/>
        <v>0</v>
      </c>
      <c r="BC26" s="10">
        <f t="shared" si="32"/>
        <v>0</v>
      </c>
      <c r="BD26" s="10">
        <f t="shared" si="32"/>
        <v>0</v>
      </c>
      <c r="BE26" s="10">
        <f t="shared" si="32"/>
        <v>0</v>
      </c>
      <c r="BF26" s="10">
        <f t="shared" si="32"/>
        <v>0</v>
      </c>
      <c r="BG26" s="10">
        <f t="shared" si="32"/>
        <v>0</v>
      </c>
      <c r="BH26" s="10">
        <f t="shared" si="32"/>
        <v>0</v>
      </c>
      <c r="BI26" s="10">
        <f t="shared" si="32"/>
        <v>0</v>
      </c>
      <c r="BJ26" s="10">
        <f t="shared" si="32"/>
        <v>0</v>
      </c>
      <c r="BK26" s="10">
        <f t="shared" si="32"/>
        <v>0</v>
      </c>
      <c r="BL26" s="10">
        <f t="shared" si="32"/>
        <v>-4200</v>
      </c>
      <c r="BM26" s="10">
        <f t="shared" si="32"/>
        <v>-4200</v>
      </c>
      <c r="BN26" s="10">
        <f t="shared" si="32"/>
        <v>0</v>
      </c>
      <c r="BO26" s="10">
        <f t="shared" si="32"/>
        <v>0</v>
      </c>
      <c r="BP26" s="10">
        <f t="shared" si="32"/>
        <v>0</v>
      </c>
      <c r="BQ26" s="10">
        <f t="shared" si="32"/>
        <v>0</v>
      </c>
      <c r="BR26" s="10">
        <f t="shared" si="32"/>
        <v>0</v>
      </c>
      <c r="BS26" s="10">
        <f t="shared" si="32"/>
        <v>0</v>
      </c>
      <c r="BT26" s="121">
        <f t="shared" ref="BT26:BV26" si="37">SUM(BT27:BT33)</f>
        <v>0</v>
      </c>
      <c r="BU26" s="10">
        <f t="shared" si="37"/>
        <v>0</v>
      </c>
      <c r="BV26" s="10">
        <f t="shared" si="37"/>
        <v>0</v>
      </c>
      <c r="BW26" s="404">
        <f t="shared" si="32"/>
        <v>0</v>
      </c>
      <c r="BX26" s="18"/>
      <c r="BY26" s="109"/>
      <c r="BZ26" s="36"/>
      <c r="CA26" s="36"/>
      <c r="CB26" s="36"/>
      <c r="CC26" s="36"/>
      <c r="CD26" s="36"/>
      <c r="CE26" s="36"/>
      <c r="CF26" s="36"/>
      <c r="CG26" s="36"/>
    </row>
    <row r="27" spans="1:85" ht="13.5" thickTop="1" x14ac:dyDescent="0.2">
      <c r="A27" s="177">
        <v>90000056357</v>
      </c>
      <c r="B27" s="172"/>
      <c r="C27" s="497" t="s">
        <v>5</v>
      </c>
      <c r="D27" s="498"/>
      <c r="E27" s="100" t="s">
        <v>197</v>
      </c>
      <c r="F27" s="347">
        <f t="shared" si="30"/>
        <v>199050</v>
      </c>
      <c r="G27" s="101">
        <f t="shared" si="31"/>
        <v>189050</v>
      </c>
      <c r="H27" s="102">
        <v>199050</v>
      </c>
      <c r="I27" s="102">
        <f t="shared" ref="I27:I32" si="38">J27+H27</f>
        <v>189050</v>
      </c>
      <c r="J27" s="102">
        <f t="shared" ref="J27:J32" si="39">SUM(K27:AB27)</f>
        <v>-10000</v>
      </c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>
        <v>-10000</v>
      </c>
      <c r="X27" s="445"/>
      <c r="Y27" s="102"/>
      <c r="Z27" s="102"/>
      <c r="AA27" s="102"/>
      <c r="AB27" s="102"/>
      <c r="AC27" s="102">
        <v>0</v>
      </c>
      <c r="AD27" s="102">
        <f t="shared" ref="AD27:AD32" si="40">AC27+AE27</f>
        <v>0</v>
      </c>
      <c r="AE27" s="102">
        <f t="shared" ref="AE27:AE32" si="41">SUM(AF27:AN27)</f>
        <v>0</v>
      </c>
      <c r="AF27" s="102"/>
      <c r="AG27" s="102"/>
      <c r="AH27" s="102"/>
      <c r="AI27" s="102"/>
      <c r="AJ27" s="102"/>
      <c r="AK27" s="102"/>
      <c r="AL27" s="445"/>
      <c r="AM27" s="102"/>
      <c r="AN27" s="102"/>
      <c r="AO27" s="102">
        <v>0</v>
      </c>
      <c r="AP27" s="102">
        <f t="shared" ref="AP27:AP32" si="42">AQ27+AO27</f>
        <v>0</v>
      </c>
      <c r="AQ27" s="102">
        <f t="shared" ref="AQ27:AQ32" si="43">SUM(AR27:AZ27)</f>
        <v>0</v>
      </c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>
        <v>0</v>
      </c>
      <c r="BC27" s="123">
        <f t="shared" ref="BC27:BC32" si="44">BB27+BD27</f>
        <v>0</v>
      </c>
      <c r="BD27" s="123">
        <f t="shared" ref="BD27:BD32" si="45">SUM(BE27:BK27)</f>
        <v>0</v>
      </c>
      <c r="BE27" s="123"/>
      <c r="BF27" s="123"/>
      <c r="BG27" s="123"/>
      <c r="BH27" s="123"/>
      <c r="BI27" s="123"/>
      <c r="BJ27" s="123"/>
      <c r="BK27" s="123"/>
      <c r="BL27" s="123"/>
      <c r="BM27" s="102">
        <f t="shared" ref="BM27:BM32" si="46">BN27+BL27</f>
        <v>0</v>
      </c>
      <c r="BN27" s="102">
        <f t="shared" ref="BN27:BN32" si="47">SUM(BO27:BW27)</f>
        <v>0</v>
      </c>
      <c r="BO27" s="102"/>
      <c r="BP27" s="102"/>
      <c r="BQ27" s="102"/>
      <c r="BR27" s="102"/>
      <c r="BS27" s="102"/>
      <c r="BT27" s="389"/>
      <c r="BU27" s="102"/>
      <c r="BV27" s="102"/>
      <c r="BW27" s="335"/>
      <c r="BX27" s="103" t="s">
        <v>364</v>
      </c>
      <c r="BY27" s="107"/>
      <c r="BZ27" s="36"/>
      <c r="CA27" s="36"/>
      <c r="CB27" s="36"/>
      <c r="CC27" s="36"/>
      <c r="CD27" s="36"/>
      <c r="CE27" s="36"/>
      <c r="CF27" s="36"/>
      <c r="CG27" s="36"/>
    </row>
    <row r="28" spans="1:85" s="167" customFormat="1" ht="24" x14ac:dyDescent="0.2">
      <c r="A28" s="171"/>
      <c r="B28" s="290"/>
      <c r="C28" s="283"/>
      <c r="D28" s="284"/>
      <c r="E28" s="100" t="s">
        <v>200</v>
      </c>
      <c r="F28" s="347">
        <f t="shared" si="30"/>
        <v>427120</v>
      </c>
      <c r="G28" s="101">
        <f t="shared" si="31"/>
        <v>423605</v>
      </c>
      <c r="H28" s="102">
        <v>407590</v>
      </c>
      <c r="I28" s="102">
        <f t="shared" si="38"/>
        <v>400390</v>
      </c>
      <c r="J28" s="102">
        <f t="shared" si="39"/>
        <v>-7200</v>
      </c>
      <c r="K28" s="102"/>
      <c r="L28" s="102"/>
      <c r="M28" s="102">
        <v>-12200</v>
      </c>
      <c r="N28" s="102"/>
      <c r="O28" s="102"/>
      <c r="P28" s="102"/>
      <c r="Q28" s="102"/>
      <c r="R28" s="102"/>
      <c r="S28" s="102"/>
      <c r="T28" s="102"/>
      <c r="U28" s="102"/>
      <c r="V28" s="102"/>
      <c r="W28" s="102">
        <v>5000</v>
      </c>
      <c r="X28" s="445"/>
      <c r="Y28" s="102"/>
      <c r="Z28" s="102"/>
      <c r="AA28" s="102"/>
      <c r="AB28" s="102"/>
      <c r="AC28" s="102">
        <v>0</v>
      </c>
      <c r="AD28" s="102">
        <f t="shared" si="40"/>
        <v>0</v>
      </c>
      <c r="AE28" s="102">
        <f t="shared" si="41"/>
        <v>0</v>
      </c>
      <c r="AF28" s="102"/>
      <c r="AG28" s="102"/>
      <c r="AH28" s="102"/>
      <c r="AI28" s="102"/>
      <c r="AJ28" s="102"/>
      <c r="AK28" s="102"/>
      <c r="AL28" s="445"/>
      <c r="AM28" s="102"/>
      <c r="AN28" s="102"/>
      <c r="AO28" s="102">
        <v>19530</v>
      </c>
      <c r="AP28" s="102">
        <f t="shared" si="42"/>
        <v>23215</v>
      </c>
      <c r="AQ28" s="102">
        <f t="shared" si="43"/>
        <v>3685</v>
      </c>
      <c r="AR28" s="102"/>
      <c r="AS28" s="102"/>
      <c r="AT28" s="102">
        <v>-470</v>
      </c>
      <c r="AU28" s="102"/>
      <c r="AV28" s="102"/>
      <c r="AW28" s="102">
        <v>4155</v>
      </c>
      <c r="AX28" s="102"/>
      <c r="AY28" s="102"/>
      <c r="AZ28" s="102"/>
      <c r="BA28" s="102"/>
      <c r="BB28" s="102">
        <v>0</v>
      </c>
      <c r="BC28" s="123">
        <f t="shared" si="44"/>
        <v>0</v>
      </c>
      <c r="BD28" s="123">
        <f t="shared" si="45"/>
        <v>0</v>
      </c>
      <c r="BE28" s="123"/>
      <c r="BF28" s="123"/>
      <c r="BG28" s="123"/>
      <c r="BH28" s="123"/>
      <c r="BI28" s="123"/>
      <c r="BJ28" s="123"/>
      <c r="BK28" s="123"/>
      <c r="BL28" s="123"/>
      <c r="BM28" s="102">
        <f t="shared" si="46"/>
        <v>0</v>
      </c>
      <c r="BN28" s="102">
        <f t="shared" si="47"/>
        <v>0</v>
      </c>
      <c r="BO28" s="102"/>
      <c r="BP28" s="102"/>
      <c r="BQ28" s="102"/>
      <c r="BR28" s="102"/>
      <c r="BS28" s="102"/>
      <c r="BT28" s="389"/>
      <c r="BU28" s="102"/>
      <c r="BV28" s="102"/>
      <c r="BW28" s="335"/>
      <c r="BX28" s="103" t="s">
        <v>365</v>
      </c>
      <c r="BY28" s="107"/>
      <c r="BZ28" s="36"/>
      <c r="CA28" s="36"/>
      <c r="CB28" s="36"/>
      <c r="CC28" s="36"/>
      <c r="CD28" s="36"/>
      <c r="CE28" s="36"/>
      <c r="CF28" s="36"/>
      <c r="CG28" s="36"/>
    </row>
    <row r="29" spans="1:85" ht="24" x14ac:dyDescent="0.2">
      <c r="A29" s="146"/>
      <c r="B29" s="117"/>
      <c r="C29" s="279"/>
      <c r="D29" s="280"/>
      <c r="E29" s="100" t="s">
        <v>295</v>
      </c>
      <c r="F29" s="348">
        <f t="shared" si="30"/>
        <v>61905</v>
      </c>
      <c r="G29" s="89">
        <f t="shared" si="31"/>
        <v>61905</v>
      </c>
      <c r="H29" s="90">
        <v>61905</v>
      </c>
      <c r="I29" s="90">
        <f t="shared" si="38"/>
        <v>61905</v>
      </c>
      <c r="J29" s="90">
        <f t="shared" si="39"/>
        <v>0</v>
      </c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446"/>
      <c r="Y29" s="90"/>
      <c r="Z29" s="90"/>
      <c r="AA29" s="90"/>
      <c r="AB29" s="90"/>
      <c r="AC29" s="90">
        <v>0</v>
      </c>
      <c r="AD29" s="90">
        <f t="shared" si="40"/>
        <v>0</v>
      </c>
      <c r="AE29" s="90">
        <f t="shared" si="41"/>
        <v>0</v>
      </c>
      <c r="AF29" s="90"/>
      <c r="AG29" s="90"/>
      <c r="AH29" s="90"/>
      <c r="AI29" s="90"/>
      <c r="AJ29" s="90"/>
      <c r="AK29" s="90"/>
      <c r="AL29" s="446"/>
      <c r="AM29" s="90"/>
      <c r="AN29" s="90"/>
      <c r="AO29" s="90">
        <v>0</v>
      </c>
      <c r="AP29" s="90">
        <f t="shared" si="42"/>
        <v>0</v>
      </c>
      <c r="AQ29" s="90">
        <f t="shared" si="43"/>
        <v>0</v>
      </c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>
        <v>0</v>
      </c>
      <c r="BC29" s="122">
        <f t="shared" si="44"/>
        <v>0</v>
      </c>
      <c r="BD29" s="122">
        <f t="shared" si="45"/>
        <v>0</v>
      </c>
      <c r="BE29" s="122"/>
      <c r="BF29" s="122"/>
      <c r="BG29" s="122"/>
      <c r="BH29" s="122"/>
      <c r="BI29" s="122"/>
      <c r="BJ29" s="122"/>
      <c r="BK29" s="122"/>
      <c r="BL29" s="122"/>
      <c r="BM29" s="90">
        <f t="shared" si="46"/>
        <v>0</v>
      </c>
      <c r="BN29" s="90">
        <f t="shared" si="47"/>
        <v>0</v>
      </c>
      <c r="BO29" s="90"/>
      <c r="BP29" s="90"/>
      <c r="BQ29" s="90"/>
      <c r="BR29" s="90"/>
      <c r="BS29" s="90"/>
      <c r="BT29" s="387"/>
      <c r="BU29" s="90"/>
      <c r="BV29" s="90"/>
      <c r="BW29" s="336"/>
      <c r="BX29" s="103" t="s">
        <v>366</v>
      </c>
      <c r="BY29" s="107" t="s">
        <v>782</v>
      </c>
      <c r="BZ29" s="36"/>
      <c r="CA29" s="36"/>
      <c r="CB29" s="36"/>
      <c r="CC29" s="36"/>
      <c r="CD29" s="36"/>
      <c r="CE29" s="36"/>
      <c r="CF29" s="36"/>
      <c r="CG29" s="36"/>
    </row>
    <row r="30" spans="1:85" ht="27" customHeight="1" x14ac:dyDescent="0.2">
      <c r="A30" s="146">
        <v>90000594245</v>
      </c>
      <c r="B30" s="117"/>
      <c r="C30" s="495" t="s">
        <v>606</v>
      </c>
      <c r="D30" s="496"/>
      <c r="E30" s="100" t="s">
        <v>201</v>
      </c>
      <c r="F30" s="347">
        <f t="shared" si="30"/>
        <v>143</v>
      </c>
      <c r="G30" s="101">
        <f t="shared" si="31"/>
        <v>143</v>
      </c>
      <c r="H30" s="102">
        <v>143</v>
      </c>
      <c r="I30" s="102">
        <f t="shared" si="38"/>
        <v>143</v>
      </c>
      <c r="J30" s="102">
        <f t="shared" si="39"/>
        <v>0</v>
      </c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445"/>
      <c r="Y30" s="102"/>
      <c r="Z30" s="102"/>
      <c r="AA30" s="102"/>
      <c r="AB30" s="102"/>
      <c r="AC30" s="102">
        <v>0</v>
      </c>
      <c r="AD30" s="102">
        <f t="shared" si="40"/>
        <v>0</v>
      </c>
      <c r="AE30" s="102">
        <f t="shared" si="41"/>
        <v>0</v>
      </c>
      <c r="AF30" s="102"/>
      <c r="AG30" s="102"/>
      <c r="AH30" s="102"/>
      <c r="AI30" s="102"/>
      <c r="AJ30" s="102"/>
      <c r="AK30" s="102"/>
      <c r="AL30" s="445"/>
      <c r="AM30" s="102"/>
      <c r="AN30" s="102"/>
      <c r="AO30" s="102">
        <v>0</v>
      </c>
      <c r="AP30" s="102">
        <f t="shared" si="42"/>
        <v>0</v>
      </c>
      <c r="AQ30" s="102">
        <f t="shared" si="43"/>
        <v>0</v>
      </c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>
        <v>0</v>
      </c>
      <c r="BC30" s="123">
        <f t="shared" si="44"/>
        <v>0</v>
      </c>
      <c r="BD30" s="123">
        <f t="shared" si="45"/>
        <v>0</v>
      </c>
      <c r="BE30" s="123"/>
      <c r="BF30" s="123"/>
      <c r="BG30" s="123"/>
      <c r="BH30" s="123"/>
      <c r="BI30" s="123"/>
      <c r="BJ30" s="123"/>
      <c r="BK30" s="123"/>
      <c r="BL30" s="123"/>
      <c r="BM30" s="102">
        <f t="shared" si="46"/>
        <v>0</v>
      </c>
      <c r="BN30" s="102">
        <f t="shared" si="47"/>
        <v>0</v>
      </c>
      <c r="BO30" s="102"/>
      <c r="BP30" s="102"/>
      <c r="BQ30" s="102"/>
      <c r="BR30" s="102"/>
      <c r="BS30" s="102"/>
      <c r="BT30" s="389"/>
      <c r="BU30" s="102"/>
      <c r="BV30" s="102"/>
      <c r="BW30" s="335"/>
      <c r="BX30" s="103" t="s">
        <v>397</v>
      </c>
      <c r="BY30" s="107" t="s">
        <v>512</v>
      </c>
      <c r="BZ30" s="36"/>
      <c r="CA30" s="36"/>
      <c r="CB30" s="36"/>
      <c r="CC30" s="36"/>
      <c r="CD30" s="36"/>
      <c r="CE30" s="36"/>
      <c r="CF30" s="36"/>
      <c r="CG30" s="36"/>
    </row>
    <row r="31" spans="1:85" ht="36" x14ac:dyDescent="0.2">
      <c r="A31" s="146">
        <v>90000056554</v>
      </c>
      <c r="B31" s="117"/>
      <c r="C31" s="495" t="s">
        <v>513</v>
      </c>
      <c r="D31" s="496"/>
      <c r="E31" s="100" t="s">
        <v>271</v>
      </c>
      <c r="F31" s="347">
        <f t="shared" si="30"/>
        <v>2026697</v>
      </c>
      <c r="G31" s="101">
        <f t="shared" si="31"/>
        <v>2219749</v>
      </c>
      <c r="H31" s="102">
        <v>2010769</v>
      </c>
      <c r="I31" s="102">
        <f t="shared" si="38"/>
        <v>2203547</v>
      </c>
      <c r="J31" s="102">
        <f t="shared" si="39"/>
        <v>192778</v>
      </c>
      <c r="K31" s="102"/>
      <c r="L31" s="102"/>
      <c r="M31" s="102">
        <v>12200</v>
      </c>
      <c r="N31" s="102"/>
      <c r="O31" s="102"/>
      <c r="P31" s="102">
        <v>7170</v>
      </c>
      <c r="Q31" s="102"/>
      <c r="R31" s="102"/>
      <c r="S31" s="102"/>
      <c r="T31" s="102">
        <v>74224</v>
      </c>
      <c r="U31" s="102"/>
      <c r="V31" s="102"/>
      <c r="W31" s="102">
        <f>1555+97629</f>
        <v>99184</v>
      </c>
      <c r="X31" s="445"/>
      <c r="Y31" s="102"/>
      <c r="Z31" s="102"/>
      <c r="AA31" s="102"/>
      <c r="AB31" s="102"/>
      <c r="AC31" s="102">
        <v>0</v>
      </c>
      <c r="AD31" s="102">
        <f t="shared" si="40"/>
        <v>0</v>
      </c>
      <c r="AE31" s="102">
        <f t="shared" si="41"/>
        <v>0</v>
      </c>
      <c r="AF31" s="102"/>
      <c r="AG31" s="102"/>
      <c r="AH31" s="102"/>
      <c r="AI31" s="102"/>
      <c r="AJ31" s="102"/>
      <c r="AK31" s="102"/>
      <c r="AL31" s="445"/>
      <c r="AM31" s="102"/>
      <c r="AN31" s="102"/>
      <c r="AO31" s="102">
        <v>20128</v>
      </c>
      <c r="AP31" s="102">
        <f t="shared" si="42"/>
        <v>20402</v>
      </c>
      <c r="AQ31" s="102">
        <f t="shared" si="43"/>
        <v>274</v>
      </c>
      <c r="AR31" s="102">
        <v>274</v>
      </c>
      <c r="AS31" s="102"/>
      <c r="AT31" s="102"/>
      <c r="AU31" s="102"/>
      <c r="AV31" s="102"/>
      <c r="AW31" s="102"/>
      <c r="AX31" s="102"/>
      <c r="AY31" s="102"/>
      <c r="AZ31" s="102"/>
      <c r="BA31" s="102"/>
      <c r="BB31" s="102">
        <v>0</v>
      </c>
      <c r="BC31" s="123">
        <f t="shared" si="44"/>
        <v>0</v>
      </c>
      <c r="BD31" s="123">
        <f t="shared" si="45"/>
        <v>0</v>
      </c>
      <c r="BE31" s="123"/>
      <c r="BF31" s="123"/>
      <c r="BG31" s="123"/>
      <c r="BH31" s="123"/>
      <c r="BI31" s="123"/>
      <c r="BJ31" s="123"/>
      <c r="BK31" s="123"/>
      <c r="BL31" s="123">
        <v>-4200</v>
      </c>
      <c r="BM31" s="102">
        <f t="shared" si="46"/>
        <v>-4200</v>
      </c>
      <c r="BN31" s="102">
        <f t="shared" si="47"/>
        <v>0</v>
      </c>
      <c r="BO31" s="102"/>
      <c r="BP31" s="102"/>
      <c r="BQ31" s="102"/>
      <c r="BR31" s="102"/>
      <c r="BS31" s="102"/>
      <c r="BT31" s="389"/>
      <c r="BU31" s="102"/>
      <c r="BV31" s="102"/>
      <c r="BW31" s="335"/>
      <c r="BX31" s="103" t="s">
        <v>398</v>
      </c>
      <c r="BY31" s="107"/>
      <c r="BZ31" s="36"/>
      <c r="CA31" s="36"/>
      <c r="CB31" s="36"/>
      <c r="CC31" s="36"/>
      <c r="CD31" s="36"/>
      <c r="CE31" s="36"/>
      <c r="CF31" s="36"/>
      <c r="CG31" s="36"/>
    </row>
    <row r="32" spans="1:85" ht="48" x14ac:dyDescent="0.2">
      <c r="A32" s="146"/>
      <c r="B32" s="117"/>
      <c r="C32" s="495" t="s">
        <v>181</v>
      </c>
      <c r="D32" s="496"/>
      <c r="E32" s="303" t="s">
        <v>246</v>
      </c>
      <c r="F32" s="347">
        <f t="shared" si="30"/>
        <v>30000</v>
      </c>
      <c r="G32" s="101">
        <f t="shared" si="31"/>
        <v>30000</v>
      </c>
      <c r="H32" s="102">
        <v>30000</v>
      </c>
      <c r="I32" s="102">
        <f t="shared" si="38"/>
        <v>30000</v>
      </c>
      <c r="J32" s="102">
        <f t="shared" si="39"/>
        <v>0</v>
      </c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445"/>
      <c r="Y32" s="102"/>
      <c r="Z32" s="102"/>
      <c r="AA32" s="102"/>
      <c r="AB32" s="102"/>
      <c r="AC32" s="102"/>
      <c r="AD32" s="102">
        <f t="shared" si="40"/>
        <v>0</v>
      </c>
      <c r="AE32" s="102">
        <f t="shared" si="41"/>
        <v>0</v>
      </c>
      <c r="AF32" s="102"/>
      <c r="AG32" s="102"/>
      <c r="AH32" s="102"/>
      <c r="AI32" s="102"/>
      <c r="AJ32" s="102"/>
      <c r="AK32" s="102"/>
      <c r="AL32" s="445"/>
      <c r="AM32" s="102"/>
      <c r="AN32" s="102"/>
      <c r="AO32" s="102"/>
      <c r="AP32" s="123">
        <f t="shared" si="42"/>
        <v>0</v>
      </c>
      <c r="AQ32" s="123">
        <f t="shared" si="43"/>
        <v>0</v>
      </c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>
        <f t="shared" si="44"/>
        <v>0</v>
      </c>
      <c r="BD32" s="123">
        <f t="shared" si="45"/>
        <v>0</v>
      </c>
      <c r="BE32" s="123"/>
      <c r="BF32" s="123"/>
      <c r="BG32" s="123"/>
      <c r="BH32" s="123"/>
      <c r="BI32" s="123"/>
      <c r="BJ32" s="123"/>
      <c r="BK32" s="123"/>
      <c r="BL32" s="123"/>
      <c r="BM32" s="102">
        <f t="shared" si="46"/>
        <v>0</v>
      </c>
      <c r="BN32" s="102">
        <f t="shared" si="47"/>
        <v>0</v>
      </c>
      <c r="BO32" s="102"/>
      <c r="BP32" s="102"/>
      <c r="BQ32" s="102"/>
      <c r="BR32" s="102"/>
      <c r="BS32" s="102"/>
      <c r="BT32" s="389"/>
      <c r="BU32" s="102"/>
      <c r="BV32" s="102"/>
      <c r="BW32" s="335"/>
      <c r="BX32" s="103" t="s">
        <v>367</v>
      </c>
      <c r="BY32" s="107"/>
      <c r="BZ32" s="36"/>
      <c r="CA32" s="36"/>
      <c r="CB32" s="36"/>
      <c r="CC32" s="36"/>
      <c r="CD32" s="36"/>
      <c r="CE32" s="36"/>
      <c r="CF32" s="36"/>
      <c r="CG32" s="36"/>
    </row>
    <row r="33" spans="1:85" ht="12.75" thickBot="1" x14ac:dyDescent="0.25">
      <c r="A33" s="146"/>
      <c r="B33" s="133"/>
      <c r="C33" s="502"/>
      <c r="D33" s="503"/>
      <c r="E33" s="144"/>
      <c r="F33" s="348"/>
      <c r="G33" s="89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446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446"/>
      <c r="AM33" s="90"/>
      <c r="AN33" s="90"/>
      <c r="AO33" s="90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90"/>
      <c r="BN33" s="90"/>
      <c r="BO33" s="90"/>
      <c r="BP33" s="90"/>
      <c r="BQ33" s="90"/>
      <c r="BR33" s="90"/>
      <c r="BS33" s="90"/>
      <c r="BT33" s="387"/>
      <c r="BU33" s="90"/>
      <c r="BV33" s="90"/>
      <c r="BW33" s="336"/>
      <c r="BX33" s="91"/>
      <c r="BY33" s="108"/>
      <c r="BZ33" s="36"/>
      <c r="CA33" s="36"/>
      <c r="CB33" s="36"/>
      <c r="CC33" s="36"/>
      <c r="CD33" s="36"/>
      <c r="CE33" s="36"/>
      <c r="CF33" s="36"/>
      <c r="CG33" s="36"/>
    </row>
    <row r="34" spans="1:85" ht="12.75" thickBot="1" x14ac:dyDescent="0.25">
      <c r="A34" s="173"/>
      <c r="B34" s="499" t="s">
        <v>7</v>
      </c>
      <c r="C34" s="499"/>
      <c r="D34" s="170" t="s">
        <v>8</v>
      </c>
      <c r="E34" s="16"/>
      <c r="F34" s="349">
        <f>H34+AC34+AO34+BA34+BB34+BL34</f>
        <v>13154337</v>
      </c>
      <c r="G34" s="17">
        <f t="shared" ref="G34:G61" si="48">I34+AD34+AP34+BA34+BC34+BM34</f>
        <v>14268132</v>
      </c>
      <c r="H34" s="10">
        <f t="shared" ref="H34:AY34" si="49">SUM(H35:H63)</f>
        <v>11130552</v>
      </c>
      <c r="I34" s="10">
        <f t="shared" si="49"/>
        <v>12095959</v>
      </c>
      <c r="J34" s="10">
        <f t="shared" si="49"/>
        <v>965407</v>
      </c>
      <c r="K34" s="10">
        <f t="shared" si="49"/>
        <v>0</v>
      </c>
      <c r="L34" s="10">
        <f t="shared" si="49"/>
        <v>-10654</v>
      </c>
      <c r="M34" s="10">
        <f t="shared" si="49"/>
        <v>-5272</v>
      </c>
      <c r="N34" s="10">
        <f t="shared" si="49"/>
        <v>487352</v>
      </c>
      <c r="O34" s="10">
        <f t="shared" si="49"/>
        <v>0</v>
      </c>
      <c r="P34" s="10">
        <f t="shared" si="49"/>
        <v>307508</v>
      </c>
      <c r="Q34" s="10">
        <f t="shared" si="49"/>
        <v>0</v>
      </c>
      <c r="R34" s="10">
        <f t="shared" si="49"/>
        <v>-36647</v>
      </c>
      <c r="S34" s="10">
        <f t="shared" si="49"/>
        <v>0</v>
      </c>
      <c r="T34" s="10">
        <f t="shared" si="49"/>
        <v>-17722</v>
      </c>
      <c r="U34" s="10">
        <f t="shared" ref="U34:V34" si="50">SUM(U35:U63)</f>
        <v>5390</v>
      </c>
      <c r="V34" s="10">
        <f t="shared" si="50"/>
        <v>-5390</v>
      </c>
      <c r="W34" s="10">
        <f>SUM(W35:W63)</f>
        <v>240842</v>
      </c>
      <c r="X34" s="444">
        <f t="shared" ref="X34:AA34" si="51">SUM(X35:X63)</f>
        <v>0</v>
      </c>
      <c r="Y34" s="10">
        <f t="shared" si="51"/>
        <v>0</v>
      </c>
      <c r="Z34" s="10">
        <f t="shared" si="51"/>
        <v>0</v>
      </c>
      <c r="AA34" s="10">
        <f t="shared" si="51"/>
        <v>0</v>
      </c>
      <c r="AB34" s="10">
        <f t="shared" si="49"/>
        <v>0</v>
      </c>
      <c r="AC34" s="10">
        <f t="shared" si="49"/>
        <v>1013506</v>
      </c>
      <c r="AD34" s="10">
        <f t="shared" si="49"/>
        <v>1013506</v>
      </c>
      <c r="AE34" s="10">
        <f t="shared" si="49"/>
        <v>0</v>
      </c>
      <c r="AF34" s="10">
        <f t="shared" si="49"/>
        <v>0</v>
      </c>
      <c r="AG34" s="10">
        <f t="shared" si="49"/>
        <v>0</v>
      </c>
      <c r="AH34" s="10">
        <f t="shared" si="49"/>
        <v>0</v>
      </c>
      <c r="AI34" s="10">
        <f t="shared" si="49"/>
        <v>0</v>
      </c>
      <c r="AJ34" s="10">
        <f t="shared" si="49"/>
        <v>0</v>
      </c>
      <c r="AK34" s="10">
        <f t="shared" ref="AK34:AM34" si="52">SUM(AK35:AK63)</f>
        <v>0</v>
      </c>
      <c r="AL34" s="444">
        <f t="shared" si="52"/>
        <v>0</v>
      </c>
      <c r="AM34" s="10">
        <f t="shared" si="52"/>
        <v>0</v>
      </c>
      <c r="AN34" s="10">
        <f t="shared" si="49"/>
        <v>0</v>
      </c>
      <c r="AO34" s="10">
        <f t="shared" si="49"/>
        <v>6362</v>
      </c>
      <c r="AP34" s="10">
        <f t="shared" si="49"/>
        <v>154750</v>
      </c>
      <c r="AQ34" s="10">
        <f t="shared" si="49"/>
        <v>148388</v>
      </c>
      <c r="AR34" s="10">
        <f t="shared" si="49"/>
        <v>0</v>
      </c>
      <c r="AS34" s="10">
        <f t="shared" si="49"/>
        <v>148388</v>
      </c>
      <c r="AT34" s="10">
        <f t="shared" si="49"/>
        <v>0</v>
      </c>
      <c r="AU34" s="10">
        <f t="shared" si="49"/>
        <v>0</v>
      </c>
      <c r="AV34" s="10">
        <f t="shared" si="49"/>
        <v>0</v>
      </c>
      <c r="AW34" s="10">
        <f t="shared" si="49"/>
        <v>0</v>
      </c>
      <c r="AX34" s="10">
        <f t="shared" si="49"/>
        <v>0</v>
      </c>
      <c r="AY34" s="10">
        <f t="shared" si="49"/>
        <v>0</v>
      </c>
      <c r="AZ34" s="10">
        <f t="shared" ref="AZ34:BW34" si="53">SUM(AZ35:AZ63)</f>
        <v>0</v>
      </c>
      <c r="BA34" s="10">
        <f t="shared" si="53"/>
        <v>1003917</v>
      </c>
      <c r="BB34" s="10">
        <f t="shared" si="53"/>
        <v>0</v>
      </c>
      <c r="BC34" s="10">
        <f t="shared" si="53"/>
        <v>0</v>
      </c>
      <c r="BD34" s="10">
        <f t="shared" si="53"/>
        <v>0</v>
      </c>
      <c r="BE34" s="10">
        <f t="shared" si="53"/>
        <v>0</v>
      </c>
      <c r="BF34" s="10">
        <f t="shared" si="53"/>
        <v>0</v>
      </c>
      <c r="BG34" s="10">
        <f t="shared" si="53"/>
        <v>0</v>
      </c>
      <c r="BH34" s="10">
        <f t="shared" si="53"/>
        <v>0</v>
      </c>
      <c r="BI34" s="10">
        <f t="shared" si="53"/>
        <v>0</v>
      </c>
      <c r="BJ34" s="10">
        <f t="shared" si="53"/>
        <v>0</v>
      </c>
      <c r="BK34" s="10">
        <f t="shared" si="53"/>
        <v>0</v>
      </c>
      <c r="BL34" s="10">
        <f t="shared" si="53"/>
        <v>0</v>
      </c>
      <c r="BM34" s="10">
        <f t="shared" si="53"/>
        <v>0</v>
      </c>
      <c r="BN34" s="10">
        <f t="shared" si="53"/>
        <v>0</v>
      </c>
      <c r="BO34" s="10">
        <f t="shared" si="53"/>
        <v>0</v>
      </c>
      <c r="BP34" s="10">
        <f t="shared" si="53"/>
        <v>0</v>
      </c>
      <c r="BQ34" s="10">
        <f t="shared" si="53"/>
        <v>0</v>
      </c>
      <c r="BR34" s="10">
        <f t="shared" si="53"/>
        <v>0</v>
      </c>
      <c r="BS34" s="10">
        <f t="shared" si="53"/>
        <v>0</v>
      </c>
      <c r="BT34" s="121">
        <f t="shared" ref="BT34:BV34" si="54">SUM(BT35:BT63)</f>
        <v>0</v>
      </c>
      <c r="BU34" s="10">
        <f t="shared" si="54"/>
        <v>0</v>
      </c>
      <c r="BV34" s="10">
        <f t="shared" si="54"/>
        <v>0</v>
      </c>
      <c r="BW34" s="404">
        <f t="shared" si="53"/>
        <v>0</v>
      </c>
      <c r="BX34" s="18"/>
      <c r="BY34" s="109"/>
      <c r="BZ34" s="36"/>
      <c r="CA34" s="36"/>
      <c r="CB34" s="36"/>
      <c r="CC34" s="36"/>
      <c r="CD34" s="36"/>
      <c r="CE34" s="36"/>
      <c r="CF34" s="36"/>
      <c r="CG34" s="36"/>
    </row>
    <row r="35" spans="1:85" ht="24.75" thickTop="1" x14ac:dyDescent="0.2">
      <c r="A35" s="146">
        <v>90000056357</v>
      </c>
      <c r="B35" s="172"/>
      <c r="C35" s="497" t="s">
        <v>5</v>
      </c>
      <c r="D35" s="498"/>
      <c r="E35" s="100" t="s">
        <v>197</v>
      </c>
      <c r="F35" s="347">
        <f>H35+AC35+AO35+BA35+BB35+BL35</f>
        <v>3507391</v>
      </c>
      <c r="G35" s="101">
        <f t="shared" si="48"/>
        <v>3502391</v>
      </c>
      <c r="H35" s="102">
        <v>3507391</v>
      </c>
      <c r="I35" s="102">
        <f t="shared" ref="I35:I61" si="55">J35+H35</f>
        <v>3502391</v>
      </c>
      <c r="J35" s="102">
        <f t="shared" ref="J35:J61" si="56">SUM(K35:AB35)</f>
        <v>-5000</v>
      </c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>
        <v>-5000</v>
      </c>
      <c r="X35" s="445"/>
      <c r="Y35" s="102"/>
      <c r="Z35" s="102"/>
      <c r="AA35" s="102"/>
      <c r="AB35" s="102"/>
      <c r="AC35" s="102">
        <v>0</v>
      </c>
      <c r="AD35" s="102">
        <f t="shared" ref="AD35:AD61" si="57">AC35+AE35</f>
        <v>0</v>
      </c>
      <c r="AE35" s="102">
        <f t="shared" ref="AE35:AE61" si="58">SUM(AF35:AN35)</f>
        <v>0</v>
      </c>
      <c r="AF35" s="102"/>
      <c r="AG35" s="102"/>
      <c r="AH35" s="102"/>
      <c r="AI35" s="102"/>
      <c r="AJ35" s="102"/>
      <c r="AK35" s="102"/>
      <c r="AL35" s="445"/>
      <c r="AM35" s="102"/>
      <c r="AN35" s="102"/>
      <c r="AO35" s="102">
        <v>0</v>
      </c>
      <c r="AP35" s="102">
        <f t="shared" ref="AP35:AP61" si="59">AQ35+AO35</f>
        <v>0</v>
      </c>
      <c r="AQ35" s="102">
        <f t="shared" ref="AQ35:AQ61" si="60">SUM(AR35:AZ35)</f>
        <v>0</v>
      </c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>
        <v>0</v>
      </c>
      <c r="BC35" s="123">
        <f t="shared" ref="BC35:BC61" si="61">BB35+BD35</f>
        <v>0</v>
      </c>
      <c r="BD35" s="123">
        <f t="shared" ref="BD35:BD61" si="62">SUM(BE35:BK35)</f>
        <v>0</v>
      </c>
      <c r="BE35" s="123"/>
      <c r="BF35" s="123"/>
      <c r="BG35" s="123"/>
      <c r="BH35" s="123"/>
      <c r="BI35" s="123"/>
      <c r="BJ35" s="123"/>
      <c r="BK35" s="123"/>
      <c r="BL35" s="123"/>
      <c r="BM35" s="102">
        <f t="shared" ref="BM35:BM61" si="63">BN35+BL35</f>
        <v>0</v>
      </c>
      <c r="BN35" s="102">
        <f t="shared" ref="BN35:BN61" si="64">SUM(BO35:BW35)</f>
        <v>0</v>
      </c>
      <c r="BO35" s="102"/>
      <c r="BP35" s="102"/>
      <c r="BQ35" s="102"/>
      <c r="BR35" s="102"/>
      <c r="BS35" s="102"/>
      <c r="BT35" s="389"/>
      <c r="BU35" s="102"/>
      <c r="BV35" s="102"/>
      <c r="BW35" s="335"/>
      <c r="BX35" s="103" t="s">
        <v>368</v>
      </c>
      <c r="BY35" s="107"/>
      <c r="BZ35" s="36"/>
      <c r="CA35" s="36"/>
      <c r="CB35" s="36"/>
      <c r="CC35" s="36"/>
      <c r="CD35" s="36"/>
      <c r="CE35" s="36"/>
      <c r="CF35" s="36"/>
      <c r="CG35" s="36"/>
    </row>
    <row r="36" spans="1:85" s="167" customFormat="1" ht="12.75" x14ac:dyDescent="0.2">
      <c r="A36" s="146"/>
      <c r="B36" s="119"/>
      <c r="C36" s="274"/>
      <c r="D36" s="275"/>
      <c r="E36" s="100" t="s">
        <v>293</v>
      </c>
      <c r="F36" s="347">
        <f t="shared" ref="F36:F61" si="65">H36+AC36+AO36+BA36+BB36+BL36</f>
        <v>510197</v>
      </c>
      <c r="G36" s="101">
        <f t="shared" si="48"/>
        <v>538959</v>
      </c>
      <c r="H36" s="102">
        <v>510197</v>
      </c>
      <c r="I36" s="102">
        <f t="shared" si="55"/>
        <v>536015</v>
      </c>
      <c r="J36" s="102">
        <f t="shared" si="56"/>
        <v>25818</v>
      </c>
      <c r="K36" s="102"/>
      <c r="L36" s="102"/>
      <c r="M36" s="102"/>
      <c r="N36" s="102">
        <v>4068</v>
      </c>
      <c r="O36" s="102"/>
      <c r="P36" s="102"/>
      <c r="Q36" s="102"/>
      <c r="R36" s="102"/>
      <c r="S36" s="102"/>
      <c r="T36" s="102">
        <v>9750</v>
      </c>
      <c r="U36" s="102"/>
      <c r="V36" s="102"/>
      <c r="W36" s="102">
        <v>12000</v>
      </c>
      <c r="X36" s="445"/>
      <c r="Y36" s="102"/>
      <c r="Z36" s="102"/>
      <c r="AA36" s="102"/>
      <c r="AB36" s="102"/>
      <c r="AC36" s="102">
        <v>0</v>
      </c>
      <c r="AD36" s="102">
        <f t="shared" si="57"/>
        <v>0</v>
      </c>
      <c r="AE36" s="102">
        <f t="shared" si="58"/>
        <v>0</v>
      </c>
      <c r="AF36" s="102"/>
      <c r="AG36" s="102"/>
      <c r="AH36" s="102"/>
      <c r="AI36" s="102"/>
      <c r="AJ36" s="102"/>
      <c r="AK36" s="102"/>
      <c r="AL36" s="445"/>
      <c r="AM36" s="102"/>
      <c r="AN36" s="102"/>
      <c r="AO36" s="102">
        <v>0</v>
      </c>
      <c r="AP36" s="102">
        <f t="shared" si="59"/>
        <v>2944</v>
      </c>
      <c r="AQ36" s="102">
        <f t="shared" si="60"/>
        <v>2944</v>
      </c>
      <c r="AR36" s="102"/>
      <c r="AS36" s="102">
        <v>2944</v>
      </c>
      <c r="AT36" s="102"/>
      <c r="AU36" s="102"/>
      <c r="AV36" s="102"/>
      <c r="AW36" s="102"/>
      <c r="AX36" s="102"/>
      <c r="AY36" s="102"/>
      <c r="AZ36" s="102"/>
      <c r="BA36" s="102"/>
      <c r="BB36" s="102">
        <v>0</v>
      </c>
      <c r="BC36" s="328">
        <f t="shared" si="61"/>
        <v>0</v>
      </c>
      <c r="BD36" s="328">
        <f t="shared" si="62"/>
        <v>0</v>
      </c>
      <c r="BE36" s="328"/>
      <c r="BF36" s="328"/>
      <c r="BG36" s="328"/>
      <c r="BH36" s="328"/>
      <c r="BI36" s="328"/>
      <c r="BJ36" s="328"/>
      <c r="BK36" s="328"/>
      <c r="BL36" s="328"/>
      <c r="BM36" s="222">
        <f t="shared" si="63"/>
        <v>0</v>
      </c>
      <c r="BN36" s="222">
        <f t="shared" si="64"/>
        <v>0</v>
      </c>
      <c r="BO36" s="222"/>
      <c r="BP36" s="222"/>
      <c r="BQ36" s="222"/>
      <c r="BR36" s="222"/>
      <c r="BS36" s="222"/>
      <c r="BT36" s="414"/>
      <c r="BU36" s="222"/>
      <c r="BV36" s="222"/>
      <c r="BW36" s="337"/>
      <c r="BX36" s="314" t="s">
        <v>369</v>
      </c>
      <c r="BY36" s="107"/>
      <c r="BZ36" s="36"/>
      <c r="CA36" s="36"/>
      <c r="CB36" s="36"/>
      <c r="CC36" s="36"/>
      <c r="CD36" s="36"/>
      <c r="CE36" s="36"/>
      <c r="CF36" s="36"/>
      <c r="CG36" s="36"/>
    </row>
    <row r="37" spans="1:85" ht="28.5" customHeight="1" x14ac:dyDescent="0.2">
      <c r="A37" s="146"/>
      <c r="B37" s="117"/>
      <c r="C37" s="279"/>
      <c r="D37" s="280"/>
      <c r="E37" s="100" t="s">
        <v>235</v>
      </c>
      <c r="F37" s="347">
        <f t="shared" si="65"/>
        <v>1789633</v>
      </c>
      <c r="G37" s="101">
        <f t="shared" si="48"/>
        <v>2468013</v>
      </c>
      <c r="H37" s="102">
        <v>1650250</v>
      </c>
      <c r="I37" s="102">
        <f t="shared" si="55"/>
        <v>2183186</v>
      </c>
      <c r="J37" s="102">
        <f t="shared" si="56"/>
        <v>532936</v>
      </c>
      <c r="K37" s="102"/>
      <c r="L37" s="102"/>
      <c r="M37" s="102"/>
      <c r="N37" s="102">
        <v>483385</v>
      </c>
      <c r="O37" s="102"/>
      <c r="P37" s="102"/>
      <c r="Q37" s="102"/>
      <c r="R37" s="102"/>
      <c r="S37" s="102"/>
      <c r="T37" s="102"/>
      <c r="U37" s="102"/>
      <c r="V37" s="102"/>
      <c r="W37" s="102">
        <v>49551</v>
      </c>
      <c r="X37" s="445"/>
      <c r="Y37" s="102"/>
      <c r="Z37" s="102"/>
      <c r="AA37" s="102"/>
      <c r="AB37" s="102"/>
      <c r="AC37" s="102">
        <v>139383</v>
      </c>
      <c r="AD37" s="102">
        <f t="shared" si="57"/>
        <v>139383</v>
      </c>
      <c r="AE37" s="102">
        <f t="shared" si="58"/>
        <v>0</v>
      </c>
      <c r="AF37" s="102"/>
      <c r="AG37" s="102"/>
      <c r="AH37" s="102"/>
      <c r="AI37" s="102"/>
      <c r="AJ37" s="102"/>
      <c r="AK37" s="102"/>
      <c r="AL37" s="445"/>
      <c r="AM37" s="102"/>
      <c r="AN37" s="102"/>
      <c r="AO37" s="102">
        <v>0</v>
      </c>
      <c r="AP37" s="102">
        <f t="shared" si="59"/>
        <v>145444</v>
      </c>
      <c r="AQ37" s="102">
        <f t="shared" si="60"/>
        <v>145444</v>
      </c>
      <c r="AR37" s="102"/>
      <c r="AS37" s="102">
        <v>145444</v>
      </c>
      <c r="AT37" s="102"/>
      <c r="AU37" s="102"/>
      <c r="AV37" s="102"/>
      <c r="AW37" s="102"/>
      <c r="AX37" s="102"/>
      <c r="AY37" s="102"/>
      <c r="AZ37" s="102"/>
      <c r="BA37" s="102"/>
      <c r="BB37" s="102">
        <v>0</v>
      </c>
      <c r="BC37" s="328">
        <f t="shared" si="61"/>
        <v>0</v>
      </c>
      <c r="BD37" s="328">
        <f t="shared" si="62"/>
        <v>0</v>
      </c>
      <c r="BE37" s="328"/>
      <c r="BF37" s="328"/>
      <c r="BG37" s="328"/>
      <c r="BH37" s="328"/>
      <c r="BI37" s="328"/>
      <c r="BJ37" s="328"/>
      <c r="BK37" s="328"/>
      <c r="BL37" s="328"/>
      <c r="BM37" s="222">
        <f t="shared" si="63"/>
        <v>0</v>
      </c>
      <c r="BN37" s="222">
        <f t="shared" si="64"/>
        <v>0</v>
      </c>
      <c r="BO37" s="222"/>
      <c r="BP37" s="222"/>
      <c r="BQ37" s="222"/>
      <c r="BR37" s="222"/>
      <c r="BS37" s="222"/>
      <c r="BT37" s="414"/>
      <c r="BU37" s="222"/>
      <c r="BV37" s="222"/>
      <c r="BW37" s="337"/>
      <c r="BX37" s="314" t="s">
        <v>652</v>
      </c>
      <c r="BY37" s="107" t="s">
        <v>586</v>
      </c>
      <c r="BZ37" s="36"/>
      <c r="CA37" s="36"/>
      <c r="CB37" s="36"/>
      <c r="CC37" s="36"/>
      <c r="CD37" s="36"/>
      <c r="CE37" s="36"/>
      <c r="CF37" s="36"/>
      <c r="CG37" s="36"/>
    </row>
    <row r="38" spans="1:85" s="141" customFormat="1" ht="36" x14ac:dyDescent="0.2">
      <c r="A38" s="146"/>
      <c r="B38" s="119"/>
      <c r="C38" s="274"/>
      <c r="D38" s="275"/>
      <c r="E38" s="100" t="s">
        <v>272</v>
      </c>
      <c r="F38" s="347">
        <f t="shared" si="65"/>
        <v>48615</v>
      </c>
      <c r="G38" s="116">
        <f t="shared" si="48"/>
        <v>52615</v>
      </c>
      <c r="H38" s="222">
        <v>48615</v>
      </c>
      <c r="I38" s="222">
        <f t="shared" si="55"/>
        <v>52615</v>
      </c>
      <c r="J38" s="222">
        <f t="shared" si="56"/>
        <v>4000</v>
      </c>
      <c r="K38" s="222"/>
      <c r="L38" s="222"/>
      <c r="M38" s="222"/>
      <c r="N38" s="222"/>
      <c r="O38" s="222"/>
      <c r="P38" s="222">
        <v>4000</v>
      </c>
      <c r="Q38" s="222"/>
      <c r="R38" s="222"/>
      <c r="S38" s="222"/>
      <c r="T38" s="222"/>
      <c r="U38" s="222"/>
      <c r="V38" s="222"/>
      <c r="W38" s="222"/>
      <c r="X38" s="447"/>
      <c r="Y38" s="222"/>
      <c r="Z38" s="222"/>
      <c r="AA38" s="222"/>
      <c r="AB38" s="222"/>
      <c r="AC38" s="222">
        <v>0</v>
      </c>
      <c r="AD38" s="222">
        <f t="shared" si="57"/>
        <v>0</v>
      </c>
      <c r="AE38" s="222">
        <f t="shared" si="58"/>
        <v>0</v>
      </c>
      <c r="AF38" s="222"/>
      <c r="AG38" s="222"/>
      <c r="AH38" s="222"/>
      <c r="AI38" s="222"/>
      <c r="AJ38" s="222"/>
      <c r="AK38" s="222"/>
      <c r="AL38" s="447"/>
      <c r="AM38" s="222"/>
      <c r="AN38" s="222"/>
      <c r="AO38" s="222">
        <v>0</v>
      </c>
      <c r="AP38" s="222">
        <f t="shared" si="59"/>
        <v>0</v>
      </c>
      <c r="AQ38" s="222">
        <f t="shared" si="60"/>
        <v>0</v>
      </c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>
        <v>0</v>
      </c>
      <c r="BC38" s="328">
        <f t="shared" si="61"/>
        <v>0</v>
      </c>
      <c r="BD38" s="328">
        <f t="shared" si="62"/>
        <v>0</v>
      </c>
      <c r="BE38" s="328"/>
      <c r="BF38" s="328"/>
      <c r="BG38" s="328"/>
      <c r="BH38" s="328"/>
      <c r="BI38" s="328"/>
      <c r="BJ38" s="328"/>
      <c r="BK38" s="328"/>
      <c r="BL38" s="328"/>
      <c r="BM38" s="222">
        <f t="shared" si="63"/>
        <v>0</v>
      </c>
      <c r="BN38" s="222">
        <f t="shared" si="64"/>
        <v>0</v>
      </c>
      <c r="BO38" s="222"/>
      <c r="BP38" s="222"/>
      <c r="BQ38" s="222"/>
      <c r="BR38" s="222"/>
      <c r="BS38" s="222"/>
      <c r="BT38" s="414"/>
      <c r="BU38" s="222"/>
      <c r="BV38" s="222"/>
      <c r="BW38" s="337"/>
      <c r="BX38" s="314" t="s">
        <v>370</v>
      </c>
      <c r="BY38" s="107" t="s">
        <v>500</v>
      </c>
      <c r="BZ38" s="36"/>
      <c r="CA38" s="36"/>
      <c r="CB38" s="36"/>
      <c r="CC38" s="36"/>
      <c r="CD38" s="36"/>
      <c r="CE38" s="36"/>
      <c r="CF38" s="36"/>
      <c r="CG38" s="36"/>
    </row>
    <row r="39" spans="1:85" s="221" customFormat="1" ht="24" x14ac:dyDescent="0.2">
      <c r="A39" s="146"/>
      <c r="B39" s="119"/>
      <c r="C39" s="274"/>
      <c r="D39" s="275"/>
      <c r="E39" s="100" t="s">
        <v>240</v>
      </c>
      <c r="F39" s="347">
        <f t="shared" si="65"/>
        <v>234266</v>
      </c>
      <c r="G39" s="101">
        <f t="shared" si="48"/>
        <v>238780</v>
      </c>
      <c r="H39" s="102">
        <v>227904</v>
      </c>
      <c r="I39" s="102">
        <f t="shared" si="55"/>
        <v>232418</v>
      </c>
      <c r="J39" s="102">
        <f t="shared" si="56"/>
        <v>4514</v>
      </c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>
        <v>4514</v>
      </c>
      <c r="V39" s="102"/>
      <c r="W39" s="102"/>
      <c r="X39" s="445"/>
      <c r="Y39" s="102"/>
      <c r="Z39" s="102"/>
      <c r="AA39" s="102"/>
      <c r="AB39" s="102"/>
      <c r="AC39" s="102">
        <v>0</v>
      </c>
      <c r="AD39" s="102">
        <f t="shared" si="57"/>
        <v>0</v>
      </c>
      <c r="AE39" s="102">
        <f t="shared" si="58"/>
        <v>0</v>
      </c>
      <c r="AF39" s="102"/>
      <c r="AG39" s="102"/>
      <c r="AH39" s="102"/>
      <c r="AI39" s="102"/>
      <c r="AJ39" s="102"/>
      <c r="AK39" s="102"/>
      <c r="AL39" s="445"/>
      <c r="AM39" s="102"/>
      <c r="AN39" s="102"/>
      <c r="AO39" s="102">
        <v>6362</v>
      </c>
      <c r="AP39" s="102">
        <f t="shared" si="59"/>
        <v>6362</v>
      </c>
      <c r="AQ39" s="102">
        <f t="shared" si="60"/>
        <v>0</v>
      </c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>
        <v>0</v>
      </c>
      <c r="BC39" s="328">
        <f t="shared" si="61"/>
        <v>0</v>
      </c>
      <c r="BD39" s="328">
        <f t="shared" si="62"/>
        <v>0</v>
      </c>
      <c r="BE39" s="328"/>
      <c r="BF39" s="328"/>
      <c r="BG39" s="328"/>
      <c r="BH39" s="328"/>
      <c r="BI39" s="328"/>
      <c r="BJ39" s="328"/>
      <c r="BK39" s="328"/>
      <c r="BL39" s="328"/>
      <c r="BM39" s="222">
        <f t="shared" si="63"/>
        <v>0</v>
      </c>
      <c r="BN39" s="222">
        <f t="shared" si="64"/>
        <v>0</v>
      </c>
      <c r="BO39" s="222"/>
      <c r="BP39" s="222"/>
      <c r="BQ39" s="222"/>
      <c r="BR39" s="222"/>
      <c r="BS39" s="222"/>
      <c r="BT39" s="414"/>
      <c r="BU39" s="222"/>
      <c r="BV39" s="222"/>
      <c r="BW39" s="337"/>
      <c r="BX39" s="314" t="s">
        <v>371</v>
      </c>
      <c r="BY39" s="107" t="s">
        <v>502</v>
      </c>
      <c r="BZ39" s="36"/>
      <c r="CA39" s="36"/>
      <c r="CB39" s="36"/>
      <c r="CC39" s="36"/>
      <c r="CD39" s="36"/>
      <c r="CE39" s="36"/>
      <c r="CF39" s="36"/>
      <c r="CG39" s="36"/>
    </row>
    <row r="40" spans="1:85" s="166" customFormat="1" ht="24" x14ac:dyDescent="0.2">
      <c r="A40" s="146"/>
      <c r="B40" s="117"/>
      <c r="C40" s="279"/>
      <c r="D40" s="280"/>
      <c r="E40" s="100" t="s">
        <v>292</v>
      </c>
      <c r="F40" s="347">
        <f t="shared" si="65"/>
        <v>1006738</v>
      </c>
      <c r="G40" s="101">
        <f t="shared" si="48"/>
        <v>1157374</v>
      </c>
      <c r="H40" s="102">
        <v>1006738</v>
      </c>
      <c r="I40" s="102">
        <f t="shared" si="55"/>
        <v>1157374</v>
      </c>
      <c r="J40" s="102">
        <f t="shared" si="56"/>
        <v>150636</v>
      </c>
      <c r="K40" s="102"/>
      <c r="L40" s="102"/>
      <c r="M40" s="102"/>
      <c r="N40" s="102"/>
      <c r="O40" s="102"/>
      <c r="P40" s="102">
        <v>119000</v>
      </c>
      <c r="Q40" s="102">
        <v>1246</v>
      </c>
      <c r="R40" s="102"/>
      <c r="S40" s="102"/>
      <c r="T40" s="102"/>
      <c r="U40" s="102">
        <v>5390</v>
      </c>
      <c r="V40" s="102"/>
      <c r="W40" s="102">
        <v>25000</v>
      </c>
      <c r="X40" s="445"/>
      <c r="Y40" s="102"/>
      <c r="Z40" s="102"/>
      <c r="AA40" s="102"/>
      <c r="AB40" s="102"/>
      <c r="AC40" s="102">
        <v>0</v>
      </c>
      <c r="AD40" s="102">
        <f t="shared" si="57"/>
        <v>0</v>
      </c>
      <c r="AE40" s="102">
        <f t="shared" si="58"/>
        <v>0</v>
      </c>
      <c r="AF40" s="102"/>
      <c r="AG40" s="102"/>
      <c r="AH40" s="102"/>
      <c r="AI40" s="102"/>
      <c r="AJ40" s="102"/>
      <c r="AK40" s="102"/>
      <c r="AL40" s="445"/>
      <c r="AM40" s="102"/>
      <c r="AN40" s="102"/>
      <c r="AO40" s="102">
        <v>0</v>
      </c>
      <c r="AP40" s="102">
        <f t="shared" si="59"/>
        <v>0</v>
      </c>
      <c r="AQ40" s="102">
        <f t="shared" si="60"/>
        <v>0</v>
      </c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>
        <v>0</v>
      </c>
      <c r="BC40" s="328">
        <f t="shared" si="61"/>
        <v>0</v>
      </c>
      <c r="BD40" s="328">
        <f t="shared" si="62"/>
        <v>0</v>
      </c>
      <c r="BE40" s="328"/>
      <c r="BF40" s="328"/>
      <c r="BG40" s="328"/>
      <c r="BH40" s="328"/>
      <c r="BI40" s="328"/>
      <c r="BJ40" s="328"/>
      <c r="BK40" s="328"/>
      <c r="BL40" s="328"/>
      <c r="BM40" s="222">
        <f t="shared" si="63"/>
        <v>0</v>
      </c>
      <c r="BN40" s="222">
        <f t="shared" si="64"/>
        <v>0</v>
      </c>
      <c r="BO40" s="222"/>
      <c r="BP40" s="222"/>
      <c r="BQ40" s="222"/>
      <c r="BR40" s="222"/>
      <c r="BS40" s="222"/>
      <c r="BT40" s="414"/>
      <c r="BU40" s="222"/>
      <c r="BV40" s="222"/>
      <c r="BW40" s="337"/>
      <c r="BX40" s="314" t="s">
        <v>372</v>
      </c>
      <c r="BY40" s="107" t="s">
        <v>688</v>
      </c>
      <c r="BZ40" s="36"/>
      <c r="CA40" s="36"/>
      <c r="CB40" s="36"/>
      <c r="CC40" s="36"/>
      <c r="CD40" s="36"/>
      <c r="CE40" s="36"/>
      <c r="CF40" s="36"/>
      <c r="CG40" s="36"/>
    </row>
    <row r="41" spans="1:85" s="221" customFormat="1" ht="36" x14ac:dyDescent="0.2">
      <c r="A41" s="146"/>
      <c r="B41" s="117"/>
      <c r="C41" s="279"/>
      <c r="D41" s="280"/>
      <c r="E41" s="100" t="s">
        <v>303</v>
      </c>
      <c r="F41" s="350">
        <f t="shared" si="65"/>
        <v>108700</v>
      </c>
      <c r="G41" s="116">
        <f t="shared" si="48"/>
        <v>108700</v>
      </c>
      <c r="H41" s="222">
        <v>108700</v>
      </c>
      <c r="I41" s="222">
        <f t="shared" si="55"/>
        <v>108700</v>
      </c>
      <c r="J41" s="222">
        <f t="shared" si="56"/>
        <v>0</v>
      </c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447"/>
      <c r="Y41" s="222"/>
      <c r="Z41" s="222"/>
      <c r="AA41" s="222"/>
      <c r="AB41" s="222"/>
      <c r="AC41" s="222">
        <v>0</v>
      </c>
      <c r="AD41" s="222">
        <f t="shared" si="57"/>
        <v>0</v>
      </c>
      <c r="AE41" s="222">
        <f t="shared" si="58"/>
        <v>0</v>
      </c>
      <c r="AF41" s="222"/>
      <c r="AG41" s="222"/>
      <c r="AH41" s="222"/>
      <c r="AI41" s="222"/>
      <c r="AJ41" s="222"/>
      <c r="AK41" s="222"/>
      <c r="AL41" s="447"/>
      <c r="AM41" s="222"/>
      <c r="AN41" s="222"/>
      <c r="AO41" s="222">
        <v>0</v>
      </c>
      <c r="AP41" s="222">
        <f t="shared" si="59"/>
        <v>0</v>
      </c>
      <c r="AQ41" s="222">
        <f t="shared" si="60"/>
        <v>0</v>
      </c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>
        <v>0</v>
      </c>
      <c r="BC41" s="328">
        <f t="shared" si="61"/>
        <v>0</v>
      </c>
      <c r="BD41" s="328">
        <f t="shared" si="62"/>
        <v>0</v>
      </c>
      <c r="BE41" s="328"/>
      <c r="BF41" s="328"/>
      <c r="BG41" s="328"/>
      <c r="BH41" s="328"/>
      <c r="BI41" s="328"/>
      <c r="BJ41" s="328"/>
      <c r="BK41" s="328"/>
      <c r="BL41" s="328"/>
      <c r="BM41" s="222">
        <f t="shared" si="63"/>
        <v>0</v>
      </c>
      <c r="BN41" s="222">
        <f t="shared" si="64"/>
        <v>0</v>
      </c>
      <c r="BO41" s="222"/>
      <c r="BP41" s="222"/>
      <c r="BQ41" s="222"/>
      <c r="BR41" s="222"/>
      <c r="BS41" s="222"/>
      <c r="BT41" s="414"/>
      <c r="BU41" s="222"/>
      <c r="BV41" s="222"/>
      <c r="BW41" s="337"/>
      <c r="BX41" s="314" t="s">
        <v>653</v>
      </c>
      <c r="BY41" s="108" t="s">
        <v>551</v>
      </c>
      <c r="BZ41" s="36"/>
      <c r="CA41" s="36"/>
      <c r="CB41" s="36"/>
      <c r="CC41" s="36"/>
      <c r="CD41" s="36"/>
      <c r="CE41" s="36"/>
      <c r="CF41" s="36"/>
      <c r="CG41" s="36"/>
    </row>
    <row r="42" spans="1:85" s="221" customFormat="1" ht="36" x14ac:dyDescent="0.2">
      <c r="A42" s="146"/>
      <c r="B42" s="117"/>
      <c r="C42" s="295"/>
      <c r="D42" s="296"/>
      <c r="E42" s="100" t="s">
        <v>672</v>
      </c>
      <c r="F42" s="347">
        <f t="shared" si="65"/>
        <v>4102123</v>
      </c>
      <c r="G42" s="101">
        <f t="shared" si="48"/>
        <v>4211815</v>
      </c>
      <c r="H42" s="102">
        <v>3228000</v>
      </c>
      <c r="I42" s="102">
        <f t="shared" si="55"/>
        <v>3337692</v>
      </c>
      <c r="J42" s="102">
        <f t="shared" si="56"/>
        <v>109692</v>
      </c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>
        <f>103473+6219</f>
        <v>109692</v>
      </c>
      <c r="X42" s="445"/>
      <c r="Y42" s="102"/>
      <c r="Z42" s="102"/>
      <c r="AA42" s="102"/>
      <c r="AB42" s="102"/>
      <c r="AC42" s="102">
        <v>874123</v>
      </c>
      <c r="AD42" s="102">
        <f t="shared" si="57"/>
        <v>874123</v>
      </c>
      <c r="AE42" s="102">
        <f t="shared" si="58"/>
        <v>0</v>
      </c>
      <c r="AF42" s="102"/>
      <c r="AG42" s="102"/>
      <c r="AH42" s="102"/>
      <c r="AI42" s="102"/>
      <c r="AJ42" s="102"/>
      <c r="AK42" s="102"/>
      <c r="AL42" s="445"/>
      <c r="AM42" s="102"/>
      <c r="AN42" s="102"/>
      <c r="AO42" s="102">
        <v>0</v>
      </c>
      <c r="AP42" s="102">
        <f t="shared" si="59"/>
        <v>0</v>
      </c>
      <c r="AQ42" s="102">
        <f t="shared" si="60"/>
        <v>0</v>
      </c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>
        <v>0</v>
      </c>
      <c r="BC42" s="328">
        <f t="shared" si="61"/>
        <v>0</v>
      </c>
      <c r="BD42" s="328">
        <f t="shared" si="62"/>
        <v>0</v>
      </c>
      <c r="BE42" s="328"/>
      <c r="BF42" s="328"/>
      <c r="BG42" s="328"/>
      <c r="BH42" s="328"/>
      <c r="BI42" s="328"/>
      <c r="BJ42" s="328"/>
      <c r="BK42" s="328"/>
      <c r="BL42" s="328"/>
      <c r="BM42" s="222">
        <f t="shared" si="63"/>
        <v>0</v>
      </c>
      <c r="BN42" s="222">
        <f t="shared" si="64"/>
        <v>0</v>
      </c>
      <c r="BO42" s="222"/>
      <c r="BP42" s="222"/>
      <c r="BQ42" s="222"/>
      <c r="BR42" s="222"/>
      <c r="BS42" s="222"/>
      <c r="BT42" s="414"/>
      <c r="BU42" s="222"/>
      <c r="BV42" s="222"/>
      <c r="BW42" s="337"/>
      <c r="BX42" s="314" t="s">
        <v>793</v>
      </c>
      <c r="BY42" s="107" t="s">
        <v>501</v>
      </c>
      <c r="BZ42" s="36"/>
      <c r="CA42" s="36"/>
      <c r="CB42" s="36"/>
      <c r="CC42" s="36"/>
      <c r="CD42" s="36"/>
      <c r="CE42" s="36"/>
      <c r="CF42" s="36"/>
      <c r="CG42" s="36"/>
    </row>
    <row r="43" spans="1:85" s="221" customFormat="1" ht="24" x14ac:dyDescent="0.2">
      <c r="A43" s="146"/>
      <c r="B43" s="117"/>
      <c r="C43" s="279"/>
      <c r="D43" s="280"/>
      <c r="E43" s="100" t="s">
        <v>346</v>
      </c>
      <c r="F43" s="347">
        <f t="shared" si="65"/>
        <v>15105</v>
      </c>
      <c r="G43" s="101">
        <f t="shared" si="48"/>
        <v>15105</v>
      </c>
      <c r="H43" s="102">
        <v>15105</v>
      </c>
      <c r="I43" s="102">
        <f t="shared" si="55"/>
        <v>15105</v>
      </c>
      <c r="J43" s="102">
        <f t="shared" si="56"/>
        <v>0</v>
      </c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445"/>
      <c r="Y43" s="102"/>
      <c r="Z43" s="102"/>
      <c r="AA43" s="102"/>
      <c r="AB43" s="102"/>
      <c r="AC43" s="102">
        <v>0</v>
      </c>
      <c r="AD43" s="102">
        <f t="shared" si="57"/>
        <v>0</v>
      </c>
      <c r="AE43" s="102">
        <f t="shared" si="58"/>
        <v>0</v>
      </c>
      <c r="AF43" s="102"/>
      <c r="AG43" s="102"/>
      <c r="AH43" s="102"/>
      <c r="AI43" s="102"/>
      <c r="AJ43" s="102"/>
      <c r="AK43" s="102"/>
      <c r="AL43" s="445"/>
      <c r="AM43" s="102"/>
      <c r="AN43" s="102"/>
      <c r="AO43" s="102">
        <v>0</v>
      </c>
      <c r="AP43" s="102">
        <f t="shared" si="59"/>
        <v>0</v>
      </c>
      <c r="AQ43" s="102">
        <f t="shared" si="60"/>
        <v>0</v>
      </c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>
        <v>0</v>
      </c>
      <c r="BC43" s="328">
        <f t="shared" si="61"/>
        <v>0</v>
      </c>
      <c r="BD43" s="328">
        <f t="shared" si="62"/>
        <v>0</v>
      </c>
      <c r="BE43" s="328"/>
      <c r="BF43" s="328"/>
      <c r="BG43" s="328"/>
      <c r="BH43" s="328"/>
      <c r="BI43" s="328"/>
      <c r="BJ43" s="328"/>
      <c r="BK43" s="328"/>
      <c r="BL43" s="328"/>
      <c r="BM43" s="222">
        <f t="shared" si="63"/>
        <v>0</v>
      </c>
      <c r="BN43" s="222">
        <f t="shared" si="64"/>
        <v>0</v>
      </c>
      <c r="BO43" s="222"/>
      <c r="BP43" s="222"/>
      <c r="BQ43" s="222"/>
      <c r="BR43" s="222"/>
      <c r="BS43" s="222"/>
      <c r="BT43" s="414"/>
      <c r="BU43" s="222"/>
      <c r="BV43" s="222"/>
      <c r="BW43" s="337"/>
      <c r="BX43" s="314" t="s">
        <v>574</v>
      </c>
      <c r="BY43" s="107" t="s">
        <v>499</v>
      </c>
      <c r="BZ43" s="36"/>
      <c r="CA43" s="36"/>
      <c r="CB43" s="36"/>
      <c r="CC43" s="36"/>
      <c r="CD43" s="36"/>
      <c r="CE43" s="36"/>
      <c r="CF43" s="36"/>
      <c r="CG43" s="36"/>
    </row>
    <row r="44" spans="1:85" s="195" customFormat="1" ht="36" x14ac:dyDescent="0.2">
      <c r="A44" s="146"/>
      <c r="B44" s="117"/>
      <c r="C44" s="266"/>
      <c r="D44" s="267"/>
      <c r="E44" s="100" t="s">
        <v>629</v>
      </c>
      <c r="F44" s="347">
        <f t="shared" si="65"/>
        <v>20303</v>
      </c>
      <c r="G44" s="101">
        <f t="shared" si="48"/>
        <v>20303</v>
      </c>
      <c r="H44" s="102">
        <v>20303</v>
      </c>
      <c r="I44" s="102">
        <f t="shared" si="55"/>
        <v>20303</v>
      </c>
      <c r="J44" s="102">
        <f t="shared" si="56"/>
        <v>0</v>
      </c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445"/>
      <c r="Y44" s="102"/>
      <c r="Z44" s="102"/>
      <c r="AA44" s="102"/>
      <c r="AB44" s="102"/>
      <c r="AC44" s="102">
        <v>0</v>
      </c>
      <c r="AD44" s="102">
        <f t="shared" si="57"/>
        <v>0</v>
      </c>
      <c r="AE44" s="102">
        <f t="shared" si="58"/>
        <v>0</v>
      </c>
      <c r="AF44" s="102"/>
      <c r="AG44" s="102"/>
      <c r="AH44" s="102"/>
      <c r="AI44" s="102"/>
      <c r="AJ44" s="102"/>
      <c r="AK44" s="102"/>
      <c r="AL44" s="445"/>
      <c r="AM44" s="102"/>
      <c r="AN44" s="102"/>
      <c r="AO44" s="102">
        <v>0</v>
      </c>
      <c r="AP44" s="102">
        <f t="shared" si="59"/>
        <v>0</v>
      </c>
      <c r="AQ44" s="102">
        <f t="shared" si="60"/>
        <v>0</v>
      </c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>
        <v>0</v>
      </c>
      <c r="BC44" s="328">
        <f t="shared" si="61"/>
        <v>0</v>
      </c>
      <c r="BD44" s="328">
        <f t="shared" si="62"/>
        <v>0</v>
      </c>
      <c r="BE44" s="328"/>
      <c r="BF44" s="328"/>
      <c r="BG44" s="328"/>
      <c r="BH44" s="328"/>
      <c r="BI44" s="328"/>
      <c r="BJ44" s="328"/>
      <c r="BK44" s="328"/>
      <c r="BL44" s="328"/>
      <c r="BM44" s="222">
        <f t="shared" si="63"/>
        <v>0</v>
      </c>
      <c r="BN44" s="222">
        <f t="shared" si="64"/>
        <v>0</v>
      </c>
      <c r="BO44" s="222"/>
      <c r="BP44" s="222"/>
      <c r="BQ44" s="222"/>
      <c r="BR44" s="222"/>
      <c r="BS44" s="222"/>
      <c r="BT44" s="414"/>
      <c r="BU44" s="222"/>
      <c r="BV44" s="222"/>
      <c r="BW44" s="337"/>
      <c r="BX44" s="314" t="s">
        <v>575</v>
      </c>
      <c r="BY44" s="107"/>
      <c r="BZ44" s="36"/>
      <c r="CA44" s="36"/>
      <c r="CB44" s="36"/>
      <c r="CC44" s="36"/>
      <c r="CD44" s="36"/>
      <c r="CE44" s="36"/>
      <c r="CF44" s="36"/>
      <c r="CG44" s="36"/>
    </row>
    <row r="45" spans="1:85" s="218" customFormat="1" ht="48" x14ac:dyDescent="0.2">
      <c r="A45" s="146"/>
      <c r="B45" s="117"/>
      <c r="C45" s="266"/>
      <c r="D45" s="267"/>
      <c r="E45" s="100" t="s">
        <v>630</v>
      </c>
      <c r="F45" s="347">
        <f t="shared" si="65"/>
        <v>4666</v>
      </c>
      <c r="G45" s="101">
        <f t="shared" si="48"/>
        <v>2835</v>
      </c>
      <c r="H45" s="102">
        <v>4666</v>
      </c>
      <c r="I45" s="102">
        <f t="shared" si="55"/>
        <v>2835</v>
      </c>
      <c r="J45" s="102">
        <f t="shared" si="56"/>
        <v>-1831</v>
      </c>
      <c r="K45" s="102"/>
      <c r="L45" s="102"/>
      <c r="M45" s="102"/>
      <c r="N45" s="102"/>
      <c r="O45" s="102"/>
      <c r="P45" s="102"/>
      <c r="Q45" s="102"/>
      <c r="R45" s="102">
        <v>-1831</v>
      </c>
      <c r="S45" s="102"/>
      <c r="T45" s="102"/>
      <c r="U45" s="102"/>
      <c r="V45" s="102"/>
      <c r="W45" s="102"/>
      <c r="X45" s="445"/>
      <c r="Y45" s="102"/>
      <c r="Z45" s="102"/>
      <c r="AA45" s="102"/>
      <c r="AB45" s="102"/>
      <c r="AC45" s="102">
        <v>0</v>
      </c>
      <c r="AD45" s="102">
        <f t="shared" si="57"/>
        <v>0</v>
      </c>
      <c r="AE45" s="102">
        <f t="shared" si="58"/>
        <v>0</v>
      </c>
      <c r="AF45" s="102"/>
      <c r="AG45" s="102"/>
      <c r="AH45" s="102"/>
      <c r="AI45" s="102"/>
      <c r="AJ45" s="102"/>
      <c r="AK45" s="102"/>
      <c r="AL45" s="445"/>
      <c r="AM45" s="102"/>
      <c r="AN45" s="102"/>
      <c r="AO45" s="102">
        <v>0</v>
      </c>
      <c r="AP45" s="102">
        <f t="shared" si="59"/>
        <v>0</v>
      </c>
      <c r="AQ45" s="102">
        <f t="shared" si="60"/>
        <v>0</v>
      </c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>
        <v>0</v>
      </c>
      <c r="BC45" s="328">
        <f t="shared" si="61"/>
        <v>0</v>
      </c>
      <c r="BD45" s="328">
        <f t="shared" si="62"/>
        <v>0</v>
      </c>
      <c r="BE45" s="328"/>
      <c r="BF45" s="328"/>
      <c r="BG45" s="328"/>
      <c r="BH45" s="328"/>
      <c r="BI45" s="328"/>
      <c r="BJ45" s="328"/>
      <c r="BK45" s="328"/>
      <c r="BL45" s="328"/>
      <c r="BM45" s="222">
        <f t="shared" si="63"/>
        <v>0</v>
      </c>
      <c r="BN45" s="222">
        <f t="shared" si="64"/>
        <v>0</v>
      </c>
      <c r="BO45" s="222"/>
      <c r="BP45" s="222"/>
      <c r="BQ45" s="222"/>
      <c r="BR45" s="222"/>
      <c r="BS45" s="222"/>
      <c r="BT45" s="414"/>
      <c r="BU45" s="222"/>
      <c r="BV45" s="222"/>
      <c r="BW45" s="337"/>
      <c r="BX45" s="314" t="s">
        <v>676</v>
      </c>
      <c r="BY45" s="107"/>
      <c r="BZ45" s="36"/>
      <c r="CA45" s="36"/>
      <c r="CB45" s="36"/>
      <c r="CC45" s="36"/>
      <c r="CD45" s="36"/>
      <c r="CE45" s="36"/>
      <c r="CF45" s="36"/>
      <c r="CG45" s="36"/>
    </row>
    <row r="46" spans="1:85" s="183" customFormat="1" ht="24" x14ac:dyDescent="0.2">
      <c r="A46" s="146"/>
      <c r="B46" s="117"/>
      <c r="C46" s="266"/>
      <c r="D46" s="267"/>
      <c r="E46" s="100" t="s">
        <v>628</v>
      </c>
      <c r="F46" s="347">
        <f t="shared" si="65"/>
        <v>7402</v>
      </c>
      <c r="G46" s="101">
        <f t="shared" si="48"/>
        <v>7402</v>
      </c>
      <c r="H46" s="102">
        <v>7402</v>
      </c>
      <c r="I46" s="102">
        <f t="shared" si="55"/>
        <v>7402</v>
      </c>
      <c r="J46" s="102">
        <f t="shared" si="56"/>
        <v>0</v>
      </c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445"/>
      <c r="Y46" s="102"/>
      <c r="Z46" s="102"/>
      <c r="AA46" s="102"/>
      <c r="AB46" s="102"/>
      <c r="AC46" s="102">
        <v>0</v>
      </c>
      <c r="AD46" s="102">
        <f t="shared" si="57"/>
        <v>0</v>
      </c>
      <c r="AE46" s="102">
        <f t="shared" si="58"/>
        <v>0</v>
      </c>
      <c r="AF46" s="102"/>
      <c r="AG46" s="102"/>
      <c r="AH46" s="102"/>
      <c r="AI46" s="102"/>
      <c r="AJ46" s="102"/>
      <c r="AK46" s="102"/>
      <c r="AL46" s="445"/>
      <c r="AM46" s="102"/>
      <c r="AN46" s="102"/>
      <c r="AO46" s="102">
        <v>0</v>
      </c>
      <c r="AP46" s="102">
        <f t="shared" si="59"/>
        <v>0</v>
      </c>
      <c r="AQ46" s="102">
        <f t="shared" si="60"/>
        <v>0</v>
      </c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>
        <v>0</v>
      </c>
      <c r="BC46" s="328">
        <f t="shared" si="61"/>
        <v>0</v>
      </c>
      <c r="BD46" s="328">
        <f t="shared" si="62"/>
        <v>0</v>
      </c>
      <c r="BE46" s="328"/>
      <c r="BF46" s="328"/>
      <c r="BG46" s="328"/>
      <c r="BH46" s="328"/>
      <c r="BI46" s="328"/>
      <c r="BJ46" s="328"/>
      <c r="BK46" s="328"/>
      <c r="BL46" s="328"/>
      <c r="BM46" s="222">
        <f t="shared" si="63"/>
        <v>0</v>
      </c>
      <c r="BN46" s="222">
        <f t="shared" si="64"/>
        <v>0</v>
      </c>
      <c r="BO46" s="222"/>
      <c r="BP46" s="222"/>
      <c r="BQ46" s="222"/>
      <c r="BR46" s="222"/>
      <c r="BS46" s="222"/>
      <c r="BT46" s="414"/>
      <c r="BU46" s="222"/>
      <c r="BV46" s="222"/>
      <c r="BW46" s="337"/>
      <c r="BX46" s="314" t="s">
        <v>677</v>
      </c>
      <c r="BY46" s="107"/>
      <c r="BZ46" s="36"/>
      <c r="CA46" s="36"/>
      <c r="CB46" s="36"/>
      <c r="CC46" s="36"/>
      <c r="CD46" s="36"/>
      <c r="CE46" s="36"/>
      <c r="CF46" s="36"/>
      <c r="CG46" s="36"/>
    </row>
    <row r="47" spans="1:85" s="362" customFormat="1" ht="24" x14ac:dyDescent="0.2">
      <c r="A47" s="146"/>
      <c r="B47" s="117"/>
      <c r="C47" s="363"/>
      <c r="D47" s="364"/>
      <c r="E47" s="100" t="s">
        <v>733</v>
      </c>
      <c r="F47" s="347">
        <f t="shared" ref="F47" si="66">H47+AC47+AO47+BA47+BB47+BL47</f>
        <v>0</v>
      </c>
      <c r="G47" s="101">
        <f t="shared" ref="G47" si="67">I47+AD47+AP47+BA47+BC47+BM47</f>
        <v>36517</v>
      </c>
      <c r="H47" s="102"/>
      <c r="I47" s="102">
        <f t="shared" ref="I47" si="68">J47+H47</f>
        <v>36517</v>
      </c>
      <c r="J47" s="102">
        <f t="shared" ref="J47" si="69">SUM(K47:AB47)</f>
        <v>36517</v>
      </c>
      <c r="K47" s="102"/>
      <c r="L47" s="102"/>
      <c r="M47" s="102">
        <v>36517</v>
      </c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445"/>
      <c r="Y47" s="102"/>
      <c r="Z47" s="102"/>
      <c r="AA47" s="102"/>
      <c r="AB47" s="102"/>
      <c r="AC47" s="102"/>
      <c r="AD47" s="102">
        <f t="shared" ref="AD47" si="70">AC47+AE47</f>
        <v>0</v>
      </c>
      <c r="AE47" s="102">
        <f t="shared" ref="AE47" si="71">SUM(AF47:AN47)</f>
        <v>0</v>
      </c>
      <c r="AF47" s="102"/>
      <c r="AG47" s="102"/>
      <c r="AH47" s="102"/>
      <c r="AI47" s="102"/>
      <c r="AJ47" s="102"/>
      <c r="AK47" s="102"/>
      <c r="AL47" s="445"/>
      <c r="AM47" s="102"/>
      <c r="AN47" s="102"/>
      <c r="AO47" s="102"/>
      <c r="AP47" s="102">
        <f t="shared" ref="AP47" si="72">AQ47+AO47</f>
        <v>0</v>
      </c>
      <c r="AQ47" s="102">
        <f t="shared" ref="AQ47" si="73">SUM(AR47:AZ47)</f>
        <v>0</v>
      </c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328">
        <f t="shared" ref="BC47" si="74">BB47+BD47</f>
        <v>0</v>
      </c>
      <c r="BD47" s="328">
        <f t="shared" ref="BD47" si="75">SUM(BE47:BK47)</f>
        <v>0</v>
      </c>
      <c r="BE47" s="328"/>
      <c r="BF47" s="328"/>
      <c r="BG47" s="328"/>
      <c r="BH47" s="328"/>
      <c r="BI47" s="328"/>
      <c r="BJ47" s="328"/>
      <c r="BK47" s="328"/>
      <c r="BL47" s="328"/>
      <c r="BM47" s="222">
        <f t="shared" ref="BM47" si="76">BN47+BL47</f>
        <v>0</v>
      </c>
      <c r="BN47" s="222">
        <f t="shared" ref="BN47" si="77">SUM(BO47:BW47)</f>
        <v>0</v>
      </c>
      <c r="BO47" s="222"/>
      <c r="BP47" s="222"/>
      <c r="BQ47" s="222"/>
      <c r="BR47" s="222"/>
      <c r="BS47" s="222"/>
      <c r="BT47" s="414"/>
      <c r="BU47" s="222"/>
      <c r="BV47" s="222"/>
      <c r="BW47" s="337"/>
      <c r="BX47" s="314" t="s">
        <v>734</v>
      </c>
      <c r="BY47" s="107"/>
      <c r="BZ47" s="36"/>
      <c r="CA47" s="36"/>
      <c r="CB47" s="36"/>
      <c r="CC47" s="36"/>
      <c r="CD47" s="36"/>
      <c r="CE47" s="36"/>
      <c r="CF47" s="36"/>
      <c r="CG47" s="36"/>
    </row>
    <row r="48" spans="1:85" s="365" customFormat="1" ht="36" x14ac:dyDescent="0.2">
      <c r="A48" s="146"/>
      <c r="B48" s="117"/>
      <c r="C48" s="366"/>
      <c r="D48" s="367"/>
      <c r="E48" s="100" t="s">
        <v>741</v>
      </c>
      <c r="F48" s="347">
        <f t="shared" ref="F48" si="78">H48+AC48+AO48+BA48+BB48+BL48</f>
        <v>0</v>
      </c>
      <c r="G48" s="101">
        <f t="shared" ref="G48" si="79">I48+AD48+AP48+BA48+BC48+BM48</f>
        <v>5500</v>
      </c>
      <c r="H48" s="102"/>
      <c r="I48" s="102">
        <f t="shared" ref="I48" si="80">J48+H48</f>
        <v>5500</v>
      </c>
      <c r="J48" s="102">
        <f t="shared" ref="J48" si="81">SUM(K48:AB48)</f>
        <v>5500</v>
      </c>
      <c r="K48" s="102"/>
      <c r="L48" s="102"/>
      <c r="M48" s="102">
        <v>5500</v>
      </c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445"/>
      <c r="Y48" s="102"/>
      <c r="Z48" s="102"/>
      <c r="AA48" s="102"/>
      <c r="AB48" s="102"/>
      <c r="AC48" s="102"/>
      <c r="AD48" s="102">
        <f t="shared" ref="AD48" si="82">AC48+AE48</f>
        <v>0</v>
      </c>
      <c r="AE48" s="102">
        <f t="shared" ref="AE48" si="83">SUM(AF48:AN48)</f>
        <v>0</v>
      </c>
      <c r="AF48" s="102"/>
      <c r="AG48" s="102"/>
      <c r="AH48" s="102"/>
      <c r="AI48" s="102"/>
      <c r="AJ48" s="102"/>
      <c r="AK48" s="102"/>
      <c r="AL48" s="445"/>
      <c r="AM48" s="102"/>
      <c r="AN48" s="102"/>
      <c r="AO48" s="102"/>
      <c r="AP48" s="102">
        <f t="shared" ref="AP48" si="84">AQ48+AO48</f>
        <v>0</v>
      </c>
      <c r="AQ48" s="102">
        <f t="shared" ref="AQ48" si="85">SUM(AR48:AZ48)</f>
        <v>0</v>
      </c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328">
        <f t="shared" ref="BC48" si="86">BB48+BD48</f>
        <v>0</v>
      </c>
      <c r="BD48" s="328">
        <f t="shared" ref="BD48" si="87">SUM(BE48:BK48)</f>
        <v>0</v>
      </c>
      <c r="BE48" s="328"/>
      <c r="BF48" s="328"/>
      <c r="BG48" s="328"/>
      <c r="BH48" s="328"/>
      <c r="BI48" s="328"/>
      <c r="BJ48" s="328"/>
      <c r="BK48" s="328"/>
      <c r="BL48" s="328"/>
      <c r="BM48" s="222">
        <f t="shared" ref="BM48" si="88">BN48+BL48</f>
        <v>0</v>
      </c>
      <c r="BN48" s="222">
        <f t="shared" ref="BN48" si="89">SUM(BO48:BW48)</f>
        <v>0</v>
      </c>
      <c r="BO48" s="222"/>
      <c r="BP48" s="222"/>
      <c r="BQ48" s="222"/>
      <c r="BR48" s="222"/>
      <c r="BS48" s="222"/>
      <c r="BT48" s="414"/>
      <c r="BU48" s="222"/>
      <c r="BV48" s="222"/>
      <c r="BW48" s="337"/>
      <c r="BX48" s="314" t="s">
        <v>742</v>
      </c>
      <c r="BY48" s="107"/>
      <c r="BZ48" s="36"/>
      <c r="CA48" s="36"/>
      <c r="CB48" s="36"/>
      <c r="CC48" s="36"/>
      <c r="CD48" s="36"/>
      <c r="CE48" s="36"/>
      <c r="CF48" s="36"/>
      <c r="CG48" s="36"/>
    </row>
    <row r="49" spans="1:85" s="407" customFormat="1" ht="13.5" thickBot="1" x14ac:dyDescent="0.25">
      <c r="A49" s="146"/>
      <c r="B49" s="117"/>
      <c r="C49" s="408"/>
      <c r="D49" s="409"/>
      <c r="E49" s="462" t="s">
        <v>791</v>
      </c>
      <c r="F49" s="353">
        <f>H49+AC49+AO49+BA49+BB49+BL49</f>
        <v>0</v>
      </c>
      <c r="G49" s="194">
        <f>I49+AD49+AP49+BA49+BC49+BM49</f>
        <v>23326</v>
      </c>
      <c r="H49" s="230"/>
      <c r="I49" s="230">
        <f>J49+H49</f>
        <v>23326</v>
      </c>
      <c r="J49" s="230">
        <f>SUM(K49:AB49)</f>
        <v>23326</v>
      </c>
      <c r="K49" s="230"/>
      <c r="L49" s="230"/>
      <c r="M49" s="230"/>
      <c r="N49" s="230"/>
      <c r="O49" s="230"/>
      <c r="P49" s="230"/>
      <c r="Q49" s="230"/>
      <c r="R49" s="230"/>
      <c r="S49" s="230"/>
      <c r="T49" s="230">
        <v>23326</v>
      </c>
      <c r="U49" s="230"/>
      <c r="V49" s="230"/>
      <c r="W49" s="230"/>
      <c r="X49" s="448"/>
      <c r="Y49" s="230"/>
      <c r="Z49" s="230"/>
      <c r="AA49" s="230"/>
      <c r="AB49" s="230"/>
      <c r="AC49" s="230"/>
      <c r="AD49" s="230">
        <f>AC49+AE49</f>
        <v>0</v>
      </c>
      <c r="AE49" s="230">
        <f>SUM(AF49:AN49)</f>
        <v>0</v>
      </c>
      <c r="AF49" s="230"/>
      <c r="AG49" s="230"/>
      <c r="AH49" s="230"/>
      <c r="AI49" s="230"/>
      <c r="AJ49" s="230"/>
      <c r="AK49" s="230"/>
      <c r="AL49" s="448"/>
      <c r="AM49" s="230"/>
      <c r="AN49" s="230"/>
      <c r="AO49" s="230"/>
      <c r="AP49" s="230">
        <f>AQ49+AO49</f>
        <v>0</v>
      </c>
      <c r="AQ49" s="230">
        <f t="shared" ref="AQ49:AQ50" si="90">SUM(AR49:AZ49)</f>
        <v>0</v>
      </c>
      <c r="AR49" s="331"/>
      <c r="AS49" s="331"/>
      <c r="AT49" s="331"/>
      <c r="AU49" s="331"/>
      <c r="AV49" s="331"/>
      <c r="AW49" s="331"/>
      <c r="AX49" s="331"/>
      <c r="AY49" s="331"/>
      <c r="AZ49" s="331"/>
      <c r="BA49" s="331"/>
      <c r="BB49" s="331"/>
      <c r="BC49" s="122">
        <f>BB49+BD49</f>
        <v>0</v>
      </c>
      <c r="BD49" s="122">
        <f t="shared" ref="BD49:BD50" si="91">SUM(BE49:BK49)</f>
        <v>0</v>
      </c>
      <c r="BE49" s="122"/>
      <c r="BF49" s="122"/>
      <c r="BG49" s="122"/>
      <c r="BH49" s="122"/>
      <c r="BI49" s="122"/>
      <c r="BJ49" s="122"/>
      <c r="BK49" s="122"/>
      <c r="BL49" s="122"/>
      <c r="BM49" s="90">
        <f t="shared" ref="BM49:BM50" si="92">BN49+BL49</f>
        <v>0</v>
      </c>
      <c r="BN49" s="90">
        <f t="shared" ref="BN49:BN50" si="93">SUM(BO49:BW49)</f>
        <v>0</v>
      </c>
      <c r="BO49" s="90"/>
      <c r="BP49" s="90"/>
      <c r="BQ49" s="90"/>
      <c r="BR49" s="90"/>
      <c r="BS49" s="90"/>
      <c r="BT49" s="387"/>
      <c r="BU49" s="90"/>
      <c r="BV49" s="90"/>
      <c r="BW49" s="336"/>
      <c r="BX49" s="91" t="s">
        <v>792</v>
      </c>
      <c r="BY49" s="107"/>
      <c r="BZ49" s="36"/>
      <c r="CA49" s="36"/>
      <c r="CB49" s="36"/>
      <c r="CC49" s="36"/>
      <c r="CD49" s="36"/>
      <c r="CE49" s="36"/>
      <c r="CF49" s="36"/>
      <c r="CG49" s="36"/>
    </row>
    <row r="50" spans="1:85" s="432" customFormat="1" ht="60.75" thickTop="1" x14ac:dyDescent="0.2">
      <c r="A50" s="146"/>
      <c r="B50" s="117"/>
      <c r="C50" s="430"/>
      <c r="D50" s="431"/>
      <c r="E50" s="287" t="s">
        <v>806</v>
      </c>
      <c r="F50" s="351">
        <f>H50+AC50+AO50+BA50+BB50+BL50</f>
        <v>0</v>
      </c>
      <c r="G50" s="104">
        <f>I50+AD50+AP50+BA50+BC50+BM50</f>
        <v>66887</v>
      </c>
      <c r="H50" s="223"/>
      <c r="I50" s="223">
        <f>J50+H50</f>
        <v>66887</v>
      </c>
      <c r="J50" s="223">
        <f>SUM(K50:AB50)</f>
        <v>66887</v>
      </c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>
        <v>66887</v>
      </c>
      <c r="X50" s="449"/>
      <c r="Y50" s="223"/>
      <c r="Z50" s="223"/>
      <c r="AA50" s="223"/>
      <c r="AB50" s="223"/>
      <c r="AC50" s="223"/>
      <c r="AD50" s="223">
        <f>AC50+AE50</f>
        <v>0</v>
      </c>
      <c r="AE50" s="223">
        <f>SUM(AF50:AN50)</f>
        <v>0</v>
      </c>
      <c r="AF50" s="223"/>
      <c r="AG50" s="223"/>
      <c r="AH50" s="223"/>
      <c r="AI50" s="223"/>
      <c r="AJ50" s="223"/>
      <c r="AK50" s="223"/>
      <c r="AL50" s="449"/>
      <c r="AM50" s="223"/>
      <c r="AN50" s="223"/>
      <c r="AO50" s="223"/>
      <c r="AP50" s="223">
        <f>AQ50+AO50</f>
        <v>0</v>
      </c>
      <c r="AQ50" s="223">
        <f t="shared" si="90"/>
        <v>0</v>
      </c>
      <c r="AR50" s="329"/>
      <c r="AS50" s="329"/>
      <c r="AT50" s="329"/>
      <c r="AU50" s="329"/>
      <c r="AV50" s="329"/>
      <c r="AW50" s="329"/>
      <c r="AX50" s="329"/>
      <c r="AY50" s="329"/>
      <c r="AZ50" s="329"/>
      <c r="BA50" s="329"/>
      <c r="BB50" s="329"/>
      <c r="BC50" s="329">
        <f>BB50+BD50</f>
        <v>0</v>
      </c>
      <c r="BD50" s="329">
        <f t="shared" si="91"/>
        <v>0</v>
      </c>
      <c r="BE50" s="329"/>
      <c r="BF50" s="329"/>
      <c r="BG50" s="329"/>
      <c r="BH50" s="329"/>
      <c r="BI50" s="329"/>
      <c r="BJ50" s="329"/>
      <c r="BK50" s="329"/>
      <c r="BL50" s="329"/>
      <c r="BM50" s="223">
        <f t="shared" si="92"/>
        <v>0</v>
      </c>
      <c r="BN50" s="223">
        <f t="shared" si="93"/>
        <v>0</v>
      </c>
      <c r="BO50" s="223"/>
      <c r="BP50" s="223"/>
      <c r="BQ50" s="223"/>
      <c r="BR50" s="223"/>
      <c r="BS50" s="223"/>
      <c r="BT50" s="416"/>
      <c r="BU50" s="223"/>
      <c r="BV50" s="223"/>
      <c r="BW50" s="338"/>
      <c r="BX50" s="312" t="s">
        <v>807</v>
      </c>
      <c r="BY50" s="107"/>
      <c r="BZ50" s="36"/>
      <c r="CA50" s="36"/>
      <c r="CB50" s="36"/>
      <c r="CC50" s="36"/>
      <c r="CD50" s="36"/>
      <c r="CE50" s="36"/>
      <c r="CF50" s="36"/>
      <c r="CG50" s="36"/>
    </row>
    <row r="51" spans="1:85" ht="33.75" customHeight="1" x14ac:dyDescent="0.2">
      <c r="A51" s="146">
        <v>90000518538</v>
      </c>
      <c r="B51" s="117"/>
      <c r="C51" s="495" t="s">
        <v>347</v>
      </c>
      <c r="D51" s="496"/>
      <c r="E51" s="100" t="s">
        <v>202</v>
      </c>
      <c r="F51" s="347">
        <f t="shared" si="65"/>
        <v>93041</v>
      </c>
      <c r="G51" s="101">
        <f t="shared" si="48"/>
        <v>93041</v>
      </c>
      <c r="H51" s="102">
        <v>93041</v>
      </c>
      <c r="I51" s="102">
        <f t="shared" si="55"/>
        <v>93041</v>
      </c>
      <c r="J51" s="102">
        <f t="shared" si="56"/>
        <v>0</v>
      </c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445"/>
      <c r="Y51" s="102"/>
      <c r="Z51" s="102"/>
      <c r="AA51" s="102"/>
      <c r="AB51" s="102"/>
      <c r="AC51" s="102">
        <v>0</v>
      </c>
      <c r="AD51" s="102">
        <f t="shared" si="57"/>
        <v>0</v>
      </c>
      <c r="AE51" s="102">
        <f t="shared" si="58"/>
        <v>0</v>
      </c>
      <c r="AF51" s="102"/>
      <c r="AG51" s="102"/>
      <c r="AH51" s="102"/>
      <c r="AI51" s="102"/>
      <c r="AJ51" s="102"/>
      <c r="AK51" s="102"/>
      <c r="AL51" s="445"/>
      <c r="AM51" s="102"/>
      <c r="AN51" s="102"/>
      <c r="AO51" s="102">
        <v>0</v>
      </c>
      <c r="AP51" s="123">
        <f t="shared" si="59"/>
        <v>0</v>
      </c>
      <c r="AQ51" s="123">
        <f t="shared" si="60"/>
        <v>0</v>
      </c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>
        <v>0</v>
      </c>
      <c r="BC51" s="123">
        <f t="shared" si="61"/>
        <v>0</v>
      </c>
      <c r="BD51" s="123">
        <f t="shared" si="62"/>
        <v>0</v>
      </c>
      <c r="BE51" s="123"/>
      <c r="BF51" s="123"/>
      <c r="BG51" s="123"/>
      <c r="BH51" s="123"/>
      <c r="BI51" s="123"/>
      <c r="BJ51" s="123"/>
      <c r="BK51" s="123"/>
      <c r="BL51" s="123"/>
      <c r="BM51" s="102">
        <f t="shared" si="63"/>
        <v>0</v>
      </c>
      <c r="BN51" s="102">
        <f t="shared" si="64"/>
        <v>0</v>
      </c>
      <c r="BO51" s="102"/>
      <c r="BP51" s="102"/>
      <c r="BQ51" s="102"/>
      <c r="BR51" s="102"/>
      <c r="BS51" s="102"/>
      <c r="BT51" s="389"/>
      <c r="BU51" s="102"/>
      <c r="BV51" s="102"/>
      <c r="BW51" s="335"/>
      <c r="BX51" s="103" t="s">
        <v>506</v>
      </c>
      <c r="BY51" s="107"/>
      <c r="BZ51" s="36"/>
      <c r="CA51" s="36"/>
      <c r="CB51" s="36"/>
      <c r="CC51" s="36"/>
      <c r="CD51" s="36"/>
      <c r="CE51" s="36"/>
      <c r="CF51" s="36"/>
      <c r="CG51" s="36"/>
    </row>
    <row r="52" spans="1:85" s="218" customFormat="1" ht="36" x14ac:dyDescent="0.2">
      <c r="A52" s="146"/>
      <c r="B52" s="117"/>
      <c r="C52" s="266"/>
      <c r="D52" s="267"/>
      <c r="E52" s="100" t="s">
        <v>631</v>
      </c>
      <c r="F52" s="347">
        <f t="shared" si="65"/>
        <v>238365</v>
      </c>
      <c r="G52" s="101">
        <f t="shared" si="48"/>
        <v>219933</v>
      </c>
      <c r="H52" s="102">
        <v>238365</v>
      </c>
      <c r="I52" s="102">
        <f t="shared" si="55"/>
        <v>219933</v>
      </c>
      <c r="J52" s="102">
        <f t="shared" si="56"/>
        <v>-18432</v>
      </c>
      <c r="K52" s="102"/>
      <c r="L52" s="102"/>
      <c r="M52" s="102">
        <v>-18432</v>
      </c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445"/>
      <c r="Y52" s="102"/>
      <c r="Z52" s="102"/>
      <c r="AA52" s="102"/>
      <c r="AB52" s="102"/>
      <c r="AC52" s="102">
        <v>0</v>
      </c>
      <c r="AD52" s="102">
        <f t="shared" si="57"/>
        <v>0</v>
      </c>
      <c r="AE52" s="102">
        <f t="shared" si="58"/>
        <v>0</v>
      </c>
      <c r="AF52" s="102"/>
      <c r="AG52" s="102"/>
      <c r="AH52" s="102"/>
      <c r="AI52" s="102"/>
      <c r="AJ52" s="102"/>
      <c r="AK52" s="102"/>
      <c r="AL52" s="445"/>
      <c r="AM52" s="102"/>
      <c r="AN52" s="102"/>
      <c r="AO52" s="102">
        <v>0</v>
      </c>
      <c r="AP52" s="102">
        <f t="shared" si="59"/>
        <v>0</v>
      </c>
      <c r="AQ52" s="102">
        <f t="shared" si="60"/>
        <v>0</v>
      </c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>
        <v>0</v>
      </c>
      <c r="BC52" s="123">
        <f t="shared" si="61"/>
        <v>0</v>
      </c>
      <c r="BD52" s="123">
        <f t="shared" si="62"/>
        <v>0</v>
      </c>
      <c r="BE52" s="123"/>
      <c r="BF52" s="123"/>
      <c r="BG52" s="123"/>
      <c r="BH52" s="123"/>
      <c r="BI52" s="123"/>
      <c r="BJ52" s="123"/>
      <c r="BK52" s="123"/>
      <c r="BL52" s="123"/>
      <c r="BM52" s="102">
        <f t="shared" si="63"/>
        <v>0</v>
      </c>
      <c r="BN52" s="102">
        <f t="shared" si="64"/>
        <v>0</v>
      </c>
      <c r="BO52" s="102"/>
      <c r="BP52" s="102"/>
      <c r="BQ52" s="102"/>
      <c r="BR52" s="102"/>
      <c r="BS52" s="102"/>
      <c r="BT52" s="389"/>
      <c r="BU52" s="102"/>
      <c r="BV52" s="102"/>
      <c r="BW52" s="335"/>
      <c r="BX52" s="103" t="s">
        <v>576</v>
      </c>
      <c r="BY52" s="107"/>
      <c r="BZ52" s="36"/>
      <c r="CA52" s="36"/>
      <c r="CB52" s="36"/>
      <c r="CC52" s="36"/>
      <c r="CD52" s="36"/>
      <c r="CE52" s="36"/>
      <c r="CF52" s="36"/>
      <c r="CG52" s="36"/>
    </row>
    <row r="53" spans="1:85" ht="48" x14ac:dyDescent="0.2">
      <c r="A53" s="146"/>
      <c r="B53" s="117"/>
      <c r="C53" s="495" t="s">
        <v>181</v>
      </c>
      <c r="D53" s="496"/>
      <c r="E53" s="303" t="s">
        <v>182</v>
      </c>
      <c r="F53" s="347">
        <f t="shared" si="65"/>
        <v>244375</v>
      </c>
      <c r="G53" s="101">
        <f t="shared" si="48"/>
        <v>281283</v>
      </c>
      <c r="H53" s="102">
        <v>244375</v>
      </c>
      <c r="I53" s="102">
        <f t="shared" si="55"/>
        <v>281283</v>
      </c>
      <c r="J53" s="102">
        <f t="shared" si="56"/>
        <v>36908</v>
      </c>
      <c r="K53" s="102"/>
      <c r="L53" s="102">
        <f>-3444-7210</f>
        <v>-10654</v>
      </c>
      <c r="M53" s="102">
        <f>-15114-1926-4237-2080-5500</f>
        <v>-28857</v>
      </c>
      <c r="N53" s="102">
        <f>-101</f>
        <v>-101</v>
      </c>
      <c r="O53" s="102"/>
      <c r="P53" s="102">
        <f>-33928+200000-3000</f>
        <v>163072</v>
      </c>
      <c r="Q53" s="102"/>
      <c r="R53" s="102">
        <f>-4601-11313-18902</f>
        <v>-34816</v>
      </c>
      <c r="S53" s="102"/>
      <c r="T53" s="102">
        <f>-11122-23326</f>
        <v>-34448</v>
      </c>
      <c r="U53" s="102"/>
      <c r="V53" s="102"/>
      <c r="W53" s="102">
        <v>-17288</v>
      </c>
      <c r="X53" s="445"/>
      <c r="Y53" s="102"/>
      <c r="Z53" s="102"/>
      <c r="AA53" s="102"/>
      <c r="AB53" s="102"/>
      <c r="AC53" s="102"/>
      <c r="AD53" s="102">
        <f t="shared" si="57"/>
        <v>0</v>
      </c>
      <c r="AE53" s="102">
        <f t="shared" si="58"/>
        <v>0</v>
      </c>
      <c r="AF53" s="102"/>
      <c r="AG53" s="102"/>
      <c r="AH53" s="102"/>
      <c r="AI53" s="102"/>
      <c r="AJ53" s="102"/>
      <c r="AK53" s="102"/>
      <c r="AL53" s="445"/>
      <c r="AM53" s="102"/>
      <c r="AN53" s="102"/>
      <c r="AO53" s="102"/>
      <c r="AP53" s="123">
        <f t="shared" si="59"/>
        <v>0</v>
      </c>
      <c r="AQ53" s="123">
        <f t="shared" si="60"/>
        <v>0</v>
      </c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>
        <f t="shared" si="61"/>
        <v>0</v>
      </c>
      <c r="BD53" s="123">
        <f t="shared" si="62"/>
        <v>0</v>
      </c>
      <c r="BE53" s="123"/>
      <c r="BF53" s="123"/>
      <c r="BG53" s="123"/>
      <c r="BH53" s="123"/>
      <c r="BI53" s="123"/>
      <c r="BJ53" s="123"/>
      <c r="BK53" s="123"/>
      <c r="BL53" s="123"/>
      <c r="BM53" s="102">
        <f t="shared" si="63"/>
        <v>0</v>
      </c>
      <c r="BN53" s="102">
        <f t="shared" si="64"/>
        <v>0</v>
      </c>
      <c r="BO53" s="102"/>
      <c r="BP53" s="102"/>
      <c r="BQ53" s="102"/>
      <c r="BR53" s="102"/>
      <c r="BS53" s="102"/>
      <c r="BT53" s="389"/>
      <c r="BU53" s="102"/>
      <c r="BV53" s="102"/>
      <c r="BW53" s="335"/>
      <c r="BX53" s="103" t="s">
        <v>379</v>
      </c>
      <c r="BY53" s="107"/>
      <c r="BZ53" s="36"/>
      <c r="CA53" s="36"/>
      <c r="CB53" s="36"/>
      <c r="CC53" s="36"/>
      <c r="CD53" s="36"/>
      <c r="CE53" s="36"/>
      <c r="CF53" s="36"/>
      <c r="CG53" s="36"/>
    </row>
    <row r="54" spans="1:85" ht="12.75" x14ac:dyDescent="0.2">
      <c r="A54" s="146"/>
      <c r="B54" s="117"/>
      <c r="C54" s="307"/>
      <c r="D54" s="308"/>
      <c r="E54" s="303" t="s">
        <v>211</v>
      </c>
      <c r="F54" s="347">
        <f t="shared" si="65"/>
        <v>19500</v>
      </c>
      <c r="G54" s="101">
        <f t="shared" si="48"/>
        <v>19500</v>
      </c>
      <c r="H54" s="102">
        <v>19500</v>
      </c>
      <c r="I54" s="102">
        <f t="shared" si="55"/>
        <v>19500</v>
      </c>
      <c r="J54" s="102">
        <f t="shared" si="56"/>
        <v>0</v>
      </c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445"/>
      <c r="Y54" s="102"/>
      <c r="Z54" s="102"/>
      <c r="AA54" s="102"/>
      <c r="AB54" s="102"/>
      <c r="AC54" s="102">
        <v>0</v>
      </c>
      <c r="AD54" s="102">
        <f t="shared" si="57"/>
        <v>0</v>
      </c>
      <c r="AE54" s="102">
        <f t="shared" si="58"/>
        <v>0</v>
      </c>
      <c r="AF54" s="102"/>
      <c r="AG54" s="102"/>
      <c r="AH54" s="102"/>
      <c r="AI54" s="102"/>
      <c r="AJ54" s="102"/>
      <c r="AK54" s="102"/>
      <c r="AL54" s="445"/>
      <c r="AM54" s="102"/>
      <c r="AN54" s="102"/>
      <c r="AO54" s="102">
        <v>0</v>
      </c>
      <c r="AP54" s="102">
        <f t="shared" si="59"/>
        <v>0</v>
      </c>
      <c r="AQ54" s="102">
        <f t="shared" si="60"/>
        <v>0</v>
      </c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>
        <v>0</v>
      </c>
      <c r="BC54" s="123">
        <f t="shared" si="61"/>
        <v>0</v>
      </c>
      <c r="BD54" s="123">
        <f t="shared" si="62"/>
        <v>0</v>
      </c>
      <c r="BE54" s="123"/>
      <c r="BF54" s="123"/>
      <c r="BG54" s="123"/>
      <c r="BH54" s="123"/>
      <c r="BI54" s="123"/>
      <c r="BJ54" s="123"/>
      <c r="BK54" s="123"/>
      <c r="BL54" s="123"/>
      <c r="BM54" s="102">
        <f t="shared" si="63"/>
        <v>0</v>
      </c>
      <c r="BN54" s="102">
        <f t="shared" si="64"/>
        <v>0</v>
      </c>
      <c r="BO54" s="102"/>
      <c r="BP54" s="102"/>
      <c r="BQ54" s="102"/>
      <c r="BR54" s="102"/>
      <c r="BS54" s="102"/>
      <c r="BT54" s="389"/>
      <c r="BU54" s="102"/>
      <c r="BV54" s="102"/>
      <c r="BW54" s="335"/>
      <c r="BX54" s="103" t="s">
        <v>380</v>
      </c>
      <c r="BY54" s="107"/>
      <c r="BZ54" s="36"/>
      <c r="CA54" s="36"/>
      <c r="CB54" s="36"/>
      <c r="CC54" s="36"/>
      <c r="CD54" s="36"/>
      <c r="CE54" s="36"/>
      <c r="CF54" s="36"/>
      <c r="CG54" s="36"/>
    </row>
    <row r="55" spans="1:85" ht="12.75" x14ac:dyDescent="0.2">
      <c r="A55" s="146"/>
      <c r="B55" s="117"/>
      <c r="C55" s="307"/>
      <c r="D55" s="308"/>
      <c r="E55" s="303" t="s">
        <v>196</v>
      </c>
      <c r="F55" s="347">
        <f t="shared" si="65"/>
        <v>150000</v>
      </c>
      <c r="G55" s="101">
        <f t="shared" si="48"/>
        <v>113790</v>
      </c>
      <c r="H55" s="102">
        <v>150000</v>
      </c>
      <c r="I55" s="102">
        <f t="shared" si="55"/>
        <v>113790</v>
      </c>
      <c r="J55" s="102">
        <f t="shared" si="56"/>
        <v>-36210</v>
      </c>
      <c r="K55" s="102"/>
      <c r="L55" s="102"/>
      <c r="M55" s="102"/>
      <c r="N55" s="102"/>
      <c r="O55" s="102"/>
      <c r="P55" s="102"/>
      <c r="Q55" s="102"/>
      <c r="R55" s="102"/>
      <c r="S55" s="102"/>
      <c r="T55" s="102">
        <f>-33800-2410</f>
        <v>-36210</v>
      </c>
      <c r="U55" s="102"/>
      <c r="V55" s="102"/>
      <c r="W55" s="102"/>
      <c r="X55" s="445"/>
      <c r="Y55" s="102"/>
      <c r="Z55" s="102"/>
      <c r="AA55" s="102"/>
      <c r="AB55" s="102"/>
      <c r="AC55" s="102"/>
      <c r="AD55" s="102">
        <f t="shared" si="57"/>
        <v>0</v>
      </c>
      <c r="AE55" s="102">
        <f t="shared" si="58"/>
        <v>0</v>
      </c>
      <c r="AF55" s="102"/>
      <c r="AG55" s="102"/>
      <c r="AH55" s="102"/>
      <c r="AI55" s="102"/>
      <c r="AJ55" s="102"/>
      <c r="AK55" s="102"/>
      <c r="AL55" s="445"/>
      <c r="AM55" s="102"/>
      <c r="AN55" s="102"/>
      <c r="AO55" s="102"/>
      <c r="AP55" s="123">
        <f t="shared" si="59"/>
        <v>0</v>
      </c>
      <c r="AQ55" s="123">
        <f t="shared" si="60"/>
        <v>0</v>
      </c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>
        <f t="shared" si="61"/>
        <v>0</v>
      </c>
      <c r="BD55" s="123">
        <f t="shared" si="62"/>
        <v>0</v>
      </c>
      <c r="BE55" s="123"/>
      <c r="BF55" s="123"/>
      <c r="BG55" s="123"/>
      <c r="BH55" s="123"/>
      <c r="BI55" s="123"/>
      <c r="BJ55" s="123"/>
      <c r="BK55" s="123"/>
      <c r="BL55" s="123"/>
      <c r="BM55" s="102">
        <f t="shared" si="63"/>
        <v>0</v>
      </c>
      <c r="BN55" s="102">
        <f t="shared" si="64"/>
        <v>0</v>
      </c>
      <c r="BO55" s="102"/>
      <c r="BP55" s="102"/>
      <c r="BQ55" s="102"/>
      <c r="BR55" s="102"/>
      <c r="BS55" s="102"/>
      <c r="BT55" s="389"/>
      <c r="BU55" s="102"/>
      <c r="BV55" s="102"/>
      <c r="BW55" s="335"/>
      <c r="BX55" s="103" t="s">
        <v>381</v>
      </c>
      <c r="BY55" s="107"/>
      <c r="BZ55" s="36"/>
      <c r="CA55" s="36"/>
      <c r="CB55" s="36"/>
      <c r="CC55" s="36"/>
      <c r="CD55" s="36"/>
      <c r="CE55" s="36"/>
      <c r="CF55" s="36"/>
      <c r="CG55" s="36"/>
    </row>
    <row r="56" spans="1:85" s="227" customFormat="1" ht="48" x14ac:dyDescent="0.2">
      <c r="A56" s="146"/>
      <c r="B56" s="117"/>
      <c r="C56" s="307"/>
      <c r="D56" s="308"/>
      <c r="E56" s="303" t="s">
        <v>564</v>
      </c>
      <c r="F56" s="347">
        <f t="shared" si="65"/>
        <v>50000</v>
      </c>
      <c r="G56" s="101">
        <f t="shared" si="48"/>
        <v>38850</v>
      </c>
      <c r="H56" s="102">
        <v>50000</v>
      </c>
      <c r="I56" s="102">
        <f t="shared" si="55"/>
        <v>38850</v>
      </c>
      <c r="J56" s="102">
        <f t="shared" si="56"/>
        <v>-11150</v>
      </c>
      <c r="K56" s="102"/>
      <c r="L56" s="102"/>
      <c r="M56" s="102"/>
      <c r="N56" s="102"/>
      <c r="O56" s="102"/>
      <c r="P56" s="102"/>
      <c r="Q56" s="102">
        <v>-1246</v>
      </c>
      <c r="R56" s="102"/>
      <c r="S56" s="102"/>
      <c r="T56" s="102"/>
      <c r="U56" s="102">
        <v>-4514</v>
      </c>
      <c r="V56" s="102">
        <v>-5390</v>
      </c>
      <c r="W56" s="102"/>
      <c r="X56" s="445"/>
      <c r="Y56" s="102"/>
      <c r="Z56" s="102"/>
      <c r="AA56" s="102"/>
      <c r="AB56" s="102"/>
      <c r="AC56" s="102"/>
      <c r="AD56" s="102">
        <f t="shared" si="57"/>
        <v>0</v>
      </c>
      <c r="AE56" s="102">
        <f t="shared" si="58"/>
        <v>0</v>
      </c>
      <c r="AF56" s="102"/>
      <c r="AG56" s="102"/>
      <c r="AH56" s="102"/>
      <c r="AI56" s="102"/>
      <c r="AJ56" s="102"/>
      <c r="AK56" s="102"/>
      <c r="AL56" s="445"/>
      <c r="AM56" s="102"/>
      <c r="AN56" s="102"/>
      <c r="AO56" s="102"/>
      <c r="AP56" s="123">
        <f t="shared" si="59"/>
        <v>0</v>
      </c>
      <c r="AQ56" s="123">
        <f t="shared" si="60"/>
        <v>0</v>
      </c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>
        <f t="shared" si="61"/>
        <v>0</v>
      </c>
      <c r="BD56" s="123">
        <f t="shared" si="62"/>
        <v>0</v>
      </c>
      <c r="BE56" s="123"/>
      <c r="BF56" s="123"/>
      <c r="BG56" s="123"/>
      <c r="BH56" s="123"/>
      <c r="BI56" s="123"/>
      <c r="BJ56" s="123"/>
      <c r="BK56" s="123"/>
      <c r="BL56" s="123"/>
      <c r="BM56" s="102">
        <f t="shared" si="63"/>
        <v>0</v>
      </c>
      <c r="BN56" s="102">
        <f t="shared" si="64"/>
        <v>0</v>
      </c>
      <c r="BO56" s="102"/>
      <c r="BP56" s="102"/>
      <c r="BQ56" s="102"/>
      <c r="BR56" s="102"/>
      <c r="BS56" s="102"/>
      <c r="BT56" s="389"/>
      <c r="BU56" s="102"/>
      <c r="BV56" s="102"/>
      <c r="BW56" s="335"/>
      <c r="BX56" s="103" t="s">
        <v>565</v>
      </c>
      <c r="BY56" s="107"/>
      <c r="BZ56" s="36"/>
      <c r="CA56" s="36"/>
      <c r="CB56" s="36"/>
      <c r="CC56" s="36"/>
      <c r="CD56" s="36"/>
      <c r="CE56" s="36"/>
      <c r="CF56" s="36"/>
      <c r="CG56" s="36"/>
    </row>
    <row r="57" spans="1:85" s="379" customFormat="1" ht="48" x14ac:dyDescent="0.2">
      <c r="A57" s="146"/>
      <c r="B57" s="117"/>
      <c r="C57" s="380"/>
      <c r="D57" s="381"/>
      <c r="E57" s="303" t="s">
        <v>754</v>
      </c>
      <c r="F57" s="347">
        <f t="shared" ref="F57" si="94">H57+AC57+AO57+BA57+BB57+BL57</f>
        <v>0</v>
      </c>
      <c r="G57" s="101">
        <f t="shared" ref="G57" si="95">I57+AD57+AP57+BA57+BC57+BM57</f>
        <v>21436</v>
      </c>
      <c r="H57" s="102"/>
      <c r="I57" s="102">
        <f t="shared" ref="I57" si="96">J57+H57</f>
        <v>21436</v>
      </c>
      <c r="J57" s="102">
        <f t="shared" ref="J57" si="97">SUM(K57:AB57)</f>
        <v>21436</v>
      </c>
      <c r="K57" s="102"/>
      <c r="L57" s="102"/>
      <c r="M57" s="102"/>
      <c r="N57" s="102"/>
      <c r="O57" s="102"/>
      <c r="P57" s="102">
        <v>21436</v>
      </c>
      <c r="Q57" s="102"/>
      <c r="R57" s="102"/>
      <c r="S57" s="102"/>
      <c r="T57" s="102"/>
      <c r="U57" s="102"/>
      <c r="V57" s="102"/>
      <c r="W57" s="102"/>
      <c r="X57" s="445"/>
      <c r="Y57" s="102"/>
      <c r="Z57" s="102"/>
      <c r="AA57" s="102"/>
      <c r="AB57" s="102"/>
      <c r="AC57" s="102"/>
      <c r="AD57" s="102">
        <f t="shared" ref="AD57" si="98">AC57+AE57</f>
        <v>0</v>
      </c>
      <c r="AE57" s="102">
        <f t="shared" ref="AE57" si="99">SUM(AF57:AN57)</f>
        <v>0</v>
      </c>
      <c r="AF57" s="102"/>
      <c r="AG57" s="102"/>
      <c r="AH57" s="102"/>
      <c r="AI57" s="102"/>
      <c r="AJ57" s="102"/>
      <c r="AK57" s="102"/>
      <c r="AL57" s="445"/>
      <c r="AM57" s="102"/>
      <c r="AN57" s="102"/>
      <c r="AO57" s="102"/>
      <c r="AP57" s="123">
        <f t="shared" ref="AP57" si="100">AQ57+AO57</f>
        <v>0</v>
      </c>
      <c r="AQ57" s="123">
        <f t="shared" ref="AQ57" si="101">SUM(AR57:AZ57)</f>
        <v>0</v>
      </c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>
        <f t="shared" ref="BC57" si="102">BB57+BD57</f>
        <v>0</v>
      </c>
      <c r="BD57" s="123">
        <f t="shared" ref="BD57" si="103">SUM(BE57:BK57)</f>
        <v>0</v>
      </c>
      <c r="BE57" s="123"/>
      <c r="BF57" s="123"/>
      <c r="BG57" s="123"/>
      <c r="BH57" s="123"/>
      <c r="BI57" s="123"/>
      <c r="BJ57" s="123"/>
      <c r="BK57" s="123"/>
      <c r="BL57" s="123"/>
      <c r="BM57" s="102">
        <f t="shared" ref="BM57" si="104">BN57+BL57</f>
        <v>0</v>
      </c>
      <c r="BN57" s="102">
        <f t="shared" ref="BN57" si="105">SUM(BO57:BW57)</f>
        <v>0</v>
      </c>
      <c r="BO57" s="102"/>
      <c r="BP57" s="102"/>
      <c r="BQ57" s="102"/>
      <c r="BR57" s="102"/>
      <c r="BS57" s="102"/>
      <c r="BT57" s="389"/>
      <c r="BU57" s="102"/>
      <c r="BV57" s="102"/>
      <c r="BW57" s="335"/>
      <c r="BX57" s="103" t="s">
        <v>755</v>
      </c>
      <c r="BY57" s="107"/>
      <c r="BZ57" s="36"/>
      <c r="CA57" s="36"/>
      <c r="CB57" s="36"/>
      <c r="CC57" s="36"/>
      <c r="CD57" s="36"/>
      <c r="CE57" s="36"/>
      <c r="CF57" s="36"/>
      <c r="CG57" s="36"/>
    </row>
    <row r="58" spans="1:85" ht="60" x14ac:dyDescent="0.2">
      <c r="A58" s="146"/>
      <c r="B58" s="117"/>
      <c r="C58" s="304"/>
      <c r="D58" s="302"/>
      <c r="E58" s="303" t="s">
        <v>685</v>
      </c>
      <c r="F58" s="347">
        <f t="shared" si="65"/>
        <v>221690</v>
      </c>
      <c r="G58" s="101">
        <f t="shared" si="48"/>
        <v>221690</v>
      </c>
      <c r="H58" s="102"/>
      <c r="I58" s="102">
        <f t="shared" si="55"/>
        <v>0</v>
      </c>
      <c r="J58" s="102">
        <f t="shared" si="56"/>
        <v>0</v>
      </c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445"/>
      <c r="Y58" s="102"/>
      <c r="Z58" s="102"/>
      <c r="AA58" s="102"/>
      <c r="AB58" s="102"/>
      <c r="AC58" s="102"/>
      <c r="AD58" s="102">
        <f t="shared" si="57"/>
        <v>0</v>
      </c>
      <c r="AE58" s="102">
        <f t="shared" si="58"/>
        <v>0</v>
      </c>
      <c r="AF58" s="102"/>
      <c r="AG58" s="102"/>
      <c r="AH58" s="102"/>
      <c r="AI58" s="102"/>
      <c r="AJ58" s="102"/>
      <c r="AK58" s="102"/>
      <c r="AL58" s="445"/>
      <c r="AM58" s="102"/>
      <c r="AN58" s="102"/>
      <c r="AO58" s="102"/>
      <c r="AP58" s="102">
        <f t="shared" si="59"/>
        <v>0</v>
      </c>
      <c r="AQ58" s="102">
        <f t="shared" si="60"/>
        <v>0</v>
      </c>
      <c r="AR58" s="102"/>
      <c r="AS58" s="102"/>
      <c r="AT58" s="102"/>
      <c r="AU58" s="102"/>
      <c r="AV58" s="102"/>
      <c r="AW58" s="102"/>
      <c r="AX58" s="102"/>
      <c r="AY58" s="102"/>
      <c r="AZ58" s="102"/>
      <c r="BA58" s="102">
        <v>221690</v>
      </c>
      <c r="BB58" s="123"/>
      <c r="BC58" s="123">
        <f t="shared" si="61"/>
        <v>0</v>
      </c>
      <c r="BD58" s="123">
        <f t="shared" si="62"/>
        <v>0</v>
      </c>
      <c r="BE58" s="123"/>
      <c r="BF58" s="123"/>
      <c r="BG58" s="123"/>
      <c r="BH58" s="123"/>
      <c r="BI58" s="123"/>
      <c r="BJ58" s="123"/>
      <c r="BK58" s="123"/>
      <c r="BL58" s="123"/>
      <c r="BM58" s="102">
        <f t="shared" si="63"/>
        <v>0</v>
      </c>
      <c r="BN58" s="102">
        <f t="shared" si="64"/>
        <v>0</v>
      </c>
      <c r="BO58" s="102"/>
      <c r="BP58" s="102"/>
      <c r="BQ58" s="102"/>
      <c r="BR58" s="102"/>
      <c r="BS58" s="102"/>
      <c r="BT58" s="389"/>
      <c r="BU58" s="102"/>
      <c r="BV58" s="102"/>
      <c r="BW58" s="335"/>
      <c r="BX58" s="103"/>
      <c r="BY58" s="107"/>
      <c r="BZ58" s="36"/>
      <c r="CA58" s="36"/>
      <c r="CB58" s="36"/>
      <c r="CC58" s="36"/>
      <c r="CD58" s="36"/>
      <c r="CE58" s="36"/>
      <c r="CF58" s="36"/>
      <c r="CG58" s="36"/>
    </row>
    <row r="59" spans="1:85" s="321" customFormat="1" ht="36" x14ac:dyDescent="0.2">
      <c r="A59" s="146"/>
      <c r="B59" s="117"/>
      <c r="C59" s="304"/>
      <c r="D59" s="302"/>
      <c r="E59" s="303" t="s">
        <v>702</v>
      </c>
      <c r="F59" s="347">
        <f t="shared" si="65"/>
        <v>430071</v>
      </c>
      <c r="G59" s="101">
        <f t="shared" si="48"/>
        <v>430071</v>
      </c>
      <c r="H59" s="102"/>
      <c r="I59" s="102">
        <f t="shared" si="55"/>
        <v>0</v>
      </c>
      <c r="J59" s="102">
        <f t="shared" si="56"/>
        <v>0</v>
      </c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445"/>
      <c r="Y59" s="102"/>
      <c r="Z59" s="102"/>
      <c r="AA59" s="102"/>
      <c r="AB59" s="102"/>
      <c r="AC59" s="102"/>
      <c r="AD59" s="102">
        <f t="shared" si="57"/>
        <v>0</v>
      </c>
      <c r="AE59" s="102">
        <f t="shared" si="58"/>
        <v>0</v>
      </c>
      <c r="AF59" s="102"/>
      <c r="AG59" s="102"/>
      <c r="AH59" s="102"/>
      <c r="AI59" s="102"/>
      <c r="AJ59" s="102"/>
      <c r="AK59" s="102"/>
      <c r="AL59" s="445"/>
      <c r="AM59" s="102"/>
      <c r="AN59" s="102"/>
      <c r="AO59" s="102"/>
      <c r="AP59" s="102">
        <f t="shared" si="59"/>
        <v>0</v>
      </c>
      <c r="AQ59" s="102">
        <f t="shared" si="60"/>
        <v>0</v>
      </c>
      <c r="AR59" s="102"/>
      <c r="AS59" s="102"/>
      <c r="AT59" s="102"/>
      <c r="AU59" s="102"/>
      <c r="AV59" s="102"/>
      <c r="AW59" s="102"/>
      <c r="AX59" s="102"/>
      <c r="AY59" s="102"/>
      <c r="AZ59" s="102"/>
      <c r="BA59" s="102">
        <v>430071</v>
      </c>
      <c r="BB59" s="123"/>
      <c r="BC59" s="123">
        <f t="shared" si="61"/>
        <v>0</v>
      </c>
      <c r="BD59" s="123">
        <f t="shared" si="62"/>
        <v>0</v>
      </c>
      <c r="BE59" s="123"/>
      <c r="BF59" s="123"/>
      <c r="BG59" s="123"/>
      <c r="BH59" s="123"/>
      <c r="BI59" s="123"/>
      <c r="BJ59" s="123"/>
      <c r="BK59" s="123"/>
      <c r="BL59" s="123"/>
      <c r="BM59" s="102">
        <f t="shared" si="63"/>
        <v>0</v>
      </c>
      <c r="BN59" s="102">
        <f t="shared" si="64"/>
        <v>0</v>
      </c>
      <c r="BO59" s="102"/>
      <c r="BP59" s="102"/>
      <c r="BQ59" s="102"/>
      <c r="BR59" s="102"/>
      <c r="BS59" s="102"/>
      <c r="BT59" s="389"/>
      <c r="BU59" s="102"/>
      <c r="BV59" s="102"/>
      <c r="BW59" s="335"/>
      <c r="BX59" s="103"/>
      <c r="BY59" s="107"/>
      <c r="BZ59" s="36"/>
      <c r="CA59" s="36"/>
      <c r="CB59" s="36"/>
      <c r="CC59" s="36"/>
      <c r="CD59" s="36"/>
      <c r="CE59" s="36"/>
      <c r="CF59" s="36"/>
      <c r="CG59" s="36"/>
    </row>
    <row r="60" spans="1:85" s="235" customFormat="1" ht="36" x14ac:dyDescent="0.2">
      <c r="A60" s="146"/>
      <c r="B60" s="117"/>
      <c r="C60" s="304"/>
      <c r="D60" s="302"/>
      <c r="E60" s="303" t="s">
        <v>594</v>
      </c>
      <c r="F60" s="347">
        <f t="shared" si="65"/>
        <v>52156</v>
      </c>
      <c r="G60" s="101">
        <f t="shared" si="48"/>
        <v>52156</v>
      </c>
      <c r="H60" s="102"/>
      <c r="I60" s="102">
        <f t="shared" si="55"/>
        <v>0</v>
      </c>
      <c r="J60" s="102">
        <f t="shared" si="56"/>
        <v>0</v>
      </c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445"/>
      <c r="Y60" s="102"/>
      <c r="Z60" s="102"/>
      <c r="AA60" s="102"/>
      <c r="AB60" s="102"/>
      <c r="AC60" s="102"/>
      <c r="AD60" s="102">
        <f t="shared" si="57"/>
        <v>0</v>
      </c>
      <c r="AE60" s="102">
        <f t="shared" si="58"/>
        <v>0</v>
      </c>
      <c r="AF60" s="102"/>
      <c r="AG60" s="102"/>
      <c r="AH60" s="102"/>
      <c r="AI60" s="102"/>
      <c r="AJ60" s="102"/>
      <c r="AK60" s="102"/>
      <c r="AL60" s="445"/>
      <c r="AM60" s="102"/>
      <c r="AN60" s="102"/>
      <c r="AO60" s="102"/>
      <c r="AP60" s="102">
        <f t="shared" si="59"/>
        <v>0</v>
      </c>
      <c r="AQ60" s="102">
        <f t="shared" si="60"/>
        <v>0</v>
      </c>
      <c r="AR60" s="102"/>
      <c r="AS60" s="102"/>
      <c r="AT60" s="102"/>
      <c r="AU60" s="102"/>
      <c r="AV60" s="102"/>
      <c r="AW60" s="102"/>
      <c r="AX60" s="102"/>
      <c r="AY60" s="102"/>
      <c r="AZ60" s="102"/>
      <c r="BA60" s="102">
        <f>176646-124490</f>
        <v>52156</v>
      </c>
      <c r="BB60" s="123"/>
      <c r="BC60" s="123">
        <f t="shared" si="61"/>
        <v>0</v>
      </c>
      <c r="BD60" s="123">
        <f t="shared" si="62"/>
        <v>0</v>
      </c>
      <c r="BE60" s="123"/>
      <c r="BF60" s="123"/>
      <c r="BG60" s="123"/>
      <c r="BH60" s="123"/>
      <c r="BI60" s="123"/>
      <c r="BJ60" s="123"/>
      <c r="BK60" s="123"/>
      <c r="BL60" s="123"/>
      <c r="BM60" s="102">
        <f t="shared" si="63"/>
        <v>0</v>
      </c>
      <c r="BN60" s="102">
        <f t="shared" si="64"/>
        <v>0</v>
      </c>
      <c r="BO60" s="102"/>
      <c r="BP60" s="102"/>
      <c r="BQ60" s="102"/>
      <c r="BR60" s="102"/>
      <c r="BS60" s="102"/>
      <c r="BT60" s="389"/>
      <c r="BU60" s="102"/>
      <c r="BV60" s="102"/>
      <c r="BW60" s="335"/>
      <c r="BX60" s="103"/>
      <c r="BY60" s="107"/>
      <c r="BZ60" s="36"/>
      <c r="CA60" s="36"/>
      <c r="CB60" s="36"/>
      <c r="CC60" s="36"/>
      <c r="CD60" s="36"/>
      <c r="CE60" s="36"/>
      <c r="CF60" s="36"/>
      <c r="CG60" s="36"/>
    </row>
    <row r="61" spans="1:85" ht="36" x14ac:dyDescent="0.2">
      <c r="A61" s="135"/>
      <c r="B61" s="400"/>
      <c r="C61" s="401"/>
      <c r="D61" s="402"/>
      <c r="E61" s="403" t="s">
        <v>285</v>
      </c>
      <c r="F61" s="353">
        <f t="shared" si="65"/>
        <v>300000</v>
      </c>
      <c r="G61" s="194">
        <f t="shared" si="48"/>
        <v>300000</v>
      </c>
      <c r="H61" s="230"/>
      <c r="I61" s="230">
        <f t="shared" si="55"/>
        <v>0</v>
      </c>
      <c r="J61" s="230">
        <f t="shared" si="56"/>
        <v>0</v>
      </c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448"/>
      <c r="Y61" s="230"/>
      <c r="Z61" s="230"/>
      <c r="AA61" s="230"/>
      <c r="AB61" s="230"/>
      <c r="AC61" s="230"/>
      <c r="AD61" s="230">
        <f t="shared" si="57"/>
        <v>0</v>
      </c>
      <c r="AE61" s="230">
        <f t="shared" si="58"/>
        <v>0</v>
      </c>
      <c r="AF61" s="230"/>
      <c r="AG61" s="230"/>
      <c r="AH61" s="230"/>
      <c r="AI61" s="230"/>
      <c r="AJ61" s="230"/>
      <c r="AK61" s="230"/>
      <c r="AL61" s="448"/>
      <c r="AM61" s="230"/>
      <c r="AN61" s="230"/>
      <c r="AO61" s="230"/>
      <c r="AP61" s="230">
        <f t="shared" si="59"/>
        <v>0</v>
      </c>
      <c r="AQ61" s="230">
        <f t="shared" si="60"/>
        <v>0</v>
      </c>
      <c r="AR61" s="230"/>
      <c r="AS61" s="230"/>
      <c r="AT61" s="230"/>
      <c r="AU61" s="230"/>
      <c r="AV61" s="230"/>
      <c r="AW61" s="230"/>
      <c r="AX61" s="230"/>
      <c r="AY61" s="230"/>
      <c r="AZ61" s="230"/>
      <c r="BA61" s="230">
        <v>300000</v>
      </c>
      <c r="BB61" s="331"/>
      <c r="BC61" s="331">
        <f t="shared" si="61"/>
        <v>0</v>
      </c>
      <c r="BD61" s="331">
        <f t="shared" si="62"/>
        <v>0</v>
      </c>
      <c r="BE61" s="331"/>
      <c r="BF61" s="331"/>
      <c r="BG61" s="331"/>
      <c r="BH61" s="331"/>
      <c r="BI61" s="331"/>
      <c r="BJ61" s="331"/>
      <c r="BK61" s="331"/>
      <c r="BL61" s="331"/>
      <c r="BM61" s="230">
        <f t="shared" si="63"/>
        <v>0</v>
      </c>
      <c r="BN61" s="230">
        <f t="shared" si="64"/>
        <v>0</v>
      </c>
      <c r="BO61" s="230"/>
      <c r="BP61" s="230"/>
      <c r="BQ61" s="230"/>
      <c r="BR61" s="230"/>
      <c r="BS61" s="230"/>
      <c r="BT61" s="415"/>
      <c r="BU61" s="230"/>
      <c r="BV61" s="230"/>
      <c r="BW61" s="341"/>
      <c r="BX61" s="298"/>
      <c r="BY61" s="110"/>
      <c r="BZ61" s="36"/>
      <c r="CA61" s="36"/>
      <c r="CB61" s="36"/>
      <c r="CC61" s="36"/>
      <c r="CD61" s="36"/>
      <c r="CE61" s="36"/>
      <c r="CF61" s="36"/>
      <c r="CG61" s="36"/>
    </row>
    <row r="62" spans="1:85" s="396" customFormat="1" ht="36" x14ac:dyDescent="0.2">
      <c r="A62" s="146">
        <v>90000056554</v>
      </c>
      <c r="B62" s="117"/>
      <c r="C62" s="495" t="s">
        <v>513</v>
      </c>
      <c r="D62" s="496"/>
      <c r="E62" s="303" t="s">
        <v>787</v>
      </c>
      <c r="F62" s="347">
        <f t="shared" ref="F62" si="106">H62+AC62+AO62+BA62+BB62+BL62</f>
        <v>0</v>
      </c>
      <c r="G62" s="101">
        <f t="shared" ref="G62" si="107">I62+AD62+AP62+BA62+BC62+BM62</f>
        <v>19860</v>
      </c>
      <c r="H62" s="102"/>
      <c r="I62" s="102">
        <f t="shared" ref="I62" si="108">J62+H62</f>
        <v>19860</v>
      </c>
      <c r="J62" s="102">
        <f t="shared" ref="J62" si="109">SUM(K62:AB62)</f>
        <v>19860</v>
      </c>
      <c r="K62" s="102"/>
      <c r="L62" s="102"/>
      <c r="M62" s="102"/>
      <c r="N62" s="102"/>
      <c r="O62" s="102"/>
      <c r="P62" s="102"/>
      <c r="Q62" s="102"/>
      <c r="R62" s="102"/>
      <c r="S62" s="102"/>
      <c r="T62" s="102">
        <v>19860</v>
      </c>
      <c r="U62" s="102"/>
      <c r="V62" s="102"/>
      <c r="W62" s="102"/>
      <c r="X62" s="445"/>
      <c r="Y62" s="102"/>
      <c r="Z62" s="102"/>
      <c r="AA62" s="102"/>
      <c r="AB62" s="102"/>
      <c r="AC62" s="102"/>
      <c r="AD62" s="102">
        <f t="shared" ref="AD62" si="110">AC62+AE62</f>
        <v>0</v>
      </c>
      <c r="AE62" s="102">
        <f t="shared" ref="AE62" si="111">SUM(AF62:AN62)</f>
        <v>0</v>
      </c>
      <c r="AF62" s="102"/>
      <c r="AG62" s="102"/>
      <c r="AH62" s="102"/>
      <c r="AI62" s="102"/>
      <c r="AJ62" s="102"/>
      <c r="AK62" s="102"/>
      <c r="AL62" s="445"/>
      <c r="AM62" s="102"/>
      <c r="AN62" s="102"/>
      <c r="AO62" s="102"/>
      <c r="AP62" s="102">
        <f t="shared" ref="AP62" si="112">AQ62+AO62</f>
        <v>0</v>
      </c>
      <c r="AQ62" s="102">
        <f t="shared" ref="AQ62" si="113">SUM(AR62:AZ62)</f>
        <v>0</v>
      </c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>
        <f t="shared" ref="BC62" si="114">BB62+BD62</f>
        <v>0</v>
      </c>
      <c r="BD62" s="123">
        <f t="shared" ref="BD62" si="115">SUM(BE62:BK62)</f>
        <v>0</v>
      </c>
      <c r="BE62" s="123"/>
      <c r="BF62" s="123"/>
      <c r="BG62" s="123"/>
      <c r="BH62" s="123"/>
      <c r="BI62" s="123"/>
      <c r="BJ62" s="123"/>
      <c r="BK62" s="123"/>
      <c r="BL62" s="123"/>
      <c r="BM62" s="102">
        <f t="shared" ref="BM62" si="116">BN62+BL62</f>
        <v>0</v>
      </c>
      <c r="BN62" s="102">
        <f t="shared" ref="BN62" si="117">SUM(BO62:BW62)</f>
        <v>0</v>
      </c>
      <c r="BO62" s="102"/>
      <c r="BP62" s="102"/>
      <c r="BQ62" s="102"/>
      <c r="BR62" s="102"/>
      <c r="BS62" s="102"/>
      <c r="BT62" s="389"/>
      <c r="BU62" s="102"/>
      <c r="BV62" s="102"/>
      <c r="BW62" s="335"/>
      <c r="BX62" s="103" t="s">
        <v>788</v>
      </c>
      <c r="BY62" s="107"/>
      <c r="BZ62" s="36"/>
      <c r="CA62" s="36"/>
      <c r="CB62" s="36"/>
      <c r="CC62" s="36"/>
      <c r="CD62" s="36"/>
      <c r="CE62" s="36"/>
      <c r="CF62" s="36"/>
      <c r="CG62" s="36"/>
    </row>
    <row r="63" spans="1:85" ht="13.5" thickBot="1" x14ac:dyDescent="0.25">
      <c r="A63" s="171"/>
      <c r="B63" s="133"/>
      <c r="C63" s="510"/>
      <c r="D63" s="511"/>
      <c r="E63" s="144"/>
      <c r="F63" s="348"/>
      <c r="G63" s="89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446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446"/>
      <c r="AM63" s="90"/>
      <c r="AN63" s="90"/>
      <c r="AO63" s="90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90"/>
      <c r="BN63" s="90"/>
      <c r="BO63" s="90"/>
      <c r="BP63" s="90"/>
      <c r="BQ63" s="90"/>
      <c r="BR63" s="90"/>
      <c r="BS63" s="90"/>
      <c r="BT63" s="387"/>
      <c r="BU63" s="90"/>
      <c r="BV63" s="90"/>
      <c r="BW63" s="336"/>
      <c r="BX63" s="91"/>
      <c r="BY63" s="108"/>
      <c r="BZ63" s="36"/>
      <c r="CA63" s="36"/>
      <c r="CB63" s="36"/>
      <c r="CC63" s="36"/>
      <c r="CD63" s="36"/>
      <c r="CE63" s="36"/>
      <c r="CF63" s="36"/>
      <c r="CG63" s="36"/>
    </row>
    <row r="64" spans="1:85" ht="12.75" thickBot="1" x14ac:dyDescent="0.25">
      <c r="A64" s="173"/>
      <c r="B64" s="499" t="s">
        <v>9</v>
      </c>
      <c r="C64" s="499"/>
      <c r="D64" s="170" t="s">
        <v>10</v>
      </c>
      <c r="E64" s="16"/>
      <c r="F64" s="349">
        <f t="shared" ref="F64:F72" si="118">H64+AC64+AO64+BA64+BB64+BL64</f>
        <v>4720542</v>
      </c>
      <c r="G64" s="17">
        <f t="shared" ref="G64:G72" si="119">I64+AD64+AP64+BA64+BC64+BM64</f>
        <v>4922437</v>
      </c>
      <c r="H64" s="10">
        <f t="shared" ref="H64:BW64" si="120">SUM(H65:H73)</f>
        <v>4095160</v>
      </c>
      <c r="I64" s="10">
        <f t="shared" si="120"/>
        <v>4297055</v>
      </c>
      <c r="J64" s="10">
        <f t="shared" si="120"/>
        <v>201895</v>
      </c>
      <c r="K64" s="10">
        <f t="shared" si="120"/>
        <v>0</v>
      </c>
      <c r="L64" s="10">
        <f t="shared" si="120"/>
        <v>0</v>
      </c>
      <c r="M64" s="10">
        <f t="shared" si="120"/>
        <v>0</v>
      </c>
      <c r="N64" s="10">
        <f t="shared" si="120"/>
        <v>0</v>
      </c>
      <c r="O64" s="10">
        <f t="shared" si="120"/>
        <v>0</v>
      </c>
      <c r="P64" s="10">
        <f t="shared" si="120"/>
        <v>16300</v>
      </c>
      <c r="Q64" s="10">
        <f t="shared" si="120"/>
        <v>0</v>
      </c>
      <c r="R64" s="10">
        <f t="shared" si="120"/>
        <v>18902</v>
      </c>
      <c r="S64" s="10">
        <f t="shared" si="120"/>
        <v>0</v>
      </c>
      <c r="T64" s="10">
        <f t="shared" si="120"/>
        <v>192160</v>
      </c>
      <c r="U64" s="10">
        <f t="shared" ref="U64:V64" si="121">SUM(U65:U73)</f>
        <v>-1320</v>
      </c>
      <c r="V64" s="10">
        <f t="shared" si="121"/>
        <v>0</v>
      </c>
      <c r="W64" s="10">
        <f t="shared" si="120"/>
        <v>-24147</v>
      </c>
      <c r="X64" s="444">
        <f t="shared" ref="X64:AA64" si="122">SUM(X65:X73)</f>
        <v>0</v>
      </c>
      <c r="Y64" s="10">
        <f t="shared" si="122"/>
        <v>0</v>
      </c>
      <c r="Z64" s="10">
        <f t="shared" si="122"/>
        <v>0</v>
      </c>
      <c r="AA64" s="10">
        <f t="shared" si="122"/>
        <v>0</v>
      </c>
      <c r="AB64" s="10">
        <f t="shared" si="120"/>
        <v>0</v>
      </c>
      <c r="AC64" s="10">
        <f t="shared" si="120"/>
        <v>625382</v>
      </c>
      <c r="AD64" s="10">
        <f t="shared" si="120"/>
        <v>625382</v>
      </c>
      <c r="AE64" s="10">
        <f t="shared" si="120"/>
        <v>0</v>
      </c>
      <c r="AF64" s="10">
        <f t="shared" si="120"/>
        <v>0</v>
      </c>
      <c r="AG64" s="10">
        <f t="shared" si="120"/>
        <v>0</v>
      </c>
      <c r="AH64" s="10">
        <f t="shared" si="120"/>
        <v>0</v>
      </c>
      <c r="AI64" s="10">
        <f t="shared" si="120"/>
        <v>0</v>
      </c>
      <c r="AJ64" s="10">
        <f t="shared" si="120"/>
        <v>0</v>
      </c>
      <c r="AK64" s="10">
        <f t="shared" ref="AK64:AM64" si="123">SUM(AK65:AK73)</f>
        <v>0</v>
      </c>
      <c r="AL64" s="444">
        <f t="shared" si="123"/>
        <v>0</v>
      </c>
      <c r="AM64" s="10">
        <f t="shared" si="123"/>
        <v>0</v>
      </c>
      <c r="AN64" s="10">
        <f t="shared" si="120"/>
        <v>0</v>
      </c>
      <c r="AO64" s="10">
        <f t="shared" si="120"/>
        <v>0</v>
      </c>
      <c r="AP64" s="10">
        <f t="shared" si="120"/>
        <v>0</v>
      </c>
      <c r="AQ64" s="10">
        <f t="shared" si="120"/>
        <v>0</v>
      </c>
      <c r="AR64" s="10">
        <f t="shared" si="120"/>
        <v>0</v>
      </c>
      <c r="AS64" s="10">
        <f t="shared" si="120"/>
        <v>0</v>
      </c>
      <c r="AT64" s="10">
        <f t="shared" si="120"/>
        <v>0</v>
      </c>
      <c r="AU64" s="10">
        <f t="shared" si="120"/>
        <v>0</v>
      </c>
      <c r="AV64" s="10">
        <f t="shared" si="120"/>
        <v>0</v>
      </c>
      <c r="AW64" s="10">
        <f t="shared" ref="AW64:AY64" si="124">SUM(AW65:AW73)</f>
        <v>0</v>
      </c>
      <c r="AX64" s="10">
        <f t="shared" si="124"/>
        <v>0</v>
      </c>
      <c r="AY64" s="10">
        <f t="shared" si="124"/>
        <v>0</v>
      </c>
      <c r="AZ64" s="10">
        <f t="shared" si="120"/>
        <v>0</v>
      </c>
      <c r="BA64" s="10">
        <f t="shared" si="120"/>
        <v>0</v>
      </c>
      <c r="BB64" s="10">
        <f t="shared" si="120"/>
        <v>0</v>
      </c>
      <c r="BC64" s="10">
        <f t="shared" si="120"/>
        <v>0</v>
      </c>
      <c r="BD64" s="10">
        <f t="shared" si="120"/>
        <v>0</v>
      </c>
      <c r="BE64" s="10">
        <f t="shared" si="120"/>
        <v>0</v>
      </c>
      <c r="BF64" s="10">
        <f t="shared" si="120"/>
        <v>0</v>
      </c>
      <c r="BG64" s="10">
        <f t="shared" si="120"/>
        <v>0</v>
      </c>
      <c r="BH64" s="10">
        <f t="shared" si="120"/>
        <v>0</v>
      </c>
      <c r="BI64" s="10">
        <f t="shared" si="120"/>
        <v>0</v>
      </c>
      <c r="BJ64" s="10">
        <f t="shared" si="120"/>
        <v>0</v>
      </c>
      <c r="BK64" s="10">
        <f t="shared" si="120"/>
        <v>0</v>
      </c>
      <c r="BL64" s="10">
        <f t="shared" si="120"/>
        <v>0</v>
      </c>
      <c r="BM64" s="10">
        <f t="shared" si="120"/>
        <v>0</v>
      </c>
      <c r="BN64" s="10">
        <f t="shared" si="120"/>
        <v>0</v>
      </c>
      <c r="BO64" s="10">
        <f t="shared" si="120"/>
        <v>0</v>
      </c>
      <c r="BP64" s="10">
        <f t="shared" si="120"/>
        <v>0</v>
      </c>
      <c r="BQ64" s="10">
        <f t="shared" si="120"/>
        <v>0</v>
      </c>
      <c r="BR64" s="10">
        <f t="shared" si="120"/>
        <v>0</v>
      </c>
      <c r="BS64" s="10">
        <f t="shared" si="120"/>
        <v>0</v>
      </c>
      <c r="BT64" s="121">
        <f t="shared" ref="BT64:BV64" si="125">SUM(BT65:BT73)</f>
        <v>0</v>
      </c>
      <c r="BU64" s="10">
        <f t="shared" si="125"/>
        <v>0</v>
      </c>
      <c r="BV64" s="10">
        <f t="shared" si="125"/>
        <v>0</v>
      </c>
      <c r="BW64" s="404">
        <f t="shared" si="120"/>
        <v>0</v>
      </c>
      <c r="BX64" s="18"/>
      <c r="BY64" s="109"/>
      <c r="BZ64" s="36"/>
      <c r="CA64" s="36"/>
      <c r="CB64" s="36"/>
      <c r="CC64" s="36"/>
      <c r="CD64" s="36"/>
      <c r="CE64" s="36"/>
      <c r="CF64" s="36"/>
      <c r="CG64" s="36"/>
    </row>
    <row r="65" spans="1:85" ht="24.75" thickTop="1" x14ac:dyDescent="0.2">
      <c r="A65" s="146">
        <v>90000056357</v>
      </c>
      <c r="B65" s="176"/>
      <c r="C65" s="497" t="s">
        <v>5</v>
      </c>
      <c r="D65" s="498"/>
      <c r="E65" s="282" t="s">
        <v>305</v>
      </c>
      <c r="F65" s="351">
        <f t="shared" si="118"/>
        <v>38770</v>
      </c>
      <c r="G65" s="104">
        <f t="shared" si="119"/>
        <v>39496</v>
      </c>
      <c r="H65" s="223">
        <v>38770</v>
      </c>
      <c r="I65" s="223">
        <f t="shared" ref="I65:I72" si="126">J65+H65</f>
        <v>39496</v>
      </c>
      <c r="J65" s="223">
        <f t="shared" ref="J65:J72" si="127">SUM(K65:AB65)</f>
        <v>726</v>
      </c>
      <c r="K65" s="223"/>
      <c r="L65" s="223"/>
      <c r="M65" s="223"/>
      <c r="N65" s="223"/>
      <c r="O65" s="223"/>
      <c r="P65" s="223"/>
      <c r="Q65" s="223"/>
      <c r="R65" s="223"/>
      <c r="S65" s="223"/>
      <c r="T65" s="223">
        <v>726</v>
      </c>
      <c r="U65" s="223"/>
      <c r="V65" s="223"/>
      <c r="W65" s="223"/>
      <c r="X65" s="449"/>
      <c r="Y65" s="223"/>
      <c r="Z65" s="223"/>
      <c r="AA65" s="223"/>
      <c r="AB65" s="223"/>
      <c r="AC65" s="223">
        <v>0</v>
      </c>
      <c r="AD65" s="223">
        <f t="shared" ref="AD65:AD72" si="128">AC65+AE65</f>
        <v>0</v>
      </c>
      <c r="AE65" s="223">
        <f t="shared" ref="AE65:AE72" si="129">SUM(AF65:AN65)</f>
        <v>0</v>
      </c>
      <c r="AF65" s="223"/>
      <c r="AG65" s="223"/>
      <c r="AH65" s="223"/>
      <c r="AI65" s="223"/>
      <c r="AJ65" s="223"/>
      <c r="AK65" s="223"/>
      <c r="AL65" s="449"/>
      <c r="AM65" s="223"/>
      <c r="AN65" s="223"/>
      <c r="AO65" s="223">
        <v>0</v>
      </c>
      <c r="AP65" s="223">
        <f t="shared" ref="AP65:AP72" si="130">AQ65+AO65</f>
        <v>0</v>
      </c>
      <c r="AQ65" s="223">
        <f t="shared" ref="AQ65:AQ72" si="131">SUM(AR65:AZ65)</f>
        <v>0</v>
      </c>
      <c r="AR65" s="223"/>
      <c r="AS65" s="223"/>
      <c r="AT65" s="223"/>
      <c r="AU65" s="223"/>
      <c r="AV65" s="223"/>
      <c r="AW65" s="223"/>
      <c r="AX65" s="223"/>
      <c r="AY65" s="223"/>
      <c r="AZ65" s="223"/>
      <c r="BA65" s="223"/>
      <c r="BB65" s="223">
        <v>0</v>
      </c>
      <c r="BC65" s="329">
        <f t="shared" ref="BC65:BC72" si="132">BB65+BD65</f>
        <v>0</v>
      </c>
      <c r="BD65" s="329">
        <f t="shared" ref="BD65:BD72" si="133">SUM(BE65:BK65)</f>
        <v>0</v>
      </c>
      <c r="BE65" s="329"/>
      <c r="BF65" s="329"/>
      <c r="BG65" s="329"/>
      <c r="BH65" s="329"/>
      <c r="BI65" s="329"/>
      <c r="BJ65" s="329"/>
      <c r="BK65" s="329"/>
      <c r="BL65" s="329"/>
      <c r="BM65" s="223">
        <f t="shared" ref="BM65:BM72" si="134">BN65+BL65</f>
        <v>0</v>
      </c>
      <c r="BN65" s="223">
        <f t="shared" ref="BN65:BN72" si="135">SUM(BO65:BW65)</f>
        <v>0</v>
      </c>
      <c r="BO65" s="223"/>
      <c r="BP65" s="223"/>
      <c r="BQ65" s="223"/>
      <c r="BR65" s="223"/>
      <c r="BS65" s="223"/>
      <c r="BT65" s="416"/>
      <c r="BU65" s="223"/>
      <c r="BV65" s="223"/>
      <c r="BW65" s="338"/>
      <c r="BX65" s="312" t="s">
        <v>373</v>
      </c>
      <c r="BY65" s="317" t="s">
        <v>687</v>
      </c>
      <c r="BZ65" s="36"/>
      <c r="CA65" s="36"/>
      <c r="CB65" s="36"/>
      <c r="CC65" s="36"/>
      <c r="CD65" s="36"/>
      <c r="CE65" s="36"/>
      <c r="CF65" s="36"/>
      <c r="CG65" s="36"/>
    </row>
    <row r="66" spans="1:85" s="167" customFormat="1" ht="36" x14ac:dyDescent="0.2">
      <c r="A66" s="146"/>
      <c r="B66" s="164"/>
      <c r="C66" s="279"/>
      <c r="D66" s="280"/>
      <c r="E66" s="100" t="s">
        <v>306</v>
      </c>
      <c r="F66" s="347">
        <f t="shared" si="118"/>
        <v>29900</v>
      </c>
      <c r="G66" s="101">
        <f t="shared" si="119"/>
        <v>29900</v>
      </c>
      <c r="H66" s="102">
        <v>29900</v>
      </c>
      <c r="I66" s="102">
        <f t="shared" si="126"/>
        <v>29900</v>
      </c>
      <c r="J66" s="102">
        <f t="shared" si="127"/>
        <v>0</v>
      </c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445"/>
      <c r="Y66" s="102"/>
      <c r="Z66" s="102"/>
      <c r="AA66" s="102"/>
      <c r="AB66" s="102"/>
      <c r="AC66" s="102">
        <v>0</v>
      </c>
      <c r="AD66" s="102">
        <f t="shared" si="128"/>
        <v>0</v>
      </c>
      <c r="AE66" s="102">
        <f t="shared" si="129"/>
        <v>0</v>
      </c>
      <c r="AF66" s="102"/>
      <c r="AG66" s="102"/>
      <c r="AH66" s="102"/>
      <c r="AI66" s="102"/>
      <c r="AJ66" s="102"/>
      <c r="AK66" s="102"/>
      <c r="AL66" s="445"/>
      <c r="AM66" s="102"/>
      <c r="AN66" s="102"/>
      <c r="AO66" s="102">
        <v>0</v>
      </c>
      <c r="AP66" s="102">
        <f t="shared" si="130"/>
        <v>0</v>
      </c>
      <c r="AQ66" s="102">
        <f t="shared" si="131"/>
        <v>0</v>
      </c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>
        <v>0</v>
      </c>
      <c r="BC66" s="123">
        <f t="shared" si="132"/>
        <v>0</v>
      </c>
      <c r="BD66" s="123">
        <f t="shared" si="133"/>
        <v>0</v>
      </c>
      <c r="BE66" s="123"/>
      <c r="BF66" s="123"/>
      <c r="BG66" s="123"/>
      <c r="BH66" s="123"/>
      <c r="BI66" s="123"/>
      <c r="BJ66" s="123"/>
      <c r="BK66" s="123"/>
      <c r="BL66" s="123"/>
      <c r="BM66" s="102">
        <f t="shared" si="134"/>
        <v>0</v>
      </c>
      <c r="BN66" s="102">
        <f t="shared" si="135"/>
        <v>0</v>
      </c>
      <c r="BO66" s="102"/>
      <c r="BP66" s="102"/>
      <c r="BQ66" s="102"/>
      <c r="BR66" s="102"/>
      <c r="BS66" s="102"/>
      <c r="BT66" s="389"/>
      <c r="BU66" s="102"/>
      <c r="BV66" s="102"/>
      <c r="BW66" s="335"/>
      <c r="BX66" s="103" t="s">
        <v>374</v>
      </c>
      <c r="BY66" s="107" t="s">
        <v>687</v>
      </c>
      <c r="BZ66" s="36"/>
      <c r="CA66" s="36"/>
      <c r="CB66" s="36"/>
      <c r="CC66" s="36"/>
      <c r="CD66" s="36"/>
      <c r="CE66" s="36"/>
      <c r="CF66" s="36"/>
      <c r="CG66" s="36"/>
    </row>
    <row r="67" spans="1:85" s="167" customFormat="1" ht="42" customHeight="1" x14ac:dyDescent="0.2">
      <c r="A67" s="146"/>
      <c r="B67" s="278"/>
      <c r="C67" s="283"/>
      <c r="D67" s="284"/>
      <c r="E67" s="273" t="s">
        <v>236</v>
      </c>
      <c r="F67" s="348">
        <f t="shared" si="118"/>
        <v>32363</v>
      </c>
      <c r="G67" s="89">
        <f t="shared" si="119"/>
        <v>31637</v>
      </c>
      <c r="H67" s="90">
        <v>32363</v>
      </c>
      <c r="I67" s="90">
        <f t="shared" si="126"/>
        <v>31637</v>
      </c>
      <c r="J67" s="90">
        <f t="shared" si="127"/>
        <v>-726</v>
      </c>
      <c r="K67" s="90"/>
      <c r="L67" s="90"/>
      <c r="M67" s="90"/>
      <c r="N67" s="90"/>
      <c r="O67" s="90"/>
      <c r="P67" s="90"/>
      <c r="Q67" s="90"/>
      <c r="R67" s="90"/>
      <c r="S67" s="90"/>
      <c r="T67" s="90">
        <v>-726</v>
      </c>
      <c r="U67" s="90"/>
      <c r="V67" s="90"/>
      <c r="W67" s="90"/>
      <c r="X67" s="446"/>
      <c r="Y67" s="90"/>
      <c r="Z67" s="90"/>
      <c r="AA67" s="90"/>
      <c r="AB67" s="90"/>
      <c r="AC67" s="90">
        <v>0</v>
      </c>
      <c r="AD67" s="90">
        <f t="shared" si="128"/>
        <v>0</v>
      </c>
      <c r="AE67" s="90">
        <f t="shared" si="129"/>
        <v>0</v>
      </c>
      <c r="AF67" s="90"/>
      <c r="AG67" s="90"/>
      <c r="AH67" s="90"/>
      <c r="AI67" s="90"/>
      <c r="AJ67" s="90"/>
      <c r="AK67" s="90"/>
      <c r="AL67" s="446"/>
      <c r="AM67" s="90"/>
      <c r="AN67" s="90"/>
      <c r="AO67" s="90">
        <v>0</v>
      </c>
      <c r="AP67" s="90">
        <f t="shared" si="130"/>
        <v>0</v>
      </c>
      <c r="AQ67" s="90">
        <f t="shared" si="131"/>
        <v>0</v>
      </c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>
        <v>0</v>
      </c>
      <c r="BC67" s="122">
        <f t="shared" si="132"/>
        <v>0</v>
      </c>
      <c r="BD67" s="122">
        <f t="shared" si="133"/>
        <v>0</v>
      </c>
      <c r="BE67" s="122"/>
      <c r="BF67" s="122"/>
      <c r="BG67" s="122"/>
      <c r="BH67" s="122"/>
      <c r="BI67" s="122"/>
      <c r="BJ67" s="122"/>
      <c r="BK67" s="122"/>
      <c r="BL67" s="122"/>
      <c r="BM67" s="90">
        <f t="shared" si="134"/>
        <v>0</v>
      </c>
      <c r="BN67" s="90">
        <f t="shared" si="135"/>
        <v>0</v>
      </c>
      <c r="BO67" s="90"/>
      <c r="BP67" s="90"/>
      <c r="BQ67" s="90"/>
      <c r="BR67" s="90"/>
      <c r="BS67" s="90"/>
      <c r="BT67" s="387"/>
      <c r="BU67" s="90"/>
      <c r="BV67" s="90"/>
      <c r="BW67" s="336"/>
      <c r="BX67" s="103" t="s">
        <v>375</v>
      </c>
      <c r="BY67" s="107" t="s">
        <v>687</v>
      </c>
      <c r="BZ67" s="36"/>
      <c r="CA67" s="36"/>
      <c r="CB67" s="36"/>
      <c r="CC67" s="36"/>
      <c r="CD67" s="36"/>
      <c r="CE67" s="36"/>
      <c r="CF67" s="36"/>
      <c r="CG67" s="36"/>
    </row>
    <row r="68" spans="1:85" ht="39.75" customHeight="1" x14ac:dyDescent="0.2">
      <c r="A68" s="146"/>
      <c r="B68" s="117"/>
      <c r="C68" s="279"/>
      <c r="D68" s="280"/>
      <c r="E68" s="100" t="s">
        <v>247</v>
      </c>
      <c r="F68" s="347">
        <f t="shared" si="118"/>
        <v>2421468</v>
      </c>
      <c r="G68" s="101">
        <f t="shared" si="119"/>
        <v>2420148</v>
      </c>
      <c r="H68" s="102">
        <v>2421468</v>
      </c>
      <c r="I68" s="102">
        <f t="shared" si="126"/>
        <v>2420148</v>
      </c>
      <c r="J68" s="102">
        <f t="shared" si="127"/>
        <v>-1320</v>
      </c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>
        <v>-1320</v>
      </c>
      <c r="V68" s="102"/>
      <c r="W68" s="102"/>
      <c r="X68" s="445"/>
      <c r="Y68" s="102"/>
      <c r="Z68" s="102"/>
      <c r="AA68" s="102"/>
      <c r="AB68" s="102"/>
      <c r="AC68" s="102">
        <v>0</v>
      </c>
      <c r="AD68" s="102">
        <f t="shared" si="128"/>
        <v>0</v>
      </c>
      <c r="AE68" s="102">
        <f t="shared" si="129"/>
        <v>0</v>
      </c>
      <c r="AF68" s="102"/>
      <c r="AG68" s="102"/>
      <c r="AH68" s="102"/>
      <c r="AI68" s="102"/>
      <c r="AJ68" s="102"/>
      <c r="AK68" s="102"/>
      <c r="AL68" s="445"/>
      <c r="AM68" s="102"/>
      <c r="AN68" s="102"/>
      <c r="AO68" s="102">
        <v>0</v>
      </c>
      <c r="AP68" s="102">
        <f t="shared" si="130"/>
        <v>0</v>
      </c>
      <c r="AQ68" s="102">
        <f t="shared" si="131"/>
        <v>0</v>
      </c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>
        <v>0</v>
      </c>
      <c r="BC68" s="123">
        <f t="shared" si="132"/>
        <v>0</v>
      </c>
      <c r="BD68" s="123">
        <f t="shared" si="133"/>
        <v>0</v>
      </c>
      <c r="BE68" s="123"/>
      <c r="BF68" s="123"/>
      <c r="BG68" s="123"/>
      <c r="BH68" s="123"/>
      <c r="BI68" s="123"/>
      <c r="BJ68" s="123"/>
      <c r="BK68" s="123"/>
      <c r="BL68" s="123"/>
      <c r="BM68" s="102">
        <f t="shared" si="134"/>
        <v>0</v>
      </c>
      <c r="BN68" s="102">
        <f t="shared" si="135"/>
        <v>0</v>
      </c>
      <c r="BO68" s="102"/>
      <c r="BP68" s="102"/>
      <c r="BQ68" s="102"/>
      <c r="BR68" s="102"/>
      <c r="BS68" s="102"/>
      <c r="BT68" s="389"/>
      <c r="BU68" s="102"/>
      <c r="BV68" s="102"/>
      <c r="BW68" s="335"/>
      <c r="BX68" s="103" t="s">
        <v>376</v>
      </c>
      <c r="BY68" s="107" t="s">
        <v>504</v>
      </c>
      <c r="BZ68" s="36"/>
      <c r="CA68" s="36"/>
      <c r="CB68" s="36"/>
      <c r="CC68" s="36"/>
      <c r="CD68" s="36"/>
      <c r="CE68" s="36"/>
      <c r="CF68" s="36"/>
      <c r="CG68" s="36"/>
    </row>
    <row r="69" spans="1:85" ht="36" x14ac:dyDescent="0.2">
      <c r="A69" s="146"/>
      <c r="B69" s="117"/>
      <c r="C69" s="295"/>
      <c r="D69" s="296"/>
      <c r="E69" s="100" t="s">
        <v>672</v>
      </c>
      <c r="F69" s="347">
        <f t="shared" si="118"/>
        <v>1445494</v>
      </c>
      <c r="G69" s="101">
        <f t="shared" si="119"/>
        <v>1421347</v>
      </c>
      <c r="H69" s="102">
        <v>820112</v>
      </c>
      <c r="I69" s="102">
        <f t="shared" si="126"/>
        <v>795965</v>
      </c>
      <c r="J69" s="102">
        <f t="shared" si="127"/>
        <v>-24147</v>
      </c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>
        <v>-24147</v>
      </c>
      <c r="X69" s="445"/>
      <c r="Y69" s="102"/>
      <c r="Z69" s="102"/>
      <c r="AA69" s="102"/>
      <c r="AB69" s="102"/>
      <c r="AC69" s="102">
        <v>625382</v>
      </c>
      <c r="AD69" s="102">
        <f t="shared" si="128"/>
        <v>625382</v>
      </c>
      <c r="AE69" s="102">
        <f t="shared" si="129"/>
        <v>0</v>
      </c>
      <c r="AF69" s="102"/>
      <c r="AG69" s="102"/>
      <c r="AH69" s="102"/>
      <c r="AI69" s="102"/>
      <c r="AJ69" s="102"/>
      <c r="AK69" s="102"/>
      <c r="AL69" s="445"/>
      <c r="AM69" s="102"/>
      <c r="AN69" s="102"/>
      <c r="AO69" s="102">
        <v>0</v>
      </c>
      <c r="AP69" s="102">
        <f t="shared" si="130"/>
        <v>0</v>
      </c>
      <c r="AQ69" s="102">
        <f t="shared" si="131"/>
        <v>0</v>
      </c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>
        <v>0</v>
      </c>
      <c r="BC69" s="123">
        <f t="shared" si="132"/>
        <v>0</v>
      </c>
      <c r="BD69" s="123">
        <f t="shared" si="133"/>
        <v>0</v>
      </c>
      <c r="BE69" s="123"/>
      <c r="BF69" s="123"/>
      <c r="BG69" s="123"/>
      <c r="BH69" s="123"/>
      <c r="BI69" s="123"/>
      <c r="BJ69" s="123"/>
      <c r="BK69" s="123"/>
      <c r="BL69" s="123"/>
      <c r="BM69" s="102">
        <f t="shared" si="134"/>
        <v>0</v>
      </c>
      <c r="BN69" s="102">
        <f t="shared" si="135"/>
        <v>0</v>
      </c>
      <c r="BO69" s="102"/>
      <c r="BP69" s="102"/>
      <c r="BQ69" s="102"/>
      <c r="BR69" s="102"/>
      <c r="BS69" s="102"/>
      <c r="BT69" s="389"/>
      <c r="BU69" s="102"/>
      <c r="BV69" s="102"/>
      <c r="BW69" s="335"/>
      <c r="BX69" s="103" t="s">
        <v>377</v>
      </c>
      <c r="BY69" s="107" t="s">
        <v>501</v>
      </c>
      <c r="BZ69" s="36"/>
      <c r="CA69" s="36"/>
      <c r="CB69" s="36"/>
      <c r="CC69" s="36"/>
      <c r="CD69" s="36"/>
      <c r="CE69" s="36"/>
      <c r="CF69" s="36"/>
      <c r="CG69" s="36"/>
    </row>
    <row r="70" spans="1:85" s="390" customFormat="1" ht="60" x14ac:dyDescent="0.2">
      <c r="A70" s="146"/>
      <c r="B70" s="117"/>
      <c r="C70" s="391"/>
      <c r="D70" s="392"/>
      <c r="E70" s="100" t="s">
        <v>780</v>
      </c>
      <c r="F70" s="347">
        <f t="shared" ref="F70" si="136">H70+AC70+AO70+BA70+BB70+BL70</f>
        <v>0</v>
      </c>
      <c r="G70" s="101">
        <f t="shared" ref="G70" si="137">I70+AD70+AP70+BA70+BC70+BM70</f>
        <v>18902</v>
      </c>
      <c r="H70" s="102"/>
      <c r="I70" s="102">
        <f t="shared" ref="I70" si="138">J70+H70</f>
        <v>18902</v>
      </c>
      <c r="J70" s="102">
        <f t="shared" ref="J70" si="139">SUM(K70:AB70)</f>
        <v>18902</v>
      </c>
      <c r="K70" s="102"/>
      <c r="L70" s="102"/>
      <c r="M70" s="102"/>
      <c r="N70" s="102"/>
      <c r="O70" s="102"/>
      <c r="P70" s="102"/>
      <c r="Q70" s="102"/>
      <c r="R70" s="102">
        <v>18902</v>
      </c>
      <c r="S70" s="102"/>
      <c r="T70" s="102"/>
      <c r="U70" s="102"/>
      <c r="V70" s="102"/>
      <c r="W70" s="102"/>
      <c r="X70" s="445"/>
      <c r="Y70" s="102"/>
      <c r="Z70" s="102"/>
      <c r="AA70" s="102"/>
      <c r="AB70" s="102"/>
      <c r="AC70" s="102"/>
      <c r="AD70" s="102">
        <f t="shared" ref="AD70" si="140">AC70+AE70</f>
        <v>0</v>
      </c>
      <c r="AE70" s="102">
        <f t="shared" ref="AE70" si="141">SUM(AF70:AN70)</f>
        <v>0</v>
      </c>
      <c r="AF70" s="102"/>
      <c r="AG70" s="102"/>
      <c r="AH70" s="102"/>
      <c r="AI70" s="102"/>
      <c r="AJ70" s="102"/>
      <c r="AK70" s="102"/>
      <c r="AL70" s="445"/>
      <c r="AM70" s="102"/>
      <c r="AN70" s="102"/>
      <c r="AO70" s="102"/>
      <c r="AP70" s="102">
        <f t="shared" ref="AP70" si="142">AQ70+AO70</f>
        <v>0</v>
      </c>
      <c r="AQ70" s="102">
        <f t="shared" ref="AQ70" si="143">SUM(AR70:AZ70)</f>
        <v>0</v>
      </c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02"/>
      <c r="BC70" s="123">
        <f t="shared" ref="BC70" si="144">BB70+BD70</f>
        <v>0</v>
      </c>
      <c r="BD70" s="123">
        <f t="shared" ref="BD70" si="145">SUM(BE70:BK70)</f>
        <v>0</v>
      </c>
      <c r="BE70" s="123"/>
      <c r="BF70" s="123"/>
      <c r="BG70" s="123"/>
      <c r="BH70" s="123"/>
      <c r="BI70" s="123"/>
      <c r="BJ70" s="123"/>
      <c r="BK70" s="123"/>
      <c r="BL70" s="123"/>
      <c r="BM70" s="102">
        <f t="shared" ref="BM70" si="146">BN70+BL70</f>
        <v>0</v>
      </c>
      <c r="BN70" s="102">
        <f t="shared" ref="BN70" si="147">SUM(BO70:BW70)</f>
        <v>0</v>
      </c>
      <c r="BO70" s="102"/>
      <c r="BP70" s="102"/>
      <c r="BQ70" s="102"/>
      <c r="BR70" s="102"/>
      <c r="BS70" s="102"/>
      <c r="BT70" s="389"/>
      <c r="BU70" s="102"/>
      <c r="BV70" s="102"/>
      <c r="BW70" s="335"/>
      <c r="BX70" s="103" t="s">
        <v>781</v>
      </c>
      <c r="BY70" s="107"/>
      <c r="BZ70" s="36"/>
      <c r="CA70" s="36"/>
      <c r="CB70" s="36"/>
      <c r="CC70" s="36"/>
      <c r="CD70" s="36"/>
      <c r="CE70" s="36"/>
      <c r="CF70" s="36"/>
      <c r="CG70" s="36"/>
    </row>
    <row r="71" spans="1:85" ht="36" x14ac:dyDescent="0.2">
      <c r="A71" s="146">
        <v>40003275333</v>
      </c>
      <c r="B71" s="117"/>
      <c r="C71" s="495" t="s">
        <v>355</v>
      </c>
      <c r="D71" s="496"/>
      <c r="E71" s="100" t="s">
        <v>275</v>
      </c>
      <c r="F71" s="347">
        <f t="shared" si="118"/>
        <v>349051</v>
      </c>
      <c r="G71" s="101">
        <f t="shared" si="119"/>
        <v>445611</v>
      </c>
      <c r="H71" s="102">
        <v>349051</v>
      </c>
      <c r="I71" s="102">
        <f t="shared" si="126"/>
        <v>445611</v>
      </c>
      <c r="J71" s="102">
        <f t="shared" si="127"/>
        <v>96560</v>
      </c>
      <c r="K71" s="102"/>
      <c r="L71" s="102"/>
      <c r="M71" s="102"/>
      <c r="N71" s="102"/>
      <c r="O71" s="102"/>
      <c r="P71" s="102"/>
      <c r="Q71" s="102"/>
      <c r="R71" s="102">
        <v>-7500</v>
      </c>
      <c r="S71" s="102"/>
      <c r="T71" s="102">
        <v>104060</v>
      </c>
      <c r="U71" s="102"/>
      <c r="V71" s="102"/>
      <c r="W71" s="102"/>
      <c r="X71" s="445"/>
      <c r="Y71" s="102"/>
      <c r="Z71" s="102"/>
      <c r="AA71" s="102"/>
      <c r="AB71" s="102"/>
      <c r="AC71" s="102">
        <v>0</v>
      </c>
      <c r="AD71" s="102">
        <f t="shared" si="128"/>
        <v>0</v>
      </c>
      <c r="AE71" s="102">
        <f t="shared" si="129"/>
        <v>0</v>
      </c>
      <c r="AF71" s="102"/>
      <c r="AG71" s="102"/>
      <c r="AH71" s="102"/>
      <c r="AI71" s="102"/>
      <c r="AJ71" s="102"/>
      <c r="AK71" s="102"/>
      <c r="AL71" s="445"/>
      <c r="AM71" s="102"/>
      <c r="AN71" s="102"/>
      <c r="AO71" s="102">
        <v>0</v>
      </c>
      <c r="AP71" s="123">
        <f t="shared" si="130"/>
        <v>0</v>
      </c>
      <c r="AQ71" s="123">
        <f t="shared" si="131"/>
        <v>0</v>
      </c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02">
        <v>0</v>
      </c>
      <c r="BC71" s="123">
        <f t="shared" si="132"/>
        <v>0</v>
      </c>
      <c r="BD71" s="123">
        <f t="shared" si="133"/>
        <v>0</v>
      </c>
      <c r="BE71" s="123"/>
      <c r="BF71" s="123"/>
      <c r="BG71" s="123"/>
      <c r="BH71" s="123"/>
      <c r="BI71" s="123"/>
      <c r="BJ71" s="123"/>
      <c r="BK71" s="123"/>
      <c r="BL71" s="123"/>
      <c r="BM71" s="102">
        <f t="shared" si="134"/>
        <v>0</v>
      </c>
      <c r="BN71" s="102">
        <f t="shared" si="135"/>
        <v>0</v>
      </c>
      <c r="BO71" s="102"/>
      <c r="BP71" s="102"/>
      <c r="BQ71" s="102"/>
      <c r="BR71" s="102"/>
      <c r="BS71" s="102"/>
      <c r="BT71" s="389"/>
      <c r="BU71" s="102"/>
      <c r="BV71" s="102"/>
      <c r="BW71" s="335"/>
      <c r="BX71" s="103" t="s">
        <v>378</v>
      </c>
      <c r="BY71" s="107"/>
      <c r="BZ71" s="36"/>
      <c r="CA71" s="36"/>
      <c r="CB71" s="36"/>
      <c r="CC71" s="36"/>
      <c r="CD71" s="36"/>
      <c r="CE71" s="36"/>
      <c r="CF71" s="36"/>
      <c r="CG71" s="36"/>
    </row>
    <row r="72" spans="1:85" ht="36" x14ac:dyDescent="0.2">
      <c r="A72" s="146"/>
      <c r="B72" s="117"/>
      <c r="C72" s="261"/>
      <c r="D72" s="260"/>
      <c r="E72" s="100" t="s">
        <v>358</v>
      </c>
      <c r="F72" s="347">
        <f t="shared" si="118"/>
        <v>403496</v>
      </c>
      <c r="G72" s="101">
        <f t="shared" si="119"/>
        <v>515396</v>
      </c>
      <c r="H72" s="102">
        <v>403496</v>
      </c>
      <c r="I72" s="102">
        <f t="shared" si="126"/>
        <v>515396</v>
      </c>
      <c r="J72" s="102">
        <f t="shared" si="127"/>
        <v>111900</v>
      </c>
      <c r="K72" s="102"/>
      <c r="L72" s="102"/>
      <c r="M72" s="102"/>
      <c r="N72" s="102"/>
      <c r="O72" s="102"/>
      <c r="P72" s="102">
        <v>16300</v>
      </c>
      <c r="Q72" s="102"/>
      <c r="R72" s="102">
        <v>7500</v>
      </c>
      <c r="S72" s="102"/>
      <c r="T72" s="102">
        <v>88100</v>
      </c>
      <c r="U72" s="102"/>
      <c r="V72" s="102"/>
      <c r="W72" s="102"/>
      <c r="X72" s="445"/>
      <c r="Y72" s="102"/>
      <c r="Z72" s="102"/>
      <c r="AA72" s="102"/>
      <c r="AB72" s="102"/>
      <c r="AC72" s="102">
        <v>0</v>
      </c>
      <c r="AD72" s="102">
        <f t="shared" si="128"/>
        <v>0</v>
      </c>
      <c r="AE72" s="102">
        <f t="shared" si="129"/>
        <v>0</v>
      </c>
      <c r="AF72" s="102"/>
      <c r="AG72" s="102"/>
      <c r="AH72" s="102"/>
      <c r="AI72" s="102"/>
      <c r="AJ72" s="102"/>
      <c r="AK72" s="102"/>
      <c r="AL72" s="445"/>
      <c r="AM72" s="102"/>
      <c r="AN72" s="102"/>
      <c r="AO72" s="102">
        <v>0</v>
      </c>
      <c r="AP72" s="123">
        <f t="shared" si="130"/>
        <v>0</v>
      </c>
      <c r="AQ72" s="123">
        <f t="shared" si="131"/>
        <v>0</v>
      </c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>
        <v>0</v>
      </c>
      <c r="BC72" s="123">
        <f t="shared" si="132"/>
        <v>0</v>
      </c>
      <c r="BD72" s="123">
        <f t="shared" si="133"/>
        <v>0</v>
      </c>
      <c r="BE72" s="123"/>
      <c r="BF72" s="123"/>
      <c r="BG72" s="123"/>
      <c r="BH72" s="123"/>
      <c r="BI72" s="123"/>
      <c r="BJ72" s="123"/>
      <c r="BK72" s="123"/>
      <c r="BL72" s="123"/>
      <c r="BM72" s="102">
        <f t="shared" si="134"/>
        <v>0</v>
      </c>
      <c r="BN72" s="102">
        <f t="shared" si="135"/>
        <v>0</v>
      </c>
      <c r="BO72" s="102"/>
      <c r="BP72" s="102"/>
      <c r="BQ72" s="102"/>
      <c r="BR72" s="102"/>
      <c r="BS72" s="102"/>
      <c r="BT72" s="389"/>
      <c r="BU72" s="102"/>
      <c r="BV72" s="102"/>
      <c r="BW72" s="335"/>
      <c r="BX72" s="103" t="s">
        <v>399</v>
      </c>
      <c r="BY72" s="107"/>
      <c r="BZ72" s="36"/>
      <c r="CA72" s="36"/>
      <c r="CB72" s="36"/>
      <c r="CC72" s="36"/>
      <c r="CD72" s="36"/>
      <c r="CE72" s="36"/>
      <c r="CF72" s="36"/>
      <c r="CG72" s="36"/>
    </row>
    <row r="73" spans="1:85" ht="12.75" thickBot="1" x14ac:dyDescent="0.25">
      <c r="A73" s="146"/>
      <c r="B73" s="133"/>
      <c r="C73" s="502"/>
      <c r="D73" s="503"/>
      <c r="E73" s="144"/>
      <c r="F73" s="348"/>
      <c r="G73" s="89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446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446"/>
      <c r="AM73" s="90"/>
      <c r="AN73" s="90"/>
      <c r="AO73" s="90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  <c r="BK73" s="122"/>
      <c r="BL73" s="122"/>
      <c r="BM73" s="90"/>
      <c r="BN73" s="90"/>
      <c r="BO73" s="90"/>
      <c r="BP73" s="90"/>
      <c r="BQ73" s="90"/>
      <c r="BR73" s="90"/>
      <c r="BS73" s="90"/>
      <c r="BT73" s="387"/>
      <c r="BU73" s="90"/>
      <c r="BV73" s="90"/>
      <c r="BW73" s="336"/>
      <c r="BX73" s="91"/>
      <c r="BY73" s="108"/>
      <c r="BZ73" s="36"/>
      <c r="CA73" s="36"/>
      <c r="CB73" s="36"/>
      <c r="CC73" s="36"/>
      <c r="CD73" s="36"/>
      <c r="CE73" s="36"/>
      <c r="CF73" s="36"/>
      <c r="CG73" s="36"/>
    </row>
    <row r="74" spans="1:85" ht="27.75" customHeight="1" thickBot="1" x14ac:dyDescent="0.25">
      <c r="A74" s="173"/>
      <c r="B74" s="499" t="s">
        <v>11</v>
      </c>
      <c r="C74" s="499"/>
      <c r="D74" s="170" t="s">
        <v>180</v>
      </c>
      <c r="E74" s="16"/>
      <c r="F74" s="349">
        <f t="shared" ref="F74:F89" si="148">H74+AC74+AO74+BA74+BB74+BL74</f>
        <v>11682575.92</v>
      </c>
      <c r="G74" s="17">
        <f t="shared" ref="G74:G89" si="149">I74+AD74+AP74+BA74+BC74+BM74</f>
        <v>13051600.92</v>
      </c>
      <c r="H74" s="10">
        <f t="shared" ref="H74:BW74" si="150">SUM(H75:H90)</f>
        <v>9660536.9199999999</v>
      </c>
      <c r="I74" s="10">
        <f t="shared" si="150"/>
        <v>11028956.92</v>
      </c>
      <c r="J74" s="10">
        <f t="shared" si="150"/>
        <v>1368420</v>
      </c>
      <c r="K74" s="10">
        <f t="shared" si="150"/>
        <v>0</v>
      </c>
      <c r="L74" s="10">
        <f t="shared" si="150"/>
        <v>0</v>
      </c>
      <c r="M74" s="10">
        <f t="shared" si="150"/>
        <v>1091180</v>
      </c>
      <c r="N74" s="10">
        <f t="shared" si="150"/>
        <v>158617</v>
      </c>
      <c r="O74" s="10">
        <f t="shared" si="150"/>
        <v>0</v>
      </c>
      <c r="P74" s="10">
        <f t="shared" si="150"/>
        <v>-3539</v>
      </c>
      <c r="Q74" s="10">
        <f t="shared" si="150"/>
        <v>8000</v>
      </c>
      <c r="R74" s="10">
        <f t="shared" si="150"/>
        <v>24020</v>
      </c>
      <c r="S74" s="10">
        <f t="shared" si="150"/>
        <v>0</v>
      </c>
      <c r="T74" s="10">
        <f t="shared" si="150"/>
        <v>1995</v>
      </c>
      <c r="U74" s="10">
        <f t="shared" ref="U74:V74" si="151">SUM(U75:U90)</f>
        <v>0</v>
      </c>
      <c r="V74" s="10">
        <f t="shared" si="151"/>
        <v>6000</v>
      </c>
      <c r="W74" s="10">
        <f t="shared" si="150"/>
        <v>82147</v>
      </c>
      <c r="X74" s="444">
        <f t="shared" ref="X74:AA74" si="152">SUM(X75:X90)</f>
        <v>0</v>
      </c>
      <c r="Y74" s="10">
        <f t="shared" si="152"/>
        <v>0</v>
      </c>
      <c r="Z74" s="10">
        <f t="shared" si="152"/>
        <v>0</v>
      </c>
      <c r="AA74" s="10">
        <f t="shared" si="152"/>
        <v>0</v>
      </c>
      <c r="AB74" s="10">
        <f t="shared" si="150"/>
        <v>0</v>
      </c>
      <c r="AC74" s="10">
        <f t="shared" si="150"/>
        <v>0</v>
      </c>
      <c r="AD74" s="10">
        <f t="shared" si="150"/>
        <v>0</v>
      </c>
      <c r="AE74" s="10">
        <f t="shared" si="150"/>
        <v>0</v>
      </c>
      <c r="AF74" s="10">
        <f t="shared" si="150"/>
        <v>0</v>
      </c>
      <c r="AG74" s="10">
        <f t="shared" si="150"/>
        <v>0</v>
      </c>
      <c r="AH74" s="10">
        <f t="shared" si="150"/>
        <v>0</v>
      </c>
      <c r="AI74" s="10">
        <f t="shared" si="150"/>
        <v>0</v>
      </c>
      <c r="AJ74" s="10">
        <f t="shared" si="150"/>
        <v>0</v>
      </c>
      <c r="AK74" s="10">
        <f t="shared" ref="AK74:AM74" si="153">SUM(AK75:AK90)</f>
        <v>0</v>
      </c>
      <c r="AL74" s="444">
        <f t="shared" si="153"/>
        <v>0</v>
      </c>
      <c r="AM74" s="10">
        <f t="shared" si="153"/>
        <v>0</v>
      </c>
      <c r="AN74" s="10">
        <f t="shared" si="150"/>
        <v>0</v>
      </c>
      <c r="AO74" s="10">
        <f t="shared" si="150"/>
        <v>354674</v>
      </c>
      <c r="AP74" s="10">
        <f t="shared" si="150"/>
        <v>355224</v>
      </c>
      <c r="AQ74" s="10">
        <f t="shared" si="150"/>
        <v>550</v>
      </c>
      <c r="AR74" s="10">
        <f t="shared" si="150"/>
        <v>0</v>
      </c>
      <c r="AS74" s="10">
        <f t="shared" si="150"/>
        <v>0</v>
      </c>
      <c r="AT74" s="10">
        <f t="shared" si="150"/>
        <v>550</v>
      </c>
      <c r="AU74" s="10">
        <f t="shared" si="150"/>
        <v>0</v>
      </c>
      <c r="AV74" s="10">
        <f t="shared" si="150"/>
        <v>0</v>
      </c>
      <c r="AW74" s="10">
        <f t="shared" ref="AW74:AY74" si="154">SUM(AW75:AW90)</f>
        <v>0</v>
      </c>
      <c r="AX74" s="10">
        <f t="shared" si="154"/>
        <v>0</v>
      </c>
      <c r="AY74" s="10">
        <f t="shared" si="154"/>
        <v>0</v>
      </c>
      <c r="AZ74" s="10">
        <f t="shared" si="150"/>
        <v>0</v>
      </c>
      <c r="BA74" s="10">
        <f t="shared" si="150"/>
        <v>1669081</v>
      </c>
      <c r="BB74" s="10">
        <f t="shared" si="150"/>
        <v>0</v>
      </c>
      <c r="BC74" s="10">
        <f t="shared" si="150"/>
        <v>0</v>
      </c>
      <c r="BD74" s="10">
        <f t="shared" si="150"/>
        <v>0</v>
      </c>
      <c r="BE74" s="10">
        <f t="shared" si="150"/>
        <v>0</v>
      </c>
      <c r="BF74" s="10">
        <f t="shared" si="150"/>
        <v>0</v>
      </c>
      <c r="BG74" s="10">
        <f t="shared" si="150"/>
        <v>0</v>
      </c>
      <c r="BH74" s="10">
        <f t="shared" si="150"/>
        <v>0</v>
      </c>
      <c r="BI74" s="10">
        <f t="shared" si="150"/>
        <v>0</v>
      </c>
      <c r="BJ74" s="10">
        <f t="shared" si="150"/>
        <v>0</v>
      </c>
      <c r="BK74" s="10">
        <f t="shared" si="150"/>
        <v>0</v>
      </c>
      <c r="BL74" s="10">
        <f t="shared" si="150"/>
        <v>-1716</v>
      </c>
      <c r="BM74" s="10">
        <f t="shared" si="150"/>
        <v>-1661</v>
      </c>
      <c r="BN74" s="10">
        <f t="shared" si="150"/>
        <v>55</v>
      </c>
      <c r="BO74" s="10">
        <f t="shared" si="150"/>
        <v>0</v>
      </c>
      <c r="BP74" s="10">
        <f t="shared" si="150"/>
        <v>0</v>
      </c>
      <c r="BQ74" s="10">
        <f t="shared" si="150"/>
        <v>0</v>
      </c>
      <c r="BR74" s="10">
        <f t="shared" si="150"/>
        <v>55</v>
      </c>
      <c r="BS74" s="10">
        <f t="shared" si="150"/>
        <v>0</v>
      </c>
      <c r="BT74" s="121">
        <f t="shared" ref="BT74:BV74" si="155">SUM(BT75:BT90)</f>
        <v>0</v>
      </c>
      <c r="BU74" s="10">
        <f t="shared" si="155"/>
        <v>0</v>
      </c>
      <c r="BV74" s="10">
        <f t="shared" si="155"/>
        <v>0</v>
      </c>
      <c r="BW74" s="404">
        <f t="shared" si="150"/>
        <v>0</v>
      </c>
      <c r="BX74" s="18"/>
      <c r="BY74" s="109"/>
      <c r="BZ74" s="36"/>
      <c r="CA74" s="36"/>
      <c r="CB74" s="36"/>
      <c r="CC74" s="36"/>
      <c r="CD74" s="36"/>
      <c r="CE74" s="36"/>
      <c r="CF74" s="36"/>
      <c r="CG74" s="36"/>
    </row>
    <row r="75" spans="1:85" s="119" customFormat="1" ht="13.5" thickTop="1" x14ac:dyDescent="0.2">
      <c r="A75" s="146">
        <v>90000056357</v>
      </c>
      <c r="B75" s="172"/>
      <c r="C75" s="497" t="s">
        <v>5</v>
      </c>
      <c r="D75" s="498"/>
      <c r="E75" s="287" t="s">
        <v>197</v>
      </c>
      <c r="F75" s="351">
        <f t="shared" si="148"/>
        <v>2656124</v>
      </c>
      <c r="G75" s="104">
        <f t="shared" si="149"/>
        <v>2656124</v>
      </c>
      <c r="H75" s="223">
        <v>2498734</v>
      </c>
      <c r="I75" s="223">
        <f t="shared" ref="I75:I89" si="156">J75+H75</f>
        <v>2498734</v>
      </c>
      <c r="J75" s="223">
        <f t="shared" ref="J75:J89" si="157">SUM(K75:AB75)</f>
        <v>0</v>
      </c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449"/>
      <c r="Y75" s="223"/>
      <c r="Z75" s="223"/>
      <c r="AA75" s="223"/>
      <c r="AB75" s="223"/>
      <c r="AC75" s="223">
        <v>0</v>
      </c>
      <c r="AD75" s="223">
        <f t="shared" ref="AD75:AD89" si="158">AC75+AE75</f>
        <v>0</v>
      </c>
      <c r="AE75" s="223">
        <f t="shared" ref="AE75:AE89" si="159">SUM(AF75:AN75)</f>
        <v>0</v>
      </c>
      <c r="AF75" s="223"/>
      <c r="AG75" s="223"/>
      <c r="AH75" s="223"/>
      <c r="AI75" s="223"/>
      <c r="AJ75" s="223"/>
      <c r="AK75" s="223"/>
      <c r="AL75" s="449"/>
      <c r="AM75" s="223"/>
      <c r="AN75" s="223"/>
      <c r="AO75" s="223">
        <v>158500</v>
      </c>
      <c r="AP75" s="223">
        <f t="shared" ref="AP75:AP89" si="160">AQ75+AO75</f>
        <v>159050</v>
      </c>
      <c r="AQ75" s="223">
        <f t="shared" ref="AQ75:AQ89" si="161">SUM(AR75:AZ75)</f>
        <v>550</v>
      </c>
      <c r="AR75" s="223"/>
      <c r="AS75" s="223"/>
      <c r="AT75" s="223">
        <v>550</v>
      </c>
      <c r="AU75" s="223"/>
      <c r="AV75" s="223"/>
      <c r="AW75" s="223"/>
      <c r="AX75" s="223"/>
      <c r="AY75" s="223"/>
      <c r="AZ75" s="223"/>
      <c r="BA75" s="223"/>
      <c r="BB75" s="223">
        <v>0</v>
      </c>
      <c r="BC75" s="329">
        <f t="shared" ref="BC75:BC89" si="162">BB75+BD75</f>
        <v>0</v>
      </c>
      <c r="BD75" s="329">
        <f t="shared" ref="BD75:BD89" si="163">SUM(BE75:BK75)</f>
        <v>0</v>
      </c>
      <c r="BE75" s="329"/>
      <c r="BF75" s="329"/>
      <c r="BG75" s="329"/>
      <c r="BH75" s="329"/>
      <c r="BI75" s="329"/>
      <c r="BJ75" s="329"/>
      <c r="BK75" s="329"/>
      <c r="BL75" s="329">
        <v>-1110</v>
      </c>
      <c r="BM75" s="343">
        <f t="shared" ref="BM75:BM89" si="164">BN75+BL75</f>
        <v>-1660</v>
      </c>
      <c r="BN75" s="343">
        <f t="shared" ref="BN75:BN89" si="165">SUM(BO75:BW75)</f>
        <v>-550</v>
      </c>
      <c r="BO75" s="343"/>
      <c r="BP75" s="343"/>
      <c r="BQ75" s="343"/>
      <c r="BR75" s="343">
        <v>-550</v>
      </c>
      <c r="BS75" s="343"/>
      <c r="BT75" s="417"/>
      <c r="BU75" s="343"/>
      <c r="BV75" s="343"/>
      <c r="BW75" s="339"/>
      <c r="BX75" s="313" t="s">
        <v>382</v>
      </c>
      <c r="BY75" s="317"/>
      <c r="BZ75" s="36"/>
      <c r="CA75" s="36"/>
      <c r="CB75" s="36"/>
      <c r="CC75" s="36"/>
      <c r="CD75" s="36"/>
      <c r="CE75" s="36"/>
      <c r="CF75" s="36"/>
      <c r="CG75" s="36"/>
    </row>
    <row r="76" spans="1:85" s="119" customFormat="1" ht="12.75" x14ac:dyDescent="0.2">
      <c r="A76" s="146"/>
      <c r="C76" s="274"/>
      <c r="D76" s="275"/>
      <c r="E76" s="273" t="s">
        <v>293</v>
      </c>
      <c r="F76" s="350">
        <f t="shared" si="148"/>
        <v>2300</v>
      </c>
      <c r="G76" s="116">
        <f t="shared" si="149"/>
        <v>2300</v>
      </c>
      <c r="H76" s="222">
        <v>2300</v>
      </c>
      <c r="I76" s="222">
        <f t="shared" si="156"/>
        <v>2300</v>
      </c>
      <c r="J76" s="222">
        <f t="shared" si="157"/>
        <v>0</v>
      </c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447"/>
      <c r="Y76" s="222"/>
      <c r="Z76" s="222"/>
      <c r="AA76" s="222"/>
      <c r="AB76" s="222"/>
      <c r="AC76" s="222">
        <v>0</v>
      </c>
      <c r="AD76" s="222">
        <f t="shared" si="158"/>
        <v>0</v>
      </c>
      <c r="AE76" s="222">
        <f t="shared" si="159"/>
        <v>0</v>
      </c>
      <c r="AF76" s="222"/>
      <c r="AG76" s="222"/>
      <c r="AH76" s="222"/>
      <c r="AI76" s="222"/>
      <c r="AJ76" s="222"/>
      <c r="AK76" s="222"/>
      <c r="AL76" s="447"/>
      <c r="AM76" s="222"/>
      <c r="AN76" s="222"/>
      <c r="AO76" s="222">
        <v>0</v>
      </c>
      <c r="AP76" s="222">
        <f t="shared" si="160"/>
        <v>0</v>
      </c>
      <c r="AQ76" s="222">
        <f t="shared" si="161"/>
        <v>0</v>
      </c>
      <c r="AR76" s="222"/>
      <c r="AS76" s="222"/>
      <c r="AT76" s="222"/>
      <c r="AU76" s="222"/>
      <c r="AV76" s="222"/>
      <c r="AW76" s="222"/>
      <c r="AX76" s="222"/>
      <c r="AY76" s="222"/>
      <c r="AZ76" s="222"/>
      <c r="BA76" s="222"/>
      <c r="BB76" s="222">
        <v>0</v>
      </c>
      <c r="BC76" s="328">
        <f t="shared" si="162"/>
        <v>0</v>
      </c>
      <c r="BD76" s="328">
        <f t="shared" si="163"/>
        <v>0</v>
      </c>
      <c r="BE76" s="328"/>
      <c r="BF76" s="328"/>
      <c r="BG76" s="328"/>
      <c r="BH76" s="328"/>
      <c r="BI76" s="328"/>
      <c r="BJ76" s="328"/>
      <c r="BK76" s="328"/>
      <c r="BL76" s="328"/>
      <c r="BM76" s="222">
        <f t="shared" si="164"/>
        <v>0</v>
      </c>
      <c r="BN76" s="222">
        <f t="shared" si="165"/>
        <v>0</v>
      </c>
      <c r="BO76" s="222"/>
      <c r="BP76" s="222"/>
      <c r="BQ76" s="222"/>
      <c r="BR76" s="222"/>
      <c r="BS76" s="222"/>
      <c r="BT76" s="414"/>
      <c r="BU76" s="222"/>
      <c r="BV76" s="222"/>
      <c r="BW76" s="337"/>
      <c r="BX76" s="103" t="s">
        <v>383</v>
      </c>
      <c r="BY76" s="318"/>
      <c r="BZ76" s="36"/>
      <c r="CA76" s="36"/>
      <c r="CB76" s="36"/>
      <c r="CC76" s="36"/>
      <c r="CD76" s="36"/>
      <c r="CE76" s="36"/>
      <c r="CF76" s="36"/>
      <c r="CG76" s="36"/>
    </row>
    <row r="77" spans="1:85" s="117" customFormat="1" ht="24" x14ac:dyDescent="0.2">
      <c r="A77" s="146"/>
      <c r="C77" s="279"/>
      <c r="D77" s="280"/>
      <c r="E77" s="281" t="s">
        <v>325</v>
      </c>
      <c r="F77" s="347">
        <f t="shared" si="148"/>
        <v>579077.91999999993</v>
      </c>
      <c r="G77" s="101">
        <f t="shared" si="149"/>
        <v>594130.91999999993</v>
      </c>
      <c r="H77" s="102">
        <v>579077.91999999993</v>
      </c>
      <c r="I77" s="102">
        <f t="shared" si="156"/>
        <v>594130.91999999993</v>
      </c>
      <c r="J77" s="102">
        <f t="shared" si="157"/>
        <v>15053</v>
      </c>
      <c r="K77" s="102"/>
      <c r="L77" s="102"/>
      <c r="M77" s="102"/>
      <c r="N77" s="102"/>
      <c r="O77" s="102"/>
      <c r="P77" s="102"/>
      <c r="Q77" s="102"/>
      <c r="R77" s="102">
        <v>13058</v>
      </c>
      <c r="S77" s="102"/>
      <c r="T77" s="102">
        <v>1995</v>
      </c>
      <c r="U77" s="102"/>
      <c r="V77" s="102"/>
      <c r="W77" s="102"/>
      <c r="X77" s="445"/>
      <c r="Y77" s="102"/>
      <c r="Z77" s="102"/>
      <c r="AA77" s="102"/>
      <c r="AB77" s="102"/>
      <c r="AC77" s="102">
        <v>0</v>
      </c>
      <c r="AD77" s="102">
        <f t="shared" si="158"/>
        <v>0</v>
      </c>
      <c r="AE77" s="102">
        <f t="shared" si="159"/>
        <v>0</v>
      </c>
      <c r="AF77" s="102"/>
      <c r="AG77" s="102"/>
      <c r="AH77" s="102"/>
      <c r="AI77" s="102"/>
      <c r="AJ77" s="102"/>
      <c r="AK77" s="102"/>
      <c r="AL77" s="445"/>
      <c r="AM77" s="102"/>
      <c r="AN77" s="102"/>
      <c r="AO77" s="102">
        <v>0</v>
      </c>
      <c r="AP77" s="102">
        <f t="shared" si="160"/>
        <v>0</v>
      </c>
      <c r="AQ77" s="102">
        <f t="shared" si="161"/>
        <v>0</v>
      </c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>
        <v>0</v>
      </c>
      <c r="BC77" s="123">
        <f t="shared" si="162"/>
        <v>0</v>
      </c>
      <c r="BD77" s="123">
        <f t="shared" si="163"/>
        <v>0</v>
      </c>
      <c r="BE77" s="123"/>
      <c r="BF77" s="123"/>
      <c r="BG77" s="123"/>
      <c r="BH77" s="123"/>
      <c r="BI77" s="123"/>
      <c r="BJ77" s="123"/>
      <c r="BK77" s="123"/>
      <c r="BL77" s="123"/>
      <c r="BM77" s="102">
        <f t="shared" si="164"/>
        <v>0</v>
      </c>
      <c r="BN77" s="102">
        <f t="shared" si="165"/>
        <v>0</v>
      </c>
      <c r="BO77" s="102"/>
      <c r="BP77" s="102"/>
      <c r="BQ77" s="102"/>
      <c r="BR77" s="102"/>
      <c r="BS77" s="102"/>
      <c r="BT77" s="389"/>
      <c r="BU77" s="102"/>
      <c r="BV77" s="102"/>
      <c r="BW77" s="335"/>
      <c r="BX77" s="103" t="s">
        <v>385</v>
      </c>
      <c r="BY77" s="107" t="s">
        <v>689</v>
      </c>
      <c r="BZ77" s="36"/>
      <c r="CA77" s="36"/>
      <c r="CB77" s="36"/>
      <c r="CC77" s="36"/>
      <c r="CD77" s="36"/>
      <c r="CE77" s="36"/>
      <c r="CF77" s="36"/>
      <c r="CG77" s="36"/>
    </row>
    <row r="78" spans="1:85" s="117" customFormat="1" ht="12.75" x14ac:dyDescent="0.2">
      <c r="A78" s="146"/>
      <c r="C78" s="279"/>
      <c r="D78" s="280"/>
      <c r="E78" s="100" t="s">
        <v>243</v>
      </c>
      <c r="F78" s="347">
        <f t="shared" si="148"/>
        <v>180082</v>
      </c>
      <c r="G78" s="101">
        <f t="shared" si="149"/>
        <v>230082</v>
      </c>
      <c r="H78" s="102">
        <v>180082</v>
      </c>
      <c r="I78" s="102">
        <f t="shared" si="156"/>
        <v>230082</v>
      </c>
      <c r="J78" s="102">
        <f t="shared" si="157"/>
        <v>50000</v>
      </c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>
        <v>50000</v>
      </c>
      <c r="X78" s="445"/>
      <c r="Y78" s="102"/>
      <c r="Z78" s="102"/>
      <c r="AA78" s="102"/>
      <c r="AB78" s="102"/>
      <c r="AC78" s="102">
        <v>0</v>
      </c>
      <c r="AD78" s="102">
        <f t="shared" si="158"/>
        <v>0</v>
      </c>
      <c r="AE78" s="102">
        <f t="shared" si="159"/>
        <v>0</v>
      </c>
      <c r="AF78" s="102"/>
      <c r="AG78" s="102"/>
      <c r="AH78" s="102"/>
      <c r="AI78" s="102"/>
      <c r="AJ78" s="102"/>
      <c r="AK78" s="102"/>
      <c r="AL78" s="445"/>
      <c r="AM78" s="102"/>
      <c r="AN78" s="102"/>
      <c r="AO78" s="102">
        <v>0</v>
      </c>
      <c r="AP78" s="102">
        <f t="shared" si="160"/>
        <v>0</v>
      </c>
      <c r="AQ78" s="102">
        <f t="shared" si="161"/>
        <v>0</v>
      </c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>
        <v>0</v>
      </c>
      <c r="BC78" s="123">
        <f t="shared" si="162"/>
        <v>0</v>
      </c>
      <c r="BD78" s="123">
        <f t="shared" si="163"/>
        <v>0</v>
      </c>
      <c r="BE78" s="123"/>
      <c r="BF78" s="123"/>
      <c r="BG78" s="123"/>
      <c r="BH78" s="123"/>
      <c r="BI78" s="123"/>
      <c r="BJ78" s="123"/>
      <c r="BK78" s="123"/>
      <c r="BL78" s="123"/>
      <c r="BM78" s="102">
        <f t="shared" si="164"/>
        <v>0</v>
      </c>
      <c r="BN78" s="102">
        <f t="shared" si="165"/>
        <v>0</v>
      </c>
      <c r="BO78" s="102"/>
      <c r="BP78" s="102"/>
      <c r="BQ78" s="102"/>
      <c r="BR78" s="102"/>
      <c r="BS78" s="102"/>
      <c r="BT78" s="389"/>
      <c r="BU78" s="102"/>
      <c r="BV78" s="102"/>
      <c r="BW78" s="335"/>
      <c r="BX78" s="103" t="s">
        <v>384</v>
      </c>
      <c r="BY78" s="107" t="s">
        <v>503</v>
      </c>
      <c r="BZ78" s="36"/>
      <c r="CA78" s="36"/>
      <c r="CB78" s="36"/>
      <c r="CC78" s="36"/>
      <c r="CD78" s="36"/>
      <c r="CE78" s="36"/>
      <c r="CF78" s="36"/>
      <c r="CG78" s="36"/>
    </row>
    <row r="79" spans="1:85" s="117" customFormat="1" ht="24" x14ac:dyDescent="0.2">
      <c r="A79" s="146"/>
      <c r="C79" s="279"/>
      <c r="D79" s="280"/>
      <c r="E79" s="100" t="s">
        <v>238</v>
      </c>
      <c r="F79" s="347">
        <f t="shared" si="148"/>
        <v>929686</v>
      </c>
      <c r="G79" s="101">
        <f t="shared" si="149"/>
        <v>1019826</v>
      </c>
      <c r="H79" s="102">
        <v>892616</v>
      </c>
      <c r="I79" s="102">
        <f t="shared" si="156"/>
        <v>982756</v>
      </c>
      <c r="J79" s="102">
        <f t="shared" si="157"/>
        <v>90140</v>
      </c>
      <c r="K79" s="102"/>
      <c r="L79" s="102"/>
      <c r="M79" s="102">
        <v>53340</v>
      </c>
      <c r="N79" s="102">
        <v>30800</v>
      </c>
      <c r="O79" s="102"/>
      <c r="P79" s="102"/>
      <c r="Q79" s="102"/>
      <c r="R79" s="102"/>
      <c r="S79" s="102"/>
      <c r="T79" s="102"/>
      <c r="U79" s="102"/>
      <c r="V79" s="102">
        <v>6000</v>
      </c>
      <c r="W79" s="102"/>
      <c r="X79" s="445"/>
      <c r="Y79" s="102"/>
      <c r="Z79" s="102"/>
      <c r="AA79" s="102"/>
      <c r="AB79" s="102"/>
      <c r="AC79" s="102">
        <v>0</v>
      </c>
      <c r="AD79" s="102">
        <f t="shared" si="158"/>
        <v>0</v>
      </c>
      <c r="AE79" s="102">
        <f t="shared" si="159"/>
        <v>0</v>
      </c>
      <c r="AF79" s="102"/>
      <c r="AG79" s="102"/>
      <c r="AH79" s="102"/>
      <c r="AI79" s="102"/>
      <c r="AJ79" s="102"/>
      <c r="AK79" s="102"/>
      <c r="AL79" s="445"/>
      <c r="AM79" s="102"/>
      <c r="AN79" s="102"/>
      <c r="AO79" s="102">
        <v>37070</v>
      </c>
      <c r="AP79" s="102">
        <f t="shared" si="160"/>
        <v>37070</v>
      </c>
      <c r="AQ79" s="102">
        <f t="shared" si="161"/>
        <v>0</v>
      </c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>
        <v>0</v>
      </c>
      <c r="BC79" s="123">
        <f t="shared" si="162"/>
        <v>0</v>
      </c>
      <c r="BD79" s="123">
        <f t="shared" si="163"/>
        <v>0</v>
      </c>
      <c r="BE79" s="123"/>
      <c r="BF79" s="123"/>
      <c r="BG79" s="123"/>
      <c r="BH79" s="123"/>
      <c r="BI79" s="123"/>
      <c r="BJ79" s="123"/>
      <c r="BK79" s="123"/>
      <c r="BL79" s="123"/>
      <c r="BM79" s="102">
        <f t="shared" si="164"/>
        <v>0</v>
      </c>
      <c r="BN79" s="102">
        <f t="shared" si="165"/>
        <v>0</v>
      </c>
      <c r="BO79" s="102"/>
      <c r="BP79" s="102"/>
      <c r="BQ79" s="102"/>
      <c r="BR79" s="102"/>
      <c r="BS79" s="102"/>
      <c r="BT79" s="389"/>
      <c r="BU79" s="102"/>
      <c r="BV79" s="102"/>
      <c r="BW79" s="335"/>
      <c r="BX79" s="103" t="s">
        <v>386</v>
      </c>
      <c r="BY79" s="107" t="s">
        <v>690</v>
      </c>
      <c r="BZ79" s="36"/>
      <c r="CA79" s="36"/>
      <c r="CB79" s="36"/>
      <c r="CC79" s="36"/>
      <c r="CD79" s="36"/>
      <c r="CE79" s="36"/>
      <c r="CF79" s="36"/>
      <c r="CG79" s="36"/>
    </row>
    <row r="80" spans="1:85" s="119" customFormat="1" ht="36" x14ac:dyDescent="0.2">
      <c r="A80" s="146"/>
      <c r="C80" s="274"/>
      <c r="D80" s="275"/>
      <c r="E80" s="273" t="s">
        <v>296</v>
      </c>
      <c r="F80" s="347">
        <f t="shared" si="148"/>
        <v>3631666</v>
      </c>
      <c r="G80" s="116">
        <f t="shared" si="149"/>
        <v>4839495</v>
      </c>
      <c r="H80" s="222">
        <v>3631666</v>
      </c>
      <c r="I80" s="222">
        <f t="shared" si="156"/>
        <v>4839495</v>
      </c>
      <c r="J80" s="222">
        <f t="shared" si="157"/>
        <v>1207829</v>
      </c>
      <c r="K80" s="222"/>
      <c r="L80" s="222"/>
      <c r="M80" s="222">
        <f>120957+916883</f>
        <v>1037840</v>
      </c>
      <c r="N80" s="222">
        <v>127817</v>
      </c>
      <c r="O80" s="222"/>
      <c r="P80" s="222"/>
      <c r="Q80" s="222"/>
      <c r="R80" s="222">
        <v>10025</v>
      </c>
      <c r="S80" s="222"/>
      <c r="T80" s="222"/>
      <c r="U80" s="222"/>
      <c r="V80" s="222"/>
      <c r="W80" s="222">
        <f>24147+8000</f>
        <v>32147</v>
      </c>
      <c r="X80" s="447"/>
      <c r="Y80" s="222"/>
      <c r="Z80" s="222"/>
      <c r="AA80" s="222"/>
      <c r="AB80" s="222"/>
      <c r="AC80" s="222">
        <v>0</v>
      </c>
      <c r="AD80" s="222">
        <f t="shared" si="158"/>
        <v>0</v>
      </c>
      <c r="AE80" s="222">
        <f t="shared" si="159"/>
        <v>0</v>
      </c>
      <c r="AF80" s="222"/>
      <c r="AG80" s="222"/>
      <c r="AH80" s="222"/>
      <c r="AI80" s="222"/>
      <c r="AJ80" s="222"/>
      <c r="AK80" s="222"/>
      <c r="AL80" s="447"/>
      <c r="AM80" s="222"/>
      <c r="AN80" s="222"/>
      <c r="AO80" s="222">
        <v>0</v>
      </c>
      <c r="AP80" s="222">
        <f t="shared" si="160"/>
        <v>0</v>
      </c>
      <c r="AQ80" s="222">
        <f t="shared" si="161"/>
        <v>0</v>
      </c>
      <c r="AR80" s="222"/>
      <c r="AS80" s="222"/>
      <c r="AT80" s="222"/>
      <c r="AU80" s="222"/>
      <c r="AV80" s="222"/>
      <c r="AW80" s="222"/>
      <c r="AX80" s="222"/>
      <c r="AY80" s="222"/>
      <c r="AZ80" s="222"/>
      <c r="BA80" s="222"/>
      <c r="BB80" s="222">
        <v>0</v>
      </c>
      <c r="BC80" s="328">
        <f t="shared" si="162"/>
        <v>0</v>
      </c>
      <c r="BD80" s="328">
        <f t="shared" si="163"/>
        <v>0</v>
      </c>
      <c r="BE80" s="328"/>
      <c r="BF80" s="328"/>
      <c r="BG80" s="328"/>
      <c r="BH80" s="328"/>
      <c r="BI80" s="328"/>
      <c r="BJ80" s="328"/>
      <c r="BK80" s="328"/>
      <c r="BL80" s="328"/>
      <c r="BM80" s="222">
        <f t="shared" si="164"/>
        <v>0</v>
      </c>
      <c r="BN80" s="222">
        <f t="shared" si="165"/>
        <v>0</v>
      </c>
      <c r="BO80" s="222"/>
      <c r="BP80" s="222"/>
      <c r="BQ80" s="222"/>
      <c r="BR80" s="222"/>
      <c r="BS80" s="222"/>
      <c r="BT80" s="414"/>
      <c r="BU80" s="222"/>
      <c r="BV80" s="222"/>
      <c r="BW80" s="337"/>
      <c r="BX80" s="314" t="s">
        <v>523</v>
      </c>
      <c r="BY80" s="318" t="s">
        <v>782</v>
      </c>
      <c r="BZ80" s="36"/>
      <c r="CA80" s="36"/>
      <c r="CB80" s="36"/>
      <c r="CC80" s="36"/>
      <c r="CD80" s="36"/>
      <c r="CE80" s="36"/>
      <c r="CF80" s="36"/>
      <c r="CG80" s="36"/>
    </row>
    <row r="81" spans="1:85" s="268" customFormat="1" ht="36" x14ac:dyDescent="0.2">
      <c r="A81" s="146"/>
      <c r="B81" s="119"/>
      <c r="C81" s="274"/>
      <c r="D81" s="275"/>
      <c r="E81" s="273" t="s">
        <v>646</v>
      </c>
      <c r="F81" s="347">
        <f t="shared" si="148"/>
        <v>60980</v>
      </c>
      <c r="G81" s="116">
        <f t="shared" si="149"/>
        <v>61917</v>
      </c>
      <c r="H81" s="222">
        <v>60980</v>
      </c>
      <c r="I81" s="222">
        <f t="shared" si="156"/>
        <v>61917</v>
      </c>
      <c r="J81" s="222">
        <f t="shared" si="157"/>
        <v>937</v>
      </c>
      <c r="K81" s="222"/>
      <c r="L81" s="222"/>
      <c r="M81" s="222"/>
      <c r="N81" s="222"/>
      <c r="O81" s="222"/>
      <c r="P81" s="222"/>
      <c r="Q81" s="222"/>
      <c r="R81" s="222">
        <v>937</v>
      </c>
      <c r="S81" s="222"/>
      <c r="T81" s="222"/>
      <c r="U81" s="222"/>
      <c r="V81" s="222"/>
      <c r="W81" s="222"/>
      <c r="X81" s="447"/>
      <c r="Y81" s="222"/>
      <c r="Z81" s="222"/>
      <c r="AA81" s="222"/>
      <c r="AB81" s="222"/>
      <c r="AC81" s="222">
        <v>0</v>
      </c>
      <c r="AD81" s="222">
        <f t="shared" si="158"/>
        <v>0</v>
      </c>
      <c r="AE81" s="222">
        <f t="shared" si="159"/>
        <v>0</v>
      </c>
      <c r="AF81" s="222"/>
      <c r="AG81" s="222"/>
      <c r="AH81" s="222"/>
      <c r="AI81" s="222"/>
      <c r="AJ81" s="222"/>
      <c r="AK81" s="222"/>
      <c r="AL81" s="447"/>
      <c r="AM81" s="222"/>
      <c r="AN81" s="222"/>
      <c r="AO81" s="222">
        <v>0</v>
      </c>
      <c r="AP81" s="222">
        <f t="shared" si="160"/>
        <v>0</v>
      </c>
      <c r="AQ81" s="222">
        <f t="shared" si="161"/>
        <v>0</v>
      </c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>
        <v>0</v>
      </c>
      <c r="BC81" s="328">
        <f t="shared" si="162"/>
        <v>0</v>
      </c>
      <c r="BD81" s="328">
        <f t="shared" si="163"/>
        <v>0</v>
      </c>
      <c r="BE81" s="328"/>
      <c r="BF81" s="328"/>
      <c r="BG81" s="328"/>
      <c r="BH81" s="328"/>
      <c r="BI81" s="328"/>
      <c r="BJ81" s="328"/>
      <c r="BK81" s="328"/>
      <c r="BL81" s="328"/>
      <c r="BM81" s="222">
        <f t="shared" si="164"/>
        <v>0</v>
      </c>
      <c r="BN81" s="222">
        <f t="shared" si="165"/>
        <v>0</v>
      </c>
      <c r="BO81" s="222"/>
      <c r="BP81" s="222"/>
      <c r="BQ81" s="222"/>
      <c r="BR81" s="222"/>
      <c r="BS81" s="222"/>
      <c r="BT81" s="414"/>
      <c r="BU81" s="222"/>
      <c r="BV81" s="222"/>
      <c r="BW81" s="337"/>
      <c r="BX81" s="103" t="s">
        <v>577</v>
      </c>
      <c r="BY81" s="318"/>
      <c r="BZ81" s="36"/>
      <c r="CA81" s="36"/>
      <c r="CB81" s="36"/>
      <c r="CC81" s="36"/>
      <c r="CD81" s="36"/>
      <c r="CE81" s="36"/>
      <c r="CF81" s="36"/>
      <c r="CG81" s="36"/>
    </row>
    <row r="82" spans="1:85" s="218" customFormat="1" ht="60" x14ac:dyDescent="0.2">
      <c r="A82" s="146"/>
      <c r="B82" s="119"/>
      <c r="C82" s="274"/>
      <c r="D82" s="275"/>
      <c r="E82" s="273" t="s">
        <v>543</v>
      </c>
      <c r="F82" s="347">
        <f t="shared" si="148"/>
        <v>0</v>
      </c>
      <c r="G82" s="116">
        <f t="shared" si="149"/>
        <v>0</v>
      </c>
      <c r="H82" s="222">
        <v>606</v>
      </c>
      <c r="I82" s="222">
        <f t="shared" si="156"/>
        <v>1</v>
      </c>
      <c r="J82" s="222">
        <f t="shared" si="157"/>
        <v>-605</v>
      </c>
      <c r="K82" s="222"/>
      <c r="L82" s="222"/>
      <c r="M82" s="222"/>
      <c r="N82" s="222"/>
      <c r="O82" s="222"/>
      <c r="P82" s="222">
        <v>-605</v>
      </c>
      <c r="Q82" s="222"/>
      <c r="R82" s="222"/>
      <c r="S82" s="222"/>
      <c r="T82" s="222"/>
      <c r="U82" s="222"/>
      <c r="V82" s="222"/>
      <c r="W82" s="222"/>
      <c r="X82" s="447"/>
      <c r="Y82" s="222"/>
      <c r="Z82" s="222"/>
      <c r="AA82" s="222"/>
      <c r="AB82" s="222"/>
      <c r="AC82" s="222">
        <v>0</v>
      </c>
      <c r="AD82" s="222">
        <f t="shared" si="158"/>
        <v>0</v>
      </c>
      <c r="AE82" s="222">
        <f t="shared" si="159"/>
        <v>0</v>
      </c>
      <c r="AF82" s="222"/>
      <c r="AG82" s="222"/>
      <c r="AH82" s="222"/>
      <c r="AI82" s="222"/>
      <c r="AJ82" s="222"/>
      <c r="AK82" s="222"/>
      <c r="AL82" s="447"/>
      <c r="AM82" s="222"/>
      <c r="AN82" s="222"/>
      <c r="AO82" s="222">
        <v>0</v>
      </c>
      <c r="AP82" s="222">
        <f t="shared" si="160"/>
        <v>0</v>
      </c>
      <c r="AQ82" s="222">
        <f t="shared" si="161"/>
        <v>0</v>
      </c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>
        <v>0</v>
      </c>
      <c r="BC82" s="328">
        <f t="shared" si="162"/>
        <v>0</v>
      </c>
      <c r="BD82" s="328">
        <f t="shared" si="163"/>
        <v>0</v>
      </c>
      <c r="BE82" s="328"/>
      <c r="BF82" s="328"/>
      <c r="BG82" s="328"/>
      <c r="BH82" s="328"/>
      <c r="BI82" s="328"/>
      <c r="BJ82" s="328"/>
      <c r="BK82" s="328"/>
      <c r="BL82" s="328">
        <v>-606</v>
      </c>
      <c r="BM82" s="222">
        <f t="shared" si="164"/>
        <v>-1</v>
      </c>
      <c r="BN82" s="222">
        <f t="shared" si="165"/>
        <v>605</v>
      </c>
      <c r="BO82" s="222"/>
      <c r="BP82" s="222"/>
      <c r="BQ82" s="222"/>
      <c r="BR82" s="222">
        <v>605</v>
      </c>
      <c r="BS82" s="222"/>
      <c r="BT82" s="414"/>
      <c r="BU82" s="222"/>
      <c r="BV82" s="222"/>
      <c r="BW82" s="337"/>
      <c r="BX82" s="103" t="s">
        <v>578</v>
      </c>
      <c r="BY82" s="318"/>
      <c r="BZ82" s="36"/>
      <c r="CA82" s="36"/>
      <c r="CB82" s="36"/>
      <c r="CC82" s="36"/>
      <c r="CD82" s="36"/>
      <c r="CE82" s="36"/>
      <c r="CF82" s="36"/>
      <c r="CG82" s="36"/>
    </row>
    <row r="83" spans="1:85" s="218" customFormat="1" ht="72" x14ac:dyDescent="0.2">
      <c r="A83" s="146"/>
      <c r="B83" s="119"/>
      <c r="C83" s="274"/>
      <c r="D83" s="275"/>
      <c r="E83" s="273" t="s">
        <v>544</v>
      </c>
      <c r="F83" s="347">
        <f t="shared" si="148"/>
        <v>0</v>
      </c>
      <c r="G83" s="116">
        <f t="shared" si="149"/>
        <v>0</v>
      </c>
      <c r="H83" s="222">
        <v>0</v>
      </c>
      <c r="I83" s="222">
        <f t="shared" si="156"/>
        <v>0</v>
      </c>
      <c r="J83" s="222">
        <f t="shared" si="157"/>
        <v>0</v>
      </c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447"/>
      <c r="Y83" s="222"/>
      <c r="Z83" s="222"/>
      <c r="AA83" s="222"/>
      <c r="AB83" s="222"/>
      <c r="AC83" s="222">
        <v>0</v>
      </c>
      <c r="AD83" s="222">
        <f t="shared" si="158"/>
        <v>0</v>
      </c>
      <c r="AE83" s="222">
        <f t="shared" si="159"/>
        <v>0</v>
      </c>
      <c r="AF83" s="222"/>
      <c r="AG83" s="222"/>
      <c r="AH83" s="222"/>
      <c r="AI83" s="222"/>
      <c r="AJ83" s="222"/>
      <c r="AK83" s="222"/>
      <c r="AL83" s="447"/>
      <c r="AM83" s="222"/>
      <c r="AN83" s="222"/>
      <c r="AO83" s="222">
        <v>0</v>
      </c>
      <c r="AP83" s="222">
        <f t="shared" si="160"/>
        <v>0</v>
      </c>
      <c r="AQ83" s="222">
        <f t="shared" si="161"/>
        <v>0</v>
      </c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>
        <v>0</v>
      </c>
      <c r="BC83" s="328">
        <f t="shared" si="162"/>
        <v>0</v>
      </c>
      <c r="BD83" s="328">
        <f t="shared" si="163"/>
        <v>0</v>
      </c>
      <c r="BE83" s="328"/>
      <c r="BF83" s="328"/>
      <c r="BG83" s="328"/>
      <c r="BH83" s="328"/>
      <c r="BI83" s="328"/>
      <c r="BJ83" s="328"/>
      <c r="BK83" s="328"/>
      <c r="BL83" s="328"/>
      <c r="BM83" s="222">
        <f t="shared" si="164"/>
        <v>0</v>
      </c>
      <c r="BN83" s="222">
        <f t="shared" si="165"/>
        <v>0</v>
      </c>
      <c r="BO83" s="222"/>
      <c r="BP83" s="222"/>
      <c r="BQ83" s="222"/>
      <c r="BR83" s="222"/>
      <c r="BS83" s="222"/>
      <c r="BT83" s="414"/>
      <c r="BU83" s="222"/>
      <c r="BV83" s="222"/>
      <c r="BW83" s="337"/>
      <c r="BX83" s="103" t="s">
        <v>654</v>
      </c>
      <c r="BY83" s="318"/>
      <c r="BZ83" s="36"/>
      <c r="CA83" s="36"/>
      <c r="CB83" s="36"/>
      <c r="CC83" s="36"/>
      <c r="CD83" s="36"/>
      <c r="CE83" s="36"/>
      <c r="CF83" s="36"/>
      <c r="CG83" s="36"/>
    </row>
    <row r="84" spans="1:85" ht="24" x14ac:dyDescent="0.2">
      <c r="A84" s="146">
        <v>42803002568</v>
      </c>
      <c r="B84" s="117"/>
      <c r="C84" s="495" t="s">
        <v>348</v>
      </c>
      <c r="D84" s="496"/>
      <c r="E84" s="100" t="s">
        <v>326</v>
      </c>
      <c r="F84" s="347">
        <f t="shared" si="148"/>
        <v>1592350</v>
      </c>
      <c r="G84" s="101">
        <f t="shared" si="149"/>
        <v>1600350</v>
      </c>
      <c r="H84" s="102">
        <v>1592350</v>
      </c>
      <c r="I84" s="102">
        <f t="shared" si="156"/>
        <v>1600350</v>
      </c>
      <c r="J84" s="102">
        <f t="shared" si="157"/>
        <v>8000</v>
      </c>
      <c r="K84" s="102"/>
      <c r="L84" s="102"/>
      <c r="M84" s="102"/>
      <c r="N84" s="102"/>
      <c r="O84" s="102"/>
      <c r="P84" s="102"/>
      <c r="Q84" s="102">
        <v>8000</v>
      </c>
      <c r="R84" s="102"/>
      <c r="S84" s="102"/>
      <c r="T84" s="102"/>
      <c r="U84" s="102"/>
      <c r="V84" s="102"/>
      <c r="W84" s="102"/>
      <c r="X84" s="445"/>
      <c r="Y84" s="102"/>
      <c r="Z84" s="102"/>
      <c r="AA84" s="102"/>
      <c r="AB84" s="102"/>
      <c r="AC84" s="102">
        <v>0</v>
      </c>
      <c r="AD84" s="102">
        <f t="shared" si="158"/>
        <v>0</v>
      </c>
      <c r="AE84" s="102">
        <f t="shared" si="159"/>
        <v>0</v>
      </c>
      <c r="AF84" s="102"/>
      <c r="AG84" s="102"/>
      <c r="AH84" s="102"/>
      <c r="AI84" s="102"/>
      <c r="AJ84" s="102"/>
      <c r="AK84" s="102"/>
      <c r="AL84" s="445"/>
      <c r="AM84" s="102"/>
      <c r="AN84" s="102"/>
      <c r="AO84" s="102">
        <v>0</v>
      </c>
      <c r="AP84" s="102">
        <f t="shared" si="160"/>
        <v>0</v>
      </c>
      <c r="AQ84" s="102">
        <f t="shared" si="161"/>
        <v>0</v>
      </c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>
        <v>0</v>
      </c>
      <c r="BC84" s="123">
        <f t="shared" si="162"/>
        <v>0</v>
      </c>
      <c r="BD84" s="123">
        <f t="shared" si="163"/>
        <v>0</v>
      </c>
      <c r="BE84" s="123"/>
      <c r="BF84" s="123"/>
      <c r="BG84" s="123"/>
      <c r="BH84" s="123"/>
      <c r="BI84" s="123"/>
      <c r="BJ84" s="123"/>
      <c r="BK84" s="123"/>
      <c r="BL84" s="123"/>
      <c r="BM84" s="102">
        <f t="shared" si="164"/>
        <v>0</v>
      </c>
      <c r="BN84" s="102">
        <f t="shared" si="165"/>
        <v>0</v>
      </c>
      <c r="BO84" s="102"/>
      <c r="BP84" s="102"/>
      <c r="BQ84" s="102"/>
      <c r="BR84" s="102"/>
      <c r="BS84" s="102"/>
      <c r="BT84" s="389"/>
      <c r="BU84" s="102"/>
      <c r="BV84" s="102"/>
      <c r="BW84" s="335"/>
      <c r="BX84" s="103" t="s">
        <v>400</v>
      </c>
      <c r="BY84" s="107"/>
      <c r="BZ84" s="36"/>
      <c r="CA84" s="36"/>
      <c r="CB84" s="36"/>
      <c r="CC84" s="36"/>
      <c r="CD84" s="36"/>
      <c r="CE84" s="36"/>
      <c r="CF84" s="36"/>
      <c r="CG84" s="36"/>
    </row>
    <row r="85" spans="1:85" ht="42.75" customHeight="1" x14ac:dyDescent="0.2">
      <c r="A85" s="146">
        <v>90010691331</v>
      </c>
      <c r="B85" s="181"/>
      <c r="C85" s="500" t="s">
        <v>539</v>
      </c>
      <c r="D85" s="501"/>
      <c r="E85" s="272" t="s">
        <v>203</v>
      </c>
      <c r="F85" s="352">
        <f t="shared" si="148"/>
        <v>381229</v>
      </c>
      <c r="G85" s="182">
        <f t="shared" si="149"/>
        <v>378295</v>
      </c>
      <c r="H85" s="217">
        <v>222125</v>
      </c>
      <c r="I85" s="217">
        <f t="shared" si="156"/>
        <v>219191</v>
      </c>
      <c r="J85" s="217">
        <f t="shared" si="157"/>
        <v>-2934</v>
      </c>
      <c r="K85" s="217"/>
      <c r="L85" s="217"/>
      <c r="M85" s="217"/>
      <c r="N85" s="217"/>
      <c r="O85" s="217"/>
      <c r="P85" s="217">
        <v>-2934</v>
      </c>
      <c r="Q85" s="217"/>
      <c r="R85" s="217"/>
      <c r="S85" s="217"/>
      <c r="T85" s="217"/>
      <c r="U85" s="217"/>
      <c r="V85" s="217"/>
      <c r="W85" s="217"/>
      <c r="X85" s="450"/>
      <c r="Y85" s="217"/>
      <c r="Z85" s="217"/>
      <c r="AA85" s="217"/>
      <c r="AB85" s="217"/>
      <c r="AC85" s="217">
        <v>0</v>
      </c>
      <c r="AD85" s="217">
        <f t="shared" si="158"/>
        <v>0</v>
      </c>
      <c r="AE85" s="217">
        <f t="shared" si="159"/>
        <v>0</v>
      </c>
      <c r="AF85" s="217"/>
      <c r="AG85" s="217"/>
      <c r="AH85" s="217"/>
      <c r="AI85" s="217"/>
      <c r="AJ85" s="217"/>
      <c r="AK85" s="217"/>
      <c r="AL85" s="450"/>
      <c r="AM85" s="217"/>
      <c r="AN85" s="217"/>
      <c r="AO85" s="217">
        <v>159104</v>
      </c>
      <c r="AP85" s="217">
        <f t="shared" si="160"/>
        <v>159104</v>
      </c>
      <c r="AQ85" s="217">
        <f t="shared" si="161"/>
        <v>0</v>
      </c>
      <c r="AR85" s="217"/>
      <c r="AS85" s="217"/>
      <c r="AT85" s="217"/>
      <c r="AU85" s="217"/>
      <c r="AV85" s="217"/>
      <c r="AW85" s="217"/>
      <c r="AX85" s="217"/>
      <c r="AY85" s="217"/>
      <c r="AZ85" s="217"/>
      <c r="BA85" s="217"/>
      <c r="BB85" s="217">
        <v>0</v>
      </c>
      <c r="BC85" s="330">
        <f t="shared" si="162"/>
        <v>0</v>
      </c>
      <c r="BD85" s="330">
        <f t="shared" si="163"/>
        <v>0</v>
      </c>
      <c r="BE85" s="330"/>
      <c r="BF85" s="330"/>
      <c r="BG85" s="330"/>
      <c r="BH85" s="330"/>
      <c r="BI85" s="330"/>
      <c r="BJ85" s="330"/>
      <c r="BK85" s="330"/>
      <c r="BL85" s="330"/>
      <c r="BM85" s="217">
        <f t="shared" si="164"/>
        <v>0</v>
      </c>
      <c r="BN85" s="217">
        <f t="shared" si="165"/>
        <v>0</v>
      </c>
      <c r="BO85" s="217"/>
      <c r="BP85" s="217"/>
      <c r="BQ85" s="217"/>
      <c r="BR85" s="217"/>
      <c r="BS85" s="217"/>
      <c r="BT85" s="418"/>
      <c r="BU85" s="217"/>
      <c r="BV85" s="217"/>
      <c r="BW85" s="340"/>
      <c r="BX85" s="297" t="s">
        <v>401</v>
      </c>
      <c r="BY85" s="319"/>
      <c r="BZ85" s="36"/>
      <c r="CA85" s="36"/>
      <c r="CB85" s="36"/>
      <c r="CC85" s="36"/>
      <c r="CD85" s="36"/>
      <c r="CE85" s="36"/>
      <c r="CF85" s="36"/>
      <c r="CG85" s="36"/>
    </row>
    <row r="86" spans="1:85" ht="60" x14ac:dyDescent="0.2">
      <c r="A86" s="146"/>
      <c r="B86" s="117"/>
      <c r="C86" s="495" t="s">
        <v>181</v>
      </c>
      <c r="D86" s="496"/>
      <c r="E86" s="303" t="s">
        <v>356</v>
      </c>
      <c r="F86" s="347">
        <f t="shared" si="148"/>
        <v>600000</v>
      </c>
      <c r="G86" s="101">
        <f t="shared" si="149"/>
        <v>600000</v>
      </c>
      <c r="H86" s="102"/>
      <c r="I86" s="102">
        <f t="shared" si="156"/>
        <v>0</v>
      </c>
      <c r="J86" s="102">
        <f t="shared" si="157"/>
        <v>0</v>
      </c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445"/>
      <c r="Y86" s="102"/>
      <c r="Z86" s="102"/>
      <c r="AA86" s="102"/>
      <c r="AB86" s="102"/>
      <c r="AC86" s="102"/>
      <c r="AD86" s="102">
        <f t="shared" si="158"/>
        <v>0</v>
      </c>
      <c r="AE86" s="102">
        <f t="shared" si="159"/>
        <v>0</v>
      </c>
      <c r="AF86" s="102"/>
      <c r="AG86" s="102"/>
      <c r="AH86" s="102"/>
      <c r="AI86" s="102"/>
      <c r="AJ86" s="102"/>
      <c r="AK86" s="102"/>
      <c r="AL86" s="445"/>
      <c r="AM86" s="102"/>
      <c r="AN86" s="102"/>
      <c r="AO86" s="102"/>
      <c r="AP86" s="123">
        <f t="shared" si="160"/>
        <v>0</v>
      </c>
      <c r="AQ86" s="123">
        <f t="shared" si="161"/>
        <v>0</v>
      </c>
      <c r="AR86" s="123"/>
      <c r="AS86" s="123"/>
      <c r="AT86" s="123"/>
      <c r="AU86" s="123"/>
      <c r="AV86" s="123"/>
      <c r="AW86" s="123"/>
      <c r="AX86" s="123"/>
      <c r="AY86" s="123"/>
      <c r="AZ86" s="123"/>
      <c r="BA86" s="123">
        <v>600000</v>
      </c>
      <c r="BB86" s="123"/>
      <c r="BC86" s="123">
        <f t="shared" si="162"/>
        <v>0</v>
      </c>
      <c r="BD86" s="123">
        <f t="shared" si="163"/>
        <v>0</v>
      </c>
      <c r="BE86" s="123"/>
      <c r="BF86" s="123"/>
      <c r="BG86" s="123"/>
      <c r="BH86" s="123"/>
      <c r="BI86" s="123"/>
      <c r="BJ86" s="123"/>
      <c r="BK86" s="123"/>
      <c r="BL86" s="123"/>
      <c r="BM86" s="102">
        <f t="shared" si="164"/>
        <v>0</v>
      </c>
      <c r="BN86" s="102">
        <f t="shared" si="165"/>
        <v>0</v>
      </c>
      <c r="BO86" s="102"/>
      <c r="BP86" s="102"/>
      <c r="BQ86" s="102"/>
      <c r="BR86" s="102"/>
      <c r="BS86" s="102"/>
      <c r="BT86" s="389"/>
      <c r="BU86" s="102"/>
      <c r="BV86" s="102"/>
      <c r="BW86" s="335"/>
      <c r="BX86" s="103"/>
      <c r="BY86" s="107"/>
      <c r="BZ86" s="36"/>
      <c r="CA86" s="36"/>
      <c r="CB86" s="36"/>
      <c r="CC86" s="36"/>
      <c r="CD86" s="36"/>
      <c r="CE86" s="36"/>
      <c r="CF86" s="36"/>
      <c r="CG86" s="36"/>
    </row>
    <row r="87" spans="1:85" s="193" customFormat="1" ht="60" x14ac:dyDescent="0.2">
      <c r="A87" s="146"/>
      <c r="B87" s="117"/>
      <c r="C87" s="300"/>
      <c r="D87" s="301"/>
      <c r="E87" s="303" t="s">
        <v>357</v>
      </c>
      <c r="F87" s="347">
        <f t="shared" si="148"/>
        <v>320500</v>
      </c>
      <c r="G87" s="101">
        <f t="shared" si="149"/>
        <v>320500</v>
      </c>
      <c r="H87" s="102"/>
      <c r="I87" s="102">
        <f t="shared" si="156"/>
        <v>0</v>
      </c>
      <c r="J87" s="102">
        <f t="shared" si="157"/>
        <v>0</v>
      </c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445"/>
      <c r="Y87" s="102"/>
      <c r="Z87" s="102"/>
      <c r="AA87" s="102"/>
      <c r="AB87" s="102"/>
      <c r="AC87" s="102"/>
      <c r="AD87" s="102">
        <f t="shared" si="158"/>
        <v>0</v>
      </c>
      <c r="AE87" s="102">
        <f t="shared" si="159"/>
        <v>0</v>
      </c>
      <c r="AF87" s="102"/>
      <c r="AG87" s="102"/>
      <c r="AH87" s="102"/>
      <c r="AI87" s="102"/>
      <c r="AJ87" s="102"/>
      <c r="AK87" s="102"/>
      <c r="AL87" s="445"/>
      <c r="AM87" s="102"/>
      <c r="AN87" s="102"/>
      <c r="AO87" s="102"/>
      <c r="AP87" s="123">
        <f t="shared" si="160"/>
        <v>0</v>
      </c>
      <c r="AQ87" s="123">
        <f t="shared" si="161"/>
        <v>0</v>
      </c>
      <c r="AR87" s="123"/>
      <c r="AS87" s="123"/>
      <c r="AT87" s="123"/>
      <c r="AU87" s="123"/>
      <c r="AV87" s="123"/>
      <c r="AW87" s="123"/>
      <c r="AX87" s="123"/>
      <c r="AY87" s="123"/>
      <c r="AZ87" s="123"/>
      <c r="BA87" s="123">
        <v>320500</v>
      </c>
      <c r="BB87" s="123"/>
      <c r="BC87" s="123">
        <f t="shared" si="162"/>
        <v>0</v>
      </c>
      <c r="BD87" s="123">
        <f t="shared" si="163"/>
        <v>0</v>
      </c>
      <c r="BE87" s="123"/>
      <c r="BF87" s="123"/>
      <c r="BG87" s="123"/>
      <c r="BH87" s="123"/>
      <c r="BI87" s="123"/>
      <c r="BJ87" s="123"/>
      <c r="BK87" s="123"/>
      <c r="BL87" s="123"/>
      <c r="BM87" s="102">
        <f t="shared" si="164"/>
        <v>0</v>
      </c>
      <c r="BN87" s="102">
        <f t="shared" si="165"/>
        <v>0</v>
      </c>
      <c r="BO87" s="102"/>
      <c r="BP87" s="102"/>
      <c r="BQ87" s="102"/>
      <c r="BR87" s="102"/>
      <c r="BS87" s="102"/>
      <c r="BT87" s="389"/>
      <c r="BU87" s="102"/>
      <c r="BV87" s="102"/>
      <c r="BW87" s="335"/>
      <c r="BX87" s="103"/>
      <c r="BY87" s="107"/>
      <c r="BZ87" s="36"/>
      <c r="CA87" s="36"/>
      <c r="CB87" s="36"/>
      <c r="CC87" s="36"/>
      <c r="CD87" s="36"/>
      <c r="CE87" s="36"/>
      <c r="CF87" s="36"/>
      <c r="CG87" s="36"/>
    </row>
    <row r="88" spans="1:85" s="163" customFormat="1" ht="72" x14ac:dyDescent="0.2">
      <c r="A88" s="146"/>
      <c r="B88" s="164"/>
      <c r="C88" s="300"/>
      <c r="D88" s="301"/>
      <c r="E88" s="303" t="s">
        <v>287</v>
      </c>
      <c r="F88" s="347">
        <f t="shared" si="148"/>
        <v>202540</v>
      </c>
      <c r="G88" s="101">
        <f t="shared" si="149"/>
        <v>202540</v>
      </c>
      <c r="H88" s="102"/>
      <c r="I88" s="102">
        <f t="shared" si="156"/>
        <v>0</v>
      </c>
      <c r="J88" s="102">
        <f t="shared" si="157"/>
        <v>0</v>
      </c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445"/>
      <c r="Y88" s="102"/>
      <c r="Z88" s="102"/>
      <c r="AA88" s="102"/>
      <c r="AB88" s="102"/>
      <c r="AC88" s="102"/>
      <c r="AD88" s="102">
        <f t="shared" si="158"/>
        <v>0</v>
      </c>
      <c r="AE88" s="102">
        <f t="shared" si="159"/>
        <v>0</v>
      </c>
      <c r="AF88" s="102"/>
      <c r="AG88" s="102"/>
      <c r="AH88" s="102"/>
      <c r="AI88" s="102"/>
      <c r="AJ88" s="102"/>
      <c r="AK88" s="102"/>
      <c r="AL88" s="445"/>
      <c r="AM88" s="102"/>
      <c r="AN88" s="102"/>
      <c r="AO88" s="102"/>
      <c r="AP88" s="123">
        <f t="shared" si="160"/>
        <v>0</v>
      </c>
      <c r="AQ88" s="123">
        <f t="shared" si="161"/>
        <v>0</v>
      </c>
      <c r="AR88" s="123"/>
      <c r="AS88" s="123"/>
      <c r="AT88" s="123"/>
      <c r="AU88" s="123"/>
      <c r="AV88" s="123"/>
      <c r="AW88" s="123"/>
      <c r="AX88" s="123"/>
      <c r="AY88" s="123"/>
      <c r="AZ88" s="123"/>
      <c r="BA88" s="123">
        <v>202540</v>
      </c>
      <c r="BB88" s="123"/>
      <c r="BC88" s="123">
        <f t="shared" si="162"/>
        <v>0</v>
      </c>
      <c r="BD88" s="123">
        <f t="shared" si="163"/>
        <v>0</v>
      </c>
      <c r="BE88" s="123"/>
      <c r="BF88" s="123"/>
      <c r="BG88" s="123"/>
      <c r="BH88" s="123"/>
      <c r="BI88" s="123"/>
      <c r="BJ88" s="123"/>
      <c r="BK88" s="123"/>
      <c r="BL88" s="123"/>
      <c r="BM88" s="102">
        <f t="shared" si="164"/>
        <v>0</v>
      </c>
      <c r="BN88" s="102">
        <f t="shared" si="165"/>
        <v>0</v>
      </c>
      <c r="BO88" s="102"/>
      <c r="BP88" s="102"/>
      <c r="BQ88" s="102"/>
      <c r="BR88" s="102"/>
      <c r="BS88" s="102"/>
      <c r="BT88" s="389"/>
      <c r="BU88" s="102"/>
      <c r="BV88" s="102"/>
      <c r="BW88" s="335"/>
      <c r="BX88" s="103"/>
      <c r="BY88" s="107"/>
      <c r="BZ88" s="36"/>
      <c r="CA88" s="36"/>
      <c r="CB88" s="36"/>
      <c r="CC88" s="36"/>
      <c r="CD88" s="36"/>
      <c r="CE88" s="36"/>
      <c r="CF88" s="36"/>
      <c r="CG88" s="36"/>
    </row>
    <row r="89" spans="1:85" s="216" customFormat="1" ht="72" x14ac:dyDescent="0.2">
      <c r="A89" s="146"/>
      <c r="C89" s="283"/>
      <c r="D89" s="284"/>
      <c r="E89" s="306" t="s">
        <v>545</v>
      </c>
      <c r="F89" s="347">
        <f t="shared" si="148"/>
        <v>546041</v>
      </c>
      <c r="G89" s="101">
        <f t="shared" si="149"/>
        <v>546041</v>
      </c>
      <c r="H89" s="102"/>
      <c r="I89" s="102">
        <f t="shared" si="156"/>
        <v>0</v>
      </c>
      <c r="J89" s="102">
        <f t="shared" si="157"/>
        <v>0</v>
      </c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445"/>
      <c r="Y89" s="102"/>
      <c r="Z89" s="102"/>
      <c r="AA89" s="102"/>
      <c r="AB89" s="102"/>
      <c r="AC89" s="102"/>
      <c r="AD89" s="102">
        <f t="shared" si="158"/>
        <v>0</v>
      </c>
      <c r="AE89" s="102">
        <f t="shared" si="159"/>
        <v>0</v>
      </c>
      <c r="AF89" s="102"/>
      <c r="AG89" s="102"/>
      <c r="AH89" s="102"/>
      <c r="AI89" s="102"/>
      <c r="AJ89" s="102"/>
      <c r="AK89" s="102"/>
      <c r="AL89" s="445"/>
      <c r="AM89" s="102"/>
      <c r="AN89" s="102"/>
      <c r="AO89" s="102"/>
      <c r="AP89" s="123">
        <f t="shared" si="160"/>
        <v>0</v>
      </c>
      <c r="AQ89" s="123">
        <f t="shared" si="161"/>
        <v>0</v>
      </c>
      <c r="AR89" s="123"/>
      <c r="AS89" s="123"/>
      <c r="AT89" s="123"/>
      <c r="AU89" s="123"/>
      <c r="AV89" s="123"/>
      <c r="AW89" s="123"/>
      <c r="AX89" s="123"/>
      <c r="AY89" s="123"/>
      <c r="AZ89" s="123"/>
      <c r="BA89" s="123">
        <v>546041</v>
      </c>
      <c r="BB89" s="123"/>
      <c r="BC89" s="123">
        <f t="shared" si="162"/>
        <v>0</v>
      </c>
      <c r="BD89" s="123">
        <f t="shared" si="163"/>
        <v>0</v>
      </c>
      <c r="BE89" s="123"/>
      <c r="BF89" s="123"/>
      <c r="BG89" s="123"/>
      <c r="BH89" s="123"/>
      <c r="BI89" s="123"/>
      <c r="BJ89" s="123"/>
      <c r="BK89" s="123"/>
      <c r="BL89" s="123"/>
      <c r="BM89" s="102">
        <f t="shared" si="164"/>
        <v>0</v>
      </c>
      <c r="BN89" s="102">
        <f t="shared" si="165"/>
        <v>0</v>
      </c>
      <c r="BO89" s="102"/>
      <c r="BP89" s="102"/>
      <c r="BQ89" s="102"/>
      <c r="BR89" s="102"/>
      <c r="BS89" s="102"/>
      <c r="BT89" s="389"/>
      <c r="BU89" s="102"/>
      <c r="BV89" s="102"/>
      <c r="BW89" s="335"/>
      <c r="BX89" s="103"/>
      <c r="BY89" s="107"/>
      <c r="BZ89" s="36"/>
      <c r="CA89" s="36"/>
      <c r="CB89" s="36"/>
      <c r="CC89" s="36"/>
      <c r="CD89" s="36"/>
      <c r="CE89" s="36"/>
      <c r="CF89" s="36"/>
      <c r="CG89" s="36"/>
    </row>
    <row r="90" spans="1:85" ht="12.75" thickBot="1" x14ac:dyDescent="0.25">
      <c r="A90" s="146"/>
      <c r="B90" s="133"/>
      <c r="C90" s="502"/>
      <c r="D90" s="503"/>
      <c r="E90" s="144"/>
      <c r="F90" s="348"/>
      <c r="G90" s="89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446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446"/>
      <c r="AM90" s="90"/>
      <c r="AN90" s="90"/>
      <c r="AO90" s="90"/>
      <c r="AP90" s="122"/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  <c r="BH90" s="122"/>
      <c r="BI90" s="122"/>
      <c r="BJ90" s="122"/>
      <c r="BK90" s="122"/>
      <c r="BL90" s="122"/>
      <c r="BM90" s="90"/>
      <c r="BN90" s="90"/>
      <c r="BO90" s="90"/>
      <c r="BP90" s="90"/>
      <c r="BQ90" s="90"/>
      <c r="BR90" s="90"/>
      <c r="BS90" s="90"/>
      <c r="BT90" s="387"/>
      <c r="BU90" s="90"/>
      <c r="BV90" s="90"/>
      <c r="BW90" s="336"/>
      <c r="BX90" s="91"/>
      <c r="BY90" s="108"/>
      <c r="BZ90" s="36"/>
      <c r="CA90" s="36"/>
      <c r="CB90" s="36"/>
      <c r="CC90" s="36"/>
      <c r="CD90" s="36"/>
      <c r="CE90" s="36"/>
      <c r="CF90" s="36"/>
      <c r="CG90" s="36"/>
    </row>
    <row r="91" spans="1:85" ht="12.75" thickBot="1" x14ac:dyDescent="0.25">
      <c r="A91" s="173"/>
      <c r="B91" s="499" t="s">
        <v>12</v>
      </c>
      <c r="C91" s="499"/>
      <c r="D91" s="170" t="s">
        <v>13</v>
      </c>
      <c r="E91" s="16"/>
      <c r="F91" s="349">
        <f t="shared" ref="F91:F96" si="166">H91+AC91+AO91+BA91+BB91+BL91</f>
        <v>534900</v>
      </c>
      <c r="G91" s="17">
        <f t="shared" ref="G91:G96" si="167">I91+AD91+AP91+BA91+BC91+BM91</f>
        <v>533022</v>
      </c>
      <c r="H91" s="121">
        <f>SUM(H92:H97)</f>
        <v>534900</v>
      </c>
      <c r="I91" s="121">
        <f t="shared" ref="I91:BW91" si="168">SUM(I92:I97)</f>
        <v>533022</v>
      </c>
      <c r="J91" s="121">
        <f t="shared" si="168"/>
        <v>-1878</v>
      </c>
      <c r="K91" s="121">
        <f t="shared" si="168"/>
        <v>0</v>
      </c>
      <c r="L91" s="121">
        <f t="shared" si="168"/>
        <v>0</v>
      </c>
      <c r="M91" s="121">
        <f t="shared" si="168"/>
        <v>0</v>
      </c>
      <c r="N91" s="121">
        <f t="shared" si="168"/>
        <v>0</v>
      </c>
      <c r="O91" s="121">
        <f t="shared" si="168"/>
        <v>0</v>
      </c>
      <c r="P91" s="121">
        <f t="shared" si="168"/>
        <v>-986</v>
      </c>
      <c r="Q91" s="121">
        <f t="shared" si="168"/>
        <v>0</v>
      </c>
      <c r="R91" s="121">
        <f t="shared" si="168"/>
        <v>0</v>
      </c>
      <c r="S91" s="121">
        <f t="shared" si="168"/>
        <v>0</v>
      </c>
      <c r="T91" s="121">
        <f t="shared" si="168"/>
        <v>0</v>
      </c>
      <c r="U91" s="121">
        <f t="shared" ref="U91:V91" si="169">SUM(U92:U97)</f>
        <v>0</v>
      </c>
      <c r="V91" s="121">
        <f t="shared" si="169"/>
        <v>-892</v>
      </c>
      <c r="W91" s="121">
        <f t="shared" si="168"/>
        <v>0</v>
      </c>
      <c r="X91" s="451">
        <f t="shared" ref="X91:AA91" si="170">SUM(X92:X97)</f>
        <v>0</v>
      </c>
      <c r="Y91" s="121">
        <f t="shared" si="170"/>
        <v>0</v>
      </c>
      <c r="Z91" s="121">
        <f t="shared" si="170"/>
        <v>0</v>
      </c>
      <c r="AA91" s="121">
        <f t="shared" si="170"/>
        <v>0</v>
      </c>
      <c r="AB91" s="121">
        <f t="shared" si="168"/>
        <v>0</v>
      </c>
      <c r="AC91" s="121">
        <f t="shared" si="168"/>
        <v>0</v>
      </c>
      <c r="AD91" s="121">
        <f t="shared" si="168"/>
        <v>0</v>
      </c>
      <c r="AE91" s="121">
        <f t="shared" si="168"/>
        <v>0</v>
      </c>
      <c r="AF91" s="121">
        <f t="shared" si="168"/>
        <v>0</v>
      </c>
      <c r="AG91" s="121">
        <f t="shared" si="168"/>
        <v>0</v>
      </c>
      <c r="AH91" s="121">
        <f t="shared" si="168"/>
        <v>0</v>
      </c>
      <c r="AI91" s="121">
        <f t="shared" si="168"/>
        <v>0</v>
      </c>
      <c r="AJ91" s="121">
        <f t="shared" si="168"/>
        <v>0</v>
      </c>
      <c r="AK91" s="121">
        <f t="shared" ref="AK91:AM91" si="171">SUM(AK92:AK97)</f>
        <v>0</v>
      </c>
      <c r="AL91" s="451">
        <f t="shared" si="171"/>
        <v>0</v>
      </c>
      <c r="AM91" s="121">
        <f t="shared" si="171"/>
        <v>0</v>
      </c>
      <c r="AN91" s="121">
        <f t="shared" si="168"/>
        <v>0</v>
      </c>
      <c r="AO91" s="121">
        <f t="shared" si="168"/>
        <v>0</v>
      </c>
      <c r="AP91" s="121">
        <f t="shared" si="168"/>
        <v>0</v>
      </c>
      <c r="AQ91" s="121">
        <f t="shared" si="168"/>
        <v>0</v>
      </c>
      <c r="AR91" s="121">
        <f t="shared" si="168"/>
        <v>0</v>
      </c>
      <c r="AS91" s="121">
        <f t="shared" si="168"/>
        <v>0</v>
      </c>
      <c r="AT91" s="121">
        <f t="shared" si="168"/>
        <v>0</v>
      </c>
      <c r="AU91" s="121">
        <f t="shared" si="168"/>
        <v>0</v>
      </c>
      <c r="AV91" s="121">
        <f t="shared" si="168"/>
        <v>0</v>
      </c>
      <c r="AW91" s="121">
        <f t="shared" ref="AW91:AY91" si="172">SUM(AW92:AW97)</f>
        <v>0</v>
      </c>
      <c r="AX91" s="121">
        <f t="shared" si="172"/>
        <v>0</v>
      </c>
      <c r="AY91" s="121">
        <f t="shared" si="172"/>
        <v>0</v>
      </c>
      <c r="AZ91" s="121">
        <f t="shared" si="168"/>
        <v>0</v>
      </c>
      <c r="BA91" s="121">
        <f t="shared" si="168"/>
        <v>0</v>
      </c>
      <c r="BB91" s="121">
        <f t="shared" si="168"/>
        <v>0</v>
      </c>
      <c r="BC91" s="121">
        <f t="shared" si="168"/>
        <v>0</v>
      </c>
      <c r="BD91" s="121">
        <f t="shared" si="168"/>
        <v>0</v>
      </c>
      <c r="BE91" s="121">
        <f t="shared" si="168"/>
        <v>0</v>
      </c>
      <c r="BF91" s="121">
        <f t="shared" si="168"/>
        <v>0</v>
      </c>
      <c r="BG91" s="121">
        <f t="shared" si="168"/>
        <v>0</v>
      </c>
      <c r="BH91" s="121">
        <f t="shared" si="168"/>
        <v>0</v>
      </c>
      <c r="BI91" s="121">
        <f t="shared" si="168"/>
        <v>0</v>
      </c>
      <c r="BJ91" s="121">
        <f t="shared" si="168"/>
        <v>0</v>
      </c>
      <c r="BK91" s="121">
        <f t="shared" si="168"/>
        <v>0</v>
      </c>
      <c r="BL91" s="121">
        <f t="shared" si="168"/>
        <v>0</v>
      </c>
      <c r="BM91" s="121">
        <f t="shared" si="168"/>
        <v>0</v>
      </c>
      <c r="BN91" s="121">
        <f t="shared" si="168"/>
        <v>0</v>
      </c>
      <c r="BO91" s="121">
        <f t="shared" si="168"/>
        <v>0</v>
      </c>
      <c r="BP91" s="121">
        <f t="shared" si="168"/>
        <v>0</v>
      </c>
      <c r="BQ91" s="121">
        <f t="shared" si="168"/>
        <v>0</v>
      </c>
      <c r="BR91" s="121">
        <f t="shared" si="168"/>
        <v>0</v>
      </c>
      <c r="BS91" s="121">
        <f t="shared" si="168"/>
        <v>0</v>
      </c>
      <c r="BT91" s="121">
        <f t="shared" ref="BT91:BV91" si="173">SUM(BT92:BT97)</f>
        <v>0</v>
      </c>
      <c r="BU91" s="10">
        <f t="shared" si="173"/>
        <v>0</v>
      </c>
      <c r="BV91" s="10">
        <f t="shared" si="173"/>
        <v>0</v>
      </c>
      <c r="BW91" s="405">
        <f t="shared" si="168"/>
        <v>0</v>
      </c>
      <c r="BX91" s="18"/>
      <c r="BY91" s="109"/>
      <c r="BZ91" s="36"/>
      <c r="CA91" s="36"/>
      <c r="CB91" s="36"/>
      <c r="CC91" s="36"/>
      <c r="CD91" s="36"/>
      <c r="CE91" s="36"/>
      <c r="CF91" s="36"/>
      <c r="CG91" s="36"/>
    </row>
    <row r="92" spans="1:85" ht="24.75" thickTop="1" x14ac:dyDescent="0.2">
      <c r="A92" s="146">
        <v>90000594245</v>
      </c>
      <c r="B92" s="117"/>
      <c r="C92" s="495" t="s">
        <v>606</v>
      </c>
      <c r="D92" s="496"/>
      <c r="E92" s="100" t="s">
        <v>204</v>
      </c>
      <c r="F92" s="347">
        <f t="shared" si="166"/>
        <v>45712</v>
      </c>
      <c r="G92" s="101">
        <f t="shared" si="167"/>
        <v>45712</v>
      </c>
      <c r="H92" s="102">
        <v>45712</v>
      </c>
      <c r="I92" s="102">
        <f t="shared" ref="I92:I96" si="174">J92+H92</f>
        <v>45712</v>
      </c>
      <c r="J92" s="102">
        <f t="shared" ref="J92:J96" si="175">SUM(K92:AB92)</f>
        <v>0</v>
      </c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445"/>
      <c r="Y92" s="102"/>
      <c r="Z92" s="102"/>
      <c r="AA92" s="102"/>
      <c r="AB92" s="102"/>
      <c r="AC92" s="102">
        <v>0</v>
      </c>
      <c r="AD92" s="102">
        <f t="shared" ref="AD92:AD96" si="176">AC92+AE92</f>
        <v>0</v>
      </c>
      <c r="AE92" s="102">
        <f t="shared" ref="AE92:AE96" si="177">SUM(AF92:AN92)</f>
        <v>0</v>
      </c>
      <c r="AF92" s="102"/>
      <c r="AG92" s="102"/>
      <c r="AH92" s="102"/>
      <c r="AI92" s="102"/>
      <c r="AJ92" s="102"/>
      <c r="AK92" s="102"/>
      <c r="AL92" s="445"/>
      <c r="AM92" s="102"/>
      <c r="AN92" s="102"/>
      <c r="AO92" s="102">
        <v>0</v>
      </c>
      <c r="AP92" s="102">
        <f t="shared" ref="AP92:AP96" si="178">AQ92+AO92</f>
        <v>0</v>
      </c>
      <c r="AQ92" s="102">
        <f t="shared" ref="AQ92:AQ96" si="179">SUM(AR92:AZ92)</f>
        <v>0</v>
      </c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>
        <v>0</v>
      </c>
      <c r="BC92" s="123">
        <f t="shared" ref="BC92:BC96" si="180">BB92+BD92</f>
        <v>0</v>
      </c>
      <c r="BD92" s="123">
        <f t="shared" ref="BD92:BD96" si="181">SUM(BE92:BK92)</f>
        <v>0</v>
      </c>
      <c r="BE92" s="123"/>
      <c r="BF92" s="123"/>
      <c r="BG92" s="123"/>
      <c r="BH92" s="123"/>
      <c r="BI92" s="123"/>
      <c r="BJ92" s="123"/>
      <c r="BK92" s="123"/>
      <c r="BL92" s="123"/>
      <c r="BM92" s="102">
        <f t="shared" ref="BM92:BM96" si="182">BN92+BL92</f>
        <v>0</v>
      </c>
      <c r="BN92" s="102">
        <f t="shared" ref="BN92:BN96" si="183">SUM(BO92:BW92)</f>
        <v>0</v>
      </c>
      <c r="BO92" s="102"/>
      <c r="BP92" s="102"/>
      <c r="BQ92" s="102"/>
      <c r="BR92" s="102"/>
      <c r="BS92" s="102"/>
      <c r="BT92" s="389"/>
      <c r="BU92" s="102"/>
      <c r="BV92" s="102"/>
      <c r="BW92" s="335"/>
      <c r="BX92" s="103" t="s">
        <v>402</v>
      </c>
      <c r="BY92" s="107" t="s">
        <v>595</v>
      </c>
      <c r="BZ92" s="36"/>
      <c r="CA92" s="36"/>
      <c r="CB92" s="36"/>
      <c r="CC92" s="36"/>
      <c r="CD92" s="36"/>
      <c r="CE92" s="36"/>
      <c r="CF92" s="36"/>
      <c r="CG92" s="36"/>
    </row>
    <row r="93" spans="1:85" ht="24" x14ac:dyDescent="0.2">
      <c r="A93" s="146"/>
      <c r="B93" s="117"/>
      <c r="C93" s="269"/>
      <c r="D93" s="270"/>
      <c r="E93" s="100" t="s">
        <v>228</v>
      </c>
      <c r="F93" s="347">
        <f t="shared" si="166"/>
        <v>26594</v>
      </c>
      <c r="G93" s="101">
        <f t="shared" si="167"/>
        <v>26594</v>
      </c>
      <c r="H93" s="102">
        <v>26594</v>
      </c>
      <c r="I93" s="102">
        <f t="shared" si="174"/>
        <v>26594</v>
      </c>
      <c r="J93" s="102">
        <f t="shared" si="175"/>
        <v>0</v>
      </c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445"/>
      <c r="Y93" s="102"/>
      <c r="Z93" s="102"/>
      <c r="AA93" s="102"/>
      <c r="AB93" s="102"/>
      <c r="AC93" s="102">
        <v>0</v>
      </c>
      <c r="AD93" s="102">
        <f t="shared" si="176"/>
        <v>0</v>
      </c>
      <c r="AE93" s="102">
        <f t="shared" si="177"/>
        <v>0</v>
      </c>
      <c r="AF93" s="102"/>
      <c r="AG93" s="102"/>
      <c r="AH93" s="102"/>
      <c r="AI93" s="102"/>
      <c r="AJ93" s="102"/>
      <c r="AK93" s="102"/>
      <c r="AL93" s="445"/>
      <c r="AM93" s="102"/>
      <c r="AN93" s="102"/>
      <c r="AO93" s="102">
        <v>0</v>
      </c>
      <c r="AP93" s="102">
        <f t="shared" si="178"/>
        <v>0</v>
      </c>
      <c r="AQ93" s="102">
        <f t="shared" si="179"/>
        <v>0</v>
      </c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>
        <v>0</v>
      </c>
      <c r="BC93" s="123">
        <f t="shared" si="180"/>
        <v>0</v>
      </c>
      <c r="BD93" s="123">
        <f t="shared" si="181"/>
        <v>0</v>
      </c>
      <c r="BE93" s="123"/>
      <c r="BF93" s="123"/>
      <c r="BG93" s="123"/>
      <c r="BH93" s="123"/>
      <c r="BI93" s="123"/>
      <c r="BJ93" s="123"/>
      <c r="BK93" s="123"/>
      <c r="BL93" s="123"/>
      <c r="BM93" s="102">
        <f t="shared" si="182"/>
        <v>0</v>
      </c>
      <c r="BN93" s="102">
        <f t="shared" si="183"/>
        <v>0</v>
      </c>
      <c r="BO93" s="102"/>
      <c r="BP93" s="102"/>
      <c r="BQ93" s="102"/>
      <c r="BR93" s="102"/>
      <c r="BS93" s="102"/>
      <c r="BT93" s="389"/>
      <c r="BU93" s="102"/>
      <c r="BV93" s="102"/>
      <c r="BW93" s="335"/>
      <c r="BX93" s="103" t="s">
        <v>403</v>
      </c>
      <c r="BY93" s="107" t="s">
        <v>595</v>
      </c>
      <c r="BZ93" s="36"/>
      <c r="CA93" s="36"/>
      <c r="CB93" s="36"/>
      <c r="CC93" s="36"/>
      <c r="CD93" s="36"/>
      <c r="CE93" s="36"/>
      <c r="CF93" s="36"/>
      <c r="CG93" s="36"/>
    </row>
    <row r="94" spans="1:85" ht="24" x14ac:dyDescent="0.2">
      <c r="A94" s="146"/>
      <c r="B94" s="117"/>
      <c r="C94" s="269"/>
      <c r="D94" s="270"/>
      <c r="E94" s="100" t="s">
        <v>222</v>
      </c>
      <c r="F94" s="347">
        <f t="shared" si="166"/>
        <v>80888</v>
      </c>
      <c r="G94" s="101">
        <f t="shared" si="167"/>
        <v>79010</v>
      </c>
      <c r="H94" s="102">
        <v>80888</v>
      </c>
      <c r="I94" s="102">
        <f t="shared" si="174"/>
        <v>79010</v>
      </c>
      <c r="J94" s="102">
        <f t="shared" si="175"/>
        <v>-1878</v>
      </c>
      <c r="K94" s="102"/>
      <c r="L94" s="102"/>
      <c r="M94" s="102"/>
      <c r="N94" s="102"/>
      <c r="O94" s="102"/>
      <c r="P94" s="102">
        <v>-986</v>
      </c>
      <c r="Q94" s="102"/>
      <c r="R94" s="102"/>
      <c r="S94" s="102"/>
      <c r="T94" s="102"/>
      <c r="U94" s="102"/>
      <c r="V94" s="102">
        <v>-892</v>
      </c>
      <c r="W94" s="102"/>
      <c r="X94" s="445"/>
      <c r="Y94" s="102"/>
      <c r="Z94" s="102"/>
      <c r="AA94" s="102"/>
      <c r="AB94" s="102"/>
      <c r="AC94" s="102">
        <v>0</v>
      </c>
      <c r="AD94" s="102">
        <f t="shared" si="176"/>
        <v>0</v>
      </c>
      <c r="AE94" s="102">
        <f t="shared" si="177"/>
        <v>0</v>
      </c>
      <c r="AF94" s="102"/>
      <c r="AG94" s="102"/>
      <c r="AH94" s="102"/>
      <c r="AI94" s="102"/>
      <c r="AJ94" s="102"/>
      <c r="AK94" s="102"/>
      <c r="AL94" s="445"/>
      <c r="AM94" s="102"/>
      <c r="AN94" s="102"/>
      <c r="AO94" s="102">
        <v>0</v>
      </c>
      <c r="AP94" s="102">
        <f t="shared" si="178"/>
        <v>0</v>
      </c>
      <c r="AQ94" s="102">
        <f t="shared" si="179"/>
        <v>0</v>
      </c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>
        <v>0</v>
      </c>
      <c r="BC94" s="123">
        <f t="shared" si="180"/>
        <v>0</v>
      </c>
      <c r="BD94" s="123">
        <f t="shared" si="181"/>
        <v>0</v>
      </c>
      <c r="BE94" s="123"/>
      <c r="BF94" s="123"/>
      <c r="BG94" s="123"/>
      <c r="BH94" s="123"/>
      <c r="BI94" s="123"/>
      <c r="BJ94" s="123"/>
      <c r="BK94" s="123"/>
      <c r="BL94" s="123"/>
      <c r="BM94" s="102">
        <f t="shared" si="182"/>
        <v>0</v>
      </c>
      <c r="BN94" s="102">
        <f t="shared" si="183"/>
        <v>0</v>
      </c>
      <c r="BO94" s="102"/>
      <c r="BP94" s="102"/>
      <c r="BQ94" s="102"/>
      <c r="BR94" s="102"/>
      <c r="BS94" s="102"/>
      <c r="BT94" s="389"/>
      <c r="BU94" s="102"/>
      <c r="BV94" s="102"/>
      <c r="BW94" s="335"/>
      <c r="BX94" s="103" t="s">
        <v>404</v>
      </c>
      <c r="BY94" s="107" t="s">
        <v>595</v>
      </c>
      <c r="BZ94" s="36"/>
      <c r="CA94" s="36"/>
      <c r="CB94" s="36"/>
      <c r="CC94" s="36"/>
      <c r="CD94" s="36"/>
      <c r="CE94" s="36"/>
      <c r="CF94" s="36"/>
      <c r="CG94" s="36"/>
    </row>
    <row r="95" spans="1:85" s="268" customFormat="1" ht="36" x14ac:dyDescent="0.2">
      <c r="A95" s="146"/>
      <c r="B95" s="117"/>
      <c r="C95" s="266"/>
      <c r="D95" s="267"/>
      <c r="E95" s="100" t="s">
        <v>632</v>
      </c>
      <c r="F95" s="347">
        <f t="shared" si="166"/>
        <v>278244</v>
      </c>
      <c r="G95" s="101">
        <f t="shared" si="167"/>
        <v>278244</v>
      </c>
      <c r="H95" s="102">
        <v>278244</v>
      </c>
      <c r="I95" s="102">
        <f t="shared" si="174"/>
        <v>278244</v>
      </c>
      <c r="J95" s="102">
        <f t="shared" si="175"/>
        <v>0</v>
      </c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445"/>
      <c r="Y95" s="102"/>
      <c r="Z95" s="102"/>
      <c r="AA95" s="102"/>
      <c r="AB95" s="102"/>
      <c r="AC95" s="102">
        <v>0</v>
      </c>
      <c r="AD95" s="102">
        <f t="shared" si="176"/>
        <v>0</v>
      </c>
      <c r="AE95" s="102">
        <f t="shared" si="177"/>
        <v>0</v>
      </c>
      <c r="AF95" s="102"/>
      <c r="AG95" s="102"/>
      <c r="AH95" s="102"/>
      <c r="AI95" s="102"/>
      <c r="AJ95" s="102"/>
      <c r="AK95" s="102"/>
      <c r="AL95" s="445"/>
      <c r="AM95" s="102"/>
      <c r="AN95" s="102"/>
      <c r="AO95" s="102">
        <v>0</v>
      </c>
      <c r="AP95" s="102">
        <f t="shared" si="178"/>
        <v>0</v>
      </c>
      <c r="AQ95" s="102">
        <f t="shared" si="179"/>
        <v>0</v>
      </c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>
        <v>0</v>
      </c>
      <c r="BC95" s="123">
        <f t="shared" si="180"/>
        <v>0</v>
      </c>
      <c r="BD95" s="123">
        <f t="shared" si="181"/>
        <v>0</v>
      </c>
      <c r="BE95" s="123"/>
      <c r="BF95" s="123"/>
      <c r="BG95" s="123"/>
      <c r="BH95" s="123"/>
      <c r="BI95" s="123"/>
      <c r="BJ95" s="123"/>
      <c r="BK95" s="123"/>
      <c r="BL95" s="123"/>
      <c r="BM95" s="102">
        <f t="shared" si="182"/>
        <v>0</v>
      </c>
      <c r="BN95" s="102">
        <f t="shared" si="183"/>
        <v>0</v>
      </c>
      <c r="BO95" s="102"/>
      <c r="BP95" s="102"/>
      <c r="BQ95" s="102"/>
      <c r="BR95" s="102"/>
      <c r="BS95" s="102"/>
      <c r="BT95" s="389"/>
      <c r="BU95" s="102"/>
      <c r="BV95" s="102"/>
      <c r="BW95" s="335"/>
      <c r="BX95" s="103" t="s">
        <v>655</v>
      </c>
      <c r="BY95" s="107"/>
      <c r="BZ95" s="36"/>
      <c r="CA95" s="36"/>
      <c r="CB95" s="36"/>
      <c r="CC95" s="36"/>
      <c r="CD95" s="36"/>
      <c r="CE95" s="36"/>
      <c r="CF95" s="36"/>
      <c r="CG95" s="36"/>
    </row>
    <row r="96" spans="1:85" ht="63" customHeight="1" x14ac:dyDescent="0.2">
      <c r="A96" s="146">
        <v>90010991438</v>
      </c>
      <c r="B96" s="117"/>
      <c r="C96" s="495" t="s">
        <v>538</v>
      </c>
      <c r="D96" s="496"/>
      <c r="E96" s="100" t="s">
        <v>566</v>
      </c>
      <c r="F96" s="347">
        <f t="shared" si="166"/>
        <v>103462</v>
      </c>
      <c r="G96" s="101">
        <f t="shared" si="167"/>
        <v>103462</v>
      </c>
      <c r="H96" s="102">
        <v>103462</v>
      </c>
      <c r="I96" s="102">
        <f t="shared" si="174"/>
        <v>103462</v>
      </c>
      <c r="J96" s="102">
        <f t="shared" si="175"/>
        <v>0</v>
      </c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445"/>
      <c r="Y96" s="102"/>
      <c r="Z96" s="102"/>
      <c r="AA96" s="102"/>
      <c r="AB96" s="102"/>
      <c r="AC96" s="102">
        <v>0</v>
      </c>
      <c r="AD96" s="102">
        <f t="shared" si="176"/>
        <v>0</v>
      </c>
      <c r="AE96" s="102">
        <f t="shared" si="177"/>
        <v>0</v>
      </c>
      <c r="AF96" s="102"/>
      <c r="AG96" s="102"/>
      <c r="AH96" s="102"/>
      <c r="AI96" s="102"/>
      <c r="AJ96" s="102"/>
      <c r="AK96" s="102"/>
      <c r="AL96" s="445"/>
      <c r="AM96" s="102"/>
      <c r="AN96" s="102"/>
      <c r="AO96" s="102">
        <v>0</v>
      </c>
      <c r="AP96" s="102">
        <f t="shared" si="178"/>
        <v>0</v>
      </c>
      <c r="AQ96" s="102">
        <f t="shared" si="179"/>
        <v>0</v>
      </c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>
        <v>0</v>
      </c>
      <c r="BC96" s="123">
        <f t="shared" si="180"/>
        <v>0</v>
      </c>
      <c r="BD96" s="123">
        <f t="shared" si="181"/>
        <v>0</v>
      </c>
      <c r="BE96" s="123"/>
      <c r="BF96" s="123"/>
      <c r="BG96" s="123"/>
      <c r="BH96" s="123"/>
      <c r="BI96" s="123"/>
      <c r="BJ96" s="123"/>
      <c r="BK96" s="123"/>
      <c r="BL96" s="123"/>
      <c r="BM96" s="102">
        <f t="shared" si="182"/>
        <v>0</v>
      </c>
      <c r="BN96" s="102">
        <f t="shared" si="183"/>
        <v>0</v>
      </c>
      <c r="BO96" s="102"/>
      <c r="BP96" s="102"/>
      <c r="BQ96" s="102"/>
      <c r="BR96" s="102"/>
      <c r="BS96" s="102"/>
      <c r="BT96" s="389"/>
      <c r="BU96" s="102"/>
      <c r="BV96" s="102"/>
      <c r="BW96" s="335"/>
      <c r="BX96" s="103" t="s">
        <v>405</v>
      </c>
      <c r="BY96" s="107"/>
      <c r="BZ96" s="36"/>
      <c r="CA96" s="36"/>
      <c r="CB96" s="36"/>
      <c r="CC96" s="36"/>
      <c r="CD96" s="36"/>
      <c r="CE96" s="36"/>
      <c r="CF96" s="36"/>
      <c r="CG96" s="36"/>
    </row>
    <row r="97" spans="1:85" ht="12.75" thickBot="1" x14ac:dyDescent="0.25">
      <c r="A97" s="146"/>
      <c r="B97" s="133"/>
      <c r="C97" s="502"/>
      <c r="D97" s="503"/>
      <c r="E97" s="144"/>
      <c r="F97" s="348"/>
      <c r="G97" s="89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446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446"/>
      <c r="AM97" s="90"/>
      <c r="AN97" s="90"/>
      <c r="AO97" s="90"/>
      <c r="AP97" s="122"/>
      <c r="AQ97" s="122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2"/>
      <c r="BF97" s="122"/>
      <c r="BG97" s="122"/>
      <c r="BH97" s="122"/>
      <c r="BI97" s="122"/>
      <c r="BJ97" s="122"/>
      <c r="BK97" s="122"/>
      <c r="BL97" s="122"/>
      <c r="BM97" s="90"/>
      <c r="BN97" s="90"/>
      <c r="BO97" s="90"/>
      <c r="BP97" s="90"/>
      <c r="BQ97" s="90"/>
      <c r="BR97" s="90"/>
      <c r="BS97" s="90"/>
      <c r="BT97" s="387"/>
      <c r="BU97" s="90"/>
      <c r="BV97" s="90"/>
      <c r="BW97" s="336"/>
      <c r="BX97" s="91"/>
      <c r="BY97" s="108"/>
      <c r="BZ97" s="36"/>
      <c r="CA97" s="36"/>
      <c r="CB97" s="36"/>
      <c r="CC97" s="36"/>
      <c r="CD97" s="36"/>
      <c r="CE97" s="36"/>
      <c r="CF97" s="36"/>
      <c r="CG97" s="36"/>
    </row>
    <row r="98" spans="1:85" ht="24.75" thickBot="1" x14ac:dyDescent="0.25">
      <c r="A98" s="173"/>
      <c r="B98" s="499" t="s">
        <v>14</v>
      </c>
      <c r="C98" s="499"/>
      <c r="D98" s="170" t="s">
        <v>15</v>
      </c>
      <c r="E98" s="16"/>
      <c r="F98" s="349">
        <f t="shared" ref="F98:F134" si="184">H98+AC98+AO98+BA98+BB98+BL98</f>
        <v>10056907</v>
      </c>
      <c r="G98" s="17">
        <f t="shared" ref="G98:G134" si="185">I98+AD98+AP98+BA98+BC98+BM98</f>
        <v>11875341</v>
      </c>
      <c r="H98" s="10">
        <f t="shared" ref="H98:BW98" si="186">SUM(H99:H136)</f>
        <v>8756001</v>
      </c>
      <c r="I98" s="10">
        <f t="shared" si="186"/>
        <v>10554240</v>
      </c>
      <c r="J98" s="10">
        <f t="shared" si="186"/>
        <v>1798239</v>
      </c>
      <c r="K98" s="10">
        <f t="shared" si="186"/>
        <v>0</v>
      </c>
      <c r="L98" s="10">
        <f t="shared" si="186"/>
        <v>5142</v>
      </c>
      <c r="M98" s="10">
        <f t="shared" si="186"/>
        <v>1527774</v>
      </c>
      <c r="N98" s="10">
        <f t="shared" si="186"/>
        <v>14950</v>
      </c>
      <c r="O98" s="10">
        <f t="shared" si="186"/>
        <v>0</v>
      </c>
      <c r="P98" s="10">
        <f t="shared" si="186"/>
        <v>174779</v>
      </c>
      <c r="Q98" s="10">
        <f t="shared" si="186"/>
        <v>0</v>
      </c>
      <c r="R98" s="10">
        <f t="shared" si="186"/>
        <v>9915</v>
      </c>
      <c r="S98" s="10">
        <f t="shared" si="186"/>
        <v>0</v>
      </c>
      <c r="T98" s="10">
        <f t="shared" si="186"/>
        <v>11653</v>
      </c>
      <c r="U98" s="10">
        <f t="shared" ref="U98:V98" si="187">SUM(U99:U136)</f>
        <v>2224</v>
      </c>
      <c r="V98" s="10">
        <f t="shared" si="187"/>
        <v>34037</v>
      </c>
      <c r="W98" s="10">
        <f t="shared" si="186"/>
        <v>17765</v>
      </c>
      <c r="X98" s="444">
        <f t="shared" ref="X98:AA98" si="188">SUM(X99:X136)</f>
        <v>0</v>
      </c>
      <c r="Y98" s="10">
        <f t="shared" si="188"/>
        <v>0</v>
      </c>
      <c r="Z98" s="10">
        <f t="shared" si="188"/>
        <v>0</v>
      </c>
      <c r="AA98" s="10">
        <f t="shared" si="188"/>
        <v>0</v>
      </c>
      <c r="AB98" s="10">
        <f t="shared" si="186"/>
        <v>0</v>
      </c>
      <c r="AC98" s="10">
        <f t="shared" si="186"/>
        <v>58899</v>
      </c>
      <c r="AD98" s="10">
        <f t="shared" si="186"/>
        <v>60461</v>
      </c>
      <c r="AE98" s="10">
        <f t="shared" si="186"/>
        <v>1562</v>
      </c>
      <c r="AF98" s="10">
        <f t="shared" si="186"/>
        <v>1562</v>
      </c>
      <c r="AG98" s="10">
        <f t="shared" si="186"/>
        <v>0</v>
      </c>
      <c r="AH98" s="10">
        <f t="shared" si="186"/>
        <v>0</v>
      </c>
      <c r="AI98" s="10">
        <f t="shared" si="186"/>
        <v>0</v>
      </c>
      <c r="AJ98" s="10">
        <f t="shared" si="186"/>
        <v>0</v>
      </c>
      <c r="AK98" s="10">
        <f t="shared" ref="AK98:AM98" si="189">SUM(AK99:AK136)</f>
        <v>0</v>
      </c>
      <c r="AL98" s="444">
        <f t="shared" si="189"/>
        <v>0</v>
      </c>
      <c r="AM98" s="10">
        <f t="shared" si="189"/>
        <v>0</v>
      </c>
      <c r="AN98" s="10">
        <f t="shared" si="186"/>
        <v>0</v>
      </c>
      <c r="AO98" s="10">
        <f t="shared" si="186"/>
        <v>239938</v>
      </c>
      <c r="AP98" s="10">
        <f t="shared" si="186"/>
        <v>258353</v>
      </c>
      <c r="AQ98" s="10">
        <f t="shared" si="186"/>
        <v>18415</v>
      </c>
      <c r="AR98" s="10">
        <f t="shared" si="186"/>
        <v>2452</v>
      </c>
      <c r="AS98" s="10">
        <f t="shared" si="186"/>
        <v>15126</v>
      </c>
      <c r="AT98" s="10">
        <f t="shared" si="186"/>
        <v>454</v>
      </c>
      <c r="AU98" s="10">
        <f t="shared" si="186"/>
        <v>383</v>
      </c>
      <c r="AV98" s="10">
        <f t="shared" si="186"/>
        <v>0</v>
      </c>
      <c r="AW98" s="10">
        <f t="shared" ref="AW98:AY98" si="190">SUM(AW99:AW136)</f>
        <v>0</v>
      </c>
      <c r="AX98" s="10">
        <f t="shared" si="190"/>
        <v>0</v>
      </c>
      <c r="AY98" s="10">
        <f t="shared" si="190"/>
        <v>0</v>
      </c>
      <c r="AZ98" s="10">
        <f t="shared" si="186"/>
        <v>0</v>
      </c>
      <c r="BA98" s="10">
        <f>SUM(BA99:BA136)</f>
        <v>1002069</v>
      </c>
      <c r="BB98" s="10">
        <f t="shared" si="186"/>
        <v>0</v>
      </c>
      <c r="BC98" s="10">
        <f t="shared" si="186"/>
        <v>218</v>
      </c>
      <c r="BD98" s="10">
        <f t="shared" si="186"/>
        <v>218</v>
      </c>
      <c r="BE98" s="10">
        <f t="shared" si="186"/>
        <v>218</v>
      </c>
      <c r="BF98" s="10">
        <f t="shared" si="186"/>
        <v>0</v>
      </c>
      <c r="BG98" s="10">
        <f t="shared" si="186"/>
        <v>0</v>
      </c>
      <c r="BH98" s="10">
        <f t="shared" si="186"/>
        <v>0</v>
      </c>
      <c r="BI98" s="10">
        <f t="shared" si="186"/>
        <v>0</v>
      </c>
      <c r="BJ98" s="10">
        <f t="shared" si="186"/>
        <v>0</v>
      </c>
      <c r="BK98" s="10">
        <f t="shared" si="186"/>
        <v>0</v>
      </c>
      <c r="BL98" s="10">
        <f t="shared" si="186"/>
        <v>0</v>
      </c>
      <c r="BM98" s="10">
        <f t="shared" si="186"/>
        <v>0</v>
      </c>
      <c r="BN98" s="10">
        <f t="shared" si="186"/>
        <v>0</v>
      </c>
      <c r="BO98" s="10">
        <f t="shared" si="186"/>
        <v>0</v>
      </c>
      <c r="BP98" s="10">
        <f t="shared" si="186"/>
        <v>0</v>
      </c>
      <c r="BQ98" s="10">
        <f t="shared" si="186"/>
        <v>0</v>
      </c>
      <c r="BR98" s="10">
        <f t="shared" si="186"/>
        <v>0</v>
      </c>
      <c r="BS98" s="10">
        <f t="shared" si="186"/>
        <v>0</v>
      </c>
      <c r="BT98" s="121">
        <f t="shared" ref="BT98:BV98" si="191">SUM(BT99:BT136)</f>
        <v>0</v>
      </c>
      <c r="BU98" s="10">
        <f t="shared" si="191"/>
        <v>0</v>
      </c>
      <c r="BV98" s="10">
        <f t="shared" si="191"/>
        <v>0</v>
      </c>
      <c r="BW98" s="404">
        <f t="shared" si="186"/>
        <v>0</v>
      </c>
      <c r="BX98" s="18"/>
      <c r="BY98" s="109"/>
      <c r="BZ98" s="36"/>
      <c r="CA98" s="36"/>
      <c r="CB98" s="36"/>
      <c r="CC98" s="36"/>
      <c r="CD98" s="36"/>
      <c r="CE98" s="36"/>
      <c r="CF98" s="36"/>
      <c r="CG98" s="36"/>
    </row>
    <row r="99" spans="1:85" ht="24.75" thickTop="1" x14ac:dyDescent="0.2">
      <c r="A99" s="177">
        <v>90000056357</v>
      </c>
      <c r="B99" s="172"/>
      <c r="C99" s="497" t="s">
        <v>5</v>
      </c>
      <c r="D99" s="498"/>
      <c r="E99" s="100" t="s">
        <v>197</v>
      </c>
      <c r="F99" s="351">
        <f t="shared" si="184"/>
        <v>541638</v>
      </c>
      <c r="G99" s="104">
        <f t="shared" si="185"/>
        <v>538138</v>
      </c>
      <c r="H99" s="223">
        <v>541638</v>
      </c>
      <c r="I99" s="223">
        <f t="shared" ref="I99:I134" si="192">J99+H99</f>
        <v>538138</v>
      </c>
      <c r="J99" s="223">
        <f t="shared" ref="J99:J134" si="193">SUM(K99:AB99)</f>
        <v>-3500</v>
      </c>
      <c r="K99" s="223"/>
      <c r="L99" s="223"/>
      <c r="M99" s="223"/>
      <c r="N99" s="223"/>
      <c r="O99" s="223"/>
      <c r="P99" s="223"/>
      <c r="Q99" s="223"/>
      <c r="R99" s="223"/>
      <c r="S99" s="223"/>
      <c r="T99" s="223"/>
      <c r="U99" s="223"/>
      <c r="V99" s="223"/>
      <c r="W99" s="223">
        <v>-3500</v>
      </c>
      <c r="X99" s="449"/>
      <c r="Y99" s="223"/>
      <c r="Z99" s="223"/>
      <c r="AA99" s="223"/>
      <c r="AB99" s="223"/>
      <c r="AC99" s="223">
        <v>0</v>
      </c>
      <c r="AD99" s="223">
        <f t="shared" ref="AD99:AD134" si="194">AC99+AE99</f>
        <v>0</v>
      </c>
      <c r="AE99" s="223">
        <f t="shared" ref="AE99:AE134" si="195">SUM(AF99:AN99)</f>
        <v>0</v>
      </c>
      <c r="AF99" s="223"/>
      <c r="AG99" s="223"/>
      <c r="AH99" s="223"/>
      <c r="AI99" s="223"/>
      <c r="AJ99" s="223"/>
      <c r="AK99" s="223"/>
      <c r="AL99" s="449"/>
      <c r="AM99" s="223"/>
      <c r="AN99" s="223"/>
      <c r="AO99" s="223">
        <v>0</v>
      </c>
      <c r="AP99" s="223">
        <f t="shared" ref="AP99:AP134" si="196">AQ99+AO99</f>
        <v>0</v>
      </c>
      <c r="AQ99" s="223">
        <f t="shared" ref="AQ99:AQ134" si="197">SUM(AR99:AZ99)</f>
        <v>0</v>
      </c>
      <c r="AR99" s="223"/>
      <c r="AS99" s="223"/>
      <c r="AT99" s="223"/>
      <c r="AU99" s="223"/>
      <c r="AV99" s="223"/>
      <c r="AW99" s="223"/>
      <c r="AX99" s="223"/>
      <c r="AY99" s="223"/>
      <c r="AZ99" s="223"/>
      <c r="BA99" s="223"/>
      <c r="BB99" s="223">
        <v>0</v>
      </c>
      <c r="BC99" s="328">
        <f t="shared" ref="BC99:BC134" si="198">BB99+BD99</f>
        <v>0</v>
      </c>
      <c r="BD99" s="328">
        <f t="shared" ref="BD99:BD134" si="199">SUM(BE99:BK99)</f>
        <v>0</v>
      </c>
      <c r="BE99" s="328"/>
      <c r="BF99" s="328"/>
      <c r="BG99" s="328"/>
      <c r="BH99" s="328"/>
      <c r="BI99" s="328"/>
      <c r="BJ99" s="328"/>
      <c r="BK99" s="328"/>
      <c r="BL99" s="328"/>
      <c r="BM99" s="222">
        <f t="shared" ref="BM99:BM134" si="200">BN99+BL99</f>
        <v>0</v>
      </c>
      <c r="BN99" s="222">
        <f t="shared" ref="BN99:BN134" si="201">SUM(BO99:BW99)</f>
        <v>0</v>
      </c>
      <c r="BO99" s="222"/>
      <c r="BP99" s="222"/>
      <c r="BQ99" s="222"/>
      <c r="BR99" s="222"/>
      <c r="BS99" s="222"/>
      <c r="BT99" s="414"/>
      <c r="BU99" s="222"/>
      <c r="BV99" s="222"/>
      <c r="BW99" s="337"/>
      <c r="BX99" s="103" t="s">
        <v>526</v>
      </c>
      <c r="BY99" s="107"/>
      <c r="BZ99" s="36"/>
      <c r="CA99" s="36"/>
      <c r="CB99" s="36"/>
      <c r="CC99" s="36"/>
      <c r="CD99" s="36"/>
      <c r="CE99" s="36"/>
      <c r="CF99" s="36"/>
      <c r="CG99" s="36"/>
    </row>
    <row r="100" spans="1:85" ht="36" x14ac:dyDescent="0.2">
      <c r="A100" s="146"/>
      <c r="B100" s="117"/>
      <c r="C100" s="279"/>
      <c r="D100" s="280"/>
      <c r="E100" s="285" t="s">
        <v>593</v>
      </c>
      <c r="F100" s="347">
        <f t="shared" si="184"/>
        <v>1086922</v>
      </c>
      <c r="G100" s="101">
        <f t="shared" si="185"/>
        <v>1115896</v>
      </c>
      <c r="H100" s="102">
        <v>1086922</v>
      </c>
      <c r="I100" s="102">
        <f t="shared" si="192"/>
        <v>1115896</v>
      </c>
      <c r="J100" s="102">
        <f t="shared" si="193"/>
        <v>28974</v>
      </c>
      <c r="K100" s="102"/>
      <c r="L100" s="102">
        <v>1698</v>
      </c>
      <c r="M100" s="102">
        <v>22028</v>
      </c>
      <c r="N100" s="102">
        <v>14950</v>
      </c>
      <c r="O100" s="102"/>
      <c r="P100" s="102"/>
      <c r="Q100" s="102"/>
      <c r="R100" s="102">
        <v>-11905</v>
      </c>
      <c r="S100" s="102"/>
      <c r="T100" s="102">
        <v>-21</v>
      </c>
      <c r="U100" s="102">
        <f>1320+904</f>
        <v>2224</v>
      </c>
      <c r="V100" s="102"/>
      <c r="W100" s="102"/>
      <c r="X100" s="445"/>
      <c r="Y100" s="102"/>
      <c r="Z100" s="102"/>
      <c r="AA100" s="102"/>
      <c r="AB100" s="102"/>
      <c r="AC100" s="102">
        <v>0</v>
      </c>
      <c r="AD100" s="102">
        <f t="shared" si="194"/>
        <v>0</v>
      </c>
      <c r="AE100" s="102">
        <f t="shared" si="195"/>
        <v>0</v>
      </c>
      <c r="AF100" s="102"/>
      <c r="AG100" s="102"/>
      <c r="AH100" s="102"/>
      <c r="AI100" s="102"/>
      <c r="AJ100" s="102"/>
      <c r="AK100" s="102"/>
      <c r="AL100" s="445"/>
      <c r="AM100" s="102"/>
      <c r="AN100" s="102"/>
      <c r="AO100" s="102">
        <v>0</v>
      </c>
      <c r="AP100" s="102">
        <f t="shared" si="196"/>
        <v>0</v>
      </c>
      <c r="AQ100" s="102">
        <f t="shared" si="197"/>
        <v>0</v>
      </c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>
        <v>0</v>
      </c>
      <c r="BC100" s="123">
        <f t="shared" si="198"/>
        <v>0</v>
      </c>
      <c r="BD100" s="123">
        <f t="shared" si="199"/>
        <v>0</v>
      </c>
      <c r="BE100" s="123"/>
      <c r="BF100" s="123"/>
      <c r="BG100" s="123"/>
      <c r="BH100" s="123"/>
      <c r="BI100" s="123"/>
      <c r="BJ100" s="123"/>
      <c r="BK100" s="123"/>
      <c r="BL100" s="123"/>
      <c r="BM100" s="102">
        <f t="shared" si="200"/>
        <v>0</v>
      </c>
      <c r="BN100" s="102">
        <f t="shared" si="201"/>
        <v>0</v>
      </c>
      <c r="BO100" s="102"/>
      <c r="BP100" s="102"/>
      <c r="BQ100" s="102"/>
      <c r="BR100" s="102"/>
      <c r="BS100" s="102"/>
      <c r="BT100" s="389"/>
      <c r="BU100" s="102"/>
      <c r="BV100" s="102"/>
      <c r="BW100" s="335"/>
      <c r="BX100" s="103" t="s">
        <v>387</v>
      </c>
      <c r="BY100" s="107" t="s">
        <v>783</v>
      </c>
      <c r="BZ100" s="36"/>
      <c r="CA100" s="36"/>
      <c r="CB100" s="36"/>
      <c r="CC100" s="36"/>
      <c r="CD100" s="36"/>
      <c r="CE100" s="36"/>
      <c r="CF100" s="36"/>
      <c r="CG100" s="36"/>
    </row>
    <row r="101" spans="1:85" ht="24" x14ac:dyDescent="0.2">
      <c r="A101" s="146"/>
      <c r="B101" s="117"/>
      <c r="C101" s="279"/>
      <c r="D101" s="280"/>
      <c r="E101" s="100" t="s">
        <v>265</v>
      </c>
      <c r="F101" s="347">
        <f t="shared" si="184"/>
        <v>30000</v>
      </c>
      <c r="G101" s="101">
        <f t="shared" si="185"/>
        <v>30000</v>
      </c>
      <c r="H101" s="102">
        <v>30000</v>
      </c>
      <c r="I101" s="102">
        <f t="shared" si="192"/>
        <v>30000</v>
      </c>
      <c r="J101" s="102">
        <f t="shared" si="193"/>
        <v>0</v>
      </c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445"/>
      <c r="Y101" s="102"/>
      <c r="Z101" s="102"/>
      <c r="AA101" s="102"/>
      <c r="AB101" s="102"/>
      <c r="AC101" s="102">
        <v>0</v>
      </c>
      <c r="AD101" s="102">
        <f t="shared" si="194"/>
        <v>0</v>
      </c>
      <c r="AE101" s="102">
        <f t="shared" si="195"/>
        <v>0</v>
      </c>
      <c r="AF101" s="102"/>
      <c r="AG101" s="102"/>
      <c r="AH101" s="102"/>
      <c r="AI101" s="102"/>
      <c r="AJ101" s="102"/>
      <c r="AK101" s="102"/>
      <c r="AL101" s="445"/>
      <c r="AM101" s="102"/>
      <c r="AN101" s="102"/>
      <c r="AO101" s="102">
        <v>0</v>
      </c>
      <c r="AP101" s="102">
        <f t="shared" si="196"/>
        <v>0</v>
      </c>
      <c r="AQ101" s="102">
        <f t="shared" si="197"/>
        <v>0</v>
      </c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>
        <v>0</v>
      </c>
      <c r="BC101" s="123">
        <f t="shared" si="198"/>
        <v>0</v>
      </c>
      <c r="BD101" s="123">
        <f t="shared" si="199"/>
        <v>0</v>
      </c>
      <c r="BE101" s="123"/>
      <c r="BF101" s="123"/>
      <c r="BG101" s="123"/>
      <c r="BH101" s="123"/>
      <c r="BI101" s="123"/>
      <c r="BJ101" s="123"/>
      <c r="BK101" s="123"/>
      <c r="BL101" s="123"/>
      <c r="BM101" s="102">
        <f t="shared" si="200"/>
        <v>0</v>
      </c>
      <c r="BN101" s="102">
        <f t="shared" si="201"/>
        <v>0</v>
      </c>
      <c r="BO101" s="102"/>
      <c r="BP101" s="102"/>
      <c r="BQ101" s="102"/>
      <c r="BR101" s="102"/>
      <c r="BS101" s="102"/>
      <c r="BT101" s="389"/>
      <c r="BU101" s="102"/>
      <c r="BV101" s="102"/>
      <c r="BW101" s="335"/>
      <c r="BX101" s="103" t="s">
        <v>388</v>
      </c>
      <c r="BY101" s="107" t="s">
        <v>503</v>
      </c>
      <c r="BZ101" s="36"/>
      <c r="CA101" s="36"/>
      <c r="CB101" s="36"/>
      <c r="CC101" s="36"/>
      <c r="CD101" s="36"/>
      <c r="CE101" s="36"/>
      <c r="CF101" s="36"/>
      <c r="CG101" s="36"/>
    </row>
    <row r="102" spans="1:85" ht="12.75" x14ac:dyDescent="0.2">
      <c r="A102" s="146"/>
      <c r="B102" s="117"/>
      <c r="C102" s="279"/>
      <c r="D102" s="280"/>
      <c r="E102" s="273" t="s">
        <v>536</v>
      </c>
      <c r="F102" s="347">
        <f t="shared" si="184"/>
        <v>823821</v>
      </c>
      <c r="G102" s="101">
        <f t="shared" si="185"/>
        <v>938472</v>
      </c>
      <c r="H102" s="102">
        <v>803988</v>
      </c>
      <c r="I102" s="102">
        <f t="shared" si="192"/>
        <v>918639</v>
      </c>
      <c r="J102" s="102">
        <f t="shared" si="193"/>
        <v>114651</v>
      </c>
      <c r="K102" s="102"/>
      <c r="L102" s="102"/>
      <c r="M102" s="102">
        <v>-2422</v>
      </c>
      <c r="N102" s="102"/>
      <c r="O102" s="102"/>
      <c r="P102" s="102">
        <f>17073+100000</f>
        <v>117073</v>
      </c>
      <c r="Q102" s="102"/>
      <c r="R102" s="102"/>
      <c r="S102" s="102"/>
      <c r="T102" s="102"/>
      <c r="U102" s="102"/>
      <c r="V102" s="102"/>
      <c r="W102" s="102"/>
      <c r="X102" s="445"/>
      <c r="Y102" s="102"/>
      <c r="Z102" s="102"/>
      <c r="AA102" s="102"/>
      <c r="AB102" s="102"/>
      <c r="AC102" s="102">
        <v>19833</v>
      </c>
      <c r="AD102" s="102">
        <f t="shared" si="194"/>
        <v>19833</v>
      </c>
      <c r="AE102" s="102">
        <f t="shared" si="195"/>
        <v>0</v>
      </c>
      <c r="AF102" s="102"/>
      <c r="AG102" s="102"/>
      <c r="AH102" s="102"/>
      <c r="AI102" s="102"/>
      <c r="AJ102" s="102"/>
      <c r="AK102" s="102"/>
      <c r="AL102" s="445"/>
      <c r="AM102" s="102"/>
      <c r="AN102" s="102"/>
      <c r="AO102" s="102">
        <v>0</v>
      </c>
      <c r="AP102" s="102">
        <f t="shared" si="196"/>
        <v>0</v>
      </c>
      <c r="AQ102" s="102">
        <f t="shared" si="197"/>
        <v>0</v>
      </c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>
        <v>0</v>
      </c>
      <c r="BC102" s="123">
        <f t="shared" si="198"/>
        <v>0</v>
      </c>
      <c r="BD102" s="123">
        <f t="shared" si="199"/>
        <v>0</v>
      </c>
      <c r="BE102" s="123"/>
      <c r="BF102" s="123"/>
      <c r="BG102" s="123"/>
      <c r="BH102" s="123"/>
      <c r="BI102" s="123"/>
      <c r="BJ102" s="123"/>
      <c r="BK102" s="123"/>
      <c r="BL102" s="123"/>
      <c r="BM102" s="102">
        <f t="shared" si="200"/>
        <v>0</v>
      </c>
      <c r="BN102" s="102">
        <f t="shared" si="201"/>
        <v>0</v>
      </c>
      <c r="BO102" s="102"/>
      <c r="BP102" s="102"/>
      <c r="BQ102" s="102"/>
      <c r="BR102" s="102"/>
      <c r="BS102" s="102"/>
      <c r="BT102" s="389"/>
      <c r="BU102" s="102"/>
      <c r="BV102" s="102"/>
      <c r="BW102" s="335"/>
      <c r="BX102" s="103" t="s">
        <v>389</v>
      </c>
      <c r="BY102" s="107" t="s">
        <v>691</v>
      </c>
      <c r="BZ102" s="36"/>
      <c r="CA102" s="36"/>
      <c r="CB102" s="36"/>
      <c r="CC102" s="36"/>
      <c r="CD102" s="36"/>
      <c r="CE102" s="36"/>
      <c r="CF102" s="36"/>
      <c r="CG102" s="36"/>
    </row>
    <row r="103" spans="1:85" ht="24" x14ac:dyDescent="0.2">
      <c r="A103" s="146"/>
      <c r="B103" s="117"/>
      <c r="C103" s="279"/>
      <c r="D103" s="280"/>
      <c r="E103" s="100" t="s">
        <v>304</v>
      </c>
      <c r="F103" s="347">
        <f t="shared" si="184"/>
        <v>155510</v>
      </c>
      <c r="G103" s="101">
        <f t="shared" si="185"/>
        <v>155510</v>
      </c>
      <c r="H103" s="102">
        <v>155510</v>
      </c>
      <c r="I103" s="102">
        <f t="shared" si="192"/>
        <v>155510</v>
      </c>
      <c r="J103" s="102">
        <f t="shared" si="193"/>
        <v>0</v>
      </c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445"/>
      <c r="Y103" s="102"/>
      <c r="Z103" s="102"/>
      <c r="AA103" s="102"/>
      <c r="AB103" s="102"/>
      <c r="AC103" s="102">
        <v>0</v>
      </c>
      <c r="AD103" s="102">
        <f t="shared" si="194"/>
        <v>0</v>
      </c>
      <c r="AE103" s="102">
        <f t="shared" si="195"/>
        <v>0</v>
      </c>
      <c r="AF103" s="102"/>
      <c r="AG103" s="102"/>
      <c r="AH103" s="102"/>
      <c r="AI103" s="102"/>
      <c r="AJ103" s="102"/>
      <c r="AK103" s="102"/>
      <c r="AL103" s="445"/>
      <c r="AM103" s="102"/>
      <c r="AN103" s="102"/>
      <c r="AO103" s="102">
        <v>0</v>
      </c>
      <c r="AP103" s="102">
        <f t="shared" si="196"/>
        <v>0</v>
      </c>
      <c r="AQ103" s="102">
        <f t="shared" si="197"/>
        <v>0</v>
      </c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>
        <v>0</v>
      </c>
      <c r="BC103" s="123">
        <f t="shared" si="198"/>
        <v>0</v>
      </c>
      <c r="BD103" s="123">
        <f t="shared" si="199"/>
        <v>0</v>
      </c>
      <c r="BE103" s="123"/>
      <c r="BF103" s="123"/>
      <c r="BG103" s="123"/>
      <c r="BH103" s="123"/>
      <c r="BI103" s="123"/>
      <c r="BJ103" s="123"/>
      <c r="BK103" s="123"/>
      <c r="BL103" s="123"/>
      <c r="BM103" s="102">
        <f t="shared" si="200"/>
        <v>0</v>
      </c>
      <c r="BN103" s="102">
        <f t="shared" si="201"/>
        <v>0</v>
      </c>
      <c r="BO103" s="102"/>
      <c r="BP103" s="102"/>
      <c r="BQ103" s="102"/>
      <c r="BR103" s="102"/>
      <c r="BS103" s="102"/>
      <c r="BT103" s="389"/>
      <c r="BU103" s="102"/>
      <c r="BV103" s="102"/>
      <c r="BW103" s="335"/>
      <c r="BX103" s="103" t="s">
        <v>390</v>
      </c>
      <c r="BY103" s="107" t="s">
        <v>692</v>
      </c>
      <c r="BZ103" s="36"/>
      <c r="CA103" s="36"/>
      <c r="CB103" s="36"/>
      <c r="CC103" s="36"/>
      <c r="CD103" s="36"/>
      <c r="CE103" s="36"/>
      <c r="CF103" s="36"/>
      <c r="CG103" s="36"/>
    </row>
    <row r="104" spans="1:85" s="221" customFormat="1" ht="12.75" x14ac:dyDescent="0.2">
      <c r="A104" s="146"/>
      <c r="B104" s="117"/>
      <c r="C104" s="279"/>
      <c r="D104" s="280"/>
      <c r="E104" s="100" t="s">
        <v>239</v>
      </c>
      <c r="F104" s="347">
        <f t="shared" si="184"/>
        <v>790351</v>
      </c>
      <c r="G104" s="101">
        <f t="shared" si="185"/>
        <v>790351</v>
      </c>
      <c r="H104" s="102">
        <v>790351</v>
      </c>
      <c r="I104" s="102">
        <f t="shared" si="192"/>
        <v>790351</v>
      </c>
      <c r="J104" s="102">
        <f t="shared" si="193"/>
        <v>0</v>
      </c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445"/>
      <c r="Y104" s="102"/>
      <c r="Z104" s="102"/>
      <c r="AA104" s="102"/>
      <c r="AB104" s="102"/>
      <c r="AC104" s="102">
        <v>0</v>
      </c>
      <c r="AD104" s="102">
        <f t="shared" si="194"/>
        <v>0</v>
      </c>
      <c r="AE104" s="102">
        <f t="shared" si="195"/>
        <v>0</v>
      </c>
      <c r="AF104" s="102"/>
      <c r="AG104" s="102"/>
      <c r="AH104" s="102"/>
      <c r="AI104" s="102"/>
      <c r="AJ104" s="102"/>
      <c r="AK104" s="102"/>
      <c r="AL104" s="445"/>
      <c r="AM104" s="102"/>
      <c r="AN104" s="102"/>
      <c r="AO104" s="102">
        <v>0</v>
      </c>
      <c r="AP104" s="102">
        <f t="shared" si="196"/>
        <v>0</v>
      </c>
      <c r="AQ104" s="102">
        <f t="shared" si="197"/>
        <v>0</v>
      </c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>
        <v>0</v>
      </c>
      <c r="BC104" s="123">
        <f t="shared" si="198"/>
        <v>0</v>
      </c>
      <c r="BD104" s="123">
        <f t="shared" si="199"/>
        <v>0</v>
      </c>
      <c r="BE104" s="123"/>
      <c r="BF104" s="123"/>
      <c r="BG104" s="123"/>
      <c r="BH104" s="123"/>
      <c r="BI104" s="123"/>
      <c r="BJ104" s="123"/>
      <c r="BK104" s="123"/>
      <c r="BL104" s="123"/>
      <c r="BM104" s="102">
        <f t="shared" si="200"/>
        <v>0</v>
      </c>
      <c r="BN104" s="102">
        <f t="shared" si="201"/>
        <v>0</v>
      </c>
      <c r="BO104" s="102"/>
      <c r="BP104" s="102"/>
      <c r="BQ104" s="102"/>
      <c r="BR104" s="102"/>
      <c r="BS104" s="102"/>
      <c r="BT104" s="389"/>
      <c r="BU104" s="102"/>
      <c r="BV104" s="102"/>
      <c r="BW104" s="335"/>
      <c r="BX104" s="103" t="s">
        <v>391</v>
      </c>
      <c r="BY104" s="107" t="s">
        <v>584</v>
      </c>
      <c r="BZ104" s="36"/>
      <c r="CA104" s="36"/>
      <c r="CB104" s="36"/>
      <c r="CC104" s="36"/>
      <c r="CD104" s="36"/>
      <c r="CE104" s="36"/>
      <c r="CF104" s="36"/>
      <c r="CG104" s="36"/>
    </row>
    <row r="105" spans="1:85" s="221" customFormat="1" ht="12.75" x14ac:dyDescent="0.2">
      <c r="A105" s="146"/>
      <c r="B105" s="117"/>
      <c r="C105" s="279"/>
      <c r="D105" s="280"/>
      <c r="E105" s="100" t="s">
        <v>548</v>
      </c>
      <c r="F105" s="347">
        <f t="shared" si="184"/>
        <v>478859</v>
      </c>
      <c r="G105" s="101">
        <f t="shared" si="185"/>
        <v>485931</v>
      </c>
      <c r="H105" s="102">
        <v>478859</v>
      </c>
      <c r="I105" s="102">
        <f t="shared" si="192"/>
        <v>485931</v>
      </c>
      <c r="J105" s="102">
        <f t="shared" si="193"/>
        <v>7072</v>
      </c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>
        <v>7072</v>
      </c>
      <c r="X105" s="445"/>
      <c r="Y105" s="102"/>
      <c r="Z105" s="102"/>
      <c r="AA105" s="102"/>
      <c r="AB105" s="102"/>
      <c r="AC105" s="102">
        <v>0</v>
      </c>
      <c r="AD105" s="102">
        <f t="shared" si="194"/>
        <v>0</v>
      </c>
      <c r="AE105" s="102">
        <f t="shared" si="195"/>
        <v>0</v>
      </c>
      <c r="AF105" s="102"/>
      <c r="AG105" s="102"/>
      <c r="AH105" s="102"/>
      <c r="AI105" s="102"/>
      <c r="AJ105" s="102"/>
      <c r="AK105" s="102"/>
      <c r="AL105" s="445"/>
      <c r="AM105" s="102"/>
      <c r="AN105" s="102"/>
      <c r="AO105" s="102">
        <v>0</v>
      </c>
      <c r="AP105" s="102">
        <f t="shared" si="196"/>
        <v>0</v>
      </c>
      <c r="AQ105" s="102">
        <f t="shared" si="197"/>
        <v>0</v>
      </c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>
        <v>0</v>
      </c>
      <c r="BC105" s="123">
        <f t="shared" si="198"/>
        <v>0</v>
      </c>
      <c r="BD105" s="123">
        <f t="shared" si="199"/>
        <v>0</v>
      </c>
      <c r="BE105" s="123"/>
      <c r="BF105" s="123"/>
      <c r="BG105" s="123"/>
      <c r="BH105" s="123"/>
      <c r="BI105" s="123"/>
      <c r="BJ105" s="123"/>
      <c r="BK105" s="123"/>
      <c r="BL105" s="123"/>
      <c r="BM105" s="102">
        <f t="shared" si="200"/>
        <v>0</v>
      </c>
      <c r="BN105" s="102">
        <f t="shared" si="201"/>
        <v>0</v>
      </c>
      <c r="BO105" s="102"/>
      <c r="BP105" s="102"/>
      <c r="BQ105" s="102"/>
      <c r="BR105" s="102"/>
      <c r="BS105" s="102"/>
      <c r="BT105" s="389"/>
      <c r="BU105" s="102"/>
      <c r="BV105" s="102"/>
      <c r="BW105" s="335"/>
      <c r="BX105" s="103" t="s">
        <v>553</v>
      </c>
      <c r="BY105" s="107" t="s">
        <v>584</v>
      </c>
      <c r="BZ105" s="36"/>
      <c r="CA105" s="36"/>
      <c r="CB105" s="36"/>
      <c r="CC105" s="36"/>
      <c r="CD105" s="36"/>
      <c r="CE105" s="36"/>
      <c r="CF105" s="36"/>
      <c r="CG105" s="36"/>
    </row>
    <row r="106" spans="1:85" s="196" customFormat="1" ht="24" x14ac:dyDescent="0.2">
      <c r="A106" s="146"/>
      <c r="B106" s="117"/>
      <c r="C106" s="279"/>
      <c r="D106" s="280"/>
      <c r="E106" s="100" t="s">
        <v>524</v>
      </c>
      <c r="F106" s="347">
        <f t="shared" si="184"/>
        <v>7000</v>
      </c>
      <c r="G106" s="101">
        <f t="shared" si="185"/>
        <v>7000</v>
      </c>
      <c r="H106" s="102">
        <v>7000</v>
      </c>
      <c r="I106" s="102">
        <f t="shared" si="192"/>
        <v>7000</v>
      </c>
      <c r="J106" s="102">
        <f t="shared" si="193"/>
        <v>0</v>
      </c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445"/>
      <c r="Y106" s="102"/>
      <c r="Z106" s="102"/>
      <c r="AA106" s="102"/>
      <c r="AB106" s="102"/>
      <c r="AC106" s="102">
        <v>0</v>
      </c>
      <c r="AD106" s="102">
        <f t="shared" si="194"/>
        <v>0</v>
      </c>
      <c r="AE106" s="102">
        <f t="shared" si="195"/>
        <v>0</v>
      </c>
      <c r="AF106" s="102"/>
      <c r="AG106" s="102"/>
      <c r="AH106" s="102"/>
      <c r="AI106" s="102"/>
      <c r="AJ106" s="102"/>
      <c r="AK106" s="102"/>
      <c r="AL106" s="445"/>
      <c r="AM106" s="102"/>
      <c r="AN106" s="102"/>
      <c r="AO106" s="102">
        <v>0</v>
      </c>
      <c r="AP106" s="102">
        <f t="shared" si="196"/>
        <v>0</v>
      </c>
      <c r="AQ106" s="102">
        <f t="shared" si="197"/>
        <v>0</v>
      </c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>
        <v>0</v>
      </c>
      <c r="BC106" s="123">
        <f t="shared" si="198"/>
        <v>0</v>
      </c>
      <c r="BD106" s="123">
        <f t="shared" si="199"/>
        <v>0</v>
      </c>
      <c r="BE106" s="123"/>
      <c r="BF106" s="123"/>
      <c r="BG106" s="123"/>
      <c r="BH106" s="123"/>
      <c r="BI106" s="123"/>
      <c r="BJ106" s="123"/>
      <c r="BK106" s="123"/>
      <c r="BL106" s="123"/>
      <c r="BM106" s="102">
        <f t="shared" si="200"/>
        <v>0</v>
      </c>
      <c r="BN106" s="102">
        <f t="shared" si="201"/>
        <v>0</v>
      </c>
      <c r="BO106" s="102"/>
      <c r="BP106" s="102"/>
      <c r="BQ106" s="102"/>
      <c r="BR106" s="102"/>
      <c r="BS106" s="102"/>
      <c r="BT106" s="389"/>
      <c r="BU106" s="102"/>
      <c r="BV106" s="102"/>
      <c r="BW106" s="335"/>
      <c r="BX106" s="103" t="s">
        <v>579</v>
      </c>
      <c r="BY106" s="107" t="s">
        <v>584</v>
      </c>
      <c r="BZ106" s="36"/>
      <c r="CA106" s="36"/>
      <c r="CB106" s="36"/>
      <c r="CC106" s="36"/>
      <c r="CD106" s="36"/>
      <c r="CE106" s="36"/>
      <c r="CF106" s="36"/>
      <c r="CG106" s="36"/>
    </row>
    <row r="107" spans="1:85" s="221" customFormat="1" ht="24" x14ac:dyDescent="0.2">
      <c r="A107" s="146"/>
      <c r="B107" s="117"/>
      <c r="C107" s="279"/>
      <c r="D107" s="280"/>
      <c r="E107" s="100" t="s">
        <v>297</v>
      </c>
      <c r="F107" s="347">
        <f t="shared" si="184"/>
        <v>30387</v>
      </c>
      <c r="G107" s="101">
        <f t="shared" si="185"/>
        <v>30387</v>
      </c>
      <c r="H107" s="102">
        <v>30387</v>
      </c>
      <c r="I107" s="102">
        <f t="shared" si="192"/>
        <v>30387</v>
      </c>
      <c r="J107" s="102">
        <f t="shared" si="193"/>
        <v>0</v>
      </c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445"/>
      <c r="Y107" s="102"/>
      <c r="Z107" s="102"/>
      <c r="AA107" s="102"/>
      <c r="AB107" s="102"/>
      <c r="AC107" s="102">
        <v>0</v>
      </c>
      <c r="AD107" s="102">
        <f t="shared" si="194"/>
        <v>0</v>
      </c>
      <c r="AE107" s="102">
        <f t="shared" si="195"/>
        <v>0</v>
      </c>
      <c r="AF107" s="102"/>
      <c r="AG107" s="102"/>
      <c r="AH107" s="102"/>
      <c r="AI107" s="102"/>
      <c r="AJ107" s="102"/>
      <c r="AK107" s="102"/>
      <c r="AL107" s="445"/>
      <c r="AM107" s="102"/>
      <c r="AN107" s="102"/>
      <c r="AO107" s="102">
        <v>0</v>
      </c>
      <c r="AP107" s="102">
        <f t="shared" si="196"/>
        <v>0</v>
      </c>
      <c r="AQ107" s="102">
        <f t="shared" si="197"/>
        <v>0</v>
      </c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>
        <v>0</v>
      </c>
      <c r="BC107" s="123">
        <f t="shared" si="198"/>
        <v>0</v>
      </c>
      <c r="BD107" s="123">
        <f t="shared" si="199"/>
        <v>0</v>
      </c>
      <c r="BE107" s="123"/>
      <c r="BF107" s="123"/>
      <c r="BG107" s="123"/>
      <c r="BH107" s="123"/>
      <c r="BI107" s="123"/>
      <c r="BJ107" s="123"/>
      <c r="BK107" s="123"/>
      <c r="BL107" s="123"/>
      <c r="BM107" s="102">
        <f t="shared" si="200"/>
        <v>0</v>
      </c>
      <c r="BN107" s="102">
        <f t="shared" si="201"/>
        <v>0</v>
      </c>
      <c r="BO107" s="102"/>
      <c r="BP107" s="102"/>
      <c r="BQ107" s="102"/>
      <c r="BR107" s="102"/>
      <c r="BS107" s="102"/>
      <c r="BT107" s="389"/>
      <c r="BU107" s="102"/>
      <c r="BV107" s="102"/>
      <c r="BW107" s="335"/>
      <c r="BX107" s="103" t="s">
        <v>567</v>
      </c>
      <c r="BY107" s="107" t="s">
        <v>782</v>
      </c>
      <c r="BZ107" s="36"/>
      <c r="CA107" s="36"/>
      <c r="CB107" s="36"/>
      <c r="CC107" s="36"/>
      <c r="CD107" s="36"/>
      <c r="CE107" s="36"/>
      <c r="CF107" s="36"/>
      <c r="CG107" s="36"/>
    </row>
    <row r="108" spans="1:85" s="221" customFormat="1" ht="24" x14ac:dyDescent="0.2">
      <c r="A108" s="146"/>
      <c r="B108" s="117"/>
      <c r="C108" s="279"/>
      <c r="D108" s="280"/>
      <c r="E108" s="100" t="s">
        <v>302</v>
      </c>
      <c r="F108" s="347">
        <f t="shared" si="184"/>
        <v>247882</v>
      </c>
      <c r="G108" s="101">
        <f t="shared" si="185"/>
        <v>249404</v>
      </c>
      <c r="H108" s="102">
        <v>247882</v>
      </c>
      <c r="I108" s="102">
        <f t="shared" si="192"/>
        <v>249404</v>
      </c>
      <c r="J108" s="102">
        <f t="shared" si="193"/>
        <v>1522</v>
      </c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>
        <v>1522</v>
      </c>
      <c r="X108" s="445"/>
      <c r="Y108" s="102"/>
      <c r="Z108" s="102"/>
      <c r="AA108" s="102"/>
      <c r="AB108" s="102"/>
      <c r="AC108" s="102">
        <v>0</v>
      </c>
      <c r="AD108" s="102">
        <f t="shared" si="194"/>
        <v>0</v>
      </c>
      <c r="AE108" s="102">
        <f t="shared" si="195"/>
        <v>0</v>
      </c>
      <c r="AF108" s="102"/>
      <c r="AG108" s="102"/>
      <c r="AH108" s="102"/>
      <c r="AI108" s="102"/>
      <c r="AJ108" s="102"/>
      <c r="AK108" s="102"/>
      <c r="AL108" s="445"/>
      <c r="AM108" s="102"/>
      <c r="AN108" s="102"/>
      <c r="AO108" s="102">
        <v>0</v>
      </c>
      <c r="AP108" s="102">
        <f t="shared" si="196"/>
        <v>0</v>
      </c>
      <c r="AQ108" s="102">
        <f t="shared" si="197"/>
        <v>0</v>
      </c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>
        <v>0</v>
      </c>
      <c r="BC108" s="123">
        <f t="shared" si="198"/>
        <v>0</v>
      </c>
      <c r="BD108" s="123">
        <f t="shared" si="199"/>
        <v>0</v>
      </c>
      <c r="BE108" s="123"/>
      <c r="BF108" s="123"/>
      <c r="BG108" s="123"/>
      <c r="BH108" s="123"/>
      <c r="BI108" s="123"/>
      <c r="BJ108" s="123"/>
      <c r="BK108" s="123"/>
      <c r="BL108" s="123"/>
      <c r="BM108" s="102">
        <f t="shared" si="200"/>
        <v>0</v>
      </c>
      <c r="BN108" s="102">
        <f t="shared" si="201"/>
        <v>0</v>
      </c>
      <c r="BO108" s="102"/>
      <c r="BP108" s="102"/>
      <c r="BQ108" s="102"/>
      <c r="BR108" s="102"/>
      <c r="BS108" s="102"/>
      <c r="BT108" s="389"/>
      <c r="BU108" s="102"/>
      <c r="BV108" s="102"/>
      <c r="BW108" s="335"/>
      <c r="BX108" s="103" t="s">
        <v>571</v>
      </c>
      <c r="BY108" s="107" t="s">
        <v>782</v>
      </c>
      <c r="BZ108" s="36"/>
      <c r="CA108" s="36"/>
      <c r="CB108" s="36"/>
      <c r="CC108" s="36"/>
      <c r="CD108" s="36"/>
      <c r="CE108" s="36"/>
      <c r="CF108" s="36"/>
      <c r="CG108" s="36"/>
    </row>
    <row r="109" spans="1:85" s="221" customFormat="1" ht="36" x14ac:dyDescent="0.2">
      <c r="A109" s="146"/>
      <c r="B109" s="117"/>
      <c r="C109" s="279"/>
      <c r="D109" s="280"/>
      <c r="E109" s="100" t="s">
        <v>298</v>
      </c>
      <c r="F109" s="347">
        <f t="shared" si="184"/>
        <v>113733</v>
      </c>
      <c r="G109" s="101">
        <f t="shared" si="185"/>
        <v>124240</v>
      </c>
      <c r="H109" s="102">
        <v>113733</v>
      </c>
      <c r="I109" s="102">
        <f t="shared" si="192"/>
        <v>124240</v>
      </c>
      <c r="J109" s="102">
        <f t="shared" si="193"/>
        <v>10507</v>
      </c>
      <c r="K109" s="102"/>
      <c r="L109" s="102"/>
      <c r="M109" s="102"/>
      <c r="N109" s="102"/>
      <c r="O109" s="102"/>
      <c r="P109" s="102"/>
      <c r="Q109" s="102"/>
      <c r="R109" s="102">
        <v>10507</v>
      </c>
      <c r="S109" s="102"/>
      <c r="T109" s="102"/>
      <c r="U109" s="102"/>
      <c r="V109" s="102"/>
      <c r="W109" s="102"/>
      <c r="X109" s="445"/>
      <c r="Y109" s="102"/>
      <c r="Z109" s="102"/>
      <c r="AA109" s="102"/>
      <c r="AB109" s="102"/>
      <c r="AC109" s="102">
        <v>0</v>
      </c>
      <c r="AD109" s="102">
        <f t="shared" si="194"/>
        <v>0</v>
      </c>
      <c r="AE109" s="102">
        <f t="shared" si="195"/>
        <v>0</v>
      </c>
      <c r="AF109" s="102"/>
      <c r="AG109" s="102"/>
      <c r="AH109" s="102"/>
      <c r="AI109" s="102"/>
      <c r="AJ109" s="102"/>
      <c r="AK109" s="102"/>
      <c r="AL109" s="445"/>
      <c r="AM109" s="102"/>
      <c r="AN109" s="102"/>
      <c r="AO109" s="102">
        <v>0</v>
      </c>
      <c r="AP109" s="102">
        <f t="shared" si="196"/>
        <v>0</v>
      </c>
      <c r="AQ109" s="102">
        <f t="shared" si="197"/>
        <v>0</v>
      </c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>
        <v>0</v>
      </c>
      <c r="BC109" s="123">
        <f t="shared" si="198"/>
        <v>0</v>
      </c>
      <c r="BD109" s="123">
        <f t="shared" si="199"/>
        <v>0</v>
      </c>
      <c r="BE109" s="123"/>
      <c r="BF109" s="123"/>
      <c r="BG109" s="123"/>
      <c r="BH109" s="123"/>
      <c r="BI109" s="123"/>
      <c r="BJ109" s="123"/>
      <c r="BK109" s="123"/>
      <c r="BL109" s="123"/>
      <c r="BM109" s="102">
        <f t="shared" si="200"/>
        <v>0</v>
      </c>
      <c r="BN109" s="102">
        <f t="shared" si="201"/>
        <v>0</v>
      </c>
      <c r="BO109" s="102"/>
      <c r="BP109" s="102"/>
      <c r="BQ109" s="102"/>
      <c r="BR109" s="102"/>
      <c r="BS109" s="102"/>
      <c r="BT109" s="389"/>
      <c r="BU109" s="102"/>
      <c r="BV109" s="102"/>
      <c r="BW109" s="335"/>
      <c r="BX109" s="103" t="s">
        <v>572</v>
      </c>
      <c r="BY109" s="107" t="s">
        <v>782</v>
      </c>
      <c r="BZ109" s="36"/>
      <c r="CA109" s="36"/>
      <c r="CB109" s="36"/>
      <c r="CC109" s="36"/>
      <c r="CD109" s="36"/>
      <c r="CE109" s="36"/>
      <c r="CF109" s="36"/>
      <c r="CG109" s="36"/>
    </row>
    <row r="110" spans="1:85" s="268" customFormat="1" ht="48" x14ac:dyDescent="0.2">
      <c r="A110" s="146"/>
      <c r="B110" s="117"/>
      <c r="C110" s="266"/>
      <c r="D110" s="267"/>
      <c r="E110" s="100" t="s">
        <v>634</v>
      </c>
      <c r="F110" s="347">
        <f t="shared" si="184"/>
        <v>138947</v>
      </c>
      <c r="G110" s="101">
        <f t="shared" si="185"/>
        <v>176319</v>
      </c>
      <c r="H110" s="102">
        <v>138947</v>
      </c>
      <c r="I110" s="102">
        <f t="shared" si="192"/>
        <v>176319</v>
      </c>
      <c r="J110" s="102">
        <f t="shared" si="193"/>
        <v>37372</v>
      </c>
      <c r="K110" s="102"/>
      <c r="L110" s="102">
        <v>3444</v>
      </c>
      <c r="M110" s="102"/>
      <c r="N110" s="102"/>
      <c r="O110" s="102"/>
      <c r="P110" s="102">
        <v>33928</v>
      </c>
      <c r="Q110" s="102"/>
      <c r="R110" s="102"/>
      <c r="S110" s="102"/>
      <c r="T110" s="102"/>
      <c r="U110" s="102"/>
      <c r="V110" s="102"/>
      <c r="W110" s="102"/>
      <c r="X110" s="445"/>
      <c r="Y110" s="102"/>
      <c r="Z110" s="102"/>
      <c r="AA110" s="102"/>
      <c r="AB110" s="102"/>
      <c r="AC110" s="102">
        <v>0</v>
      </c>
      <c r="AD110" s="102">
        <f t="shared" si="194"/>
        <v>0</v>
      </c>
      <c r="AE110" s="102">
        <f t="shared" si="195"/>
        <v>0</v>
      </c>
      <c r="AF110" s="102"/>
      <c r="AG110" s="102"/>
      <c r="AH110" s="102"/>
      <c r="AI110" s="102"/>
      <c r="AJ110" s="102"/>
      <c r="AK110" s="102"/>
      <c r="AL110" s="445"/>
      <c r="AM110" s="102"/>
      <c r="AN110" s="102"/>
      <c r="AO110" s="102">
        <v>0</v>
      </c>
      <c r="AP110" s="102">
        <f t="shared" si="196"/>
        <v>0</v>
      </c>
      <c r="AQ110" s="102">
        <f t="shared" si="197"/>
        <v>0</v>
      </c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>
        <v>0</v>
      </c>
      <c r="BC110" s="123">
        <f t="shared" si="198"/>
        <v>0</v>
      </c>
      <c r="BD110" s="123">
        <f t="shared" si="199"/>
        <v>0</v>
      </c>
      <c r="BE110" s="123"/>
      <c r="BF110" s="123"/>
      <c r="BG110" s="123"/>
      <c r="BH110" s="123"/>
      <c r="BI110" s="123"/>
      <c r="BJ110" s="123"/>
      <c r="BK110" s="123"/>
      <c r="BL110" s="123"/>
      <c r="BM110" s="102">
        <f t="shared" si="200"/>
        <v>0</v>
      </c>
      <c r="BN110" s="102">
        <f t="shared" si="201"/>
        <v>0</v>
      </c>
      <c r="BO110" s="102"/>
      <c r="BP110" s="102"/>
      <c r="BQ110" s="102"/>
      <c r="BR110" s="102"/>
      <c r="BS110" s="102"/>
      <c r="BT110" s="389"/>
      <c r="BU110" s="102"/>
      <c r="BV110" s="102"/>
      <c r="BW110" s="335"/>
      <c r="BX110" s="315" t="s">
        <v>678</v>
      </c>
      <c r="BY110" s="107"/>
      <c r="BZ110" s="36"/>
      <c r="CA110" s="36"/>
      <c r="CB110" s="36"/>
      <c r="CC110" s="36"/>
      <c r="CD110" s="36"/>
      <c r="CE110" s="36"/>
      <c r="CF110" s="36"/>
      <c r="CG110" s="36"/>
    </row>
    <row r="111" spans="1:85" s="362" customFormat="1" ht="84" x14ac:dyDescent="0.2">
      <c r="A111" s="146"/>
      <c r="B111" s="117"/>
      <c r="C111" s="363"/>
      <c r="D111" s="364"/>
      <c r="E111" s="100" t="s">
        <v>730</v>
      </c>
      <c r="F111" s="347">
        <f t="shared" ref="F111" si="202">H111+AC111+AO111+BA111+BB111+BL111</f>
        <v>0</v>
      </c>
      <c r="G111" s="101">
        <f t="shared" ref="G111" si="203">I111+AD111+AP111+BA111+BC111+BM111</f>
        <v>1517059</v>
      </c>
      <c r="H111" s="102"/>
      <c r="I111" s="102">
        <f t="shared" ref="I111" si="204">J111+H111</f>
        <v>1517059</v>
      </c>
      <c r="J111" s="102">
        <f t="shared" ref="J111" si="205">SUM(K111:AB111)</f>
        <v>1517059</v>
      </c>
      <c r="K111" s="102"/>
      <c r="L111" s="102"/>
      <c r="M111" s="102">
        <v>1505746</v>
      </c>
      <c r="N111" s="102"/>
      <c r="O111" s="102"/>
      <c r="P111" s="102"/>
      <c r="Q111" s="102"/>
      <c r="R111" s="102">
        <v>11313</v>
      </c>
      <c r="S111" s="102"/>
      <c r="T111" s="102"/>
      <c r="U111" s="102"/>
      <c r="V111" s="102"/>
      <c r="W111" s="102"/>
      <c r="X111" s="445"/>
      <c r="Y111" s="102"/>
      <c r="Z111" s="102"/>
      <c r="AA111" s="102"/>
      <c r="AB111" s="102"/>
      <c r="AC111" s="102"/>
      <c r="AD111" s="102">
        <f t="shared" ref="AD111" si="206">AC111+AE111</f>
        <v>0</v>
      </c>
      <c r="AE111" s="102">
        <f t="shared" ref="AE111" si="207">SUM(AF111:AN111)</f>
        <v>0</v>
      </c>
      <c r="AF111" s="102"/>
      <c r="AG111" s="102"/>
      <c r="AH111" s="102"/>
      <c r="AI111" s="102"/>
      <c r="AJ111" s="102"/>
      <c r="AK111" s="102"/>
      <c r="AL111" s="445"/>
      <c r="AM111" s="102"/>
      <c r="AN111" s="102"/>
      <c r="AO111" s="102"/>
      <c r="AP111" s="102">
        <f t="shared" ref="AP111" si="208">AQ111+AO111</f>
        <v>0</v>
      </c>
      <c r="AQ111" s="102">
        <f t="shared" ref="AQ111" si="209">SUM(AR111:AZ111)</f>
        <v>0</v>
      </c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23">
        <f t="shared" ref="BC111" si="210">BB111+BD111</f>
        <v>0</v>
      </c>
      <c r="BD111" s="123">
        <f t="shared" ref="BD111" si="211">SUM(BE111:BK111)</f>
        <v>0</v>
      </c>
      <c r="BE111" s="123"/>
      <c r="BF111" s="123"/>
      <c r="BG111" s="123"/>
      <c r="BH111" s="123"/>
      <c r="BI111" s="123"/>
      <c r="BJ111" s="123"/>
      <c r="BK111" s="123"/>
      <c r="BL111" s="123"/>
      <c r="BM111" s="102">
        <f t="shared" ref="BM111" si="212">BN111+BL111</f>
        <v>0</v>
      </c>
      <c r="BN111" s="102">
        <f t="shared" ref="BN111" si="213">SUM(BO111:BW111)</f>
        <v>0</v>
      </c>
      <c r="BO111" s="102"/>
      <c r="BP111" s="102"/>
      <c r="BQ111" s="102"/>
      <c r="BR111" s="102"/>
      <c r="BS111" s="102"/>
      <c r="BT111" s="389"/>
      <c r="BU111" s="102"/>
      <c r="BV111" s="102"/>
      <c r="BW111" s="335"/>
      <c r="BX111" s="315" t="s">
        <v>731</v>
      </c>
      <c r="BY111" s="107"/>
      <c r="BZ111" s="36"/>
      <c r="CA111" s="36"/>
      <c r="CB111" s="36"/>
      <c r="CC111" s="36"/>
      <c r="CD111" s="36"/>
      <c r="CE111" s="36"/>
      <c r="CF111" s="36"/>
      <c r="CG111" s="36"/>
    </row>
    <row r="112" spans="1:85" ht="24.75" customHeight="1" x14ac:dyDescent="0.2">
      <c r="A112" s="146">
        <v>90000594245</v>
      </c>
      <c r="B112" s="117"/>
      <c r="C112" s="495" t="s">
        <v>606</v>
      </c>
      <c r="D112" s="496"/>
      <c r="E112" s="100" t="s">
        <v>223</v>
      </c>
      <c r="F112" s="347">
        <f t="shared" si="184"/>
        <v>33000</v>
      </c>
      <c r="G112" s="101">
        <f t="shared" si="185"/>
        <v>30006</v>
      </c>
      <c r="H112" s="102">
        <v>33000</v>
      </c>
      <c r="I112" s="102">
        <f t="shared" si="192"/>
        <v>30006</v>
      </c>
      <c r="J112" s="102">
        <f t="shared" si="193"/>
        <v>-2994</v>
      </c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>
        <v>-2994</v>
      </c>
      <c r="W112" s="102"/>
      <c r="X112" s="445"/>
      <c r="Y112" s="102"/>
      <c r="Z112" s="102"/>
      <c r="AA112" s="102"/>
      <c r="AB112" s="102"/>
      <c r="AC112" s="102">
        <v>0</v>
      </c>
      <c r="AD112" s="102">
        <f t="shared" si="194"/>
        <v>0</v>
      </c>
      <c r="AE112" s="102">
        <f t="shared" si="195"/>
        <v>0</v>
      </c>
      <c r="AF112" s="102"/>
      <c r="AG112" s="102"/>
      <c r="AH112" s="102"/>
      <c r="AI112" s="102"/>
      <c r="AJ112" s="102"/>
      <c r="AK112" s="102"/>
      <c r="AL112" s="445"/>
      <c r="AM112" s="102"/>
      <c r="AN112" s="102"/>
      <c r="AO112" s="102">
        <v>0</v>
      </c>
      <c r="AP112" s="102">
        <f t="shared" si="196"/>
        <v>0</v>
      </c>
      <c r="AQ112" s="102">
        <f t="shared" si="197"/>
        <v>0</v>
      </c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>
        <v>0</v>
      </c>
      <c r="BC112" s="123">
        <f t="shared" si="198"/>
        <v>0</v>
      </c>
      <c r="BD112" s="123">
        <f t="shared" si="199"/>
        <v>0</v>
      </c>
      <c r="BE112" s="123"/>
      <c r="BF112" s="123"/>
      <c r="BG112" s="123"/>
      <c r="BH112" s="123"/>
      <c r="BI112" s="123"/>
      <c r="BJ112" s="123"/>
      <c r="BK112" s="123"/>
      <c r="BL112" s="123"/>
      <c r="BM112" s="102">
        <f t="shared" si="200"/>
        <v>0</v>
      </c>
      <c r="BN112" s="102">
        <f t="shared" si="201"/>
        <v>0</v>
      </c>
      <c r="BO112" s="102"/>
      <c r="BP112" s="102"/>
      <c r="BQ112" s="102"/>
      <c r="BR112" s="102"/>
      <c r="BS112" s="102"/>
      <c r="BT112" s="389"/>
      <c r="BU112" s="102"/>
      <c r="BV112" s="102"/>
      <c r="BW112" s="335"/>
      <c r="BX112" s="103" t="s">
        <v>406</v>
      </c>
      <c r="BY112" s="107" t="s">
        <v>694</v>
      </c>
      <c r="BZ112" s="36"/>
      <c r="CA112" s="36"/>
      <c r="CB112" s="36"/>
      <c r="CC112" s="36"/>
      <c r="CD112" s="36"/>
      <c r="CE112" s="36"/>
      <c r="CF112" s="36"/>
      <c r="CG112" s="36"/>
    </row>
    <row r="113" spans="1:85" s="167" customFormat="1" ht="15" customHeight="1" x14ac:dyDescent="0.2">
      <c r="A113" s="146"/>
      <c r="B113" s="117"/>
      <c r="C113" s="269"/>
      <c r="D113" s="270"/>
      <c r="E113" s="100" t="s">
        <v>309</v>
      </c>
      <c r="F113" s="347">
        <f t="shared" si="184"/>
        <v>4850</v>
      </c>
      <c r="G113" s="101">
        <f t="shared" si="185"/>
        <v>4850</v>
      </c>
      <c r="H113" s="102">
        <v>4850</v>
      </c>
      <c r="I113" s="102">
        <f t="shared" si="192"/>
        <v>4850</v>
      </c>
      <c r="J113" s="102">
        <f t="shared" si="193"/>
        <v>0</v>
      </c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445"/>
      <c r="Y113" s="102"/>
      <c r="Z113" s="102"/>
      <c r="AA113" s="102"/>
      <c r="AB113" s="102"/>
      <c r="AC113" s="102">
        <v>0</v>
      </c>
      <c r="AD113" s="102">
        <f t="shared" si="194"/>
        <v>0</v>
      </c>
      <c r="AE113" s="102">
        <f t="shared" si="195"/>
        <v>0</v>
      </c>
      <c r="AF113" s="102"/>
      <c r="AG113" s="102"/>
      <c r="AH113" s="102"/>
      <c r="AI113" s="102"/>
      <c r="AJ113" s="102"/>
      <c r="AK113" s="102"/>
      <c r="AL113" s="445"/>
      <c r="AM113" s="102"/>
      <c r="AN113" s="102"/>
      <c r="AO113" s="102">
        <v>0</v>
      </c>
      <c r="AP113" s="102">
        <f t="shared" si="196"/>
        <v>0</v>
      </c>
      <c r="AQ113" s="102">
        <f t="shared" si="197"/>
        <v>0</v>
      </c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>
        <v>0</v>
      </c>
      <c r="BC113" s="123">
        <f t="shared" si="198"/>
        <v>0</v>
      </c>
      <c r="BD113" s="123">
        <f t="shared" si="199"/>
        <v>0</v>
      </c>
      <c r="BE113" s="123"/>
      <c r="BF113" s="123"/>
      <c r="BG113" s="123"/>
      <c r="BH113" s="123"/>
      <c r="BI113" s="123"/>
      <c r="BJ113" s="123"/>
      <c r="BK113" s="123"/>
      <c r="BL113" s="123"/>
      <c r="BM113" s="102">
        <f t="shared" si="200"/>
        <v>0</v>
      </c>
      <c r="BN113" s="102">
        <f t="shared" si="201"/>
        <v>0</v>
      </c>
      <c r="BO113" s="102"/>
      <c r="BP113" s="102"/>
      <c r="BQ113" s="102"/>
      <c r="BR113" s="102"/>
      <c r="BS113" s="102"/>
      <c r="BT113" s="389"/>
      <c r="BU113" s="102"/>
      <c r="BV113" s="102"/>
      <c r="BW113" s="335"/>
      <c r="BX113" s="103" t="s">
        <v>407</v>
      </c>
      <c r="BY113" s="107" t="s">
        <v>694</v>
      </c>
      <c r="BZ113" s="36"/>
      <c r="CA113" s="36"/>
      <c r="CB113" s="36"/>
      <c r="CC113" s="36"/>
      <c r="CD113" s="36"/>
      <c r="CE113" s="36"/>
      <c r="CF113" s="36"/>
      <c r="CG113" s="36"/>
    </row>
    <row r="114" spans="1:85" s="167" customFormat="1" ht="15" customHeight="1" x14ac:dyDescent="0.2">
      <c r="A114" s="146"/>
      <c r="B114" s="117"/>
      <c r="C114" s="269"/>
      <c r="D114" s="270"/>
      <c r="E114" s="100" t="s">
        <v>310</v>
      </c>
      <c r="F114" s="347">
        <f t="shared" si="184"/>
        <v>7000</v>
      </c>
      <c r="G114" s="101">
        <f t="shared" si="185"/>
        <v>7000</v>
      </c>
      <c r="H114" s="102">
        <v>7000</v>
      </c>
      <c r="I114" s="102">
        <f t="shared" si="192"/>
        <v>7000</v>
      </c>
      <c r="J114" s="102">
        <f t="shared" si="193"/>
        <v>0</v>
      </c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445"/>
      <c r="Y114" s="102"/>
      <c r="Z114" s="102"/>
      <c r="AA114" s="102"/>
      <c r="AB114" s="102"/>
      <c r="AC114" s="102">
        <v>0</v>
      </c>
      <c r="AD114" s="102">
        <f t="shared" si="194"/>
        <v>0</v>
      </c>
      <c r="AE114" s="102">
        <f t="shared" si="195"/>
        <v>0</v>
      </c>
      <c r="AF114" s="102"/>
      <c r="AG114" s="102"/>
      <c r="AH114" s="102"/>
      <c r="AI114" s="102"/>
      <c r="AJ114" s="102"/>
      <c r="AK114" s="102"/>
      <c r="AL114" s="445"/>
      <c r="AM114" s="102"/>
      <c r="AN114" s="102"/>
      <c r="AO114" s="102">
        <v>0</v>
      </c>
      <c r="AP114" s="123">
        <f t="shared" si="196"/>
        <v>0</v>
      </c>
      <c r="AQ114" s="123">
        <f t="shared" si="197"/>
        <v>0</v>
      </c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>
        <v>0</v>
      </c>
      <c r="BC114" s="123">
        <f t="shared" si="198"/>
        <v>0</v>
      </c>
      <c r="BD114" s="123">
        <f t="shared" si="199"/>
        <v>0</v>
      </c>
      <c r="BE114" s="123"/>
      <c r="BF114" s="123"/>
      <c r="BG114" s="123"/>
      <c r="BH114" s="123"/>
      <c r="BI114" s="123"/>
      <c r="BJ114" s="123"/>
      <c r="BK114" s="123"/>
      <c r="BL114" s="123"/>
      <c r="BM114" s="102">
        <f t="shared" si="200"/>
        <v>0</v>
      </c>
      <c r="BN114" s="102">
        <f t="shared" si="201"/>
        <v>0</v>
      </c>
      <c r="BO114" s="102"/>
      <c r="BP114" s="102"/>
      <c r="BQ114" s="102"/>
      <c r="BR114" s="102"/>
      <c r="BS114" s="102"/>
      <c r="BT114" s="389"/>
      <c r="BU114" s="102"/>
      <c r="BV114" s="102"/>
      <c r="BW114" s="335"/>
      <c r="BX114" s="103" t="s">
        <v>408</v>
      </c>
      <c r="BY114" s="107" t="s">
        <v>694</v>
      </c>
      <c r="BZ114" s="36"/>
      <c r="CA114" s="36"/>
      <c r="CB114" s="36"/>
      <c r="CC114" s="36"/>
      <c r="CD114" s="36"/>
      <c r="CE114" s="36"/>
      <c r="CF114" s="36"/>
      <c r="CG114" s="36"/>
    </row>
    <row r="115" spans="1:85" s="167" customFormat="1" ht="15" customHeight="1" x14ac:dyDescent="0.2">
      <c r="A115" s="146"/>
      <c r="B115" s="117"/>
      <c r="C115" s="269"/>
      <c r="D115" s="270"/>
      <c r="E115" s="100" t="s">
        <v>311</v>
      </c>
      <c r="F115" s="347">
        <f t="shared" si="184"/>
        <v>5868</v>
      </c>
      <c r="G115" s="101">
        <f t="shared" si="185"/>
        <v>5868</v>
      </c>
      <c r="H115" s="102">
        <v>5868</v>
      </c>
      <c r="I115" s="102">
        <f t="shared" si="192"/>
        <v>5868</v>
      </c>
      <c r="J115" s="102">
        <f t="shared" si="193"/>
        <v>0</v>
      </c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445"/>
      <c r="Y115" s="102"/>
      <c r="Z115" s="102"/>
      <c r="AA115" s="102"/>
      <c r="AB115" s="102"/>
      <c r="AC115" s="102">
        <v>0</v>
      </c>
      <c r="AD115" s="102">
        <f t="shared" si="194"/>
        <v>0</v>
      </c>
      <c r="AE115" s="102">
        <f t="shared" si="195"/>
        <v>0</v>
      </c>
      <c r="AF115" s="102"/>
      <c r="AG115" s="102"/>
      <c r="AH115" s="102"/>
      <c r="AI115" s="102"/>
      <c r="AJ115" s="102"/>
      <c r="AK115" s="102"/>
      <c r="AL115" s="445"/>
      <c r="AM115" s="102"/>
      <c r="AN115" s="102"/>
      <c r="AO115" s="102">
        <v>0</v>
      </c>
      <c r="AP115" s="123">
        <f t="shared" si="196"/>
        <v>0</v>
      </c>
      <c r="AQ115" s="123">
        <f t="shared" si="197"/>
        <v>0</v>
      </c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>
        <v>0</v>
      </c>
      <c r="BC115" s="123">
        <f t="shared" si="198"/>
        <v>0</v>
      </c>
      <c r="BD115" s="123">
        <f t="shared" si="199"/>
        <v>0</v>
      </c>
      <c r="BE115" s="123"/>
      <c r="BF115" s="123"/>
      <c r="BG115" s="123"/>
      <c r="BH115" s="123"/>
      <c r="BI115" s="123"/>
      <c r="BJ115" s="123"/>
      <c r="BK115" s="123"/>
      <c r="BL115" s="123"/>
      <c r="BM115" s="102">
        <f t="shared" si="200"/>
        <v>0</v>
      </c>
      <c r="BN115" s="102">
        <f t="shared" si="201"/>
        <v>0</v>
      </c>
      <c r="BO115" s="102"/>
      <c r="BP115" s="102"/>
      <c r="BQ115" s="102"/>
      <c r="BR115" s="102"/>
      <c r="BS115" s="102"/>
      <c r="BT115" s="389"/>
      <c r="BU115" s="102"/>
      <c r="BV115" s="102"/>
      <c r="BW115" s="335"/>
      <c r="BX115" s="103" t="s">
        <v>409</v>
      </c>
      <c r="BY115" s="107" t="s">
        <v>694</v>
      </c>
      <c r="BZ115" s="36"/>
      <c r="CA115" s="36"/>
      <c r="CB115" s="36"/>
      <c r="CC115" s="36"/>
      <c r="CD115" s="36"/>
      <c r="CE115" s="36"/>
      <c r="CF115" s="36"/>
      <c r="CG115" s="36"/>
    </row>
    <row r="116" spans="1:85" s="167" customFormat="1" ht="15" customHeight="1" x14ac:dyDescent="0.2">
      <c r="A116" s="146"/>
      <c r="B116" s="117"/>
      <c r="C116" s="269"/>
      <c r="D116" s="270"/>
      <c r="E116" s="100" t="s">
        <v>312</v>
      </c>
      <c r="F116" s="347">
        <f t="shared" si="184"/>
        <v>36534</v>
      </c>
      <c r="G116" s="101">
        <f t="shared" si="185"/>
        <v>39528</v>
      </c>
      <c r="H116" s="102">
        <v>36534</v>
      </c>
      <c r="I116" s="102">
        <f t="shared" si="192"/>
        <v>39528</v>
      </c>
      <c r="J116" s="102">
        <f t="shared" si="193"/>
        <v>2994</v>
      </c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>
        <v>2994</v>
      </c>
      <c r="W116" s="102"/>
      <c r="X116" s="445"/>
      <c r="Y116" s="102"/>
      <c r="Z116" s="102"/>
      <c r="AA116" s="102"/>
      <c r="AB116" s="102"/>
      <c r="AC116" s="102">
        <v>0</v>
      </c>
      <c r="AD116" s="102">
        <f t="shared" si="194"/>
        <v>0</v>
      </c>
      <c r="AE116" s="102">
        <f t="shared" si="195"/>
        <v>0</v>
      </c>
      <c r="AF116" s="102"/>
      <c r="AG116" s="102"/>
      <c r="AH116" s="102"/>
      <c r="AI116" s="102"/>
      <c r="AJ116" s="102"/>
      <c r="AK116" s="102"/>
      <c r="AL116" s="445"/>
      <c r="AM116" s="102"/>
      <c r="AN116" s="102"/>
      <c r="AO116" s="102">
        <v>0</v>
      </c>
      <c r="AP116" s="123">
        <f t="shared" si="196"/>
        <v>0</v>
      </c>
      <c r="AQ116" s="123">
        <f t="shared" si="197"/>
        <v>0</v>
      </c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>
        <v>0</v>
      </c>
      <c r="BC116" s="123">
        <f t="shared" si="198"/>
        <v>0</v>
      </c>
      <c r="BD116" s="123">
        <f t="shared" si="199"/>
        <v>0</v>
      </c>
      <c r="BE116" s="123"/>
      <c r="BF116" s="123"/>
      <c r="BG116" s="123"/>
      <c r="BH116" s="123"/>
      <c r="BI116" s="123"/>
      <c r="BJ116" s="123"/>
      <c r="BK116" s="123"/>
      <c r="BL116" s="123"/>
      <c r="BM116" s="102">
        <f t="shared" si="200"/>
        <v>0</v>
      </c>
      <c r="BN116" s="102">
        <f t="shared" si="201"/>
        <v>0</v>
      </c>
      <c r="BO116" s="102"/>
      <c r="BP116" s="102"/>
      <c r="BQ116" s="102"/>
      <c r="BR116" s="102"/>
      <c r="BS116" s="102"/>
      <c r="BT116" s="389"/>
      <c r="BU116" s="102"/>
      <c r="BV116" s="102"/>
      <c r="BW116" s="335"/>
      <c r="BX116" s="103" t="s">
        <v>410</v>
      </c>
      <c r="BY116" s="107" t="s">
        <v>694</v>
      </c>
      <c r="BZ116" s="36"/>
      <c r="CA116" s="36"/>
      <c r="CB116" s="36"/>
      <c r="CC116" s="36"/>
      <c r="CD116" s="36"/>
      <c r="CE116" s="36"/>
      <c r="CF116" s="36"/>
      <c r="CG116" s="36"/>
    </row>
    <row r="117" spans="1:85" s="167" customFormat="1" ht="24" x14ac:dyDescent="0.2">
      <c r="A117" s="146"/>
      <c r="B117" s="117"/>
      <c r="C117" s="269"/>
      <c r="D117" s="270"/>
      <c r="E117" s="100" t="s">
        <v>313</v>
      </c>
      <c r="F117" s="347">
        <f t="shared" si="184"/>
        <v>2830</v>
      </c>
      <c r="G117" s="101">
        <f t="shared" si="185"/>
        <v>2830</v>
      </c>
      <c r="H117" s="102">
        <v>2830</v>
      </c>
      <c r="I117" s="102">
        <f t="shared" si="192"/>
        <v>2830</v>
      </c>
      <c r="J117" s="102">
        <f t="shared" si="193"/>
        <v>0</v>
      </c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445"/>
      <c r="Y117" s="102"/>
      <c r="Z117" s="102"/>
      <c r="AA117" s="102"/>
      <c r="AB117" s="102"/>
      <c r="AC117" s="102">
        <v>0</v>
      </c>
      <c r="AD117" s="102">
        <f t="shared" si="194"/>
        <v>0</v>
      </c>
      <c r="AE117" s="102">
        <f t="shared" si="195"/>
        <v>0</v>
      </c>
      <c r="AF117" s="102"/>
      <c r="AG117" s="102"/>
      <c r="AH117" s="102"/>
      <c r="AI117" s="102"/>
      <c r="AJ117" s="102"/>
      <c r="AK117" s="102"/>
      <c r="AL117" s="445"/>
      <c r="AM117" s="102"/>
      <c r="AN117" s="102"/>
      <c r="AO117" s="102">
        <v>0</v>
      </c>
      <c r="AP117" s="123">
        <f t="shared" si="196"/>
        <v>0</v>
      </c>
      <c r="AQ117" s="123">
        <f t="shared" si="197"/>
        <v>0</v>
      </c>
      <c r="AR117" s="123"/>
      <c r="AS117" s="123"/>
      <c r="AT117" s="123"/>
      <c r="AU117" s="123"/>
      <c r="AV117" s="123"/>
      <c r="AW117" s="123"/>
      <c r="AX117" s="123"/>
      <c r="AY117" s="123"/>
      <c r="AZ117" s="123"/>
      <c r="BA117" s="123"/>
      <c r="BB117" s="123">
        <v>0</v>
      </c>
      <c r="BC117" s="123">
        <f t="shared" si="198"/>
        <v>0</v>
      </c>
      <c r="BD117" s="123">
        <f t="shared" si="199"/>
        <v>0</v>
      </c>
      <c r="BE117" s="123"/>
      <c r="BF117" s="123"/>
      <c r="BG117" s="123"/>
      <c r="BH117" s="123"/>
      <c r="BI117" s="123"/>
      <c r="BJ117" s="123"/>
      <c r="BK117" s="123"/>
      <c r="BL117" s="123"/>
      <c r="BM117" s="102">
        <f t="shared" si="200"/>
        <v>0</v>
      </c>
      <c r="BN117" s="102">
        <f t="shared" si="201"/>
        <v>0</v>
      </c>
      <c r="BO117" s="102"/>
      <c r="BP117" s="102"/>
      <c r="BQ117" s="102"/>
      <c r="BR117" s="102"/>
      <c r="BS117" s="102"/>
      <c r="BT117" s="389"/>
      <c r="BU117" s="102"/>
      <c r="BV117" s="102"/>
      <c r="BW117" s="335"/>
      <c r="BX117" s="103" t="s">
        <v>411</v>
      </c>
      <c r="BY117" s="107" t="s">
        <v>694</v>
      </c>
      <c r="BZ117" s="36"/>
      <c r="CA117" s="36"/>
      <c r="CB117" s="36"/>
      <c r="CC117" s="36"/>
      <c r="CD117" s="36"/>
      <c r="CE117" s="36"/>
      <c r="CF117" s="36"/>
      <c r="CG117" s="36"/>
    </row>
    <row r="118" spans="1:85" s="167" customFormat="1" ht="24" x14ac:dyDescent="0.2">
      <c r="A118" s="146"/>
      <c r="B118" s="117"/>
      <c r="C118" s="269"/>
      <c r="D118" s="270"/>
      <c r="E118" s="100" t="s">
        <v>314</v>
      </c>
      <c r="F118" s="347">
        <f t="shared" si="184"/>
        <v>2420</v>
      </c>
      <c r="G118" s="101">
        <f t="shared" si="185"/>
        <v>2420</v>
      </c>
      <c r="H118" s="102">
        <v>2420</v>
      </c>
      <c r="I118" s="102">
        <f t="shared" si="192"/>
        <v>2420</v>
      </c>
      <c r="J118" s="102">
        <f t="shared" si="193"/>
        <v>0</v>
      </c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445"/>
      <c r="Y118" s="102"/>
      <c r="Z118" s="102"/>
      <c r="AA118" s="102"/>
      <c r="AB118" s="102"/>
      <c r="AC118" s="102">
        <v>0</v>
      </c>
      <c r="AD118" s="102">
        <f t="shared" si="194"/>
        <v>0</v>
      </c>
      <c r="AE118" s="102">
        <f t="shared" si="195"/>
        <v>0</v>
      </c>
      <c r="AF118" s="102"/>
      <c r="AG118" s="102"/>
      <c r="AH118" s="102"/>
      <c r="AI118" s="102"/>
      <c r="AJ118" s="102"/>
      <c r="AK118" s="102"/>
      <c r="AL118" s="445"/>
      <c r="AM118" s="102"/>
      <c r="AN118" s="102"/>
      <c r="AO118" s="102">
        <v>0</v>
      </c>
      <c r="AP118" s="123">
        <f t="shared" si="196"/>
        <v>0</v>
      </c>
      <c r="AQ118" s="123">
        <f t="shared" si="197"/>
        <v>0</v>
      </c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3">
        <v>0</v>
      </c>
      <c r="BC118" s="123">
        <f t="shared" si="198"/>
        <v>0</v>
      </c>
      <c r="BD118" s="123">
        <f t="shared" si="199"/>
        <v>0</v>
      </c>
      <c r="BE118" s="123"/>
      <c r="BF118" s="123"/>
      <c r="BG118" s="123"/>
      <c r="BH118" s="123"/>
      <c r="BI118" s="123"/>
      <c r="BJ118" s="123"/>
      <c r="BK118" s="123"/>
      <c r="BL118" s="123"/>
      <c r="BM118" s="102">
        <f t="shared" si="200"/>
        <v>0</v>
      </c>
      <c r="BN118" s="102">
        <f t="shared" si="201"/>
        <v>0</v>
      </c>
      <c r="BO118" s="102"/>
      <c r="BP118" s="102"/>
      <c r="BQ118" s="102"/>
      <c r="BR118" s="102"/>
      <c r="BS118" s="102"/>
      <c r="BT118" s="389"/>
      <c r="BU118" s="102"/>
      <c r="BV118" s="102"/>
      <c r="BW118" s="335"/>
      <c r="BX118" s="103" t="s">
        <v>412</v>
      </c>
      <c r="BY118" s="107" t="s">
        <v>694</v>
      </c>
      <c r="BZ118" s="36"/>
      <c r="CA118" s="36"/>
      <c r="CB118" s="36"/>
      <c r="CC118" s="36"/>
      <c r="CD118" s="36"/>
      <c r="CE118" s="36"/>
      <c r="CF118" s="36"/>
      <c r="CG118" s="36"/>
    </row>
    <row r="119" spans="1:85" ht="36" x14ac:dyDescent="0.2">
      <c r="A119" s="146">
        <v>90000056450</v>
      </c>
      <c r="B119" s="117"/>
      <c r="C119" s="495" t="s">
        <v>212</v>
      </c>
      <c r="D119" s="496"/>
      <c r="E119" s="100" t="s">
        <v>514</v>
      </c>
      <c r="F119" s="347">
        <f t="shared" si="184"/>
        <v>740596</v>
      </c>
      <c r="G119" s="101">
        <f t="shared" si="185"/>
        <v>786865</v>
      </c>
      <c r="H119" s="102">
        <v>732526</v>
      </c>
      <c r="I119" s="102">
        <f t="shared" si="192"/>
        <v>778341</v>
      </c>
      <c r="J119" s="102">
        <f t="shared" si="193"/>
        <v>45815</v>
      </c>
      <c r="K119" s="102"/>
      <c r="L119" s="102"/>
      <c r="M119" s="102"/>
      <c r="N119" s="102"/>
      <c r="O119" s="102"/>
      <c r="P119" s="102">
        <v>11778</v>
      </c>
      <c r="Q119" s="102"/>
      <c r="R119" s="102"/>
      <c r="S119" s="102"/>
      <c r="T119" s="102"/>
      <c r="U119" s="102"/>
      <c r="V119" s="102">
        <v>34037</v>
      </c>
      <c r="W119" s="102"/>
      <c r="X119" s="445"/>
      <c r="Y119" s="102"/>
      <c r="Z119" s="102"/>
      <c r="AA119" s="102"/>
      <c r="AB119" s="102"/>
      <c r="AC119" s="102">
        <v>0</v>
      </c>
      <c r="AD119" s="102">
        <f t="shared" si="194"/>
        <v>0</v>
      </c>
      <c r="AE119" s="102">
        <f t="shared" si="195"/>
        <v>0</v>
      </c>
      <c r="AF119" s="102"/>
      <c r="AG119" s="102"/>
      <c r="AH119" s="102"/>
      <c r="AI119" s="102"/>
      <c r="AJ119" s="102"/>
      <c r="AK119" s="102"/>
      <c r="AL119" s="445"/>
      <c r="AM119" s="102"/>
      <c r="AN119" s="102"/>
      <c r="AO119" s="102">
        <v>8070</v>
      </c>
      <c r="AP119" s="102">
        <f t="shared" si="196"/>
        <v>8524</v>
      </c>
      <c r="AQ119" s="102">
        <f t="shared" si="197"/>
        <v>454</v>
      </c>
      <c r="AR119" s="102"/>
      <c r="AS119" s="102"/>
      <c r="AT119" s="102">
        <v>454</v>
      </c>
      <c r="AU119" s="102"/>
      <c r="AV119" s="102"/>
      <c r="AW119" s="102"/>
      <c r="AX119" s="102"/>
      <c r="AY119" s="102"/>
      <c r="AZ119" s="102"/>
      <c r="BA119" s="102"/>
      <c r="BB119" s="102">
        <v>0</v>
      </c>
      <c r="BC119" s="123">
        <f t="shared" si="198"/>
        <v>0</v>
      </c>
      <c r="BD119" s="123">
        <f t="shared" si="199"/>
        <v>0</v>
      </c>
      <c r="BE119" s="123"/>
      <c r="BF119" s="123"/>
      <c r="BG119" s="123"/>
      <c r="BH119" s="123"/>
      <c r="BI119" s="123"/>
      <c r="BJ119" s="123"/>
      <c r="BK119" s="123"/>
      <c r="BL119" s="123"/>
      <c r="BM119" s="102">
        <f t="shared" si="200"/>
        <v>0</v>
      </c>
      <c r="BN119" s="102">
        <f t="shared" si="201"/>
        <v>0</v>
      </c>
      <c r="BO119" s="102"/>
      <c r="BP119" s="102"/>
      <c r="BQ119" s="102"/>
      <c r="BR119" s="102"/>
      <c r="BS119" s="102"/>
      <c r="BT119" s="389"/>
      <c r="BU119" s="102"/>
      <c r="BV119" s="102"/>
      <c r="BW119" s="335"/>
      <c r="BX119" s="103" t="s">
        <v>413</v>
      </c>
      <c r="BY119" s="107"/>
      <c r="BZ119" s="36"/>
      <c r="CA119" s="36"/>
      <c r="CB119" s="36"/>
      <c r="CC119" s="36"/>
      <c r="CD119" s="36"/>
      <c r="CE119" s="36"/>
      <c r="CF119" s="36"/>
      <c r="CG119" s="36"/>
    </row>
    <row r="120" spans="1:85" ht="39.75" customHeight="1" x14ac:dyDescent="0.2">
      <c r="A120" s="146">
        <v>90009229680</v>
      </c>
      <c r="B120" s="117"/>
      <c r="C120" s="495" t="s">
        <v>163</v>
      </c>
      <c r="D120" s="496"/>
      <c r="E120" s="100" t="s">
        <v>515</v>
      </c>
      <c r="F120" s="347">
        <f t="shared" si="184"/>
        <v>1006876</v>
      </c>
      <c r="G120" s="101">
        <f t="shared" si="185"/>
        <v>974520</v>
      </c>
      <c r="H120" s="102">
        <v>979233</v>
      </c>
      <c r="I120" s="102">
        <f t="shared" si="192"/>
        <v>946011</v>
      </c>
      <c r="J120" s="102">
        <f t="shared" si="193"/>
        <v>-33222</v>
      </c>
      <c r="K120" s="102"/>
      <c r="L120" s="102"/>
      <c r="M120" s="102"/>
      <c r="N120" s="102">
        <v>-33222</v>
      </c>
      <c r="O120" s="102"/>
      <c r="P120" s="102"/>
      <c r="Q120" s="102"/>
      <c r="R120" s="102"/>
      <c r="S120" s="102"/>
      <c r="T120" s="102"/>
      <c r="U120" s="102"/>
      <c r="V120" s="102"/>
      <c r="W120" s="102"/>
      <c r="X120" s="445"/>
      <c r="Y120" s="102"/>
      <c r="Z120" s="102"/>
      <c r="AA120" s="102"/>
      <c r="AB120" s="102"/>
      <c r="AC120" s="102">
        <v>8056</v>
      </c>
      <c r="AD120" s="102">
        <f t="shared" si="194"/>
        <v>9618</v>
      </c>
      <c r="AE120" s="102">
        <f t="shared" si="195"/>
        <v>1562</v>
      </c>
      <c r="AF120" s="102">
        <v>1562</v>
      </c>
      <c r="AG120" s="102"/>
      <c r="AH120" s="102"/>
      <c r="AI120" s="102"/>
      <c r="AJ120" s="102"/>
      <c r="AK120" s="102"/>
      <c r="AL120" s="445"/>
      <c r="AM120" s="102"/>
      <c r="AN120" s="102"/>
      <c r="AO120" s="102">
        <v>19587</v>
      </c>
      <c r="AP120" s="102">
        <f t="shared" si="196"/>
        <v>18891</v>
      </c>
      <c r="AQ120" s="102">
        <f t="shared" si="197"/>
        <v>-696</v>
      </c>
      <c r="AR120" s="102">
        <v>300</v>
      </c>
      <c r="AS120" s="102">
        <v>-996</v>
      </c>
      <c r="AT120" s="102"/>
      <c r="AU120" s="102"/>
      <c r="AV120" s="102"/>
      <c r="AW120" s="102"/>
      <c r="AX120" s="102"/>
      <c r="AY120" s="102"/>
      <c r="AZ120" s="102"/>
      <c r="BA120" s="102"/>
      <c r="BB120" s="102">
        <v>0</v>
      </c>
      <c r="BC120" s="123">
        <f t="shared" si="198"/>
        <v>0</v>
      </c>
      <c r="BD120" s="123">
        <f t="shared" si="199"/>
        <v>0</v>
      </c>
      <c r="BE120" s="123"/>
      <c r="BF120" s="123"/>
      <c r="BG120" s="123"/>
      <c r="BH120" s="123"/>
      <c r="BI120" s="123"/>
      <c r="BJ120" s="123"/>
      <c r="BK120" s="123"/>
      <c r="BL120" s="123"/>
      <c r="BM120" s="102">
        <f t="shared" si="200"/>
        <v>0</v>
      </c>
      <c r="BN120" s="102">
        <f t="shared" si="201"/>
        <v>0</v>
      </c>
      <c r="BO120" s="102"/>
      <c r="BP120" s="102"/>
      <c r="BQ120" s="102"/>
      <c r="BR120" s="102"/>
      <c r="BS120" s="102"/>
      <c r="BT120" s="389"/>
      <c r="BU120" s="102"/>
      <c r="BV120" s="102"/>
      <c r="BW120" s="335"/>
      <c r="BX120" s="103" t="s">
        <v>414</v>
      </c>
      <c r="BY120" s="107"/>
      <c r="BZ120" s="36"/>
      <c r="CA120" s="36"/>
      <c r="CB120" s="36"/>
      <c r="CC120" s="36"/>
      <c r="CD120" s="36"/>
      <c r="CE120" s="36"/>
      <c r="CF120" s="36"/>
      <c r="CG120" s="36"/>
    </row>
    <row r="121" spans="1:85" ht="27.75" customHeight="1" x14ac:dyDescent="0.2">
      <c r="A121" s="146"/>
      <c r="B121" s="117"/>
      <c r="C121" s="266"/>
      <c r="D121" s="267"/>
      <c r="E121" s="100" t="s">
        <v>205</v>
      </c>
      <c r="F121" s="347">
        <f t="shared" si="184"/>
        <v>526442</v>
      </c>
      <c r="G121" s="101">
        <f t="shared" si="185"/>
        <v>530315</v>
      </c>
      <c r="H121" s="102">
        <v>507272</v>
      </c>
      <c r="I121" s="102">
        <f t="shared" si="192"/>
        <v>510346</v>
      </c>
      <c r="J121" s="102">
        <f t="shared" si="193"/>
        <v>3074</v>
      </c>
      <c r="K121" s="102"/>
      <c r="L121" s="102"/>
      <c r="M121" s="102"/>
      <c r="N121" s="102">
        <v>-8600</v>
      </c>
      <c r="O121" s="102"/>
      <c r="P121" s="102"/>
      <c r="Q121" s="102"/>
      <c r="R121" s="102"/>
      <c r="S121" s="102"/>
      <c r="T121" s="102">
        <f>9174+2500</f>
        <v>11674</v>
      </c>
      <c r="U121" s="102"/>
      <c r="V121" s="102"/>
      <c r="W121" s="102"/>
      <c r="X121" s="445"/>
      <c r="Y121" s="102"/>
      <c r="Z121" s="102"/>
      <c r="AA121" s="102"/>
      <c r="AB121" s="102"/>
      <c r="AC121" s="102">
        <v>0</v>
      </c>
      <c r="AD121" s="102">
        <f t="shared" si="194"/>
        <v>0</v>
      </c>
      <c r="AE121" s="102">
        <f t="shared" si="195"/>
        <v>0</v>
      </c>
      <c r="AF121" s="102"/>
      <c r="AG121" s="102"/>
      <c r="AH121" s="102"/>
      <c r="AI121" s="102"/>
      <c r="AJ121" s="102"/>
      <c r="AK121" s="102"/>
      <c r="AL121" s="445"/>
      <c r="AM121" s="102"/>
      <c r="AN121" s="102"/>
      <c r="AO121" s="102">
        <v>19170</v>
      </c>
      <c r="AP121" s="102">
        <f t="shared" si="196"/>
        <v>19969</v>
      </c>
      <c r="AQ121" s="102">
        <f t="shared" si="197"/>
        <v>799</v>
      </c>
      <c r="AR121" s="102">
        <v>799</v>
      </c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>
        <v>0</v>
      </c>
      <c r="BC121" s="123">
        <f t="shared" si="198"/>
        <v>0</v>
      </c>
      <c r="BD121" s="123">
        <f t="shared" si="199"/>
        <v>0</v>
      </c>
      <c r="BE121" s="123"/>
      <c r="BF121" s="123"/>
      <c r="BG121" s="123"/>
      <c r="BH121" s="123"/>
      <c r="BI121" s="123"/>
      <c r="BJ121" s="123"/>
      <c r="BK121" s="123"/>
      <c r="BL121" s="123"/>
      <c r="BM121" s="102">
        <f t="shared" si="200"/>
        <v>0</v>
      </c>
      <c r="BN121" s="102">
        <f t="shared" si="201"/>
        <v>0</v>
      </c>
      <c r="BO121" s="102"/>
      <c r="BP121" s="102"/>
      <c r="BQ121" s="102"/>
      <c r="BR121" s="102"/>
      <c r="BS121" s="102"/>
      <c r="BT121" s="389"/>
      <c r="BU121" s="102"/>
      <c r="BV121" s="102"/>
      <c r="BW121" s="335"/>
      <c r="BX121" s="103" t="s">
        <v>415</v>
      </c>
      <c r="BY121" s="107" t="s">
        <v>508</v>
      </c>
      <c r="BZ121" s="36"/>
      <c r="CA121" s="36"/>
      <c r="CB121" s="36"/>
      <c r="CC121" s="36"/>
      <c r="CD121" s="36"/>
      <c r="CE121" s="36"/>
      <c r="CF121" s="36"/>
      <c r="CG121" s="36"/>
    </row>
    <row r="122" spans="1:85" s="268" customFormat="1" ht="27.75" customHeight="1" x14ac:dyDescent="0.2">
      <c r="A122" s="146"/>
      <c r="B122" s="117"/>
      <c r="C122" s="266"/>
      <c r="D122" s="267"/>
      <c r="E122" s="100" t="s">
        <v>626</v>
      </c>
      <c r="F122" s="347">
        <f t="shared" si="184"/>
        <v>94658</v>
      </c>
      <c r="G122" s="101">
        <f t="shared" si="185"/>
        <v>94658</v>
      </c>
      <c r="H122" s="102">
        <v>63648</v>
      </c>
      <c r="I122" s="102">
        <f t="shared" si="192"/>
        <v>63648</v>
      </c>
      <c r="J122" s="102">
        <f t="shared" si="193"/>
        <v>0</v>
      </c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445"/>
      <c r="Y122" s="102"/>
      <c r="Z122" s="102"/>
      <c r="AA122" s="102"/>
      <c r="AB122" s="102"/>
      <c r="AC122" s="102">
        <v>31010</v>
      </c>
      <c r="AD122" s="102">
        <f t="shared" si="194"/>
        <v>31010</v>
      </c>
      <c r="AE122" s="102">
        <f t="shared" si="195"/>
        <v>0</v>
      </c>
      <c r="AF122" s="102"/>
      <c r="AG122" s="102"/>
      <c r="AH122" s="102"/>
      <c r="AI122" s="102"/>
      <c r="AJ122" s="102"/>
      <c r="AK122" s="102"/>
      <c r="AL122" s="445"/>
      <c r="AM122" s="102"/>
      <c r="AN122" s="102"/>
      <c r="AO122" s="102">
        <v>0</v>
      </c>
      <c r="AP122" s="102">
        <f t="shared" si="196"/>
        <v>0</v>
      </c>
      <c r="AQ122" s="102">
        <f t="shared" si="197"/>
        <v>0</v>
      </c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>
        <v>0</v>
      </c>
      <c r="BC122" s="123">
        <f t="shared" si="198"/>
        <v>0</v>
      </c>
      <c r="BD122" s="123">
        <f t="shared" si="199"/>
        <v>0</v>
      </c>
      <c r="BE122" s="123"/>
      <c r="BF122" s="123"/>
      <c r="BG122" s="123"/>
      <c r="BH122" s="123"/>
      <c r="BI122" s="123"/>
      <c r="BJ122" s="123"/>
      <c r="BK122" s="123"/>
      <c r="BL122" s="123"/>
      <c r="BM122" s="102">
        <f t="shared" si="200"/>
        <v>0</v>
      </c>
      <c r="BN122" s="102">
        <f t="shared" si="201"/>
        <v>0</v>
      </c>
      <c r="BO122" s="102"/>
      <c r="BP122" s="102"/>
      <c r="BQ122" s="102"/>
      <c r="BR122" s="102"/>
      <c r="BS122" s="102"/>
      <c r="BT122" s="389"/>
      <c r="BU122" s="102"/>
      <c r="BV122" s="102"/>
      <c r="BW122" s="335"/>
      <c r="BX122" s="103" t="s">
        <v>656</v>
      </c>
      <c r="BY122" s="107"/>
      <c r="BZ122" s="36"/>
      <c r="CA122" s="36"/>
      <c r="CB122" s="36"/>
      <c r="CC122" s="36"/>
      <c r="CD122" s="36"/>
      <c r="CE122" s="36"/>
      <c r="CF122" s="36"/>
      <c r="CG122" s="36"/>
    </row>
    <row r="123" spans="1:85" ht="24" customHeight="1" x14ac:dyDescent="0.2">
      <c r="A123" s="146">
        <v>90010478153</v>
      </c>
      <c r="B123" s="117"/>
      <c r="C123" s="495" t="s">
        <v>510</v>
      </c>
      <c r="D123" s="496"/>
      <c r="E123" s="100" t="s">
        <v>197</v>
      </c>
      <c r="F123" s="347">
        <f t="shared" si="184"/>
        <v>651358</v>
      </c>
      <c r="G123" s="101">
        <f t="shared" si="185"/>
        <v>653225</v>
      </c>
      <c r="H123" s="102">
        <v>628777</v>
      </c>
      <c r="I123" s="102">
        <f t="shared" si="192"/>
        <v>628777</v>
      </c>
      <c r="J123" s="102">
        <f t="shared" si="193"/>
        <v>0</v>
      </c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445"/>
      <c r="Y123" s="102"/>
      <c r="Z123" s="102"/>
      <c r="AA123" s="102"/>
      <c r="AB123" s="102"/>
      <c r="AC123" s="102">
        <v>0</v>
      </c>
      <c r="AD123" s="102">
        <f t="shared" si="194"/>
        <v>0</v>
      </c>
      <c r="AE123" s="102">
        <f t="shared" si="195"/>
        <v>0</v>
      </c>
      <c r="AF123" s="102"/>
      <c r="AG123" s="102"/>
      <c r="AH123" s="102"/>
      <c r="AI123" s="102"/>
      <c r="AJ123" s="102"/>
      <c r="AK123" s="102"/>
      <c r="AL123" s="445"/>
      <c r="AM123" s="102"/>
      <c r="AN123" s="102"/>
      <c r="AO123" s="102">
        <v>22581</v>
      </c>
      <c r="AP123" s="102">
        <f t="shared" si="196"/>
        <v>24448</v>
      </c>
      <c r="AQ123" s="102">
        <f t="shared" si="197"/>
        <v>1867</v>
      </c>
      <c r="AR123" s="102"/>
      <c r="AS123" s="102">
        <v>1722</v>
      </c>
      <c r="AT123" s="102"/>
      <c r="AU123" s="102">
        <v>145</v>
      </c>
      <c r="AV123" s="102"/>
      <c r="AW123" s="102"/>
      <c r="AX123" s="102"/>
      <c r="AY123" s="102"/>
      <c r="AZ123" s="102"/>
      <c r="BA123" s="102"/>
      <c r="BB123" s="102">
        <v>0</v>
      </c>
      <c r="BC123" s="123">
        <f t="shared" si="198"/>
        <v>0</v>
      </c>
      <c r="BD123" s="123">
        <f t="shared" si="199"/>
        <v>0</v>
      </c>
      <c r="BE123" s="123"/>
      <c r="BF123" s="123"/>
      <c r="BG123" s="123"/>
      <c r="BH123" s="123"/>
      <c r="BI123" s="123"/>
      <c r="BJ123" s="123"/>
      <c r="BK123" s="123"/>
      <c r="BL123" s="123"/>
      <c r="BM123" s="102">
        <f t="shared" si="200"/>
        <v>0</v>
      </c>
      <c r="BN123" s="102">
        <f t="shared" si="201"/>
        <v>0</v>
      </c>
      <c r="BO123" s="102"/>
      <c r="BP123" s="102"/>
      <c r="BQ123" s="102"/>
      <c r="BR123" s="102"/>
      <c r="BS123" s="102"/>
      <c r="BT123" s="389"/>
      <c r="BU123" s="102"/>
      <c r="BV123" s="102"/>
      <c r="BW123" s="335"/>
      <c r="BX123" s="103" t="s">
        <v>416</v>
      </c>
      <c r="BY123" s="107"/>
      <c r="BZ123" s="36"/>
      <c r="CA123" s="36"/>
      <c r="CB123" s="36"/>
      <c r="CC123" s="36"/>
      <c r="CD123" s="36"/>
      <c r="CE123" s="36"/>
      <c r="CF123" s="36"/>
      <c r="CG123" s="36"/>
    </row>
    <row r="124" spans="1:85" s="183" customFormat="1" ht="24" x14ac:dyDescent="0.2">
      <c r="A124" s="146"/>
      <c r="B124" s="117"/>
      <c r="C124" s="266"/>
      <c r="D124" s="267"/>
      <c r="E124" s="100" t="s">
        <v>349</v>
      </c>
      <c r="F124" s="347">
        <f t="shared" si="184"/>
        <v>59809</v>
      </c>
      <c r="G124" s="101">
        <f t="shared" si="185"/>
        <v>77296</v>
      </c>
      <c r="H124" s="102">
        <v>30399</v>
      </c>
      <c r="I124" s="102">
        <f t="shared" si="192"/>
        <v>43070</v>
      </c>
      <c r="J124" s="102">
        <f t="shared" si="193"/>
        <v>12671</v>
      </c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>
        <v>12671</v>
      </c>
      <c r="X124" s="445"/>
      <c r="Y124" s="102"/>
      <c r="Z124" s="102"/>
      <c r="AA124" s="102"/>
      <c r="AB124" s="102"/>
      <c r="AC124" s="102">
        <v>0</v>
      </c>
      <c r="AD124" s="102">
        <f t="shared" si="194"/>
        <v>0</v>
      </c>
      <c r="AE124" s="102">
        <f t="shared" si="195"/>
        <v>0</v>
      </c>
      <c r="AF124" s="102"/>
      <c r="AG124" s="102"/>
      <c r="AH124" s="102"/>
      <c r="AI124" s="102"/>
      <c r="AJ124" s="102"/>
      <c r="AK124" s="102"/>
      <c r="AL124" s="445"/>
      <c r="AM124" s="102"/>
      <c r="AN124" s="102"/>
      <c r="AO124" s="102">
        <v>29410</v>
      </c>
      <c r="AP124" s="102">
        <f t="shared" si="196"/>
        <v>34226</v>
      </c>
      <c r="AQ124" s="102">
        <f t="shared" si="197"/>
        <v>4816</v>
      </c>
      <c r="AR124" s="102"/>
      <c r="AS124" s="102">
        <v>4816</v>
      </c>
      <c r="AT124" s="102"/>
      <c r="AU124" s="102"/>
      <c r="AV124" s="102"/>
      <c r="AW124" s="102"/>
      <c r="AX124" s="102"/>
      <c r="AY124" s="102"/>
      <c r="AZ124" s="102"/>
      <c r="BA124" s="102"/>
      <c r="BB124" s="102">
        <v>0</v>
      </c>
      <c r="BC124" s="123">
        <f t="shared" si="198"/>
        <v>0</v>
      </c>
      <c r="BD124" s="123">
        <f t="shared" si="199"/>
        <v>0</v>
      </c>
      <c r="BE124" s="123"/>
      <c r="BF124" s="123"/>
      <c r="BG124" s="123"/>
      <c r="BH124" s="123"/>
      <c r="BI124" s="123"/>
      <c r="BJ124" s="123"/>
      <c r="BK124" s="123"/>
      <c r="BL124" s="123"/>
      <c r="BM124" s="102">
        <f t="shared" si="200"/>
        <v>0</v>
      </c>
      <c r="BN124" s="102">
        <f t="shared" si="201"/>
        <v>0</v>
      </c>
      <c r="BO124" s="102"/>
      <c r="BP124" s="102"/>
      <c r="BQ124" s="102"/>
      <c r="BR124" s="102"/>
      <c r="BS124" s="102"/>
      <c r="BT124" s="389"/>
      <c r="BU124" s="102"/>
      <c r="BV124" s="102"/>
      <c r="BW124" s="335"/>
      <c r="BX124" s="103" t="s">
        <v>417</v>
      </c>
      <c r="BY124" s="107"/>
      <c r="BZ124" s="36"/>
      <c r="CA124" s="36"/>
      <c r="CB124" s="36"/>
      <c r="CC124" s="36"/>
      <c r="CD124" s="36"/>
      <c r="CE124" s="36"/>
      <c r="CF124" s="36"/>
      <c r="CG124" s="36"/>
    </row>
    <row r="125" spans="1:85" s="192" customFormat="1" ht="24" x14ac:dyDescent="0.2">
      <c r="A125" s="146"/>
      <c r="B125" s="117"/>
      <c r="C125" s="266"/>
      <c r="D125" s="267"/>
      <c r="E125" s="100" t="s">
        <v>509</v>
      </c>
      <c r="F125" s="347">
        <f t="shared" si="184"/>
        <v>96640</v>
      </c>
      <c r="G125" s="101">
        <f t="shared" si="185"/>
        <v>96640</v>
      </c>
      <c r="H125" s="102">
        <v>68671</v>
      </c>
      <c r="I125" s="102">
        <f t="shared" si="192"/>
        <v>68671</v>
      </c>
      <c r="J125" s="102">
        <f t="shared" si="193"/>
        <v>0</v>
      </c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445"/>
      <c r="Y125" s="102"/>
      <c r="Z125" s="102"/>
      <c r="AA125" s="102"/>
      <c r="AB125" s="102"/>
      <c r="AC125" s="102">
        <v>0</v>
      </c>
      <c r="AD125" s="102">
        <f t="shared" si="194"/>
        <v>0</v>
      </c>
      <c r="AE125" s="102">
        <f t="shared" si="195"/>
        <v>0</v>
      </c>
      <c r="AF125" s="102"/>
      <c r="AG125" s="102"/>
      <c r="AH125" s="102"/>
      <c r="AI125" s="102"/>
      <c r="AJ125" s="102"/>
      <c r="AK125" s="102"/>
      <c r="AL125" s="445"/>
      <c r="AM125" s="102"/>
      <c r="AN125" s="102"/>
      <c r="AO125" s="102">
        <v>27969</v>
      </c>
      <c r="AP125" s="102">
        <f t="shared" si="196"/>
        <v>27969</v>
      </c>
      <c r="AQ125" s="102">
        <f t="shared" si="197"/>
        <v>0</v>
      </c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>
        <v>0</v>
      </c>
      <c r="BC125" s="123">
        <f t="shared" si="198"/>
        <v>0</v>
      </c>
      <c r="BD125" s="123">
        <f t="shared" si="199"/>
        <v>0</v>
      </c>
      <c r="BE125" s="123"/>
      <c r="BF125" s="123"/>
      <c r="BG125" s="123"/>
      <c r="BH125" s="123"/>
      <c r="BI125" s="123"/>
      <c r="BJ125" s="123"/>
      <c r="BK125" s="123"/>
      <c r="BL125" s="123"/>
      <c r="BM125" s="102">
        <f t="shared" si="200"/>
        <v>0</v>
      </c>
      <c r="BN125" s="102">
        <f t="shared" si="201"/>
        <v>0</v>
      </c>
      <c r="BO125" s="102"/>
      <c r="BP125" s="102"/>
      <c r="BQ125" s="102"/>
      <c r="BR125" s="102"/>
      <c r="BS125" s="102"/>
      <c r="BT125" s="389"/>
      <c r="BU125" s="102"/>
      <c r="BV125" s="102"/>
      <c r="BW125" s="335"/>
      <c r="BX125" s="103" t="s">
        <v>418</v>
      </c>
      <c r="BY125" s="107"/>
      <c r="BZ125" s="36"/>
      <c r="CA125" s="36"/>
      <c r="CB125" s="36"/>
      <c r="CC125" s="36"/>
      <c r="CD125" s="36"/>
      <c r="CE125" s="36"/>
      <c r="CF125" s="36"/>
      <c r="CG125" s="36"/>
    </row>
    <row r="126" spans="1:85" s="183" customFormat="1" ht="24" x14ac:dyDescent="0.2">
      <c r="A126" s="146"/>
      <c r="B126" s="117"/>
      <c r="C126" s="266"/>
      <c r="D126" s="267"/>
      <c r="E126" s="100" t="s">
        <v>350</v>
      </c>
      <c r="F126" s="347">
        <f t="shared" si="184"/>
        <v>118602</v>
      </c>
      <c r="G126" s="101">
        <f t="shared" si="185"/>
        <v>127428</v>
      </c>
      <c r="H126" s="102">
        <v>52640</v>
      </c>
      <c r="I126" s="102">
        <f t="shared" si="192"/>
        <v>52640</v>
      </c>
      <c r="J126" s="102">
        <f t="shared" si="193"/>
        <v>0</v>
      </c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445"/>
      <c r="Y126" s="102"/>
      <c r="Z126" s="102"/>
      <c r="AA126" s="102"/>
      <c r="AB126" s="102"/>
      <c r="AC126" s="102">
        <v>0</v>
      </c>
      <c r="AD126" s="102">
        <f t="shared" si="194"/>
        <v>0</v>
      </c>
      <c r="AE126" s="102">
        <f t="shared" si="195"/>
        <v>0</v>
      </c>
      <c r="AF126" s="102"/>
      <c r="AG126" s="102"/>
      <c r="AH126" s="102"/>
      <c r="AI126" s="102"/>
      <c r="AJ126" s="102"/>
      <c r="AK126" s="102"/>
      <c r="AL126" s="445"/>
      <c r="AM126" s="102"/>
      <c r="AN126" s="102"/>
      <c r="AO126" s="102">
        <v>65962</v>
      </c>
      <c r="AP126" s="102">
        <f t="shared" si="196"/>
        <v>74788</v>
      </c>
      <c r="AQ126" s="102">
        <f t="shared" si="197"/>
        <v>8826</v>
      </c>
      <c r="AR126" s="102"/>
      <c r="AS126" s="102">
        <v>8588</v>
      </c>
      <c r="AT126" s="102"/>
      <c r="AU126" s="102">
        <v>238</v>
      </c>
      <c r="AV126" s="102"/>
      <c r="AW126" s="102"/>
      <c r="AX126" s="102"/>
      <c r="AY126" s="102"/>
      <c r="AZ126" s="102"/>
      <c r="BA126" s="102"/>
      <c r="BB126" s="102">
        <v>0</v>
      </c>
      <c r="BC126" s="123">
        <f t="shared" si="198"/>
        <v>0</v>
      </c>
      <c r="BD126" s="123">
        <f t="shared" si="199"/>
        <v>0</v>
      </c>
      <c r="BE126" s="123"/>
      <c r="BF126" s="123"/>
      <c r="BG126" s="123"/>
      <c r="BH126" s="123"/>
      <c r="BI126" s="123"/>
      <c r="BJ126" s="123"/>
      <c r="BK126" s="123"/>
      <c r="BL126" s="123"/>
      <c r="BM126" s="102">
        <f t="shared" si="200"/>
        <v>0</v>
      </c>
      <c r="BN126" s="102">
        <f t="shared" si="201"/>
        <v>0</v>
      </c>
      <c r="BO126" s="102"/>
      <c r="BP126" s="102"/>
      <c r="BQ126" s="102"/>
      <c r="BR126" s="102"/>
      <c r="BS126" s="102"/>
      <c r="BT126" s="389"/>
      <c r="BU126" s="102"/>
      <c r="BV126" s="102"/>
      <c r="BW126" s="335"/>
      <c r="BX126" s="103" t="s">
        <v>419</v>
      </c>
      <c r="BY126" s="107"/>
      <c r="BZ126" s="36"/>
      <c r="CA126" s="36"/>
      <c r="CB126" s="36"/>
      <c r="CC126" s="36"/>
      <c r="CD126" s="36"/>
      <c r="CE126" s="36"/>
      <c r="CF126" s="36"/>
      <c r="CG126" s="36"/>
    </row>
    <row r="127" spans="1:85" s="183" customFormat="1" ht="24" x14ac:dyDescent="0.2">
      <c r="A127" s="146"/>
      <c r="B127" s="117"/>
      <c r="C127" s="266"/>
      <c r="D127" s="267"/>
      <c r="E127" s="100" t="s">
        <v>351</v>
      </c>
      <c r="F127" s="347">
        <f t="shared" si="184"/>
        <v>26088</v>
      </c>
      <c r="G127" s="101">
        <f t="shared" si="185"/>
        <v>26088</v>
      </c>
      <c r="H127" s="102">
        <v>10891</v>
      </c>
      <c r="I127" s="102">
        <f t="shared" si="192"/>
        <v>10891</v>
      </c>
      <c r="J127" s="102">
        <f t="shared" si="193"/>
        <v>0</v>
      </c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445"/>
      <c r="Y127" s="102"/>
      <c r="Z127" s="102"/>
      <c r="AA127" s="102"/>
      <c r="AB127" s="102"/>
      <c r="AC127" s="102">
        <v>0</v>
      </c>
      <c r="AD127" s="102">
        <f t="shared" si="194"/>
        <v>0</v>
      </c>
      <c r="AE127" s="102">
        <f t="shared" si="195"/>
        <v>0</v>
      </c>
      <c r="AF127" s="102"/>
      <c r="AG127" s="102"/>
      <c r="AH127" s="102"/>
      <c r="AI127" s="102"/>
      <c r="AJ127" s="102"/>
      <c r="AK127" s="102"/>
      <c r="AL127" s="445"/>
      <c r="AM127" s="102"/>
      <c r="AN127" s="102"/>
      <c r="AO127" s="102">
        <v>15197</v>
      </c>
      <c r="AP127" s="102">
        <f t="shared" si="196"/>
        <v>15197</v>
      </c>
      <c r="AQ127" s="102">
        <f t="shared" si="197"/>
        <v>0</v>
      </c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>
        <v>0</v>
      </c>
      <c r="BC127" s="123">
        <f t="shared" si="198"/>
        <v>0</v>
      </c>
      <c r="BD127" s="123">
        <f t="shared" si="199"/>
        <v>0</v>
      </c>
      <c r="BE127" s="123"/>
      <c r="BF127" s="123"/>
      <c r="BG127" s="123"/>
      <c r="BH127" s="123"/>
      <c r="BI127" s="123"/>
      <c r="BJ127" s="123"/>
      <c r="BK127" s="123"/>
      <c r="BL127" s="123"/>
      <c r="BM127" s="102">
        <f t="shared" si="200"/>
        <v>0</v>
      </c>
      <c r="BN127" s="102">
        <f t="shared" si="201"/>
        <v>0</v>
      </c>
      <c r="BO127" s="102"/>
      <c r="BP127" s="102"/>
      <c r="BQ127" s="102"/>
      <c r="BR127" s="102"/>
      <c r="BS127" s="102"/>
      <c r="BT127" s="389"/>
      <c r="BU127" s="102"/>
      <c r="BV127" s="102"/>
      <c r="BW127" s="335"/>
      <c r="BX127" s="103" t="s">
        <v>420</v>
      </c>
      <c r="BY127" s="107"/>
      <c r="BZ127" s="36"/>
      <c r="CA127" s="36"/>
      <c r="CB127" s="36"/>
      <c r="CC127" s="36"/>
      <c r="CD127" s="36"/>
      <c r="CE127" s="36"/>
      <c r="CF127" s="36"/>
      <c r="CG127" s="36"/>
    </row>
    <row r="128" spans="1:85" s="219" customFormat="1" ht="24" x14ac:dyDescent="0.2">
      <c r="A128" s="146"/>
      <c r="B128" s="117"/>
      <c r="C128" s="266"/>
      <c r="D128" s="267"/>
      <c r="E128" s="100" t="s">
        <v>547</v>
      </c>
      <c r="F128" s="347">
        <f t="shared" si="184"/>
        <v>25838</v>
      </c>
      <c r="G128" s="101">
        <f t="shared" si="185"/>
        <v>25838</v>
      </c>
      <c r="H128" s="102">
        <v>15615</v>
      </c>
      <c r="I128" s="102">
        <f t="shared" si="192"/>
        <v>15615</v>
      </c>
      <c r="J128" s="102">
        <f t="shared" si="193"/>
        <v>0</v>
      </c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445"/>
      <c r="Y128" s="102"/>
      <c r="Z128" s="102"/>
      <c r="AA128" s="102"/>
      <c r="AB128" s="102"/>
      <c r="AC128" s="102">
        <v>0</v>
      </c>
      <c r="AD128" s="102">
        <f t="shared" si="194"/>
        <v>0</v>
      </c>
      <c r="AE128" s="102">
        <f t="shared" si="195"/>
        <v>0</v>
      </c>
      <c r="AF128" s="102"/>
      <c r="AG128" s="102"/>
      <c r="AH128" s="102"/>
      <c r="AI128" s="102"/>
      <c r="AJ128" s="102"/>
      <c r="AK128" s="102"/>
      <c r="AL128" s="445"/>
      <c r="AM128" s="102"/>
      <c r="AN128" s="102"/>
      <c r="AO128" s="102">
        <v>10223</v>
      </c>
      <c r="AP128" s="102">
        <f t="shared" si="196"/>
        <v>10223</v>
      </c>
      <c r="AQ128" s="102">
        <f t="shared" si="197"/>
        <v>0</v>
      </c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>
        <v>0</v>
      </c>
      <c r="BC128" s="123">
        <f t="shared" si="198"/>
        <v>0</v>
      </c>
      <c r="BD128" s="123">
        <f t="shared" si="199"/>
        <v>0</v>
      </c>
      <c r="BE128" s="123"/>
      <c r="BF128" s="123"/>
      <c r="BG128" s="123"/>
      <c r="BH128" s="123"/>
      <c r="BI128" s="123"/>
      <c r="BJ128" s="123"/>
      <c r="BK128" s="123"/>
      <c r="BL128" s="123"/>
      <c r="BM128" s="102">
        <f t="shared" si="200"/>
        <v>0</v>
      </c>
      <c r="BN128" s="102">
        <f t="shared" si="201"/>
        <v>0</v>
      </c>
      <c r="BO128" s="102"/>
      <c r="BP128" s="102"/>
      <c r="BQ128" s="102"/>
      <c r="BR128" s="102"/>
      <c r="BS128" s="102"/>
      <c r="BT128" s="389"/>
      <c r="BU128" s="102"/>
      <c r="BV128" s="102"/>
      <c r="BW128" s="335"/>
      <c r="BX128" s="103" t="s">
        <v>580</v>
      </c>
      <c r="BY128" s="107"/>
      <c r="BZ128" s="36"/>
      <c r="CA128" s="36"/>
      <c r="CB128" s="36"/>
      <c r="CC128" s="36"/>
      <c r="CD128" s="36"/>
      <c r="CE128" s="36"/>
      <c r="CF128" s="36"/>
      <c r="CG128" s="36"/>
    </row>
    <row r="129" spans="1:85" ht="36" x14ac:dyDescent="0.2">
      <c r="A129" s="146">
        <v>40000056408</v>
      </c>
      <c r="B129" s="117"/>
      <c r="C129" s="495" t="s">
        <v>16</v>
      </c>
      <c r="D129" s="496"/>
      <c r="E129" s="100" t="s">
        <v>516</v>
      </c>
      <c r="F129" s="347">
        <f t="shared" si="184"/>
        <v>510037</v>
      </c>
      <c r="G129" s="101">
        <f t="shared" si="185"/>
        <v>545826</v>
      </c>
      <c r="H129" s="102">
        <v>488836</v>
      </c>
      <c r="I129" s="102">
        <f t="shared" si="192"/>
        <v>522058</v>
      </c>
      <c r="J129" s="102">
        <f t="shared" si="193"/>
        <v>33222</v>
      </c>
      <c r="K129" s="102"/>
      <c r="L129" s="102"/>
      <c r="M129" s="102"/>
      <c r="N129" s="102">
        <v>33222</v>
      </c>
      <c r="O129" s="102"/>
      <c r="P129" s="102"/>
      <c r="Q129" s="102"/>
      <c r="R129" s="102"/>
      <c r="S129" s="102"/>
      <c r="T129" s="102"/>
      <c r="U129" s="102"/>
      <c r="V129" s="102"/>
      <c r="W129" s="102"/>
      <c r="X129" s="445"/>
      <c r="Y129" s="102"/>
      <c r="Z129" s="102"/>
      <c r="AA129" s="102"/>
      <c r="AB129" s="102"/>
      <c r="AC129" s="102">
        <v>0</v>
      </c>
      <c r="AD129" s="102">
        <f t="shared" si="194"/>
        <v>0</v>
      </c>
      <c r="AE129" s="102">
        <f t="shared" si="195"/>
        <v>0</v>
      </c>
      <c r="AF129" s="102"/>
      <c r="AG129" s="102"/>
      <c r="AH129" s="102"/>
      <c r="AI129" s="102"/>
      <c r="AJ129" s="102"/>
      <c r="AK129" s="102"/>
      <c r="AL129" s="445"/>
      <c r="AM129" s="102"/>
      <c r="AN129" s="102"/>
      <c r="AO129" s="102">
        <v>21201</v>
      </c>
      <c r="AP129" s="102">
        <f t="shared" si="196"/>
        <v>23550</v>
      </c>
      <c r="AQ129" s="102">
        <f t="shared" si="197"/>
        <v>2349</v>
      </c>
      <c r="AR129" s="102">
        <v>1353</v>
      </c>
      <c r="AS129" s="102">
        <v>996</v>
      </c>
      <c r="AT129" s="102"/>
      <c r="AU129" s="102"/>
      <c r="AV129" s="102"/>
      <c r="AW129" s="102"/>
      <c r="AX129" s="102"/>
      <c r="AY129" s="102"/>
      <c r="AZ129" s="102"/>
      <c r="BA129" s="102"/>
      <c r="BB129" s="102">
        <v>0</v>
      </c>
      <c r="BC129" s="123">
        <f t="shared" si="198"/>
        <v>218</v>
      </c>
      <c r="BD129" s="123">
        <f t="shared" si="199"/>
        <v>218</v>
      </c>
      <c r="BE129" s="123">
        <v>218</v>
      </c>
      <c r="BF129" s="123"/>
      <c r="BG129" s="123"/>
      <c r="BH129" s="123"/>
      <c r="BI129" s="123"/>
      <c r="BJ129" s="123"/>
      <c r="BK129" s="123"/>
      <c r="BL129" s="123"/>
      <c r="BM129" s="102">
        <f t="shared" si="200"/>
        <v>0</v>
      </c>
      <c r="BN129" s="102">
        <f t="shared" si="201"/>
        <v>0</v>
      </c>
      <c r="BO129" s="102"/>
      <c r="BP129" s="102"/>
      <c r="BQ129" s="102"/>
      <c r="BR129" s="102"/>
      <c r="BS129" s="102"/>
      <c r="BT129" s="389"/>
      <c r="BU129" s="102"/>
      <c r="BV129" s="102"/>
      <c r="BW129" s="335"/>
      <c r="BX129" s="103" t="s">
        <v>421</v>
      </c>
      <c r="BY129" s="107"/>
      <c r="BZ129" s="36"/>
      <c r="CA129" s="36"/>
      <c r="CB129" s="36"/>
      <c r="CC129" s="36"/>
      <c r="CD129" s="36"/>
      <c r="CE129" s="36"/>
      <c r="CF129" s="36"/>
      <c r="CG129" s="36"/>
    </row>
    <row r="130" spans="1:85" ht="27.75" customHeight="1" x14ac:dyDescent="0.2">
      <c r="A130" s="146"/>
      <c r="B130" s="117"/>
      <c r="C130" s="266"/>
      <c r="D130" s="267"/>
      <c r="E130" s="100" t="s">
        <v>327</v>
      </c>
      <c r="F130" s="347">
        <f t="shared" si="184"/>
        <v>17342</v>
      </c>
      <c r="G130" s="101">
        <f t="shared" si="185"/>
        <v>28364</v>
      </c>
      <c r="H130" s="102">
        <v>16774</v>
      </c>
      <c r="I130" s="102">
        <f t="shared" si="192"/>
        <v>27796</v>
      </c>
      <c r="J130" s="102">
        <f t="shared" si="193"/>
        <v>11022</v>
      </c>
      <c r="K130" s="102"/>
      <c r="L130" s="102"/>
      <c r="M130" s="102">
        <v>2422</v>
      </c>
      <c r="N130" s="102">
        <v>8600</v>
      </c>
      <c r="O130" s="102"/>
      <c r="P130" s="102"/>
      <c r="Q130" s="102"/>
      <c r="R130" s="102"/>
      <c r="S130" s="102"/>
      <c r="T130" s="102"/>
      <c r="U130" s="102"/>
      <c r="V130" s="102"/>
      <c r="W130" s="102"/>
      <c r="X130" s="445"/>
      <c r="Y130" s="102"/>
      <c r="Z130" s="102"/>
      <c r="AA130" s="102"/>
      <c r="AB130" s="102"/>
      <c r="AC130" s="102">
        <v>0</v>
      </c>
      <c r="AD130" s="102">
        <f t="shared" si="194"/>
        <v>0</v>
      </c>
      <c r="AE130" s="102">
        <f t="shared" si="195"/>
        <v>0</v>
      </c>
      <c r="AF130" s="102"/>
      <c r="AG130" s="102"/>
      <c r="AH130" s="102"/>
      <c r="AI130" s="102"/>
      <c r="AJ130" s="102"/>
      <c r="AK130" s="102"/>
      <c r="AL130" s="445"/>
      <c r="AM130" s="102"/>
      <c r="AN130" s="102"/>
      <c r="AO130" s="102">
        <v>568</v>
      </c>
      <c r="AP130" s="102">
        <f t="shared" si="196"/>
        <v>568</v>
      </c>
      <c r="AQ130" s="102">
        <f t="shared" si="197"/>
        <v>0</v>
      </c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>
        <v>0</v>
      </c>
      <c r="BC130" s="123">
        <f t="shared" si="198"/>
        <v>0</v>
      </c>
      <c r="BD130" s="123">
        <f t="shared" si="199"/>
        <v>0</v>
      </c>
      <c r="BE130" s="123"/>
      <c r="BF130" s="123"/>
      <c r="BG130" s="123"/>
      <c r="BH130" s="123"/>
      <c r="BI130" s="123"/>
      <c r="BJ130" s="123"/>
      <c r="BK130" s="123"/>
      <c r="BL130" s="123"/>
      <c r="BM130" s="102">
        <f t="shared" si="200"/>
        <v>0</v>
      </c>
      <c r="BN130" s="102">
        <f t="shared" si="201"/>
        <v>0</v>
      </c>
      <c r="BO130" s="102"/>
      <c r="BP130" s="102"/>
      <c r="BQ130" s="102"/>
      <c r="BR130" s="102"/>
      <c r="BS130" s="102"/>
      <c r="BT130" s="389"/>
      <c r="BU130" s="102"/>
      <c r="BV130" s="102"/>
      <c r="BW130" s="335"/>
      <c r="BX130" s="103" t="s">
        <v>657</v>
      </c>
      <c r="BY130" s="107" t="s">
        <v>511</v>
      </c>
      <c r="BZ130" s="36"/>
      <c r="CA130" s="36"/>
      <c r="CB130" s="36"/>
      <c r="CC130" s="36"/>
      <c r="CD130" s="36"/>
      <c r="CE130" s="36"/>
      <c r="CF130" s="36"/>
      <c r="CG130" s="36"/>
    </row>
    <row r="131" spans="1:85" s="379" customFormat="1" ht="36" x14ac:dyDescent="0.2">
      <c r="A131" s="146"/>
      <c r="B131" s="117"/>
      <c r="C131" s="380"/>
      <c r="D131" s="381"/>
      <c r="E131" s="100" t="s">
        <v>756</v>
      </c>
      <c r="F131" s="347">
        <f t="shared" ref="F131" si="214">H131+AC131+AO131+BA131+BB131+BL131</f>
        <v>0</v>
      </c>
      <c r="G131" s="101">
        <f t="shared" ref="G131" si="215">I131+AD131+AP131+BA131+BC131+BM131</f>
        <v>12000</v>
      </c>
      <c r="H131" s="102"/>
      <c r="I131" s="102">
        <f t="shared" ref="I131" si="216">J131+H131</f>
        <v>12000</v>
      </c>
      <c r="J131" s="102">
        <f t="shared" ref="J131" si="217">SUM(K131:AB131)</f>
        <v>12000</v>
      </c>
      <c r="K131" s="102"/>
      <c r="L131" s="102"/>
      <c r="M131" s="102"/>
      <c r="N131" s="102"/>
      <c r="O131" s="102"/>
      <c r="P131" s="102">
        <v>12000</v>
      </c>
      <c r="Q131" s="102"/>
      <c r="R131" s="102"/>
      <c r="S131" s="102"/>
      <c r="T131" s="102"/>
      <c r="U131" s="102"/>
      <c r="V131" s="102"/>
      <c r="W131" s="102"/>
      <c r="X131" s="445"/>
      <c r="Y131" s="102"/>
      <c r="Z131" s="102"/>
      <c r="AA131" s="102"/>
      <c r="AB131" s="102"/>
      <c r="AC131" s="102"/>
      <c r="AD131" s="102">
        <f t="shared" ref="AD131" si="218">AC131+AE131</f>
        <v>0</v>
      </c>
      <c r="AE131" s="102">
        <f t="shared" ref="AE131" si="219">SUM(AF131:AN131)</f>
        <v>0</v>
      </c>
      <c r="AF131" s="102"/>
      <c r="AG131" s="102"/>
      <c r="AH131" s="102"/>
      <c r="AI131" s="102"/>
      <c r="AJ131" s="102"/>
      <c r="AK131" s="102"/>
      <c r="AL131" s="445"/>
      <c r="AM131" s="102"/>
      <c r="AN131" s="102"/>
      <c r="AO131" s="102"/>
      <c r="AP131" s="102">
        <f t="shared" ref="AP131" si="220">AQ131+AO131</f>
        <v>0</v>
      </c>
      <c r="AQ131" s="102">
        <f t="shared" ref="AQ131" si="221">SUM(AR131:AZ131)</f>
        <v>0</v>
      </c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23">
        <f t="shared" ref="BC131" si="222">BB131+BD131</f>
        <v>0</v>
      </c>
      <c r="BD131" s="123">
        <f t="shared" ref="BD131" si="223">SUM(BE131:BK131)</f>
        <v>0</v>
      </c>
      <c r="BE131" s="123"/>
      <c r="BF131" s="123"/>
      <c r="BG131" s="123"/>
      <c r="BH131" s="123"/>
      <c r="BI131" s="123"/>
      <c r="BJ131" s="123"/>
      <c r="BK131" s="123"/>
      <c r="BL131" s="123"/>
      <c r="BM131" s="102">
        <f t="shared" ref="BM131" si="224">BN131+BL131</f>
        <v>0</v>
      </c>
      <c r="BN131" s="102">
        <f t="shared" ref="BN131" si="225">SUM(BO131:BW131)</f>
        <v>0</v>
      </c>
      <c r="BO131" s="102"/>
      <c r="BP131" s="102"/>
      <c r="BQ131" s="102"/>
      <c r="BR131" s="102"/>
      <c r="BS131" s="102"/>
      <c r="BT131" s="389"/>
      <c r="BU131" s="102"/>
      <c r="BV131" s="102"/>
      <c r="BW131" s="335"/>
      <c r="BX131" s="103" t="s">
        <v>757</v>
      </c>
      <c r="BY131" s="107"/>
      <c r="BZ131" s="36"/>
      <c r="CA131" s="36"/>
      <c r="CB131" s="36"/>
      <c r="CC131" s="36"/>
      <c r="CD131" s="36"/>
      <c r="CE131" s="36"/>
      <c r="CF131" s="36"/>
      <c r="CG131" s="36"/>
    </row>
    <row r="132" spans="1:85" s="19" customFormat="1" ht="38.25" customHeight="1" x14ac:dyDescent="0.2">
      <c r="A132" s="147">
        <v>40003378932</v>
      </c>
      <c r="B132" s="100"/>
      <c r="C132" s="495" t="s">
        <v>352</v>
      </c>
      <c r="D132" s="496"/>
      <c r="E132" s="100" t="s">
        <v>525</v>
      </c>
      <c r="F132" s="347">
        <f t="shared" si="184"/>
        <v>643000</v>
      </c>
      <c r="G132" s="101">
        <f t="shared" si="185"/>
        <v>643000</v>
      </c>
      <c r="H132" s="102">
        <v>643000</v>
      </c>
      <c r="I132" s="102">
        <f t="shared" si="192"/>
        <v>643000</v>
      </c>
      <c r="J132" s="102">
        <f t="shared" si="193"/>
        <v>0</v>
      </c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445"/>
      <c r="Y132" s="102"/>
      <c r="Z132" s="102"/>
      <c r="AA132" s="102"/>
      <c r="AB132" s="102"/>
      <c r="AC132" s="102">
        <v>0</v>
      </c>
      <c r="AD132" s="102">
        <f t="shared" si="194"/>
        <v>0</v>
      </c>
      <c r="AE132" s="102">
        <f t="shared" si="195"/>
        <v>0</v>
      </c>
      <c r="AF132" s="102"/>
      <c r="AG132" s="102"/>
      <c r="AH132" s="102"/>
      <c r="AI132" s="102"/>
      <c r="AJ132" s="102"/>
      <c r="AK132" s="102"/>
      <c r="AL132" s="445"/>
      <c r="AM132" s="102"/>
      <c r="AN132" s="102"/>
      <c r="AO132" s="102">
        <v>0</v>
      </c>
      <c r="AP132" s="102">
        <f t="shared" si="196"/>
        <v>0</v>
      </c>
      <c r="AQ132" s="102">
        <f t="shared" si="197"/>
        <v>0</v>
      </c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>
        <v>0</v>
      </c>
      <c r="BC132" s="123">
        <f t="shared" si="198"/>
        <v>0</v>
      </c>
      <c r="BD132" s="123">
        <f t="shared" si="199"/>
        <v>0</v>
      </c>
      <c r="BE132" s="123"/>
      <c r="BF132" s="123"/>
      <c r="BG132" s="123"/>
      <c r="BH132" s="123"/>
      <c r="BI132" s="123"/>
      <c r="BJ132" s="123"/>
      <c r="BK132" s="123"/>
      <c r="BL132" s="123"/>
      <c r="BM132" s="102">
        <f t="shared" si="200"/>
        <v>0</v>
      </c>
      <c r="BN132" s="102">
        <f t="shared" si="201"/>
        <v>0</v>
      </c>
      <c r="BO132" s="102"/>
      <c r="BP132" s="102"/>
      <c r="BQ132" s="102"/>
      <c r="BR132" s="102"/>
      <c r="BS132" s="102"/>
      <c r="BT132" s="389"/>
      <c r="BU132" s="102"/>
      <c r="BV132" s="102"/>
      <c r="BW132" s="335"/>
      <c r="BX132" s="103" t="s">
        <v>422</v>
      </c>
      <c r="BY132" s="107"/>
      <c r="BZ132" s="36"/>
      <c r="CA132" s="36"/>
      <c r="CB132" s="36"/>
      <c r="CC132" s="36"/>
      <c r="CD132" s="36"/>
      <c r="CE132" s="36"/>
      <c r="CF132" s="36"/>
      <c r="CG132" s="36"/>
    </row>
    <row r="133" spans="1:85" ht="60" x14ac:dyDescent="0.2">
      <c r="A133" s="146"/>
      <c r="B133" s="117"/>
      <c r="C133" s="495" t="s">
        <v>181</v>
      </c>
      <c r="D133" s="496"/>
      <c r="E133" s="303" t="s">
        <v>283</v>
      </c>
      <c r="F133" s="347">
        <f t="shared" si="184"/>
        <v>184066</v>
      </c>
      <c r="G133" s="101">
        <f t="shared" si="185"/>
        <v>184066</v>
      </c>
      <c r="H133" s="102"/>
      <c r="I133" s="102">
        <f t="shared" si="192"/>
        <v>0</v>
      </c>
      <c r="J133" s="102">
        <f t="shared" si="193"/>
        <v>0</v>
      </c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445"/>
      <c r="Y133" s="102"/>
      <c r="Z133" s="102"/>
      <c r="AA133" s="102"/>
      <c r="AB133" s="102"/>
      <c r="AC133" s="102"/>
      <c r="AD133" s="102">
        <f t="shared" si="194"/>
        <v>0</v>
      </c>
      <c r="AE133" s="102">
        <f t="shared" si="195"/>
        <v>0</v>
      </c>
      <c r="AF133" s="102"/>
      <c r="AG133" s="102"/>
      <c r="AH133" s="102"/>
      <c r="AI133" s="102"/>
      <c r="AJ133" s="102"/>
      <c r="AK133" s="102"/>
      <c r="AL133" s="445"/>
      <c r="AM133" s="102"/>
      <c r="AN133" s="102"/>
      <c r="AO133" s="102"/>
      <c r="AP133" s="102">
        <f t="shared" si="196"/>
        <v>0</v>
      </c>
      <c r="AQ133" s="102">
        <f t="shared" si="197"/>
        <v>0</v>
      </c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>
        <v>184066</v>
      </c>
      <c r="BB133" s="123"/>
      <c r="BC133" s="123">
        <f t="shared" si="198"/>
        <v>0</v>
      </c>
      <c r="BD133" s="123">
        <f t="shared" si="199"/>
        <v>0</v>
      </c>
      <c r="BE133" s="123"/>
      <c r="BF133" s="123"/>
      <c r="BG133" s="123"/>
      <c r="BH133" s="123"/>
      <c r="BI133" s="123"/>
      <c r="BJ133" s="123"/>
      <c r="BK133" s="123"/>
      <c r="BL133" s="123"/>
      <c r="BM133" s="102">
        <f t="shared" si="200"/>
        <v>0</v>
      </c>
      <c r="BN133" s="102">
        <f t="shared" si="201"/>
        <v>0</v>
      </c>
      <c r="BO133" s="102"/>
      <c r="BP133" s="102"/>
      <c r="BQ133" s="102"/>
      <c r="BR133" s="102"/>
      <c r="BS133" s="102"/>
      <c r="BT133" s="389"/>
      <c r="BU133" s="102"/>
      <c r="BV133" s="102"/>
      <c r="BW133" s="335"/>
      <c r="BX133" s="103"/>
      <c r="BY133" s="107"/>
      <c r="BZ133" s="36"/>
      <c r="CA133" s="36"/>
      <c r="CB133" s="36"/>
      <c r="CC133" s="36"/>
      <c r="CD133" s="36"/>
      <c r="CE133" s="36"/>
      <c r="CF133" s="36"/>
      <c r="CG133" s="36"/>
    </row>
    <row r="134" spans="1:85" s="163" customFormat="1" ht="51.75" customHeight="1" x14ac:dyDescent="0.2">
      <c r="A134" s="146"/>
      <c r="B134" s="164"/>
      <c r="C134" s="304"/>
      <c r="D134" s="302"/>
      <c r="E134" s="305" t="s">
        <v>673</v>
      </c>
      <c r="F134" s="347">
        <f t="shared" si="184"/>
        <v>651688</v>
      </c>
      <c r="G134" s="101">
        <f t="shared" si="185"/>
        <v>651688</v>
      </c>
      <c r="H134" s="102"/>
      <c r="I134" s="102">
        <f t="shared" si="192"/>
        <v>0</v>
      </c>
      <c r="J134" s="102">
        <f t="shared" si="193"/>
        <v>0</v>
      </c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445"/>
      <c r="Y134" s="102"/>
      <c r="Z134" s="102"/>
      <c r="AA134" s="102"/>
      <c r="AB134" s="102"/>
      <c r="AC134" s="102"/>
      <c r="AD134" s="102">
        <f t="shared" si="194"/>
        <v>0</v>
      </c>
      <c r="AE134" s="102">
        <f t="shared" si="195"/>
        <v>0</v>
      </c>
      <c r="AF134" s="102"/>
      <c r="AG134" s="102"/>
      <c r="AH134" s="102"/>
      <c r="AI134" s="102"/>
      <c r="AJ134" s="102"/>
      <c r="AK134" s="102"/>
      <c r="AL134" s="445"/>
      <c r="AM134" s="102"/>
      <c r="AN134" s="102"/>
      <c r="AO134" s="102"/>
      <c r="AP134" s="123">
        <f t="shared" si="196"/>
        <v>0</v>
      </c>
      <c r="AQ134" s="123">
        <f t="shared" si="197"/>
        <v>0</v>
      </c>
      <c r="AR134" s="123"/>
      <c r="AS134" s="123"/>
      <c r="AT134" s="123"/>
      <c r="AU134" s="123"/>
      <c r="AV134" s="123"/>
      <c r="AW134" s="123"/>
      <c r="AX134" s="123"/>
      <c r="AY134" s="123"/>
      <c r="AZ134" s="123"/>
      <c r="BA134" s="123">
        <v>651688</v>
      </c>
      <c r="BB134" s="123"/>
      <c r="BC134" s="123">
        <f t="shared" si="198"/>
        <v>0</v>
      </c>
      <c r="BD134" s="123">
        <f t="shared" si="199"/>
        <v>0</v>
      </c>
      <c r="BE134" s="123"/>
      <c r="BF134" s="123"/>
      <c r="BG134" s="123"/>
      <c r="BH134" s="123"/>
      <c r="BI134" s="123"/>
      <c r="BJ134" s="123"/>
      <c r="BK134" s="123"/>
      <c r="BL134" s="123"/>
      <c r="BM134" s="102">
        <f t="shared" si="200"/>
        <v>0</v>
      </c>
      <c r="BN134" s="102">
        <f t="shared" si="201"/>
        <v>0</v>
      </c>
      <c r="BO134" s="102"/>
      <c r="BP134" s="102"/>
      <c r="BQ134" s="102"/>
      <c r="BR134" s="102"/>
      <c r="BS134" s="102"/>
      <c r="BT134" s="389"/>
      <c r="BU134" s="102"/>
      <c r="BV134" s="102"/>
      <c r="BW134" s="335"/>
      <c r="BX134" s="103"/>
      <c r="BY134" s="107"/>
      <c r="BZ134" s="36"/>
      <c r="CA134" s="36"/>
      <c r="CB134" s="36"/>
      <c r="CC134" s="36"/>
      <c r="CD134" s="36"/>
      <c r="CE134" s="36"/>
      <c r="CF134" s="36"/>
      <c r="CG134" s="36"/>
    </row>
    <row r="135" spans="1:85" s="373" customFormat="1" ht="72" x14ac:dyDescent="0.2">
      <c r="A135" s="146"/>
      <c r="B135" s="117"/>
      <c r="C135" s="304"/>
      <c r="D135" s="302"/>
      <c r="E135" s="305" t="s">
        <v>748</v>
      </c>
      <c r="F135" s="347">
        <f t="shared" ref="F135" si="226">H135+AC135+AO135+BA135+BB135+BL135</f>
        <v>166315</v>
      </c>
      <c r="G135" s="101">
        <f t="shared" ref="G135" si="227">I135+AD135+AP135+BA135+BC135+BM135</f>
        <v>166315</v>
      </c>
      <c r="H135" s="102"/>
      <c r="I135" s="102">
        <f t="shared" ref="I135" si="228">J135+H135</f>
        <v>0</v>
      </c>
      <c r="J135" s="102">
        <f t="shared" ref="J135" si="229">SUM(K135:AB135)</f>
        <v>0</v>
      </c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445"/>
      <c r="Y135" s="102"/>
      <c r="Z135" s="102"/>
      <c r="AA135" s="102"/>
      <c r="AB135" s="102"/>
      <c r="AC135" s="102"/>
      <c r="AD135" s="102">
        <f t="shared" ref="AD135" si="230">AC135+AE135</f>
        <v>0</v>
      </c>
      <c r="AE135" s="102">
        <f t="shared" ref="AE135" si="231">SUM(AF135:AN135)</f>
        <v>0</v>
      </c>
      <c r="AF135" s="102"/>
      <c r="AG135" s="102"/>
      <c r="AH135" s="102"/>
      <c r="AI135" s="102"/>
      <c r="AJ135" s="102"/>
      <c r="AK135" s="102"/>
      <c r="AL135" s="445"/>
      <c r="AM135" s="102"/>
      <c r="AN135" s="102"/>
      <c r="AO135" s="102"/>
      <c r="AP135" s="123">
        <f t="shared" ref="AP135" si="232">AQ135+AO135</f>
        <v>0</v>
      </c>
      <c r="AQ135" s="123">
        <f t="shared" ref="AQ135" si="233">SUM(AR135:AZ135)</f>
        <v>0</v>
      </c>
      <c r="AR135" s="123"/>
      <c r="AS135" s="123"/>
      <c r="AT135" s="123"/>
      <c r="AU135" s="123"/>
      <c r="AV135" s="123"/>
      <c r="AW135" s="123"/>
      <c r="AX135" s="123"/>
      <c r="AY135" s="123"/>
      <c r="AZ135" s="123"/>
      <c r="BA135" s="123">
        <v>166315</v>
      </c>
      <c r="BB135" s="123"/>
      <c r="BC135" s="123">
        <f t="shared" ref="BC135" si="234">BB135+BD135</f>
        <v>0</v>
      </c>
      <c r="BD135" s="123">
        <f t="shared" ref="BD135" si="235">SUM(BE135:BK135)</f>
        <v>0</v>
      </c>
      <c r="BE135" s="123"/>
      <c r="BF135" s="123"/>
      <c r="BG135" s="123"/>
      <c r="BH135" s="123"/>
      <c r="BI135" s="123"/>
      <c r="BJ135" s="123"/>
      <c r="BK135" s="123"/>
      <c r="BL135" s="123"/>
      <c r="BM135" s="102">
        <f t="shared" ref="BM135" si="236">BN135+BL135</f>
        <v>0</v>
      </c>
      <c r="BN135" s="102">
        <f t="shared" ref="BN135" si="237">SUM(BO135:BW135)</f>
        <v>0</v>
      </c>
      <c r="BO135" s="102"/>
      <c r="BP135" s="102"/>
      <c r="BQ135" s="102"/>
      <c r="BR135" s="102"/>
      <c r="BS135" s="102"/>
      <c r="BT135" s="389"/>
      <c r="BU135" s="102"/>
      <c r="BV135" s="102"/>
      <c r="BW135" s="335"/>
      <c r="BX135" s="103"/>
      <c r="BY135" s="107"/>
      <c r="BZ135" s="36"/>
      <c r="CA135" s="36"/>
      <c r="CB135" s="36"/>
      <c r="CC135" s="36"/>
      <c r="CD135" s="36"/>
      <c r="CE135" s="36"/>
      <c r="CF135" s="36"/>
      <c r="CG135" s="36"/>
    </row>
    <row r="136" spans="1:85" ht="12.75" thickBot="1" x14ac:dyDescent="0.25">
      <c r="A136" s="171"/>
      <c r="B136" s="133"/>
      <c r="C136" s="502"/>
      <c r="D136" s="503"/>
      <c r="E136" s="144"/>
      <c r="F136" s="348"/>
      <c r="G136" s="89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446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446"/>
      <c r="AM136" s="90"/>
      <c r="AN136" s="90"/>
      <c r="AO136" s="90"/>
      <c r="AP136" s="122"/>
      <c r="AQ136" s="122"/>
      <c r="AR136" s="122"/>
      <c r="AS136" s="122"/>
      <c r="AT136" s="122"/>
      <c r="AU136" s="122"/>
      <c r="AV136" s="122"/>
      <c r="AW136" s="122"/>
      <c r="AX136" s="122"/>
      <c r="AY136" s="122"/>
      <c r="AZ136" s="122"/>
      <c r="BA136" s="122"/>
      <c r="BB136" s="122"/>
      <c r="BC136" s="122"/>
      <c r="BD136" s="122"/>
      <c r="BE136" s="122"/>
      <c r="BF136" s="122"/>
      <c r="BG136" s="122"/>
      <c r="BH136" s="122"/>
      <c r="BI136" s="122"/>
      <c r="BJ136" s="122"/>
      <c r="BK136" s="122"/>
      <c r="BL136" s="122"/>
      <c r="BM136" s="90"/>
      <c r="BN136" s="90"/>
      <c r="BO136" s="90"/>
      <c r="BP136" s="90"/>
      <c r="BQ136" s="90"/>
      <c r="BR136" s="90"/>
      <c r="BS136" s="90"/>
      <c r="BT136" s="387"/>
      <c r="BU136" s="90"/>
      <c r="BV136" s="90"/>
      <c r="BW136" s="336"/>
      <c r="BX136" s="91"/>
      <c r="BY136" s="108"/>
      <c r="BZ136" s="36"/>
      <c r="CA136" s="36"/>
      <c r="CB136" s="36"/>
      <c r="CC136" s="36"/>
      <c r="CD136" s="36"/>
      <c r="CE136" s="36"/>
      <c r="CF136" s="36"/>
      <c r="CG136" s="36"/>
    </row>
    <row r="137" spans="1:85" ht="12.75" thickBot="1" x14ac:dyDescent="0.25">
      <c r="A137" s="173"/>
      <c r="B137" s="499" t="s">
        <v>17</v>
      </c>
      <c r="C137" s="499"/>
      <c r="D137" s="170" t="s">
        <v>18</v>
      </c>
      <c r="E137" s="16"/>
      <c r="F137" s="349">
        <f>H137+AC137+AO137+BA137+BB137+BL137</f>
        <v>26306006</v>
      </c>
      <c r="G137" s="17">
        <f t="shared" ref="G137:G212" si="238">I137+AD137+AP137+BA137+BC137+BM137</f>
        <v>27739176</v>
      </c>
      <c r="H137" s="10">
        <f>SUM(H138:H239)</f>
        <v>16552588</v>
      </c>
      <c r="I137" s="10">
        <f t="shared" ref="I137:BW137" si="239">SUM(I138:I239)</f>
        <v>17741635</v>
      </c>
      <c r="J137" s="10">
        <f t="shared" si="239"/>
        <v>1189047</v>
      </c>
      <c r="K137" s="10">
        <f t="shared" si="239"/>
        <v>64624</v>
      </c>
      <c r="L137" s="10">
        <f t="shared" si="239"/>
        <v>52289</v>
      </c>
      <c r="M137" s="10">
        <f t="shared" si="239"/>
        <v>26393</v>
      </c>
      <c r="N137" s="10">
        <f t="shared" si="239"/>
        <v>9877</v>
      </c>
      <c r="O137" s="10">
        <f t="shared" si="239"/>
        <v>0</v>
      </c>
      <c r="P137" s="10">
        <f t="shared" si="239"/>
        <v>-2904</v>
      </c>
      <c r="Q137" s="10">
        <f t="shared" si="239"/>
        <v>120</v>
      </c>
      <c r="R137" s="10">
        <f t="shared" si="239"/>
        <v>76316</v>
      </c>
      <c r="S137" s="10">
        <f t="shared" si="239"/>
        <v>2963</v>
      </c>
      <c r="T137" s="10">
        <f t="shared" si="239"/>
        <v>52115</v>
      </c>
      <c r="U137" s="10">
        <f t="shared" ref="U137:V137" si="240">SUM(U138:U239)</f>
        <v>0</v>
      </c>
      <c r="V137" s="10">
        <f t="shared" si="240"/>
        <v>-49000</v>
      </c>
      <c r="W137" s="10">
        <f t="shared" si="239"/>
        <v>950644</v>
      </c>
      <c r="X137" s="444">
        <f t="shared" ref="X137:AA137" si="241">SUM(X138:X239)</f>
        <v>5610</v>
      </c>
      <c r="Y137" s="10">
        <f t="shared" si="241"/>
        <v>0</v>
      </c>
      <c r="Z137" s="10">
        <f t="shared" si="241"/>
        <v>0</v>
      </c>
      <c r="AA137" s="10">
        <f t="shared" si="241"/>
        <v>0</v>
      </c>
      <c r="AB137" s="10">
        <f t="shared" si="239"/>
        <v>0</v>
      </c>
      <c r="AC137" s="10">
        <f t="shared" si="239"/>
        <v>8439554</v>
      </c>
      <c r="AD137" s="10">
        <f t="shared" si="239"/>
        <v>8653318</v>
      </c>
      <c r="AE137" s="10">
        <f t="shared" si="239"/>
        <v>213764</v>
      </c>
      <c r="AF137" s="10">
        <f t="shared" si="239"/>
        <v>25351</v>
      </c>
      <c r="AG137" s="10">
        <f t="shared" si="239"/>
        <v>12743</v>
      </c>
      <c r="AH137" s="10">
        <f t="shared" si="239"/>
        <v>139037</v>
      </c>
      <c r="AI137" s="10">
        <f t="shared" si="239"/>
        <v>1343</v>
      </c>
      <c r="AJ137" s="10">
        <f t="shared" si="239"/>
        <v>3645</v>
      </c>
      <c r="AK137" s="10">
        <f t="shared" ref="AK137:AM137" si="242">SUM(AK138:AK239)</f>
        <v>0</v>
      </c>
      <c r="AL137" s="444">
        <f t="shared" si="242"/>
        <v>31645</v>
      </c>
      <c r="AM137" s="10">
        <f t="shared" si="242"/>
        <v>0</v>
      </c>
      <c r="AN137" s="10">
        <f t="shared" si="239"/>
        <v>0</v>
      </c>
      <c r="AO137" s="10">
        <f t="shared" si="239"/>
        <v>472612</v>
      </c>
      <c r="AP137" s="10">
        <f t="shared" si="239"/>
        <v>528870</v>
      </c>
      <c r="AQ137" s="10">
        <f t="shared" si="239"/>
        <v>56258</v>
      </c>
      <c r="AR137" s="10">
        <f t="shared" si="239"/>
        <v>19266</v>
      </c>
      <c r="AS137" s="10">
        <f t="shared" si="239"/>
        <v>5872</v>
      </c>
      <c r="AT137" s="10">
        <f t="shared" si="239"/>
        <v>30316</v>
      </c>
      <c r="AU137" s="10">
        <f t="shared" si="239"/>
        <v>804</v>
      </c>
      <c r="AV137" s="10">
        <f t="shared" si="239"/>
        <v>0</v>
      </c>
      <c r="AW137" s="10">
        <f t="shared" ref="AW137:AY137" si="243">SUM(AW138:AW239)</f>
        <v>0</v>
      </c>
      <c r="AX137" s="10">
        <f t="shared" si="243"/>
        <v>0</v>
      </c>
      <c r="AY137" s="10">
        <f t="shared" si="243"/>
        <v>0</v>
      </c>
      <c r="AZ137" s="10">
        <f t="shared" si="239"/>
        <v>0</v>
      </c>
      <c r="BA137" s="10">
        <f t="shared" si="239"/>
        <v>857077</v>
      </c>
      <c r="BB137" s="10">
        <f t="shared" si="239"/>
        <v>105</v>
      </c>
      <c r="BC137" s="10">
        <f t="shared" si="239"/>
        <v>810</v>
      </c>
      <c r="BD137" s="10">
        <f t="shared" si="239"/>
        <v>705</v>
      </c>
      <c r="BE137" s="10">
        <f t="shared" si="239"/>
        <v>675</v>
      </c>
      <c r="BF137" s="10">
        <f t="shared" si="239"/>
        <v>30</v>
      </c>
      <c r="BG137" s="10">
        <f t="shared" si="239"/>
        <v>0</v>
      </c>
      <c r="BH137" s="10">
        <f t="shared" si="239"/>
        <v>0</v>
      </c>
      <c r="BI137" s="10">
        <f t="shared" si="239"/>
        <v>0</v>
      </c>
      <c r="BJ137" s="10">
        <f t="shared" si="239"/>
        <v>0</v>
      </c>
      <c r="BK137" s="10">
        <f t="shared" si="239"/>
        <v>0</v>
      </c>
      <c r="BL137" s="10">
        <f t="shared" si="239"/>
        <v>-15930</v>
      </c>
      <c r="BM137" s="10">
        <f t="shared" si="239"/>
        <v>-42534</v>
      </c>
      <c r="BN137" s="10">
        <f t="shared" si="239"/>
        <v>-26604</v>
      </c>
      <c r="BO137" s="10">
        <f t="shared" si="239"/>
        <v>0</v>
      </c>
      <c r="BP137" s="10">
        <f t="shared" si="239"/>
        <v>-900</v>
      </c>
      <c r="BQ137" s="10">
        <f t="shared" si="239"/>
        <v>0</v>
      </c>
      <c r="BR137" s="10">
        <f t="shared" si="239"/>
        <v>0</v>
      </c>
      <c r="BS137" s="10">
        <f t="shared" si="239"/>
        <v>-15057</v>
      </c>
      <c r="BT137" s="121">
        <f t="shared" ref="BT137:BV137" si="244">SUM(BT138:BT239)</f>
        <v>0</v>
      </c>
      <c r="BU137" s="10">
        <f t="shared" si="244"/>
        <v>-10647</v>
      </c>
      <c r="BV137" s="10">
        <f t="shared" si="244"/>
        <v>0</v>
      </c>
      <c r="BW137" s="404">
        <f t="shared" si="239"/>
        <v>0</v>
      </c>
      <c r="BX137" s="18"/>
      <c r="BY137" s="109"/>
      <c r="BZ137" s="36"/>
      <c r="CA137" s="36"/>
      <c r="CB137" s="36"/>
      <c r="CC137" s="36"/>
      <c r="CD137" s="36"/>
      <c r="CE137" s="36"/>
      <c r="CF137" s="36"/>
      <c r="CG137" s="36"/>
    </row>
    <row r="138" spans="1:85" ht="13.5" thickTop="1" x14ac:dyDescent="0.2">
      <c r="A138" s="146">
        <v>90000056357</v>
      </c>
      <c r="B138" s="172"/>
      <c r="C138" s="497" t="s">
        <v>5</v>
      </c>
      <c r="D138" s="498"/>
      <c r="E138" s="287" t="s">
        <v>197</v>
      </c>
      <c r="F138" s="351">
        <f t="shared" ref="F138:F149" si="245">H138+AC138+AO138+BA138+BB138+BL138</f>
        <v>311432</v>
      </c>
      <c r="G138" s="104">
        <f t="shared" si="238"/>
        <v>311432</v>
      </c>
      <c r="H138" s="223">
        <v>311432</v>
      </c>
      <c r="I138" s="223">
        <f t="shared" ref="I138:I213" si="246">J138+H138</f>
        <v>311432</v>
      </c>
      <c r="J138" s="223">
        <f t="shared" ref="J138:J213" si="247">SUM(K138:AB138)</f>
        <v>0</v>
      </c>
      <c r="K138" s="223"/>
      <c r="L138" s="223"/>
      <c r="M138" s="223"/>
      <c r="N138" s="223"/>
      <c r="O138" s="223"/>
      <c r="P138" s="223"/>
      <c r="Q138" s="223"/>
      <c r="R138" s="223"/>
      <c r="S138" s="223"/>
      <c r="T138" s="223"/>
      <c r="U138" s="223"/>
      <c r="V138" s="223"/>
      <c r="W138" s="223"/>
      <c r="X138" s="449"/>
      <c r="Y138" s="223"/>
      <c r="Z138" s="223"/>
      <c r="AA138" s="223"/>
      <c r="AB138" s="223"/>
      <c r="AC138" s="223">
        <v>0</v>
      </c>
      <c r="AD138" s="223">
        <f t="shared" ref="AD138:AD213" si="248">AC138+AE138</f>
        <v>0</v>
      </c>
      <c r="AE138" s="223">
        <f t="shared" ref="AE138:AE213" si="249">SUM(AF138:AN138)</f>
        <v>0</v>
      </c>
      <c r="AF138" s="223"/>
      <c r="AG138" s="223"/>
      <c r="AH138" s="223"/>
      <c r="AI138" s="223"/>
      <c r="AJ138" s="223"/>
      <c r="AK138" s="223"/>
      <c r="AL138" s="449"/>
      <c r="AM138" s="223"/>
      <c r="AN138" s="223"/>
      <c r="AO138" s="223">
        <v>0</v>
      </c>
      <c r="AP138" s="223">
        <f t="shared" ref="AP138:AP213" si="250">AQ138+AO138</f>
        <v>0</v>
      </c>
      <c r="AQ138" s="223">
        <f t="shared" ref="AQ138:AQ213" si="251">SUM(AR138:AZ138)</f>
        <v>0</v>
      </c>
      <c r="AR138" s="223"/>
      <c r="AS138" s="223"/>
      <c r="AT138" s="223"/>
      <c r="AU138" s="223"/>
      <c r="AV138" s="223"/>
      <c r="AW138" s="223"/>
      <c r="AX138" s="223"/>
      <c r="AY138" s="223"/>
      <c r="AZ138" s="223"/>
      <c r="BA138" s="223"/>
      <c r="BB138" s="223">
        <v>0</v>
      </c>
      <c r="BC138" s="329">
        <f t="shared" ref="BC138:BC213" si="252">BB138+BD138</f>
        <v>0</v>
      </c>
      <c r="BD138" s="329">
        <f t="shared" ref="BD138:BD213" si="253">SUM(BE138:BK138)</f>
        <v>0</v>
      </c>
      <c r="BE138" s="329"/>
      <c r="BF138" s="329"/>
      <c r="BG138" s="329"/>
      <c r="BH138" s="329"/>
      <c r="BI138" s="329"/>
      <c r="BJ138" s="329"/>
      <c r="BK138" s="329"/>
      <c r="BL138" s="329"/>
      <c r="BM138" s="223">
        <f t="shared" ref="BM138:BM213" si="254">BN138+BL138</f>
        <v>0</v>
      </c>
      <c r="BN138" s="223">
        <f t="shared" ref="BN138:BN213" si="255">SUM(BO138:BW138)</f>
        <v>0</v>
      </c>
      <c r="BO138" s="223"/>
      <c r="BP138" s="223"/>
      <c r="BQ138" s="223"/>
      <c r="BR138" s="223"/>
      <c r="BS138" s="223"/>
      <c r="BT138" s="416"/>
      <c r="BU138" s="223"/>
      <c r="BV138" s="223"/>
      <c r="BW138" s="338"/>
      <c r="BX138" s="312" t="s">
        <v>392</v>
      </c>
      <c r="BY138" s="317"/>
      <c r="BZ138" s="36"/>
      <c r="CA138" s="36"/>
      <c r="CB138" s="36"/>
      <c r="CC138" s="36"/>
      <c r="CD138" s="36"/>
      <c r="CE138" s="36"/>
      <c r="CF138" s="36"/>
      <c r="CG138" s="36"/>
    </row>
    <row r="139" spans="1:85" s="221" customFormat="1" ht="24" x14ac:dyDescent="0.2">
      <c r="A139" s="146"/>
      <c r="B139" s="119"/>
      <c r="C139" s="274"/>
      <c r="D139" s="275"/>
      <c r="E139" s="100" t="s">
        <v>237</v>
      </c>
      <c r="F139" s="347">
        <f t="shared" si="245"/>
        <v>5846</v>
      </c>
      <c r="G139" s="101">
        <f t="shared" si="238"/>
        <v>6932</v>
      </c>
      <c r="H139" s="102">
        <v>5846</v>
      </c>
      <c r="I139" s="102">
        <f t="shared" si="246"/>
        <v>6932</v>
      </c>
      <c r="J139" s="102">
        <f t="shared" si="247"/>
        <v>1086</v>
      </c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>
        <v>1086</v>
      </c>
      <c r="V139" s="102"/>
      <c r="W139" s="102"/>
      <c r="X139" s="445"/>
      <c r="Y139" s="102"/>
      <c r="Z139" s="102"/>
      <c r="AA139" s="102"/>
      <c r="AB139" s="102"/>
      <c r="AC139" s="102">
        <v>0</v>
      </c>
      <c r="AD139" s="102">
        <f t="shared" si="248"/>
        <v>0</v>
      </c>
      <c r="AE139" s="102">
        <f t="shared" si="249"/>
        <v>0</v>
      </c>
      <c r="AF139" s="102"/>
      <c r="AG139" s="102"/>
      <c r="AH139" s="102"/>
      <c r="AI139" s="102"/>
      <c r="AJ139" s="102"/>
      <c r="AK139" s="102"/>
      <c r="AL139" s="445"/>
      <c r="AM139" s="102"/>
      <c r="AN139" s="102"/>
      <c r="AO139" s="102">
        <v>0</v>
      </c>
      <c r="AP139" s="102">
        <f t="shared" si="250"/>
        <v>0</v>
      </c>
      <c r="AQ139" s="102">
        <f t="shared" si="251"/>
        <v>0</v>
      </c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>
        <v>0</v>
      </c>
      <c r="BC139" s="328">
        <f t="shared" si="252"/>
        <v>0</v>
      </c>
      <c r="BD139" s="328">
        <f t="shared" si="253"/>
        <v>0</v>
      </c>
      <c r="BE139" s="328"/>
      <c r="BF139" s="328"/>
      <c r="BG139" s="328"/>
      <c r="BH139" s="328"/>
      <c r="BI139" s="328"/>
      <c r="BJ139" s="328"/>
      <c r="BK139" s="328"/>
      <c r="BL139" s="328"/>
      <c r="BM139" s="222">
        <f t="shared" si="254"/>
        <v>0</v>
      </c>
      <c r="BN139" s="222">
        <f t="shared" si="255"/>
        <v>0</v>
      </c>
      <c r="BO139" s="222"/>
      <c r="BP139" s="222"/>
      <c r="BQ139" s="222"/>
      <c r="BR139" s="222"/>
      <c r="BS139" s="222"/>
      <c r="BT139" s="414"/>
      <c r="BU139" s="222"/>
      <c r="BV139" s="222"/>
      <c r="BW139" s="337"/>
      <c r="BX139" s="314" t="s">
        <v>393</v>
      </c>
      <c r="BY139" s="107" t="s">
        <v>693</v>
      </c>
      <c r="BZ139" s="36"/>
      <c r="CA139" s="36"/>
      <c r="CB139" s="36"/>
      <c r="CC139" s="36"/>
      <c r="CD139" s="36"/>
      <c r="CE139" s="36"/>
      <c r="CF139" s="36"/>
      <c r="CG139" s="36"/>
    </row>
    <row r="140" spans="1:85" ht="28.5" customHeight="1" x14ac:dyDescent="0.2">
      <c r="A140" s="146"/>
      <c r="B140" s="119"/>
      <c r="C140" s="274"/>
      <c r="D140" s="275"/>
      <c r="E140" s="285" t="s">
        <v>264</v>
      </c>
      <c r="F140" s="347">
        <f t="shared" si="245"/>
        <v>50000</v>
      </c>
      <c r="G140" s="101">
        <f t="shared" si="238"/>
        <v>50000</v>
      </c>
      <c r="H140" s="102">
        <v>50000</v>
      </c>
      <c r="I140" s="102">
        <f t="shared" si="246"/>
        <v>50000</v>
      </c>
      <c r="J140" s="102">
        <f t="shared" si="247"/>
        <v>0</v>
      </c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445"/>
      <c r="Y140" s="102"/>
      <c r="Z140" s="102"/>
      <c r="AA140" s="102"/>
      <c r="AB140" s="102"/>
      <c r="AC140" s="102">
        <v>0</v>
      </c>
      <c r="AD140" s="102">
        <f t="shared" si="248"/>
        <v>0</v>
      </c>
      <c r="AE140" s="102">
        <f t="shared" si="249"/>
        <v>0</v>
      </c>
      <c r="AF140" s="102"/>
      <c r="AG140" s="102"/>
      <c r="AH140" s="102"/>
      <c r="AI140" s="102"/>
      <c r="AJ140" s="102"/>
      <c r="AK140" s="102"/>
      <c r="AL140" s="445"/>
      <c r="AM140" s="102"/>
      <c r="AN140" s="102"/>
      <c r="AO140" s="102">
        <v>0</v>
      </c>
      <c r="AP140" s="102">
        <f t="shared" si="250"/>
        <v>0</v>
      </c>
      <c r="AQ140" s="102">
        <f t="shared" si="251"/>
        <v>0</v>
      </c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>
        <v>0</v>
      </c>
      <c r="BC140" s="328">
        <f t="shared" si="252"/>
        <v>0</v>
      </c>
      <c r="BD140" s="328">
        <f t="shared" si="253"/>
        <v>0</v>
      </c>
      <c r="BE140" s="328"/>
      <c r="BF140" s="328"/>
      <c r="BG140" s="328"/>
      <c r="BH140" s="328"/>
      <c r="BI140" s="328"/>
      <c r="BJ140" s="328"/>
      <c r="BK140" s="328"/>
      <c r="BL140" s="328"/>
      <c r="BM140" s="222">
        <f t="shared" si="254"/>
        <v>0</v>
      </c>
      <c r="BN140" s="222">
        <f t="shared" si="255"/>
        <v>0</v>
      </c>
      <c r="BO140" s="222"/>
      <c r="BP140" s="222"/>
      <c r="BQ140" s="222"/>
      <c r="BR140" s="222"/>
      <c r="BS140" s="222"/>
      <c r="BT140" s="414"/>
      <c r="BU140" s="222"/>
      <c r="BV140" s="222"/>
      <c r="BW140" s="337"/>
      <c r="BX140" s="314" t="s">
        <v>394</v>
      </c>
      <c r="BY140" s="318" t="s">
        <v>504</v>
      </c>
      <c r="BZ140" s="36"/>
      <c r="CA140" s="36"/>
      <c r="CB140" s="36"/>
      <c r="CC140" s="36"/>
      <c r="CD140" s="36"/>
      <c r="CE140" s="36"/>
      <c r="CF140" s="36"/>
      <c r="CG140" s="36"/>
    </row>
    <row r="141" spans="1:85" s="220" customFormat="1" ht="24" x14ac:dyDescent="0.2">
      <c r="A141" s="146"/>
      <c r="B141" s="119"/>
      <c r="C141" s="274"/>
      <c r="D141" s="275"/>
      <c r="E141" s="281" t="s">
        <v>549</v>
      </c>
      <c r="F141" s="347">
        <f t="shared" si="245"/>
        <v>105000</v>
      </c>
      <c r="G141" s="101">
        <f t="shared" si="238"/>
        <v>160000</v>
      </c>
      <c r="H141" s="102">
        <v>105000</v>
      </c>
      <c r="I141" s="102">
        <f t="shared" si="246"/>
        <v>160000</v>
      </c>
      <c r="J141" s="102">
        <f t="shared" si="247"/>
        <v>55000</v>
      </c>
      <c r="K141" s="102">
        <v>55000</v>
      </c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445"/>
      <c r="Y141" s="102"/>
      <c r="Z141" s="102"/>
      <c r="AA141" s="102"/>
      <c r="AB141" s="102"/>
      <c r="AC141" s="102">
        <v>0</v>
      </c>
      <c r="AD141" s="102">
        <f t="shared" si="248"/>
        <v>0</v>
      </c>
      <c r="AE141" s="102">
        <f t="shared" si="249"/>
        <v>0</v>
      </c>
      <c r="AF141" s="102"/>
      <c r="AG141" s="102"/>
      <c r="AH141" s="102"/>
      <c r="AI141" s="102"/>
      <c r="AJ141" s="102"/>
      <c r="AK141" s="102"/>
      <c r="AL141" s="445"/>
      <c r="AM141" s="102"/>
      <c r="AN141" s="102"/>
      <c r="AO141" s="102">
        <v>0</v>
      </c>
      <c r="AP141" s="102">
        <f t="shared" si="250"/>
        <v>0</v>
      </c>
      <c r="AQ141" s="102">
        <f t="shared" si="251"/>
        <v>0</v>
      </c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>
        <v>0</v>
      </c>
      <c r="BC141" s="328">
        <f t="shared" si="252"/>
        <v>0</v>
      </c>
      <c r="BD141" s="328">
        <f t="shared" si="253"/>
        <v>0</v>
      </c>
      <c r="BE141" s="328"/>
      <c r="BF141" s="328"/>
      <c r="BG141" s="328"/>
      <c r="BH141" s="328"/>
      <c r="BI141" s="328"/>
      <c r="BJ141" s="328"/>
      <c r="BK141" s="328"/>
      <c r="BL141" s="328"/>
      <c r="BM141" s="222">
        <f t="shared" si="254"/>
        <v>0</v>
      </c>
      <c r="BN141" s="222">
        <f t="shared" si="255"/>
        <v>0</v>
      </c>
      <c r="BO141" s="222"/>
      <c r="BP141" s="222"/>
      <c r="BQ141" s="222"/>
      <c r="BR141" s="222"/>
      <c r="BS141" s="222"/>
      <c r="BT141" s="414"/>
      <c r="BU141" s="222"/>
      <c r="BV141" s="222"/>
      <c r="BW141" s="337"/>
      <c r="BX141" s="314" t="s">
        <v>395</v>
      </c>
      <c r="BY141" s="107" t="s">
        <v>693</v>
      </c>
      <c r="BZ141" s="36"/>
      <c r="CA141" s="36"/>
      <c r="CB141" s="36"/>
      <c r="CC141" s="36"/>
      <c r="CD141" s="36"/>
      <c r="CE141" s="36"/>
      <c r="CF141" s="36"/>
      <c r="CG141" s="36"/>
    </row>
    <row r="142" spans="1:85" s="220" customFormat="1" ht="24" x14ac:dyDescent="0.2">
      <c r="A142" s="146"/>
      <c r="B142" s="119"/>
      <c r="C142" s="274"/>
      <c r="D142" s="275"/>
      <c r="E142" s="286" t="s">
        <v>550</v>
      </c>
      <c r="F142" s="350">
        <f t="shared" si="245"/>
        <v>36101</v>
      </c>
      <c r="G142" s="116">
        <f t="shared" si="238"/>
        <v>36701</v>
      </c>
      <c r="H142" s="222">
        <v>36101</v>
      </c>
      <c r="I142" s="222">
        <f t="shared" si="246"/>
        <v>36101</v>
      </c>
      <c r="J142" s="222">
        <f t="shared" si="247"/>
        <v>0</v>
      </c>
      <c r="K142" s="222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2"/>
      <c r="W142" s="222"/>
      <c r="X142" s="447"/>
      <c r="Y142" s="222"/>
      <c r="Z142" s="222"/>
      <c r="AA142" s="222"/>
      <c r="AB142" s="222"/>
      <c r="AC142" s="222">
        <v>0</v>
      </c>
      <c r="AD142" s="222">
        <f t="shared" si="248"/>
        <v>600</v>
      </c>
      <c r="AE142" s="222">
        <f t="shared" si="249"/>
        <v>600</v>
      </c>
      <c r="AF142" s="222"/>
      <c r="AG142" s="222"/>
      <c r="AH142" s="222"/>
      <c r="AI142" s="222"/>
      <c r="AJ142" s="222"/>
      <c r="AK142" s="222"/>
      <c r="AL142" s="447">
        <v>600</v>
      </c>
      <c r="AM142" s="222"/>
      <c r="AN142" s="222"/>
      <c r="AO142" s="222">
        <v>0</v>
      </c>
      <c r="AP142" s="222">
        <f t="shared" si="250"/>
        <v>0</v>
      </c>
      <c r="AQ142" s="222">
        <f t="shared" si="251"/>
        <v>0</v>
      </c>
      <c r="AR142" s="222"/>
      <c r="AS142" s="222"/>
      <c r="AT142" s="222"/>
      <c r="AU142" s="222"/>
      <c r="AV142" s="222"/>
      <c r="AW142" s="222"/>
      <c r="AX142" s="222"/>
      <c r="AY142" s="222"/>
      <c r="AZ142" s="222"/>
      <c r="BA142" s="222"/>
      <c r="BB142" s="222">
        <v>0</v>
      </c>
      <c r="BC142" s="328">
        <f t="shared" si="252"/>
        <v>0</v>
      </c>
      <c r="BD142" s="328">
        <f t="shared" si="253"/>
        <v>0</v>
      </c>
      <c r="BE142" s="328"/>
      <c r="BF142" s="328"/>
      <c r="BG142" s="328"/>
      <c r="BH142" s="328"/>
      <c r="BI142" s="328"/>
      <c r="BJ142" s="328"/>
      <c r="BK142" s="328"/>
      <c r="BL142" s="328"/>
      <c r="BM142" s="222">
        <f t="shared" si="254"/>
        <v>0</v>
      </c>
      <c r="BN142" s="222">
        <f t="shared" si="255"/>
        <v>0</v>
      </c>
      <c r="BO142" s="222"/>
      <c r="BP142" s="222"/>
      <c r="BQ142" s="222"/>
      <c r="BR142" s="222"/>
      <c r="BS142" s="222"/>
      <c r="BT142" s="414"/>
      <c r="BU142" s="222"/>
      <c r="BV142" s="222"/>
      <c r="BW142" s="337"/>
      <c r="BX142" s="314" t="s">
        <v>396</v>
      </c>
      <c r="BY142" s="107" t="s">
        <v>693</v>
      </c>
      <c r="BZ142" s="36"/>
      <c r="CA142" s="36"/>
      <c r="CB142" s="36"/>
      <c r="CC142" s="36"/>
      <c r="CD142" s="36"/>
      <c r="CE142" s="36"/>
      <c r="CF142" s="36"/>
      <c r="CG142" s="36"/>
    </row>
    <row r="143" spans="1:85" s="220" customFormat="1" ht="12.75" x14ac:dyDescent="0.2">
      <c r="A143" s="146"/>
      <c r="B143" s="119"/>
      <c r="C143" s="274"/>
      <c r="D143" s="275"/>
      <c r="E143" s="281" t="s">
        <v>239</v>
      </c>
      <c r="F143" s="347">
        <f t="shared" si="245"/>
        <v>15920</v>
      </c>
      <c r="G143" s="116">
        <f t="shared" si="238"/>
        <v>15920</v>
      </c>
      <c r="H143" s="222">
        <v>15920</v>
      </c>
      <c r="I143" s="222">
        <f t="shared" si="246"/>
        <v>15920</v>
      </c>
      <c r="J143" s="222">
        <f t="shared" si="247"/>
        <v>0</v>
      </c>
      <c r="K143" s="222"/>
      <c r="L143" s="222"/>
      <c r="M143" s="222"/>
      <c r="N143" s="222"/>
      <c r="O143" s="222"/>
      <c r="P143" s="222"/>
      <c r="Q143" s="222"/>
      <c r="R143" s="222"/>
      <c r="S143" s="222"/>
      <c r="T143" s="222"/>
      <c r="U143" s="222"/>
      <c r="V143" s="222"/>
      <c r="W143" s="222"/>
      <c r="X143" s="447"/>
      <c r="Y143" s="222"/>
      <c r="Z143" s="222"/>
      <c r="AA143" s="222"/>
      <c r="AB143" s="222"/>
      <c r="AC143" s="222">
        <v>0</v>
      </c>
      <c r="AD143" s="222">
        <f t="shared" si="248"/>
        <v>0</v>
      </c>
      <c r="AE143" s="222">
        <f t="shared" si="249"/>
        <v>0</v>
      </c>
      <c r="AF143" s="222"/>
      <c r="AG143" s="222"/>
      <c r="AH143" s="222"/>
      <c r="AI143" s="222"/>
      <c r="AJ143" s="222"/>
      <c r="AK143" s="222"/>
      <c r="AL143" s="447"/>
      <c r="AM143" s="222"/>
      <c r="AN143" s="222"/>
      <c r="AO143" s="222">
        <v>0</v>
      </c>
      <c r="AP143" s="222">
        <f t="shared" si="250"/>
        <v>0</v>
      </c>
      <c r="AQ143" s="222">
        <f t="shared" si="251"/>
        <v>0</v>
      </c>
      <c r="AR143" s="222"/>
      <c r="AS143" s="222"/>
      <c r="AT143" s="222"/>
      <c r="AU143" s="222"/>
      <c r="AV143" s="222"/>
      <c r="AW143" s="222"/>
      <c r="AX143" s="222"/>
      <c r="AY143" s="222"/>
      <c r="AZ143" s="222"/>
      <c r="BA143" s="222"/>
      <c r="BB143" s="222">
        <v>0</v>
      </c>
      <c r="BC143" s="328">
        <f t="shared" si="252"/>
        <v>0</v>
      </c>
      <c r="BD143" s="328">
        <f t="shared" si="253"/>
        <v>0</v>
      </c>
      <c r="BE143" s="328"/>
      <c r="BF143" s="328"/>
      <c r="BG143" s="328"/>
      <c r="BH143" s="328"/>
      <c r="BI143" s="328"/>
      <c r="BJ143" s="328"/>
      <c r="BK143" s="328"/>
      <c r="BL143" s="328"/>
      <c r="BM143" s="222">
        <f t="shared" si="254"/>
        <v>0</v>
      </c>
      <c r="BN143" s="222">
        <f t="shared" si="255"/>
        <v>0</v>
      </c>
      <c r="BO143" s="222"/>
      <c r="BP143" s="222"/>
      <c r="BQ143" s="222"/>
      <c r="BR143" s="222"/>
      <c r="BS143" s="222"/>
      <c r="BT143" s="414"/>
      <c r="BU143" s="222"/>
      <c r="BV143" s="222"/>
      <c r="BW143" s="337"/>
      <c r="BX143" s="314" t="s">
        <v>554</v>
      </c>
      <c r="BY143" s="107" t="s">
        <v>693</v>
      </c>
      <c r="BZ143" s="36"/>
      <c r="CA143" s="36"/>
      <c r="CB143" s="36"/>
      <c r="CC143" s="36"/>
      <c r="CD143" s="36"/>
      <c r="CE143" s="36"/>
      <c r="CF143" s="36"/>
      <c r="CG143" s="36"/>
    </row>
    <row r="144" spans="1:85" s="220" customFormat="1" ht="36" x14ac:dyDescent="0.2">
      <c r="A144" s="146"/>
      <c r="B144" s="119"/>
      <c r="C144" s="274"/>
      <c r="D144" s="275"/>
      <c r="E144" s="281" t="s">
        <v>587</v>
      </c>
      <c r="F144" s="347">
        <f t="shared" si="245"/>
        <v>65626</v>
      </c>
      <c r="G144" s="116">
        <f t="shared" si="238"/>
        <v>69503</v>
      </c>
      <c r="H144" s="222">
        <v>65626</v>
      </c>
      <c r="I144" s="222">
        <f t="shared" si="246"/>
        <v>69503</v>
      </c>
      <c r="J144" s="222">
        <f t="shared" si="247"/>
        <v>3877</v>
      </c>
      <c r="K144" s="222"/>
      <c r="L144" s="222"/>
      <c r="M144" s="222"/>
      <c r="N144" s="222"/>
      <c r="O144" s="222"/>
      <c r="P144" s="222"/>
      <c r="Q144" s="222"/>
      <c r="R144" s="222">
        <v>2000</v>
      </c>
      <c r="S144" s="222">
        <v>2963</v>
      </c>
      <c r="T144" s="222"/>
      <c r="U144" s="222">
        <v>-1086</v>
      </c>
      <c r="V144" s="222"/>
      <c r="W144" s="222"/>
      <c r="X144" s="447"/>
      <c r="Y144" s="222"/>
      <c r="Z144" s="222"/>
      <c r="AA144" s="222"/>
      <c r="AB144" s="222"/>
      <c r="AC144" s="222">
        <v>0</v>
      </c>
      <c r="AD144" s="222">
        <f t="shared" si="248"/>
        <v>0</v>
      </c>
      <c r="AE144" s="222">
        <f t="shared" si="249"/>
        <v>0</v>
      </c>
      <c r="AF144" s="222"/>
      <c r="AG144" s="222"/>
      <c r="AH144" s="222"/>
      <c r="AI144" s="222"/>
      <c r="AJ144" s="222"/>
      <c r="AK144" s="222"/>
      <c r="AL144" s="447"/>
      <c r="AM144" s="222"/>
      <c r="AN144" s="222"/>
      <c r="AO144" s="222">
        <v>0</v>
      </c>
      <c r="AP144" s="222">
        <f t="shared" si="250"/>
        <v>0</v>
      </c>
      <c r="AQ144" s="222">
        <f t="shared" si="251"/>
        <v>0</v>
      </c>
      <c r="AR144" s="222"/>
      <c r="AS144" s="222"/>
      <c r="AT144" s="222"/>
      <c r="AU144" s="222"/>
      <c r="AV144" s="222"/>
      <c r="AW144" s="222"/>
      <c r="AX144" s="222"/>
      <c r="AY144" s="222"/>
      <c r="AZ144" s="222"/>
      <c r="BA144" s="222"/>
      <c r="BB144" s="222">
        <v>0</v>
      </c>
      <c r="BC144" s="328">
        <f t="shared" si="252"/>
        <v>0</v>
      </c>
      <c r="BD144" s="328">
        <f t="shared" si="253"/>
        <v>0</v>
      </c>
      <c r="BE144" s="328"/>
      <c r="BF144" s="328"/>
      <c r="BG144" s="328"/>
      <c r="BH144" s="328"/>
      <c r="BI144" s="328"/>
      <c r="BJ144" s="328"/>
      <c r="BK144" s="328"/>
      <c r="BL144" s="328"/>
      <c r="BM144" s="222">
        <f t="shared" si="254"/>
        <v>0</v>
      </c>
      <c r="BN144" s="222">
        <f t="shared" si="255"/>
        <v>0</v>
      </c>
      <c r="BO144" s="222"/>
      <c r="BP144" s="222"/>
      <c r="BQ144" s="222"/>
      <c r="BR144" s="222"/>
      <c r="BS144" s="222"/>
      <c r="BT144" s="414"/>
      <c r="BU144" s="222"/>
      <c r="BV144" s="222"/>
      <c r="BW144" s="337"/>
      <c r="BX144" s="314" t="s">
        <v>555</v>
      </c>
      <c r="BY144" s="107" t="s">
        <v>693</v>
      </c>
      <c r="BZ144" s="36"/>
      <c r="CA144" s="36"/>
      <c r="CB144" s="36"/>
      <c r="CC144" s="36"/>
      <c r="CD144" s="36"/>
      <c r="CE144" s="36"/>
      <c r="CF144" s="36"/>
      <c r="CG144" s="36"/>
    </row>
    <row r="145" spans="1:85" s="221" customFormat="1" ht="36" x14ac:dyDescent="0.2">
      <c r="A145" s="146"/>
      <c r="B145" s="119"/>
      <c r="C145" s="274"/>
      <c r="D145" s="275"/>
      <c r="E145" s="19" t="s">
        <v>299</v>
      </c>
      <c r="F145" s="347">
        <f t="shared" si="245"/>
        <v>376211</v>
      </c>
      <c r="G145" s="101">
        <f t="shared" si="238"/>
        <v>327615</v>
      </c>
      <c r="H145" s="102">
        <v>376211</v>
      </c>
      <c r="I145" s="102">
        <f t="shared" si="246"/>
        <v>327615</v>
      </c>
      <c r="J145" s="102">
        <f t="shared" si="247"/>
        <v>-48596</v>
      </c>
      <c r="K145" s="102"/>
      <c r="L145" s="102"/>
      <c r="M145" s="102"/>
      <c r="N145" s="102">
        <v>3031</v>
      </c>
      <c r="O145" s="102"/>
      <c r="P145" s="102"/>
      <c r="Q145" s="102"/>
      <c r="R145" s="102">
        <v>-2627</v>
      </c>
      <c r="S145" s="102"/>
      <c r="T145" s="102"/>
      <c r="U145" s="102"/>
      <c r="V145" s="102">
        <v>-49000</v>
      </c>
      <c r="W145" s="102"/>
      <c r="X145" s="445"/>
      <c r="Y145" s="102"/>
      <c r="Z145" s="102"/>
      <c r="AA145" s="102"/>
      <c r="AB145" s="102"/>
      <c r="AC145" s="102">
        <v>0</v>
      </c>
      <c r="AD145" s="102">
        <f t="shared" si="248"/>
        <v>0</v>
      </c>
      <c r="AE145" s="102">
        <f t="shared" si="249"/>
        <v>0</v>
      </c>
      <c r="AF145" s="102"/>
      <c r="AG145" s="102"/>
      <c r="AH145" s="102"/>
      <c r="AI145" s="102"/>
      <c r="AJ145" s="102"/>
      <c r="AK145" s="102"/>
      <c r="AL145" s="445"/>
      <c r="AM145" s="102"/>
      <c r="AN145" s="102"/>
      <c r="AO145" s="102">
        <v>0</v>
      </c>
      <c r="AP145" s="102">
        <f t="shared" si="250"/>
        <v>0</v>
      </c>
      <c r="AQ145" s="102">
        <f t="shared" si="251"/>
        <v>0</v>
      </c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>
        <v>0</v>
      </c>
      <c r="BC145" s="328">
        <f t="shared" si="252"/>
        <v>0</v>
      </c>
      <c r="BD145" s="328">
        <f t="shared" si="253"/>
        <v>0</v>
      </c>
      <c r="BE145" s="328"/>
      <c r="BF145" s="328"/>
      <c r="BG145" s="328"/>
      <c r="BH145" s="328"/>
      <c r="BI145" s="328"/>
      <c r="BJ145" s="328"/>
      <c r="BK145" s="328"/>
      <c r="BL145" s="328"/>
      <c r="BM145" s="222">
        <f t="shared" si="254"/>
        <v>0</v>
      </c>
      <c r="BN145" s="222">
        <f t="shared" si="255"/>
        <v>0</v>
      </c>
      <c r="BO145" s="222"/>
      <c r="BP145" s="222"/>
      <c r="BQ145" s="222"/>
      <c r="BR145" s="222"/>
      <c r="BS145" s="222"/>
      <c r="BT145" s="414"/>
      <c r="BU145" s="222"/>
      <c r="BV145" s="222"/>
      <c r="BW145" s="337"/>
      <c r="BX145" s="314" t="s">
        <v>679</v>
      </c>
      <c r="BY145" s="318" t="s">
        <v>782</v>
      </c>
      <c r="BZ145" s="36"/>
      <c r="CA145" s="36"/>
      <c r="CB145" s="36"/>
      <c r="CC145" s="36"/>
      <c r="CD145" s="36"/>
      <c r="CE145" s="36"/>
      <c r="CF145" s="36"/>
      <c r="CG145" s="36"/>
    </row>
    <row r="146" spans="1:85" s="221" customFormat="1" ht="36" x14ac:dyDescent="0.2">
      <c r="A146" s="146"/>
      <c r="B146" s="119"/>
      <c r="C146" s="274"/>
      <c r="D146" s="275"/>
      <c r="E146" s="281" t="s">
        <v>300</v>
      </c>
      <c r="F146" s="347">
        <f t="shared" si="245"/>
        <v>945736</v>
      </c>
      <c r="G146" s="101">
        <f t="shared" si="238"/>
        <v>970318</v>
      </c>
      <c r="H146" s="102">
        <v>945736</v>
      </c>
      <c r="I146" s="102">
        <f t="shared" si="246"/>
        <v>970318</v>
      </c>
      <c r="J146" s="102">
        <f t="shared" si="247"/>
        <v>24582</v>
      </c>
      <c r="K146" s="102"/>
      <c r="L146" s="102">
        <f>-1698+7109</f>
        <v>5411</v>
      </c>
      <c r="M146" s="102">
        <v>-7109</v>
      </c>
      <c r="N146" s="102">
        <v>1200</v>
      </c>
      <c r="O146" s="102"/>
      <c r="P146" s="102"/>
      <c r="Q146" s="102"/>
      <c r="R146" s="102">
        <v>-10926</v>
      </c>
      <c r="S146" s="102"/>
      <c r="T146" s="102">
        <v>-224</v>
      </c>
      <c r="U146" s="102"/>
      <c r="V146" s="102"/>
      <c r="W146" s="102">
        <v>30620</v>
      </c>
      <c r="X146" s="445">
        <v>5610</v>
      </c>
      <c r="Y146" s="102"/>
      <c r="Z146" s="102"/>
      <c r="AA146" s="102"/>
      <c r="AB146" s="102"/>
      <c r="AC146" s="102">
        <v>0</v>
      </c>
      <c r="AD146" s="102">
        <f t="shared" si="248"/>
        <v>0</v>
      </c>
      <c r="AE146" s="102">
        <f t="shared" si="249"/>
        <v>0</v>
      </c>
      <c r="AF146" s="102"/>
      <c r="AG146" s="102"/>
      <c r="AH146" s="102"/>
      <c r="AI146" s="102"/>
      <c r="AJ146" s="102"/>
      <c r="AK146" s="102"/>
      <c r="AL146" s="445"/>
      <c r="AM146" s="102"/>
      <c r="AN146" s="102"/>
      <c r="AO146" s="102">
        <v>0</v>
      </c>
      <c r="AP146" s="102">
        <f t="shared" si="250"/>
        <v>0</v>
      </c>
      <c r="AQ146" s="102">
        <f t="shared" si="251"/>
        <v>0</v>
      </c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>
        <v>0</v>
      </c>
      <c r="BC146" s="328">
        <f t="shared" si="252"/>
        <v>0</v>
      </c>
      <c r="BD146" s="328">
        <f t="shared" si="253"/>
        <v>0</v>
      </c>
      <c r="BE146" s="328"/>
      <c r="BF146" s="328"/>
      <c r="BG146" s="328"/>
      <c r="BH146" s="328"/>
      <c r="BI146" s="328"/>
      <c r="BJ146" s="328"/>
      <c r="BK146" s="328"/>
      <c r="BL146" s="328"/>
      <c r="BM146" s="222">
        <f t="shared" si="254"/>
        <v>0</v>
      </c>
      <c r="BN146" s="222">
        <f t="shared" si="255"/>
        <v>0</v>
      </c>
      <c r="BO146" s="222"/>
      <c r="BP146" s="222"/>
      <c r="BQ146" s="222"/>
      <c r="BR146" s="222"/>
      <c r="BS146" s="222"/>
      <c r="BT146" s="414"/>
      <c r="BU146" s="222"/>
      <c r="BV146" s="222"/>
      <c r="BW146" s="337"/>
      <c r="BX146" s="314" t="s">
        <v>680</v>
      </c>
      <c r="BY146" s="318" t="s">
        <v>782</v>
      </c>
      <c r="BZ146" s="36"/>
      <c r="CA146" s="36"/>
      <c r="CB146" s="36"/>
      <c r="CC146" s="36"/>
      <c r="CD146" s="36"/>
      <c r="CE146" s="36"/>
      <c r="CF146" s="36"/>
      <c r="CG146" s="36"/>
    </row>
    <row r="147" spans="1:85" ht="36" x14ac:dyDescent="0.2">
      <c r="A147" s="146"/>
      <c r="B147" s="117"/>
      <c r="C147" s="279"/>
      <c r="D147" s="280"/>
      <c r="E147" s="285" t="s">
        <v>301</v>
      </c>
      <c r="F147" s="350">
        <f t="shared" si="245"/>
        <v>80568</v>
      </c>
      <c r="G147" s="116">
        <f t="shared" si="238"/>
        <v>84247</v>
      </c>
      <c r="H147" s="222">
        <v>80568</v>
      </c>
      <c r="I147" s="222">
        <f t="shared" si="246"/>
        <v>84247</v>
      </c>
      <c r="J147" s="222">
        <f t="shared" si="247"/>
        <v>3679</v>
      </c>
      <c r="K147" s="222"/>
      <c r="L147" s="222"/>
      <c r="M147" s="222"/>
      <c r="N147" s="222">
        <v>3679</v>
      </c>
      <c r="O147" s="222"/>
      <c r="P147" s="222"/>
      <c r="Q147" s="222"/>
      <c r="R147" s="222"/>
      <c r="S147" s="222"/>
      <c r="T147" s="222"/>
      <c r="U147" s="222"/>
      <c r="V147" s="222"/>
      <c r="W147" s="222"/>
      <c r="X147" s="447"/>
      <c r="Y147" s="222"/>
      <c r="Z147" s="222"/>
      <c r="AA147" s="222"/>
      <c r="AB147" s="222"/>
      <c r="AC147" s="222">
        <v>0</v>
      </c>
      <c r="AD147" s="222">
        <f t="shared" si="248"/>
        <v>0</v>
      </c>
      <c r="AE147" s="222">
        <f t="shared" si="249"/>
        <v>0</v>
      </c>
      <c r="AF147" s="222"/>
      <c r="AG147" s="222"/>
      <c r="AH147" s="222"/>
      <c r="AI147" s="222"/>
      <c r="AJ147" s="222"/>
      <c r="AK147" s="222"/>
      <c r="AL147" s="447"/>
      <c r="AM147" s="222"/>
      <c r="AN147" s="222"/>
      <c r="AO147" s="222">
        <v>0</v>
      </c>
      <c r="AP147" s="222">
        <f t="shared" si="250"/>
        <v>0</v>
      </c>
      <c r="AQ147" s="222">
        <f t="shared" si="251"/>
        <v>0</v>
      </c>
      <c r="AR147" s="222"/>
      <c r="AS147" s="222"/>
      <c r="AT147" s="222"/>
      <c r="AU147" s="222"/>
      <c r="AV147" s="222"/>
      <c r="AW147" s="222"/>
      <c r="AX147" s="222"/>
      <c r="AY147" s="222"/>
      <c r="AZ147" s="222"/>
      <c r="BA147" s="222"/>
      <c r="BB147" s="222">
        <v>0</v>
      </c>
      <c r="BC147" s="328">
        <f t="shared" si="252"/>
        <v>0</v>
      </c>
      <c r="BD147" s="328">
        <f t="shared" si="253"/>
        <v>0</v>
      </c>
      <c r="BE147" s="328"/>
      <c r="BF147" s="328"/>
      <c r="BG147" s="328"/>
      <c r="BH147" s="328"/>
      <c r="BI147" s="328"/>
      <c r="BJ147" s="328"/>
      <c r="BK147" s="328"/>
      <c r="BL147" s="123"/>
      <c r="BM147" s="102">
        <f t="shared" si="254"/>
        <v>0</v>
      </c>
      <c r="BN147" s="102">
        <f t="shared" si="255"/>
        <v>0</v>
      </c>
      <c r="BO147" s="102"/>
      <c r="BP147" s="102"/>
      <c r="BQ147" s="102"/>
      <c r="BR147" s="102"/>
      <c r="BS147" s="102"/>
      <c r="BT147" s="389"/>
      <c r="BU147" s="102"/>
      <c r="BV147" s="102"/>
      <c r="BW147" s="335"/>
      <c r="BX147" s="103" t="s">
        <v>681</v>
      </c>
      <c r="BY147" s="318" t="s">
        <v>782</v>
      </c>
      <c r="BZ147" s="36"/>
      <c r="CA147" s="36"/>
      <c r="CB147" s="36"/>
      <c r="CC147" s="36"/>
      <c r="CD147" s="36"/>
      <c r="CE147" s="36"/>
      <c r="CF147" s="36"/>
      <c r="CG147" s="36"/>
    </row>
    <row r="148" spans="1:85" s="294" customFormat="1" ht="24" x14ac:dyDescent="0.2">
      <c r="A148" s="146"/>
      <c r="B148" s="117"/>
      <c r="C148" s="266"/>
      <c r="D148" s="267"/>
      <c r="E148" s="100" t="s">
        <v>633</v>
      </c>
      <c r="F148" s="347">
        <f t="shared" si="245"/>
        <v>576</v>
      </c>
      <c r="G148" s="101">
        <f t="shared" si="238"/>
        <v>576</v>
      </c>
      <c r="H148" s="102">
        <v>576</v>
      </c>
      <c r="I148" s="102">
        <f t="shared" si="246"/>
        <v>576</v>
      </c>
      <c r="J148" s="102">
        <f t="shared" si="247"/>
        <v>0</v>
      </c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445"/>
      <c r="Y148" s="102"/>
      <c r="Z148" s="102"/>
      <c r="AA148" s="102"/>
      <c r="AB148" s="102"/>
      <c r="AC148" s="102">
        <v>0</v>
      </c>
      <c r="AD148" s="102">
        <f t="shared" si="248"/>
        <v>0</v>
      </c>
      <c r="AE148" s="102">
        <f t="shared" si="249"/>
        <v>0</v>
      </c>
      <c r="AF148" s="102"/>
      <c r="AG148" s="102"/>
      <c r="AH148" s="102"/>
      <c r="AI148" s="102"/>
      <c r="AJ148" s="102"/>
      <c r="AK148" s="102"/>
      <c r="AL148" s="445"/>
      <c r="AM148" s="102"/>
      <c r="AN148" s="102"/>
      <c r="AO148" s="102">
        <v>0</v>
      </c>
      <c r="AP148" s="102">
        <f t="shared" si="250"/>
        <v>0</v>
      </c>
      <c r="AQ148" s="102">
        <f t="shared" si="251"/>
        <v>0</v>
      </c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>
        <v>0</v>
      </c>
      <c r="BC148" s="123">
        <f t="shared" si="252"/>
        <v>0</v>
      </c>
      <c r="BD148" s="123">
        <f t="shared" si="253"/>
        <v>0</v>
      </c>
      <c r="BE148" s="123"/>
      <c r="BF148" s="123"/>
      <c r="BG148" s="123"/>
      <c r="BH148" s="123"/>
      <c r="BI148" s="123"/>
      <c r="BJ148" s="123"/>
      <c r="BK148" s="123"/>
      <c r="BL148" s="123"/>
      <c r="BM148" s="102">
        <f t="shared" si="254"/>
        <v>0</v>
      </c>
      <c r="BN148" s="102">
        <f t="shared" si="255"/>
        <v>0</v>
      </c>
      <c r="BO148" s="102"/>
      <c r="BP148" s="102"/>
      <c r="BQ148" s="102"/>
      <c r="BR148" s="102"/>
      <c r="BS148" s="102"/>
      <c r="BT148" s="389"/>
      <c r="BU148" s="102"/>
      <c r="BV148" s="102"/>
      <c r="BW148" s="335"/>
      <c r="BX148" s="103" t="s">
        <v>573</v>
      </c>
      <c r="BY148" s="107"/>
      <c r="BZ148" s="36"/>
      <c r="CA148" s="36"/>
      <c r="CB148" s="36"/>
      <c r="CC148" s="36"/>
      <c r="CD148" s="36"/>
      <c r="CE148" s="36"/>
      <c r="CF148" s="36"/>
      <c r="CG148" s="36"/>
    </row>
    <row r="149" spans="1:85" s="293" customFormat="1" ht="36" x14ac:dyDescent="0.2">
      <c r="A149" s="146"/>
      <c r="B149" s="117"/>
      <c r="C149" s="291"/>
      <c r="D149" s="292"/>
      <c r="E149" s="100" t="s">
        <v>643</v>
      </c>
      <c r="F149" s="350">
        <f t="shared" si="245"/>
        <v>13705</v>
      </c>
      <c r="G149" s="116">
        <f t="shared" si="238"/>
        <v>27684</v>
      </c>
      <c r="H149" s="222">
        <v>29012</v>
      </c>
      <c r="I149" s="222">
        <f t="shared" si="246"/>
        <v>42991</v>
      </c>
      <c r="J149" s="222">
        <f t="shared" si="247"/>
        <v>13979</v>
      </c>
      <c r="K149" s="222">
        <v>3681</v>
      </c>
      <c r="L149" s="222">
        <v>10298</v>
      </c>
      <c r="M149" s="222"/>
      <c r="N149" s="222"/>
      <c r="O149" s="222"/>
      <c r="P149" s="222"/>
      <c r="Q149" s="222"/>
      <c r="R149" s="222"/>
      <c r="S149" s="222"/>
      <c r="T149" s="222"/>
      <c r="U149" s="222"/>
      <c r="V149" s="222"/>
      <c r="W149" s="222"/>
      <c r="X149" s="447"/>
      <c r="Y149" s="222"/>
      <c r="Z149" s="222"/>
      <c r="AA149" s="222"/>
      <c r="AB149" s="222"/>
      <c r="AC149" s="222">
        <v>0</v>
      </c>
      <c r="AD149" s="222">
        <f t="shared" si="248"/>
        <v>0</v>
      </c>
      <c r="AE149" s="222">
        <f t="shared" si="249"/>
        <v>0</v>
      </c>
      <c r="AF149" s="222"/>
      <c r="AG149" s="222"/>
      <c r="AH149" s="222"/>
      <c r="AI149" s="222"/>
      <c r="AJ149" s="222"/>
      <c r="AK149" s="222"/>
      <c r="AL149" s="447"/>
      <c r="AM149" s="222"/>
      <c r="AN149" s="222"/>
      <c r="AO149" s="222">
        <v>0</v>
      </c>
      <c r="AP149" s="222">
        <f t="shared" si="250"/>
        <v>0</v>
      </c>
      <c r="AQ149" s="222">
        <f t="shared" si="251"/>
        <v>0</v>
      </c>
      <c r="AR149" s="222"/>
      <c r="AS149" s="222"/>
      <c r="AT149" s="222"/>
      <c r="AU149" s="222"/>
      <c r="AV149" s="222"/>
      <c r="AW149" s="222"/>
      <c r="AX149" s="222"/>
      <c r="AY149" s="222"/>
      <c r="AZ149" s="222"/>
      <c r="BA149" s="222"/>
      <c r="BB149" s="222">
        <v>0</v>
      </c>
      <c r="BC149" s="328">
        <f t="shared" si="252"/>
        <v>0</v>
      </c>
      <c r="BD149" s="328">
        <f t="shared" si="253"/>
        <v>0</v>
      </c>
      <c r="BE149" s="328"/>
      <c r="BF149" s="328"/>
      <c r="BG149" s="328"/>
      <c r="BH149" s="328"/>
      <c r="BI149" s="328"/>
      <c r="BJ149" s="328"/>
      <c r="BK149" s="328"/>
      <c r="BL149" s="123">
        <v>-15307</v>
      </c>
      <c r="BM149" s="102">
        <f t="shared" si="254"/>
        <v>-15307</v>
      </c>
      <c r="BN149" s="102">
        <f t="shared" si="255"/>
        <v>0</v>
      </c>
      <c r="BO149" s="102"/>
      <c r="BP149" s="102"/>
      <c r="BQ149" s="102"/>
      <c r="BR149" s="102"/>
      <c r="BS149" s="102"/>
      <c r="BT149" s="389"/>
      <c r="BU149" s="102"/>
      <c r="BV149" s="102"/>
      <c r="BW149" s="335"/>
      <c r="BX149" s="103" t="s">
        <v>682</v>
      </c>
      <c r="BY149" s="318"/>
      <c r="BZ149" s="36"/>
      <c r="CA149" s="36"/>
      <c r="CB149" s="36"/>
      <c r="CC149" s="36"/>
      <c r="CD149" s="36"/>
      <c r="CE149" s="36"/>
      <c r="CF149" s="36"/>
      <c r="CG149" s="36"/>
    </row>
    <row r="150" spans="1:85" s="293" customFormat="1" ht="36" x14ac:dyDescent="0.2">
      <c r="A150" s="146"/>
      <c r="B150" s="117"/>
      <c r="C150" s="291"/>
      <c r="D150" s="292"/>
      <c r="E150" s="100" t="s">
        <v>644</v>
      </c>
      <c r="F150" s="350">
        <f>H150+AC150+AO150+BA150+BB150+BL150</f>
        <v>158320</v>
      </c>
      <c r="G150" s="116">
        <f t="shared" si="238"/>
        <v>209168</v>
      </c>
      <c r="H150" s="222">
        <v>158320</v>
      </c>
      <c r="I150" s="222">
        <f t="shared" si="246"/>
        <v>209168</v>
      </c>
      <c r="J150" s="222">
        <f t="shared" si="247"/>
        <v>50848</v>
      </c>
      <c r="K150" s="222"/>
      <c r="L150" s="222"/>
      <c r="M150" s="222"/>
      <c r="N150" s="222"/>
      <c r="O150" s="222"/>
      <c r="P150" s="222"/>
      <c r="Q150" s="222"/>
      <c r="R150" s="222">
        <v>50848</v>
      </c>
      <c r="S150" s="222"/>
      <c r="T150" s="222"/>
      <c r="U150" s="222"/>
      <c r="V150" s="222"/>
      <c r="W150" s="222"/>
      <c r="X150" s="447"/>
      <c r="Y150" s="222"/>
      <c r="Z150" s="222"/>
      <c r="AA150" s="222"/>
      <c r="AB150" s="222"/>
      <c r="AC150" s="222">
        <v>0</v>
      </c>
      <c r="AD150" s="222">
        <f t="shared" si="248"/>
        <v>0</v>
      </c>
      <c r="AE150" s="222">
        <f t="shared" si="249"/>
        <v>0</v>
      </c>
      <c r="AF150" s="222"/>
      <c r="AG150" s="222"/>
      <c r="AH150" s="222"/>
      <c r="AI150" s="222"/>
      <c r="AJ150" s="222"/>
      <c r="AK150" s="222"/>
      <c r="AL150" s="447"/>
      <c r="AM150" s="222"/>
      <c r="AN150" s="222"/>
      <c r="AO150" s="222">
        <v>0</v>
      </c>
      <c r="AP150" s="222">
        <f t="shared" si="250"/>
        <v>0</v>
      </c>
      <c r="AQ150" s="222">
        <f t="shared" si="251"/>
        <v>0</v>
      </c>
      <c r="AR150" s="222"/>
      <c r="AS150" s="222"/>
      <c r="AT150" s="222"/>
      <c r="AU150" s="222"/>
      <c r="AV150" s="222"/>
      <c r="AW150" s="222"/>
      <c r="AX150" s="222"/>
      <c r="AY150" s="222"/>
      <c r="AZ150" s="222"/>
      <c r="BA150" s="222"/>
      <c r="BB150" s="222">
        <v>0</v>
      </c>
      <c r="BC150" s="328">
        <f t="shared" si="252"/>
        <v>0</v>
      </c>
      <c r="BD150" s="328">
        <f t="shared" si="253"/>
        <v>0</v>
      </c>
      <c r="BE150" s="328"/>
      <c r="BF150" s="328"/>
      <c r="BG150" s="328"/>
      <c r="BH150" s="328"/>
      <c r="BI150" s="328"/>
      <c r="BJ150" s="328"/>
      <c r="BK150" s="328"/>
      <c r="BL150" s="123"/>
      <c r="BM150" s="102">
        <f t="shared" si="254"/>
        <v>0</v>
      </c>
      <c r="BN150" s="102">
        <f t="shared" si="255"/>
        <v>0</v>
      </c>
      <c r="BO150" s="102"/>
      <c r="BP150" s="102"/>
      <c r="BQ150" s="102"/>
      <c r="BR150" s="102"/>
      <c r="BS150" s="102"/>
      <c r="BT150" s="389"/>
      <c r="BU150" s="102"/>
      <c r="BV150" s="102"/>
      <c r="BW150" s="335"/>
      <c r="BX150" s="103" t="s">
        <v>683</v>
      </c>
      <c r="BY150" s="318"/>
      <c r="BZ150" s="36"/>
      <c r="CA150" s="36"/>
      <c r="CB150" s="36"/>
      <c r="CC150" s="36"/>
      <c r="CD150" s="36"/>
      <c r="CE150" s="36"/>
      <c r="CF150" s="36"/>
      <c r="CG150" s="36"/>
    </row>
    <row r="151" spans="1:85" s="359" customFormat="1" ht="12.75" x14ac:dyDescent="0.2">
      <c r="A151" s="146"/>
      <c r="B151" s="117"/>
      <c r="C151" s="360"/>
      <c r="D151" s="361"/>
      <c r="E151" s="100" t="s">
        <v>728</v>
      </c>
      <c r="F151" s="350">
        <f>H151+AC151+AO151+BA151+BB151+BL151</f>
        <v>0</v>
      </c>
      <c r="G151" s="116">
        <f t="shared" ref="G151" si="256">I151+AD151+AP151+BA151+BC151+BM151</f>
        <v>36050</v>
      </c>
      <c r="H151" s="222"/>
      <c r="I151" s="222">
        <f t="shared" ref="I151" si="257">J151+H151</f>
        <v>36050</v>
      </c>
      <c r="J151" s="222">
        <f t="shared" ref="J151" si="258">SUM(K151:AB151)</f>
        <v>36050</v>
      </c>
      <c r="K151" s="222"/>
      <c r="L151" s="222">
        <v>36050</v>
      </c>
      <c r="M151" s="222"/>
      <c r="N151" s="222"/>
      <c r="O151" s="222"/>
      <c r="P151" s="222"/>
      <c r="Q151" s="222"/>
      <c r="R151" s="222"/>
      <c r="S151" s="222"/>
      <c r="T151" s="222"/>
      <c r="U151" s="222"/>
      <c r="V151" s="222"/>
      <c r="W151" s="222"/>
      <c r="X151" s="447"/>
      <c r="Y151" s="222"/>
      <c r="Z151" s="222"/>
      <c r="AA151" s="222"/>
      <c r="AB151" s="222"/>
      <c r="AC151" s="222"/>
      <c r="AD151" s="222">
        <f t="shared" ref="AD151" si="259">AC151+AE151</f>
        <v>0</v>
      </c>
      <c r="AE151" s="222">
        <f t="shared" ref="AE151" si="260">SUM(AF151:AN151)</f>
        <v>0</v>
      </c>
      <c r="AF151" s="222"/>
      <c r="AG151" s="222"/>
      <c r="AH151" s="222"/>
      <c r="AI151" s="222"/>
      <c r="AJ151" s="222"/>
      <c r="AK151" s="222"/>
      <c r="AL151" s="447"/>
      <c r="AM151" s="222"/>
      <c r="AN151" s="222"/>
      <c r="AO151" s="222"/>
      <c r="AP151" s="222">
        <f t="shared" ref="AP151" si="261">AQ151+AO151</f>
        <v>0</v>
      </c>
      <c r="AQ151" s="222">
        <f t="shared" ref="AQ151" si="262">SUM(AR151:AZ151)</f>
        <v>0</v>
      </c>
      <c r="AR151" s="222"/>
      <c r="AS151" s="222"/>
      <c r="AT151" s="222"/>
      <c r="AU151" s="222"/>
      <c r="AV151" s="222"/>
      <c r="AW151" s="222"/>
      <c r="AX151" s="222"/>
      <c r="AY151" s="222"/>
      <c r="AZ151" s="222"/>
      <c r="BA151" s="222"/>
      <c r="BB151" s="222"/>
      <c r="BC151" s="328">
        <f t="shared" ref="BC151" si="263">BB151+BD151</f>
        <v>0</v>
      </c>
      <c r="BD151" s="328">
        <f t="shared" ref="BD151" si="264">SUM(BE151:BK151)</f>
        <v>0</v>
      </c>
      <c r="BE151" s="328"/>
      <c r="BF151" s="328"/>
      <c r="BG151" s="328"/>
      <c r="BH151" s="328"/>
      <c r="BI151" s="328"/>
      <c r="BJ151" s="328"/>
      <c r="BK151" s="328"/>
      <c r="BL151" s="123"/>
      <c r="BM151" s="102">
        <f t="shared" ref="BM151" si="265">BN151+BL151</f>
        <v>0</v>
      </c>
      <c r="BN151" s="102">
        <f t="shared" ref="BN151" si="266">SUM(BO151:BW151)</f>
        <v>0</v>
      </c>
      <c r="BO151" s="102"/>
      <c r="BP151" s="102"/>
      <c r="BQ151" s="102"/>
      <c r="BR151" s="102"/>
      <c r="BS151" s="102"/>
      <c r="BT151" s="389"/>
      <c r="BU151" s="102"/>
      <c r="BV151" s="102"/>
      <c r="BW151" s="335"/>
      <c r="BX151" s="103" t="s">
        <v>729</v>
      </c>
      <c r="BY151" s="318"/>
      <c r="BZ151" s="36"/>
      <c r="CA151" s="36"/>
      <c r="CB151" s="36"/>
      <c r="CC151" s="36"/>
      <c r="CD151" s="36"/>
      <c r="CE151" s="36"/>
      <c r="CF151" s="36"/>
      <c r="CG151" s="36"/>
    </row>
    <row r="152" spans="1:85" s="376" customFormat="1" ht="36" x14ac:dyDescent="0.2">
      <c r="A152" s="146"/>
      <c r="B152" s="117"/>
      <c r="C152" s="377"/>
      <c r="D152" s="378"/>
      <c r="E152" s="100" t="s">
        <v>750</v>
      </c>
      <c r="F152" s="350">
        <f>H152+AC152+AO152+BA152+BB152+BL152</f>
        <v>0</v>
      </c>
      <c r="G152" s="116">
        <f t="shared" ref="G152" si="267">I152+AD152+AP152+BA152+BC152+BM152</f>
        <v>942</v>
      </c>
      <c r="H152" s="222"/>
      <c r="I152" s="222">
        <f t="shared" ref="I152" si="268">J152+H152</f>
        <v>942</v>
      </c>
      <c r="J152" s="222">
        <f t="shared" ref="J152" si="269">SUM(K152:AB152)</f>
        <v>942</v>
      </c>
      <c r="K152" s="222"/>
      <c r="L152" s="222"/>
      <c r="M152" s="222"/>
      <c r="N152" s="222"/>
      <c r="O152" s="222"/>
      <c r="P152" s="222">
        <v>942</v>
      </c>
      <c r="Q152" s="222"/>
      <c r="R152" s="222"/>
      <c r="S152" s="222"/>
      <c r="T152" s="222"/>
      <c r="U152" s="222"/>
      <c r="V152" s="222"/>
      <c r="W152" s="222"/>
      <c r="X152" s="447"/>
      <c r="Y152" s="222"/>
      <c r="Z152" s="222"/>
      <c r="AA152" s="222"/>
      <c r="AB152" s="222"/>
      <c r="AC152" s="222"/>
      <c r="AD152" s="222">
        <f t="shared" ref="AD152" si="270">AC152+AE152</f>
        <v>0</v>
      </c>
      <c r="AE152" s="222">
        <f t="shared" ref="AE152" si="271">SUM(AF152:AN152)</f>
        <v>0</v>
      </c>
      <c r="AF152" s="222"/>
      <c r="AG152" s="222"/>
      <c r="AH152" s="222"/>
      <c r="AI152" s="222"/>
      <c r="AJ152" s="222"/>
      <c r="AK152" s="222"/>
      <c r="AL152" s="447"/>
      <c r="AM152" s="222"/>
      <c r="AN152" s="222"/>
      <c r="AO152" s="222"/>
      <c r="AP152" s="222">
        <f t="shared" ref="AP152" si="272">AQ152+AO152</f>
        <v>0</v>
      </c>
      <c r="AQ152" s="222">
        <f t="shared" ref="AQ152" si="273">SUM(AR152:AZ152)</f>
        <v>0</v>
      </c>
      <c r="AR152" s="222"/>
      <c r="AS152" s="222"/>
      <c r="AT152" s="222"/>
      <c r="AU152" s="222"/>
      <c r="AV152" s="222"/>
      <c r="AW152" s="222"/>
      <c r="AX152" s="222"/>
      <c r="AY152" s="222"/>
      <c r="AZ152" s="222"/>
      <c r="BA152" s="222"/>
      <c r="BB152" s="222"/>
      <c r="BC152" s="328">
        <f t="shared" ref="BC152" si="274">BB152+BD152</f>
        <v>0</v>
      </c>
      <c r="BD152" s="328">
        <f t="shared" ref="BD152" si="275">SUM(BE152:BK152)</f>
        <v>0</v>
      </c>
      <c r="BE152" s="328"/>
      <c r="BF152" s="328"/>
      <c r="BG152" s="328"/>
      <c r="BH152" s="328"/>
      <c r="BI152" s="328"/>
      <c r="BJ152" s="328"/>
      <c r="BK152" s="328"/>
      <c r="BL152" s="123"/>
      <c r="BM152" s="102">
        <f t="shared" ref="BM152" si="276">BN152+BL152</f>
        <v>0</v>
      </c>
      <c r="BN152" s="102">
        <f t="shared" ref="BN152" si="277">SUM(BO152:BW152)</f>
        <v>0</v>
      </c>
      <c r="BO152" s="102"/>
      <c r="BP152" s="102"/>
      <c r="BQ152" s="102"/>
      <c r="BR152" s="102"/>
      <c r="BS152" s="102"/>
      <c r="BT152" s="389"/>
      <c r="BU152" s="102"/>
      <c r="BV152" s="102"/>
      <c r="BW152" s="335"/>
      <c r="BX152" s="103" t="s">
        <v>751</v>
      </c>
      <c r="BY152" s="318"/>
      <c r="BZ152" s="36"/>
      <c r="CA152" s="36"/>
      <c r="CB152" s="36"/>
      <c r="CC152" s="36"/>
      <c r="CD152" s="36"/>
      <c r="CE152" s="36"/>
      <c r="CF152" s="36"/>
      <c r="CG152" s="36"/>
    </row>
    <row r="153" spans="1:85" s="397" customFormat="1" ht="24" x14ac:dyDescent="0.2">
      <c r="A153" s="146"/>
      <c r="B153" s="117"/>
      <c r="C153" s="398"/>
      <c r="D153" s="399"/>
      <c r="E153" s="100" t="s">
        <v>789</v>
      </c>
      <c r="F153" s="350">
        <f>H153+AC153+AO153+BA153+BB153+BL153</f>
        <v>0</v>
      </c>
      <c r="G153" s="116">
        <f>I153+AD153+AP153+BA153+BC153+BM153</f>
        <v>1785</v>
      </c>
      <c r="H153" s="222"/>
      <c r="I153" s="222">
        <f>J153+H153</f>
        <v>1785</v>
      </c>
      <c r="J153" s="222">
        <f>SUM(K153:AB153)</f>
        <v>1785</v>
      </c>
      <c r="K153" s="222"/>
      <c r="L153" s="222"/>
      <c r="M153" s="222"/>
      <c r="N153" s="222"/>
      <c r="O153" s="222"/>
      <c r="P153" s="222"/>
      <c r="Q153" s="222"/>
      <c r="R153" s="222"/>
      <c r="S153" s="222"/>
      <c r="T153" s="222">
        <v>1785</v>
      </c>
      <c r="U153" s="222"/>
      <c r="V153" s="222"/>
      <c r="W153" s="222"/>
      <c r="X153" s="447"/>
      <c r="Y153" s="222"/>
      <c r="Z153" s="222"/>
      <c r="AA153" s="222"/>
      <c r="AB153" s="222"/>
      <c r="AC153" s="222"/>
      <c r="AD153" s="222">
        <f>AC153+AE153</f>
        <v>0</v>
      </c>
      <c r="AE153" s="222">
        <f>SUM(AF153:AN153)</f>
        <v>0</v>
      </c>
      <c r="AF153" s="222"/>
      <c r="AG153" s="222"/>
      <c r="AH153" s="222"/>
      <c r="AI153" s="222"/>
      <c r="AJ153" s="222"/>
      <c r="AK153" s="222"/>
      <c r="AL153" s="447"/>
      <c r="AM153" s="222"/>
      <c r="AN153" s="222"/>
      <c r="AO153" s="222"/>
      <c r="AP153" s="222">
        <f>AQ153+AO153</f>
        <v>0</v>
      </c>
      <c r="AQ153" s="222">
        <f t="shared" ref="AQ153:AQ155" si="278">SUM(AR153:AZ153)</f>
        <v>0</v>
      </c>
      <c r="AR153" s="222"/>
      <c r="AS153" s="222"/>
      <c r="AT153" s="222"/>
      <c r="AU153" s="222"/>
      <c r="AV153" s="222"/>
      <c r="AW153" s="222"/>
      <c r="AX153" s="222"/>
      <c r="AY153" s="222"/>
      <c r="AZ153" s="222"/>
      <c r="BA153" s="222"/>
      <c r="BB153" s="222"/>
      <c r="BC153" s="328">
        <f>BB153+BD153</f>
        <v>0</v>
      </c>
      <c r="BD153" s="328">
        <f>SUM(BE153:BK153)</f>
        <v>0</v>
      </c>
      <c r="BE153" s="328"/>
      <c r="BF153" s="328"/>
      <c r="BG153" s="328"/>
      <c r="BH153" s="328"/>
      <c r="BI153" s="328"/>
      <c r="BJ153" s="328"/>
      <c r="BK153" s="328"/>
      <c r="BL153" s="123"/>
      <c r="BM153" s="102">
        <f>BN153+BL153</f>
        <v>0</v>
      </c>
      <c r="BN153" s="102">
        <f t="shared" ref="BN153:BN155" si="279">SUM(BO153:BW153)</f>
        <v>0</v>
      </c>
      <c r="BO153" s="102"/>
      <c r="BP153" s="102"/>
      <c r="BQ153" s="102"/>
      <c r="BR153" s="102"/>
      <c r="BS153" s="102"/>
      <c r="BT153" s="389"/>
      <c r="BU153" s="102"/>
      <c r="BV153" s="102"/>
      <c r="BW153" s="335"/>
      <c r="BX153" s="103" t="s">
        <v>790</v>
      </c>
      <c r="BY153" s="318"/>
      <c r="BZ153" s="36"/>
      <c r="CA153" s="36"/>
      <c r="CB153" s="36"/>
      <c r="CC153" s="36"/>
      <c r="CD153" s="36"/>
      <c r="CE153" s="36"/>
      <c r="CF153" s="36"/>
      <c r="CG153" s="36"/>
    </row>
    <row r="154" spans="1:85" s="434" customFormat="1" ht="60" x14ac:dyDescent="0.2">
      <c r="A154" s="146"/>
      <c r="B154" s="117"/>
      <c r="C154" s="435"/>
      <c r="D154" s="436"/>
      <c r="E154" s="100" t="s">
        <v>808</v>
      </c>
      <c r="F154" s="350">
        <f t="shared" ref="F154:F155" si="280">H154+AC154+AO154+BA154+BB154+BL154</f>
        <v>0</v>
      </c>
      <c r="G154" s="116">
        <f t="shared" ref="G154:G155" si="281">I154+AD154+AP154+BA154+BC154+BM154</f>
        <v>118510</v>
      </c>
      <c r="H154" s="222"/>
      <c r="I154" s="222">
        <f t="shared" ref="I154:I155" si="282">J154+H154</f>
        <v>118510</v>
      </c>
      <c r="J154" s="222">
        <f t="shared" ref="J154:J155" si="283">SUM(K154:AB154)</f>
        <v>118510</v>
      </c>
      <c r="K154" s="222"/>
      <c r="L154" s="222"/>
      <c r="M154" s="222"/>
      <c r="N154" s="222"/>
      <c r="O154" s="222"/>
      <c r="P154" s="222"/>
      <c r="Q154" s="222"/>
      <c r="R154" s="222"/>
      <c r="S154" s="222"/>
      <c r="T154" s="222"/>
      <c r="U154" s="222"/>
      <c r="V154" s="222"/>
      <c r="W154" s="222">
        <v>118510</v>
      </c>
      <c r="X154" s="447"/>
      <c r="Y154" s="222"/>
      <c r="Z154" s="222"/>
      <c r="AA154" s="222"/>
      <c r="AB154" s="222"/>
      <c r="AC154" s="222"/>
      <c r="AD154" s="222">
        <f t="shared" ref="AD154:AD155" si="284">AC154+AE154</f>
        <v>0</v>
      </c>
      <c r="AE154" s="222">
        <f t="shared" ref="AE154:AE155" si="285">SUM(AF154:AN154)</f>
        <v>0</v>
      </c>
      <c r="AF154" s="222"/>
      <c r="AG154" s="222"/>
      <c r="AH154" s="222"/>
      <c r="AI154" s="222"/>
      <c r="AJ154" s="222"/>
      <c r="AK154" s="222"/>
      <c r="AL154" s="447"/>
      <c r="AM154" s="222"/>
      <c r="AN154" s="222"/>
      <c r="AO154" s="222"/>
      <c r="AP154" s="222">
        <f t="shared" ref="AP154:AP155" si="286">AQ154+AO154</f>
        <v>0</v>
      </c>
      <c r="AQ154" s="222">
        <f t="shared" si="278"/>
        <v>0</v>
      </c>
      <c r="AR154" s="222"/>
      <c r="AS154" s="222"/>
      <c r="AT154" s="222"/>
      <c r="AU154" s="222"/>
      <c r="AV154" s="222"/>
      <c r="AW154" s="222"/>
      <c r="AX154" s="222"/>
      <c r="AY154" s="222"/>
      <c r="AZ154" s="222"/>
      <c r="BA154" s="222"/>
      <c r="BB154" s="222"/>
      <c r="BC154" s="328">
        <f t="shared" ref="BC154:BC155" si="287">BB154+BD154</f>
        <v>0</v>
      </c>
      <c r="BD154" s="328">
        <f t="shared" ref="BD154:BD155" si="288">SUM(BE154:BK154)</f>
        <v>0</v>
      </c>
      <c r="BE154" s="328"/>
      <c r="BF154" s="328"/>
      <c r="BG154" s="328"/>
      <c r="BH154" s="328"/>
      <c r="BI154" s="328"/>
      <c r="BJ154" s="328"/>
      <c r="BK154" s="328"/>
      <c r="BL154" s="123"/>
      <c r="BM154" s="102">
        <f t="shared" ref="BM154:BM155" si="289">BN154+BL154</f>
        <v>0</v>
      </c>
      <c r="BN154" s="102">
        <f t="shared" si="279"/>
        <v>0</v>
      </c>
      <c r="BO154" s="102"/>
      <c r="BP154" s="102"/>
      <c r="BQ154" s="102"/>
      <c r="BR154" s="102"/>
      <c r="BS154" s="102"/>
      <c r="BT154" s="389"/>
      <c r="BU154" s="102"/>
      <c r="BV154" s="102"/>
      <c r="BW154" s="335"/>
      <c r="BX154" s="103" t="s">
        <v>810</v>
      </c>
      <c r="BY154" s="318"/>
      <c r="BZ154" s="36"/>
      <c r="CA154" s="36"/>
      <c r="CB154" s="36"/>
      <c r="CC154" s="36"/>
      <c r="CD154" s="36"/>
      <c r="CE154" s="36"/>
      <c r="CF154" s="36"/>
      <c r="CG154" s="36"/>
    </row>
    <row r="155" spans="1:85" s="434" customFormat="1" ht="48" x14ac:dyDescent="0.2">
      <c r="A155" s="146"/>
      <c r="B155" s="117"/>
      <c r="C155" s="435"/>
      <c r="D155" s="436"/>
      <c r="E155" s="100" t="s">
        <v>809</v>
      </c>
      <c r="F155" s="350">
        <f t="shared" si="280"/>
        <v>0</v>
      </c>
      <c r="G155" s="116">
        <f t="shared" si="281"/>
        <v>788274</v>
      </c>
      <c r="H155" s="222"/>
      <c r="I155" s="222">
        <f t="shared" si="282"/>
        <v>788274</v>
      </c>
      <c r="J155" s="222">
        <f t="shared" si="283"/>
        <v>788274</v>
      </c>
      <c r="K155" s="222"/>
      <c r="L155" s="222"/>
      <c r="M155" s="222"/>
      <c r="N155" s="222"/>
      <c r="O155" s="222"/>
      <c r="P155" s="222"/>
      <c r="Q155" s="222"/>
      <c r="R155" s="222"/>
      <c r="S155" s="222"/>
      <c r="T155" s="222"/>
      <c r="U155" s="222"/>
      <c r="V155" s="222"/>
      <c r="W155" s="222">
        <v>788274</v>
      </c>
      <c r="X155" s="447"/>
      <c r="Y155" s="222"/>
      <c r="Z155" s="222"/>
      <c r="AA155" s="222"/>
      <c r="AB155" s="222"/>
      <c r="AC155" s="222"/>
      <c r="AD155" s="222">
        <f t="shared" si="284"/>
        <v>0</v>
      </c>
      <c r="AE155" s="222">
        <f t="shared" si="285"/>
        <v>0</v>
      </c>
      <c r="AF155" s="222"/>
      <c r="AG155" s="222"/>
      <c r="AH155" s="222"/>
      <c r="AI155" s="222"/>
      <c r="AJ155" s="222"/>
      <c r="AK155" s="222"/>
      <c r="AL155" s="447"/>
      <c r="AM155" s="222"/>
      <c r="AN155" s="222"/>
      <c r="AO155" s="222"/>
      <c r="AP155" s="222">
        <f t="shared" si="286"/>
        <v>0</v>
      </c>
      <c r="AQ155" s="222">
        <f t="shared" si="278"/>
        <v>0</v>
      </c>
      <c r="AR155" s="222"/>
      <c r="AS155" s="222"/>
      <c r="AT155" s="222"/>
      <c r="AU155" s="222"/>
      <c r="AV155" s="222"/>
      <c r="AW155" s="222"/>
      <c r="AX155" s="222"/>
      <c r="AY155" s="222"/>
      <c r="AZ155" s="222"/>
      <c r="BA155" s="222"/>
      <c r="BB155" s="222"/>
      <c r="BC155" s="328">
        <f t="shared" si="287"/>
        <v>0</v>
      </c>
      <c r="BD155" s="328">
        <f t="shared" si="288"/>
        <v>0</v>
      </c>
      <c r="BE155" s="328"/>
      <c r="BF155" s="328"/>
      <c r="BG155" s="328"/>
      <c r="BH155" s="328"/>
      <c r="BI155" s="328"/>
      <c r="BJ155" s="328"/>
      <c r="BK155" s="328"/>
      <c r="BL155" s="123"/>
      <c r="BM155" s="102">
        <f t="shared" si="289"/>
        <v>0</v>
      </c>
      <c r="BN155" s="102">
        <f t="shared" si="279"/>
        <v>0</v>
      </c>
      <c r="BO155" s="102"/>
      <c r="BP155" s="102"/>
      <c r="BQ155" s="102"/>
      <c r="BR155" s="102"/>
      <c r="BS155" s="102"/>
      <c r="BT155" s="389"/>
      <c r="BU155" s="102"/>
      <c r="BV155" s="102"/>
      <c r="BW155" s="335"/>
      <c r="BX155" s="103" t="s">
        <v>811</v>
      </c>
      <c r="BY155" s="318"/>
      <c r="BZ155" s="36"/>
      <c r="CA155" s="36"/>
      <c r="CB155" s="36"/>
      <c r="CC155" s="36"/>
      <c r="CD155" s="36"/>
      <c r="CE155" s="36"/>
      <c r="CF155" s="36"/>
      <c r="CG155" s="36"/>
    </row>
    <row r="156" spans="1:85" ht="24" x14ac:dyDescent="0.2">
      <c r="A156" s="146">
        <v>90000051665</v>
      </c>
      <c r="B156" s="117"/>
      <c r="C156" s="495" t="s">
        <v>273</v>
      </c>
      <c r="D156" s="496"/>
      <c r="E156" s="100" t="s">
        <v>248</v>
      </c>
      <c r="F156" s="347">
        <f t="shared" ref="F156:F226" si="290">H156+AC156+AO156+BA156+BB156+BL156</f>
        <v>809009</v>
      </c>
      <c r="G156" s="101">
        <f t="shared" si="238"/>
        <v>816874</v>
      </c>
      <c r="H156" s="102">
        <v>569451</v>
      </c>
      <c r="I156" s="102">
        <f t="shared" si="246"/>
        <v>568035</v>
      </c>
      <c r="J156" s="102">
        <f t="shared" si="247"/>
        <v>-1416</v>
      </c>
      <c r="K156" s="102"/>
      <c r="L156" s="102"/>
      <c r="M156" s="102"/>
      <c r="N156" s="102"/>
      <c r="O156" s="102"/>
      <c r="P156" s="102">
        <v>-24465</v>
      </c>
      <c r="Q156" s="102"/>
      <c r="R156" s="102"/>
      <c r="S156" s="102"/>
      <c r="T156" s="102">
        <v>23049</v>
      </c>
      <c r="U156" s="102"/>
      <c r="V156" s="102"/>
      <c r="W156" s="102"/>
      <c r="X156" s="445"/>
      <c r="Y156" s="102"/>
      <c r="Z156" s="102"/>
      <c r="AA156" s="102"/>
      <c r="AB156" s="102"/>
      <c r="AC156" s="102">
        <v>212894</v>
      </c>
      <c r="AD156" s="102">
        <f t="shared" si="248"/>
        <v>217820</v>
      </c>
      <c r="AE156" s="102">
        <f t="shared" si="249"/>
        <v>4926</v>
      </c>
      <c r="AF156" s="102"/>
      <c r="AG156" s="102"/>
      <c r="AH156" s="102">
        <v>3750</v>
      </c>
      <c r="AI156" s="102"/>
      <c r="AJ156" s="102"/>
      <c r="AK156" s="102"/>
      <c r="AL156" s="445">
        <v>1176</v>
      </c>
      <c r="AM156" s="102"/>
      <c r="AN156" s="102"/>
      <c r="AO156" s="102">
        <v>26664</v>
      </c>
      <c r="AP156" s="102">
        <f t="shared" si="250"/>
        <v>31019</v>
      </c>
      <c r="AQ156" s="102">
        <f t="shared" si="251"/>
        <v>4355</v>
      </c>
      <c r="AR156" s="102">
        <v>4355</v>
      </c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>
        <v>0</v>
      </c>
      <c r="BC156" s="123">
        <f t="shared" si="252"/>
        <v>0</v>
      </c>
      <c r="BD156" s="123">
        <f t="shared" si="253"/>
        <v>0</v>
      </c>
      <c r="BE156" s="123"/>
      <c r="BF156" s="123"/>
      <c r="BG156" s="123"/>
      <c r="BH156" s="123"/>
      <c r="BI156" s="123"/>
      <c r="BJ156" s="123"/>
      <c r="BK156" s="123"/>
      <c r="BL156" s="123"/>
      <c r="BM156" s="102">
        <f t="shared" si="254"/>
        <v>0</v>
      </c>
      <c r="BN156" s="102">
        <f t="shared" si="255"/>
        <v>0</v>
      </c>
      <c r="BO156" s="102"/>
      <c r="BP156" s="102"/>
      <c r="BQ156" s="102"/>
      <c r="BR156" s="102"/>
      <c r="BS156" s="102"/>
      <c r="BT156" s="389"/>
      <c r="BU156" s="102"/>
      <c r="BV156" s="102"/>
      <c r="BW156" s="335"/>
      <c r="BX156" s="103" t="s">
        <v>423</v>
      </c>
      <c r="BY156" s="107"/>
      <c r="BZ156" s="36"/>
      <c r="CA156" s="36"/>
      <c r="CB156" s="36"/>
      <c r="CC156" s="36"/>
      <c r="CD156" s="36"/>
      <c r="CE156" s="36"/>
      <c r="CF156" s="36"/>
      <c r="CG156" s="36"/>
    </row>
    <row r="157" spans="1:85" ht="12.75" x14ac:dyDescent="0.2">
      <c r="A157" s="146"/>
      <c r="B157" s="117"/>
      <c r="C157" s="261"/>
      <c r="D157" s="260"/>
      <c r="E157" s="100" t="s">
        <v>267</v>
      </c>
      <c r="F157" s="347">
        <f t="shared" si="290"/>
        <v>65213</v>
      </c>
      <c r="G157" s="101">
        <f t="shared" si="238"/>
        <v>65213</v>
      </c>
      <c r="H157" s="102">
        <v>46156</v>
      </c>
      <c r="I157" s="102">
        <f t="shared" si="246"/>
        <v>46156</v>
      </c>
      <c r="J157" s="102">
        <f t="shared" si="247"/>
        <v>0</v>
      </c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445"/>
      <c r="Y157" s="102"/>
      <c r="Z157" s="102"/>
      <c r="AA157" s="102"/>
      <c r="AB157" s="102"/>
      <c r="AC157" s="102">
        <v>19057</v>
      </c>
      <c r="AD157" s="102">
        <f t="shared" si="248"/>
        <v>19057</v>
      </c>
      <c r="AE157" s="102">
        <f t="shared" si="249"/>
        <v>0</v>
      </c>
      <c r="AF157" s="102"/>
      <c r="AG157" s="102"/>
      <c r="AH157" s="102"/>
      <c r="AI157" s="102"/>
      <c r="AJ157" s="102"/>
      <c r="AK157" s="102"/>
      <c r="AL157" s="445"/>
      <c r="AM157" s="102"/>
      <c r="AN157" s="102"/>
      <c r="AO157" s="102">
        <v>0</v>
      </c>
      <c r="AP157" s="123">
        <f t="shared" si="250"/>
        <v>0</v>
      </c>
      <c r="AQ157" s="123">
        <f t="shared" si="251"/>
        <v>0</v>
      </c>
      <c r="AR157" s="123"/>
      <c r="AS157" s="123"/>
      <c r="AT157" s="123"/>
      <c r="AU157" s="123"/>
      <c r="AV157" s="123"/>
      <c r="AW157" s="123"/>
      <c r="AX157" s="123"/>
      <c r="AY157" s="123"/>
      <c r="AZ157" s="123"/>
      <c r="BA157" s="123"/>
      <c r="BB157" s="123">
        <v>0</v>
      </c>
      <c r="BC157" s="123">
        <f t="shared" si="252"/>
        <v>0</v>
      </c>
      <c r="BD157" s="123">
        <f t="shared" si="253"/>
        <v>0</v>
      </c>
      <c r="BE157" s="123"/>
      <c r="BF157" s="123"/>
      <c r="BG157" s="123"/>
      <c r="BH157" s="123"/>
      <c r="BI157" s="123"/>
      <c r="BJ157" s="123"/>
      <c r="BK157" s="123"/>
      <c r="BL157" s="123"/>
      <c r="BM157" s="102">
        <f t="shared" si="254"/>
        <v>0</v>
      </c>
      <c r="BN157" s="102">
        <f t="shared" si="255"/>
        <v>0</v>
      </c>
      <c r="BO157" s="102"/>
      <c r="BP157" s="102"/>
      <c r="BQ157" s="102"/>
      <c r="BR157" s="102"/>
      <c r="BS157" s="102"/>
      <c r="BT157" s="389"/>
      <c r="BU157" s="102"/>
      <c r="BV157" s="102"/>
      <c r="BW157" s="335"/>
      <c r="BX157" s="103" t="s">
        <v>424</v>
      </c>
      <c r="BY157" s="107"/>
      <c r="BZ157" s="36"/>
      <c r="CA157" s="36"/>
      <c r="CB157" s="36"/>
      <c r="CC157" s="36"/>
      <c r="CD157" s="36"/>
      <c r="CE157" s="36"/>
      <c r="CF157" s="36"/>
      <c r="CG157" s="36"/>
    </row>
    <row r="158" spans="1:85" ht="26.25" customHeight="1" x14ac:dyDescent="0.2">
      <c r="A158" s="146">
        <v>90000051561</v>
      </c>
      <c r="B158" s="117"/>
      <c r="C158" s="495" t="s">
        <v>328</v>
      </c>
      <c r="D158" s="496"/>
      <c r="E158" s="100" t="s">
        <v>248</v>
      </c>
      <c r="F158" s="347">
        <f t="shared" si="290"/>
        <v>667124</v>
      </c>
      <c r="G158" s="101">
        <f t="shared" si="238"/>
        <v>674931</v>
      </c>
      <c r="H158" s="102">
        <v>327326</v>
      </c>
      <c r="I158" s="102">
        <f t="shared" si="246"/>
        <v>327326</v>
      </c>
      <c r="J158" s="102">
        <f t="shared" si="247"/>
        <v>0</v>
      </c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445"/>
      <c r="Y158" s="102"/>
      <c r="Z158" s="102"/>
      <c r="AA158" s="102"/>
      <c r="AB158" s="102"/>
      <c r="AC158" s="102">
        <v>322639</v>
      </c>
      <c r="AD158" s="102">
        <f t="shared" si="248"/>
        <v>330388</v>
      </c>
      <c r="AE158" s="102">
        <f t="shared" si="249"/>
        <v>7749</v>
      </c>
      <c r="AF158" s="102"/>
      <c r="AG158" s="102"/>
      <c r="AH158" s="102">
        <v>5635</v>
      </c>
      <c r="AI158" s="102"/>
      <c r="AJ158" s="102"/>
      <c r="AK158" s="102"/>
      <c r="AL158" s="445">
        <v>2114</v>
      </c>
      <c r="AM158" s="102"/>
      <c r="AN158" s="102"/>
      <c r="AO158" s="102">
        <v>17196</v>
      </c>
      <c r="AP158" s="102">
        <f t="shared" si="250"/>
        <v>17196</v>
      </c>
      <c r="AQ158" s="102">
        <f t="shared" si="251"/>
        <v>0</v>
      </c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>
        <v>105</v>
      </c>
      <c r="BC158" s="123">
        <f t="shared" si="252"/>
        <v>163</v>
      </c>
      <c r="BD158" s="123">
        <f t="shared" si="253"/>
        <v>58</v>
      </c>
      <c r="BE158" s="123">
        <v>58</v>
      </c>
      <c r="BF158" s="123"/>
      <c r="BG158" s="123"/>
      <c r="BH158" s="123"/>
      <c r="BI158" s="123"/>
      <c r="BJ158" s="123"/>
      <c r="BK158" s="123"/>
      <c r="BL158" s="123">
        <v>-142</v>
      </c>
      <c r="BM158" s="102">
        <f t="shared" si="254"/>
        <v>-142</v>
      </c>
      <c r="BN158" s="102">
        <f t="shared" si="255"/>
        <v>0</v>
      </c>
      <c r="BO158" s="102"/>
      <c r="BP158" s="102"/>
      <c r="BQ158" s="102"/>
      <c r="BR158" s="102"/>
      <c r="BS158" s="102"/>
      <c r="BT158" s="389"/>
      <c r="BU158" s="102"/>
      <c r="BV158" s="102"/>
      <c r="BW158" s="335"/>
      <c r="BX158" s="103" t="s">
        <v>425</v>
      </c>
      <c r="BY158" s="107"/>
      <c r="BZ158" s="36"/>
      <c r="CA158" s="36"/>
      <c r="CB158" s="36"/>
      <c r="CC158" s="36"/>
      <c r="CD158" s="36"/>
      <c r="CE158" s="36"/>
      <c r="CF158" s="36"/>
      <c r="CG158" s="36"/>
    </row>
    <row r="159" spans="1:85" ht="12.75" x14ac:dyDescent="0.2">
      <c r="A159" s="146"/>
      <c r="B159" s="117"/>
      <c r="C159" s="264"/>
      <c r="D159" s="265"/>
      <c r="E159" s="100" t="s">
        <v>267</v>
      </c>
      <c r="F159" s="347">
        <f t="shared" si="290"/>
        <v>74051</v>
      </c>
      <c r="G159" s="101">
        <f t="shared" si="238"/>
        <v>79142</v>
      </c>
      <c r="H159" s="102">
        <v>48289</v>
      </c>
      <c r="I159" s="102">
        <f t="shared" si="246"/>
        <v>48289</v>
      </c>
      <c r="J159" s="102">
        <f t="shared" si="247"/>
        <v>0</v>
      </c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445"/>
      <c r="Y159" s="102"/>
      <c r="Z159" s="102"/>
      <c r="AA159" s="102"/>
      <c r="AB159" s="102"/>
      <c r="AC159" s="102">
        <v>25762</v>
      </c>
      <c r="AD159" s="102">
        <f t="shared" si="248"/>
        <v>30853</v>
      </c>
      <c r="AE159" s="102">
        <f t="shared" si="249"/>
        <v>5091</v>
      </c>
      <c r="AF159" s="102"/>
      <c r="AG159" s="102"/>
      <c r="AH159" s="102">
        <v>5091</v>
      </c>
      <c r="AI159" s="102"/>
      <c r="AJ159" s="102"/>
      <c r="AK159" s="102"/>
      <c r="AL159" s="445"/>
      <c r="AM159" s="102"/>
      <c r="AN159" s="102"/>
      <c r="AO159" s="102">
        <v>0</v>
      </c>
      <c r="AP159" s="102">
        <f t="shared" si="250"/>
        <v>0</v>
      </c>
      <c r="AQ159" s="102">
        <f t="shared" si="251"/>
        <v>0</v>
      </c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>
        <v>0</v>
      </c>
      <c r="BC159" s="123">
        <f t="shared" si="252"/>
        <v>0</v>
      </c>
      <c r="BD159" s="123">
        <f t="shared" si="253"/>
        <v>0</v>
      </c>
      <c r="BE159" s="123"/>
      <c r="BF159" s="123"/>
      <c r="BG159" s="123"/>
      <c r="BH159" s="123"/>
      <c r="BI159" s="123"/>
      <c r="BJ159" s="123"/>
      <c r="BK159" s="123"/>
      <c r="BL159" s="123"/>
      <c r="BM159" s="102">
        <f t="shared" si="254"/>
        <v>0</v>
      </c>
      <c r="BN159" s="102">
        <f t="shared" si="255"/>
        <v>0</v>
      </c>
      <c r="BO159" s="102"/>
      <c r="BP159" s="102"/>
      <c r="BQ159" s="102"/>
      <c r="BR159" s="102"/>
      <c r="BS159" s="102"/>
      <c r="BT159" s="389"/>
      <c r="BU159" s="102"/>
      <c r="BV159" s="102"/>
      <c r="BW159" s="335"/>
      <c r="BX159" s="103" t="s">
        <v>426</v>
      </c>
      <c r="BY159" s="107"/>
      <c r="BZ159" s="36"/>
      <c r="CA159" s="36"/>
      <c r="CB159" s="36"/>
      <c r="CC159" s="36"/>
      <c r="CD159" s="36"/>
      <c r="CE159" s="36"/>
      <c r="CF159" s="36"/>
      <c r="CG159" s="36"/>
    </row>
    <row r="160" spans="1:85" s="376" customFormat="1" ht="12.75" x14ac:dyDescent="0.2">
      <c r="A160" s="146"/>
      <c r="B160" s="117"/>
      <c r="C160" s="377"/>
      <c r="D160" s="378"/>
      <c r="E160" s="100" t="s">
        <v>752</v>
      </c>
      <c r="F160" s="347">
        <f t="shared" ref="F160" si="291">H160+AC160+AO160+BA160+BB160+BL160</f>
        <v>0</v>
      </c>
      <c r="G160" s="101">
        <f t="shared" ref="G160" si="292">I160+AD160+AP160+BA160+BC160+BM160</f>
        <v>0</v>
      </c>
      <c r="H160" s="102"/>
      <c r="I160" s="102">
        <f t="shared" ref="I160" si="293">J160+H160</f>
        <v>0</v>
      </c>
      <c r="J160" s="102">
        <f t="shared" ref="J160" si="294">SUM(K160:AB160)</f>
        <v>0</v>
      </c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445"/>
      <c r="Y160" s="102"/>
      <c r="Z160" s="102"/>
      <c r="AA160" s="102"/>
      <c r="AB160" s="102"/>
      <c r="AC160" s="102"/>
      <c r="AD160" s="102">
        <f t="shared" ref="AD160" si="295">AC160+AE160</f>
        <v>0</v>
      </c>
      <c r="AE160" s="102">
        <f t="shared" ref="AE160" si="296">SUM(AF160:AN160)</f>
        <v>0</v>
      </c>
      <c r="AF160" s="102"/>
      <c r="AG160" s="102"/>
      <c r="AH160" s="102"/>
      <c r="AI160" s="102"/>
      <c r="AJ160" s="102"/>
      <c r="AK160" s="102"/>
      <c r="AL160" s="445"/>
      <c r="AM160" s="102"/>
      <c r="AN160" s="102"/>
      <c r="AO160" s="102"/>
      <c r="AP160" s="102">
        <f t="shared" ref="AP160" si="297">AQ160+AO160</f>
        <v>0</v>
      </c>
      <c r="AQ160" s="102">
        <f t="shared" ref="AQ160" si="298">SUM(AR160:AZ160)</f>
        <v>0</v>
      </c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23">
        <f t="shared" ref="BC160" si="299">BB160+BD160</f>
        <v>0</v>
      </c>
      <c r="BD160" s="123">
        <f t="shared" ref="BD160" si="300">SUM(BE160:BK160)</f>
        <v>0</v>
      </c>
      <c r="BE160" s="123"/>
      <c r="BF160" s="123"/>
      <c r="BG160" s="123"/>
      <c r="BH160" s="123"/>
      <c r="BI160" s="123"/>
      <c r="BJ160" s="123"/>
      <c r="BK160" s="123"/>
      <c r="BL160" s="123"/>
      <c r="BM160" s="102">
        <f t="shared" ref="BM160" si="301">BN160+BL160</f>
        <v>0</v>
      </c>
      <c r="BN160" s="102">
        <f t="shared" ref="BN160" si="302">SUM(BO160:BW160)</f>
        <v>0</v>
      </c>
      <c r="BO160" s="102"/>
      <c r="BP160" s="102"/>
      <c r="BQ160" s="102"/>
      <c r="BR160" s="102"/>
      <c r="BS160" s="102"/>
      <c r="BT160" s="389"/>
      <c r="BU160" s="102"/>
      <c r="BV160" s="102"/>
      <c r="BW160" s="335"/>
      <c r="BX160" s="103" t="s">
        <v>753</v>
      </c>
      <c r="BY160" s="107"/>
      <c r="BZ160" s="36"/>
      <c r="CA160" s="36"/>
      <c r="CB160" s="36"/>
      <c r="CC160" s="36"/>
      <c r="CD160" s="36"/>
      <c r="CE160" s="36"/>
      <c r="CF160" s="36"/>
      <c r="CG160" s="36"/>
    </row>
    <row r="161" spans="1:85" ht="36" x14ac:dyDescent="0.2">
      <c r="A161" s="146">
        <v>90009226256</v>
      </c>
      <c r="B161" s="117"/>
      <c r="C161" s="495" t="s">
        <v>164</v>
      </c>
      <c r="D161" s="496"/>
      <c r="E161" s="100" t="s">
        <v>517</v>
      </c>
      <c r="F161" s="347">
        <f t="shared" si="290"/>
        <v>334435</v>
      </c>
      <c r="G161" s="101">
        <f t="shared" si="238"/>
        <v>336077</v>
      </c>
      <c r="H161" s="102">
        <v>267365</v>
      </c>
      <c r="I161" s="102">
        <f t="shared" si="246"/>
        <v>268547</v>
      </c>
      <c r="J161" s="102">
        <f t="shared" si="247"/>
        <v>1182</v>
      </c>
      <c r="K161" s="102">
        <v>704</v>
      </c>
      <c r="L161" s="102"/>
      <c r="M161" s="102">
        <v>85</v>
      </c>
      <c r="N161" s="102">
        <v>218</v>
      </c>
      <c r="O161" s="102"/>
      <c r="P161" s="102"/>
      <c r="Q161" s="102"/>
      <c r="R161" s="102"/>
      <c r="S161" s="102"/>
      <c r="T161" s="102">
        <v>175</v>
      </c>
      <c r="U161" s="102"/>
      <c r="V161" s="102"/>
      <c r="W161" s="102"/>
      <c r="X161" s="445"/>
      <c r="Y161" s="102"/>
      <c r="Z161" s="102"/>
      <c r="AA161" s="102"/>
      <c r="AB161" s="102"/>
      <c r="AC161" s="102">
        <v>56153</v>
      </c>
      <c r="AD161" s="102">
        <f t="shared" si="248"/>
        <v>56153</v>
      </c>
      <c r="AE161" s="102">
        <f t="shared" si="249"/>
        <v>0</v>
      </c>
      <c r="AF161" s="102"/>
      <c r="AG161" s="102"/>
      <c r="AH161" s="102"/>
      <c r="AI161" s="102"/>
      <c r="AJ161" s="102"/>
      <c r="AK161" s="102"/>
      <c r="AL161" s="445"/>
      <c r="AM161" s="102"/>
      <c r="AN161" s="102"/>
      <c r="AO161" s="102">
        <v>10917</v>
      </c>
      <c r="AP161" s="102">
        <f t="shared" si="250"/>
        <v>11377</v>
      </c>
      <c r="AQ161" s="102">
        <f t="shared" si="251"/>
        <v>460</v>
      </c>
      <c r="AR161" s="102">
        <v>460</v>
      </c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>
        <v>0</v>
      </c>
      <c r="BC161" s="123">
        <f t="shared" si="252"/>
        <v>0</v>
      </c>
      <c r="BD161" s="123">
        <f t="shared" si="253"/>
        <v>0</v>
      </c>
      <c r="BE161" s="123"/>
      <c r="BF161" s="123"/>
      <c r="BG161" s="123"/>
      <c r="BH161" s="123"/>
      <c r="BI161" s="123"/>
      <c r="BJ161" s="123"/>
      <c r="BK161" s="123"/>
      <c r="BL161" s="123"/>
      <c r="BM161" s="102">
        <f t="shared" si="254"/>
        <v>0</v>
      </c>
      <c r="BN161" s="102">
        <f t="shared" si="255"/>
        <v>0</v>
      </c>
      <c r="BO161" s="102"/>
      <c r="BP161" s="102"/>
      <c r="BQ161" s="102"/>
      <c r="BR161" s="102"/>
      <c r="BS161" s="102"/>
      <c r="BT161" s="389"/>
      <c r="BU161" s="102"/>
      <c r="BV161" s="102"/>
      <c r="BW161" s="335"/>
      <c r="BX161" s="103" t="s">
        <v>427</v>
      </c>
      <c r="BY161" s="107"/>
      <c r="BZ161" s="36"/>
      <c r="CA161" s="36"/>
      <c r="CB161" s="36"/>
      <c r="CC161" s="36"/>
      <c r="CD161" s="36"/>
      <c r="CE161" s="36"/>
      <c r="CF161" s="36"/>
      <c r="CG161" s="36"/>
    </row>
    <row r="162" spans="1:85" s="268" customFormat="1" ht="12.75" x14ac:dyDescent="0.2">
      <c r="A162" s="146"/>
      <c r="B162" s="117"/>
      <c r="C162" s="266"/>
      <c r="D162" s="267"/>
      <c r="E162" s="100" t="s">
        <v>635</v>
      </c>
      <c r="F162" s="347">
        <f t="shared" si="290"/>
        <v>0</v>
      </c>
      <c r="G162" s="101">
        <f t="shared" si="238"/>
        <v>3</v>
      </c>
      <c r="H162" s="102">
        <v>471</v>
      </c>
      <c r="I162" s="102">
        <f t="shared" si="246"/>
        <v>426</v>
      </c>
      <c r="J162" s="102">
        <f t="shared" si="247"/>
        <v>-45</v>
      </c>
      <c r="K162" s="102"/>
      <c r="L162" s="102"/>
      <c r="M162" s="102"/>
      <c r="N162" s="102"/>
      <c r="O162" s="102"/>
      <c r="P162" s="102"/>
      <c r="Q162" s="102"/>
      <c r="R162" s="102">
        <v>-45</v>
      </c>
      <c r="S162" s="102"/>
      <c r="T162" s="102"/>
      <c r="U162" s="102"/>
      <c r="V162" s="102"/>
      <c r="W162" s="102"/>
      <c r="X162" s="445"/>
      <c r="Y162" s="102"/>
      <c r="Z162" s="102"/>
      <c r="AA162" s="102"/>
      <c r="AB162" s="102"/>
      <c r="AC162" s="102">
        <v>0</v>
      </c>
      <c r="AD162" s="102">
        <f t="shared" si="248"/>
        <v>0</v>
      </c>
      <c r="AE162" s="102">
        <f t="shared" si="249"/>
        <v>0</v>
      </c>
      <c r="AF162" s="102"/>
      <c r="AG162" s="102"/>
      <c r="AH162" s="102"/>
      <c r="AI162" s="102"/>
      <c r="AJ162" s="102"/>
      <c r="AK162" s="102"/>
      <c r="AL162" s="445"/>
      <c r="AM162" s="102"/>
      <c r="AN162" s="102"/>
      <c r="AO162" s="102">
        <v>0</v>
      </c>
      <c r="AP162" s="102">
        <f t="shared" si="250"/>
        <v>0</v>
      </c>
      <c r="AQ162" s="102">
        <f t="shared" si="251"/>
        <v>0</v>
      </c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>
        <v>0</v>
      </c>
      <c r="BC162" s="123">
        <f t="shared" si="252"/>
        <v>0</v>
      </c>
      <c r="BD162" s="123">
        <f t="shared" si="253"/>
        <v>0</v>
      </c>
      <c r="BE162" s="123"/>
      <c r="BF162" s="123"/>
      <c r="BG162" s="123"/>
      <c r="BH162" s="123"/>
      <c r="BI162" s="123"/>
      <c r="BJ162" s="123"/>
      <c r="BK162" s="123"/>
      <c r="BL162" s="123">
        <v>-471</v>
      </c>
      <c r="BM162" s="102">
        <f t="shared" si="254"/>
        <v>-423</v>
      </c>
      <c r="BN162" s="102">
        <f t="shared" si="255"/>
        <v>48</v>
      </c>
      <c r="BO162" s="102"/>
      <c r="BP162" s="102"/>
      <c r="BQ162" s="102"/>
      <c r="BR162" s="102"/>
      <c r="BS162" s="102">
        <v>48</v>
      </c>
      <c r="BT162" s="389"/>
      <c r="BU162" s="102"/>
      <c r="BV162" s="102"/>
      <c r="BW162" s="335"/>
      <c r="BX162" s="103" t="s">
        <v>581</v>
      </c>
      <c r="BY162" s="107"/>
      <c r="BZ162" s="36"/>
      <c r="CA162" s="36"/>
      <c r="CB162" s="36"/>
      <c r="CC162" s="36"/>
      <c r="CD162" s="36"/>
      <c r="CE162" s="36"/>
      <c r="CF162" s="36"/>
      <c r="CG162" s="36"/>
    </row>
    <row r="163" spans="1:85" s="268" customFormat="1" ht="36" x14ac:dyDescent="0.2">
      <c r="A163" s="146"/>
      <c r="B163" s="117"/>
      <c r="C163" s="266"/>
      <c r="D163" s="267"/>
      <c r="E163" s="100" t="s">
        <v>636</v>
      </c>
      <c r="F163" s="347">
        <f t="shared" si="290"/>
        <v>0</v>
      </c>
      <c r="G163" s="101">
        <f t="shared" si="238"/>
        <v>3684</v>
      </c>
      <c r="H163" s="102">
        <v>0</v>
      </c>
      <c r="I163" s="102">
        <f t="shared" si="246"/>
        <v>3684</v>
      </c>
      <c r="J163" s="102">
        <f t="shared" si="247"/>
        <v>3684</v>
      </c>
      <c r="K163" s="102">
        <v>3684</v>
      </c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445"/>
      <c r="Y163" s="102"/>
      <c r="Z163" s="102"/>
      <c r="AA163" s="102"/>
      <c r="AB163" s="102"/>
      <c r="AC163" s="102">
        <v>0</v>
      </c>
      <c r="AD163" s="102">
        <f t="shared" si="248"/>
        <v>0</v>
      </c>
      <c r="AE163" s="102">
        <f t="shared" si="249"/>
        <v>0</v>
      </c>
      <c r="AF163" s="102"/>
      <c r="AG163" s="102"/>
      <c r="AH163" s="102"/>
      <c r="AI163" s="102"/>
      <c r="AJ163" s="102"/>
      <c r="AK163" s="102"/>
      <c r="AL163" s="445"/>
      <c r="AM163" s="102"/>
      <c r="AN163" s="102"/>
      <c r="AO163" s="102">
        <v>0</v>
      </c>
      <c r="AP163" s="102">
        <f t="shared" si="250"/>
        <v>0</v>
      </c>
      <c r="AQ163" s="102">
        <f t="shared" si="251"/>
        <v>0</v>
      </c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>
        <v>0</v>
      </c>
      <c r="BC163" s="123">
        <f t="shared" si="252"/>
        <v>0</v>
      </c>
      <c r="BD163" s="123">
        <f t="shared" si="253"/>
        <v>0</v>
      </c>
      <c r="BE163" s="123"/>
      <c r="BF163" s="123"/>
      <c r="BG163" s="123"/>
      <c r="BH163" s="123"/>
      <c r="BI163" s="123"/>
      <c r="BJ163" s="123"/>
      <c r="BK163" s="123"/>
      <c r="BL163" s="123"/>
      <c r="BM163" s="102">
        <f t="shared" si="254"/>
        <v>0</v>
      </c>
      <c r="BN163" s="102">
        <f t="shared" si="255"/>
        <v>0</v>
      </c>
      <c r="BO163" s="102"/>
      <c r="BP163" s="102"/>
      <c r="BQ163" s="102"/>
      <c r="BR163" s="102"/>
      <c r="BS163" s="102"/>
      <c r="BT163" s="389"/>
      <c r="BU163" s="102"/>
      <c r="BV163" s="102"/>
      <c r="BW163" s="335"/>
      <c r="BX163" s="103" t="s">
        <v>658</v>
      </c>
      <c r="BY163" s="107"/>
      <c r="BZ163" s="36"/>
      <c r="CA163" s="36"/>
      <c r="CB163" s="36"/>
      <c r="CC163" s="36"/>
      <c r="CD163" s="36"/>
      <c r="CE163" s="36"/>
      <c r="CF163" s="36"/>
      <c r="CG163" s="36"/>
    </row>
    <row r="164" spans="1:85" s="268" customFormat="1" ht="12.75" x14ac:dyDescent="0.2">
      <c r="A164" s="146"/>
      <c r="B164" s="117"/>
      <c r="C164" s="266"/>
      <c r="D164" s="267"/>
      <c r="E164" s="100" t="s">
        <v>645</v>
      </c>
      <c r="F164" s="347">
        <f t="shared" si="290"/>
        <v>19106</v>
      </c>
      <c r="G164" s="101">
        <f t="shared" si="238"/>
        <v>20501</v>
      </c>
      <c r="H164" s="102">
        <v>19106</v>
      </c>
      <c r="I164" s="102">
        <f t="shared" si="246"/>
        <v>20501</v>
      </c>
      <c r="J164" s="102">
        <f t="shared" si="247"/>
        <v>1395</v>
      </c>
      <c r="K164" s="102">
        <v>1395</v>
      </c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445"/>
      <c r="Y164" s="102"/>
      <c r="Z164" s="102"/>
      <c r="AA164" s="102"/>
      <c r="AB164" s="102"/>
      <c r="AC164" s="102">
        <v>0</v>
      </c>
      <c r="AD164" s="102">
        <f t="shared" si="248"/>
        <v>0</v>
      </c>
      <c r="AE164" s="102">
        <f t="shared" si="249"/>
        <v>0</v>
      </c>
      <c r="AF164" s="102"/>
      <c r="AG164" s="102"/>
      <c r="AH164" s="102"/>
      <c r="AI164" s="102"/>
      <c r="AJ164" s="102"/>
      <c r="AK164" s="102"/>
      <c r="AL164" s="445"/>
      <c r="AM164" s="102"/>
      <c r="AN164" s="102"/>
      <c r="AO164" s="102">
        <v>0</v>
      </c>
      <c r="AP164" s="102">
        <f t="shared" si="250"/>
        <v>0</v>
      </c>
      <c r="AQ164" s="102">
        <f t="shared" si="251"/>
        <v>0</v>
      </c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>
        <v>0</v>
      </c>
      <c r="BC164" s="123">
        <f t="shared" si="252"/>
        <v>0</v>
      </c>
      <c r="BD164" s="123">
        <f t="shared" si="253"/>
        <v>0</v>
      </c>
      <c r="BE164" s="123"/>
      <c r="BF164" s="123"/>
      <c r="BG164" s="123"/>
      <c r="BH164" s="123"/>
      <c r="BI164" s="123"/>
      <c r="BJ164" s="123"/>
      <c r="BK164" s="123"/>
      <c r="BL164" s="123"/>
      <c r="BM164" s="102">
        <f t="shared" si="254"/>
        <v>0</v>
      </c>
      <c r="BN164" s="102">
        <f t="shared" si="255"/>
        <v>0</v>
      </c>
      <c r="BO164" s="102"/>
      <c r="BP164" s="102"/>
      <c r="BQ164" s="102"/>
      <c r="BR164" s="102"/>
      <c r="BS164" s="102"/>
      <c r="BT164" s="389"/>
      <c r="BU164" s="102"/>
      <c r="BV164" s="102"/>
      <c r="BW164" s="335"/>
      <c r="BX164" s="103" t="s">
        <v>659</v>
      </c>
      <c r="BY164" s="107"/>
      <c r="BZ164" s="36"/>
      <c r="CA164" s="36"/>
      <c r="CB164" s="36"/>
      <c r="CC164" s="36"/>
      <c r="CD164" s="36"/>
      <c r="CE164" s="36"/>
      <c r="CF164" s="36"/>
      <c r="CG164" s="36"/>
    </row>
    <row r="165" spans="1:85" s="183" customFormat="1" ht="12.75" x14ac:dyDescent="0.2">
      <c r="A165" s="148"/>
      <c r="B165" s="117"/>
      <c r="C165" s="276"/>
      <c r="D165" s="277"/>
      <c r="E165" s="100" t="s">
        <v>637</v>
      </c>
      <c r="F165" s="347">
        <f t="shared" si="290"/>
        <v>39243</v>
      </c>
      <c r="G165" s="101">
        <f t="shared" si="238"/>
        <v>41848</v>
      </c>
      <c r="H165" s="102">
        <v>39243</v>
      </c>
      <c r="I165" s="102">
        <f t="shared" si="246"/>
        <v>41848</v>
      </c>
      <c r="J165" s="102">
        <f t="shared" si="247"/>
        <v>2605</v>
      </c>
      <c r="K165" s="102"/>
      <c r="L165" s="102"/>
      <c r="M165" s="102">
        <v>2605</v>
      </c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445"/>
      <c r="Y165" s="102"/>
      <c r="Z165" s="102"/>
      <c r="AA165" s="102"/>
      <c r="AB165" s="102"/>
      <c r="AC165" s="102">
        <v>0</v>
      </c>
      <c r="AD165" s="102">
        <f t="shared" si="248"/>
        <v>0</v>
      </c>
      <c r="AE165" s="102">
        <f t="shared" si="249"/>
        <v>0</v>
      </c>
      <c r="AF165" s="102"/>
      <c r="AG165" s="102"/>
      <c r="AH165" s="102"/>
      <c r="AI165" s="102"/>
      <c r="AJ165" s="102"/>
      <c r="AK165" s="102"/>
      <c r="AL165" s="445"/>
      <c r="AM165" s="102"/>
      <c r="AN165" s="102"/>
      <c r="AO165" s="102">
        <v>0</v>
      </c>
      <c r="AP165" s="102">
        <f t="shared" si="250"/>
        <v>0</v>
      </c>
      <c r="AQ165" s="102">
        <f t="shared" si="251"/>
        <v>0</v>
      </c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>
        <v>0</v>
      </c>
      <c r="BC165" s="123">
        <f t="shared" si="252"/>
        <v>0</v>
      </c>
      <c r="BD165" s="123">
        <f t="shared" si="253"/>
        <v>0</v>
      </c>
      <c r="BE165" s="123"/>
      <c r="BF165" s="123"/>
      <c r="BG165" s="123"/>
      <c r="BH165" s="123"/>
      <c r="BI165" s="123"/>
      <c r="BJ165" s="123"/>
      <c r="BK165" s="123"/>
      <c r="BL165" s="123"/>
      <c r="BM165" s="102">
        <f t="shared" si="254"/>
        <v>0</v>
      </c>
      <c r="BN165" s="102">
        <f t="shared" si="255"/>
        <v>0</v>
      </c>
      <c r="BO165" s="102"/>
      <c r="BP165" s="102"/>
      <c r="BQ165" s="102"/>
      <c r="BR165" s="102"/>
      <c r="BS165" s="102"/>
      <c r="BT165" s="389"/>
      <c r="BU165" s="102"/>
      <c r="BV165" s="102"/>
      <c r="BW165" s="335"/>
      <c r="BX165" s="103" t="s">
        <v>660</v>
      </c>
      <c r="BY165" s="107"/>
      <c r="BZ165" s="36"/>
      <c r="CA165" s="36"/>
      <c r="CB165" s="36"/>
      <c r="CC165" s="36"/>
      <c r="CD165" s="36"/>
      <c r="CE165" s="36"/>
      <c r="CF165" s="36"/>
      <c r="CG165" s="36"/>
    </row>
    <row r="166" spans="1:85" s="362" customFormat="1" ht="24" x14ac:dyDescent="0.2">
      <c r="A166" s="148"/>
      <c r="B166" s="117"/>
      <c r="C166" s="276"/>
      <c r="D166" s="277"/>
      <c r="E166" s="100" t="s">
        <v>735</v>
      </c>
      <c r="F166" s="347">
        <f t="shared" ref="F166" si="303">H166+AC166+AO166+BA166+BB166+BL166</f>
        <v>0</v>
      </c>
      <c r="G166" s="101">
        <f t="shared" ref="G166" si="304">I166+AD166+AP166+BA166+BC166+BM166</f>
        <v>9630</v>
      </c>
      <c r="H166" s="102"/>
      <c r="I166" s="102">
        <f t="shared" ref="I166" si="305">J166+H166</f>
        <v>9630</v>
      </c>
      <c r="J166" s="102">
        <f t="shared" ref="J166" si="306">SUM(K166:AB166)</f>
        <v>9630</v>
      </c>
      <c r="K166" s="102"/>
      <c r="L166" s="102"/>
      <c r="M166" s="102">
        <v>9630</v>
      </c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445"/>
      <c r="Y166" s="102"/>
      <c r="Z166" s="102"/>
      <c r="AA166" s="102"/>
      <c r="AB166" s="102"/>
      <c r="AC166" s="102"/>
      <c r="AD166" s="102">
        <f t="shared" ref="AD166" si="307">AC166+AE166</f>
        <v>0</v>
      </c>
      <c r="AE166" s="102">
        <f t="shared" ref="AE166" si="308">SUM(AF166:AN166)</f>
        <v>0</v>
      </c>
      <c r="AF166" s="102"/>
      <c r="AG166" s="102"/>
      <c r="AH166" s="102"/>
      <c r="AI166" s="102"/>
      <c r="AJ166" s="102"/>
      <c r="AK166" s="102"/>
      <c r="AL166" s="445"/>
      <c r="AM166" s="102"/>
      <c r="AN166" s="102"/>
      <c r="AO166" s="102"/>
      <c r="AP166" s="102">
        <f t="shared" ref="AP166" si="309">AQ166+AO166</f>
        <v>0</v>
      </c>
      <c r="AQ166" s="102">
        <f t="shared" si="251"/>
        <v>0</v>
      </c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2"/>
      <c r="BC166" s="123">
        <f t="shared" ref="BC166" si="310">BB166+BD166</f>
        <v>0</v>
      </c>
      <c r="BD166" s="123">
        <f t="shared" ref="BD166" si="311">SUM(BE166:BK166)</f>
        <v>0</v>
      </c>
      <c r="BE166" s="123"/>
      <c r="BF166" s="123"/>
      <c r="BG166" s="123"/>
      <c r="BH166" s="123"/>
      <c r="BI166" s="123"/>
      <c r="BJ166" s="123"/>
      <c r="BK166" s="123"/>
      <c r="BL166" s="123"/>
      <c r="BM166" s="102">
        <f t="shared" ref="BM166" si="312">BN166+BL166</f>
        <v>0</v>
      </c>
      <c r="BN166" s="102">
        <f t="shared" ref="BN166" si="313">SUM(BO166:BW166)</f>
        <v>0</v>
      </c>
      <c r="BO166" s="102"/>
      <c r="BP166" s="102"/>
      <c r="BQ166" s="102"/>
      <c r="BR166" s="102"/>
      <c r="BS166" s="102"/>
      <c r="BT166" s="389"/>
      <c r="BU166" s="102"/>
      <c r="BV166" s="102"/>
      <c r="BW166" s="335"/>
      <c r="BX166" s="103" t="s">
        <v>736</v>
      </c>
      <c r="BY166" s="107"/>
      <c r="BZ166" s="36"/>
      <c r="CA166" s="36"/>
      <c r="CB166" s="36"/>
      <c r="CC166" s="36"/>
      <c r="CD166" s="36"/>
      <c r="CE166" s="36"/>
      <c r="CF166" s="36"/>
      <c r="CG166" s="36"/>
    </row>
    <row r="167" spans="1:85" s="362" customFormat="1" ht="24" x14ac:dyDescent="0.2">
      <c r="A167" s="148"/>
      <c r="B167" s="117"/>
      <c r="C167" s="276"/>
      <c r="D167" s="277"/>
      <c r="E167" s="100" t="s">
        <v>737</v>
      </c>
      <c r="F167" s="347">
        <f t="shared" ref="F167" si="314">H167+AC167+AO167+BA167+BB167+BL167</f>
        <v>0</v>
      </c>
      <c r="G167" s="101">
        <f t="shared" ref="G167" si="315">I167+AD167+AP167+BA167+BC167+BM167</f>
        <v>21182</v>
      </c>
      <c r="H167" s="102"/>
      <c r="I167" s="102">
        <f t="shared" ref="I167" si="316">J167+H167</f>
        <v>21182</v>
      </c>
      <c r="J167" s="102">
        <f t="shared" ref="J167" si="317">SUM(K167:AB167)</f>
        <v>21182</v>
      </c>
      <c r="K167" s="102"/>
      <c r="L167" s="102"/>
      <c r="M167" s="102">
        <v>21182</v>
      </c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445"/>
      <c r="Y167" s="102"/>
      <c r="Z167" s="102"/>
      <c r="AA167" s="102"/>
      <c r="AB167" s="102"/>
      <c r="AC167" s="102"/>
      <c r="AD167" s="102">
        <f t="shared" ref="AD167" si="318">AC167+AE167</f>
        <v>0</v>
      </c>
      <c r="AE167" s="102">
        <f t="shared" ref="AE167" si="319">SUM(AF167:AN167)</f>
        <v>0</v>
      </c>
      <c r="AF167" s="102"/>
      <c r="AG167" s="102"/>
      <c r="AH167" s="102"/>
      <c r="AI167" s="102"/>
      <c r="AJ167" s="102"/>
      <c r="AK167" s="102"/>
      <c r="AL167" s="445"/>
      <c r="AM167" s="102"/>
      <c r="AN167" s="102"/>
      <c r="AO167" s="102"/>
      <c r="AP167" s="102">
        <f t="shared" ref="AP167" si="320">AQ167+AO167</f>
        <v>0</v>
      </c>
      <c r="AQ167" s="102">
        <f t="shared" ref="AQ167" si="321">SUM(AR167:AZ167)</f>
        <v>0</v>
      </c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  <c r="BC167" s="123">
        <f t="shared" ref="BC167" si="322">BB167+BD167</f>
        <v>0</v>
      </c>
      <c r="BD167" s="123">
        <f t="shared" ref="BD167" si="323">SUM(BE167:BK167)</f>
        <v>0</v>
      </c>
      <c r="BE167" s="123"/>
      <c r="BF167" s="123"/>
      <c r="BG167" s="123"/>
      <c r="BH167" s="123"/>
      <c r="BI167" s="123"/>
      <c r="BJ167" s="123"/>
      <c r="BK167" s="123"/>
      <c r="BL167" s="123"/>
      <c r="BM167" s="102">
        <f t="shared" ref="BM167" si="324">BN167+BL167</f>
        <v>0</v>
      </c>
      <c r="BN167" s="102">
        <f t="shared" ref="BN167" si="325">SUM(BO167:BW167)</f>
        <v>0</v>
      </c>
      <c r="BO167" s="102"/>
      <c r="BP167" s="102"/>
      <c r="BQ167" s="102"/>
      <c r="BR167" s="102"/>
      <c r="BS167" s="102"/>
      <c r="BT167" s="389"/>
      <c r="BU167" s="102"/>
      <c r="BV167" s="102"/>
      <c r="BW167" s="335"/>
      <c r="BX167" s="103" t="s">
        <v>738</v>
      </c>
      <c r="BY167" s="107"/>
      <c r="BZ167" s="36"/>
      <c r="CA167" s="36"/>
      <c r="CB167" s="36"/>
      <c r="CC167" s="36"/>
      <c r="CD167" s="36"/>
      <c r="CE167" s="36"/>
      <c r="CF167" s="36"/>
      <c r="CG167" s="36"/>
    </row>
    <row r="168" spans="1:85" s="370" customFormat="1" ht="36" x14ac:dyDescent="0.2">
      <c r="A168" s="148"/>
      <c r="B168" s="117"/>
      <c r="C168" s="276"/>
      <c r="D168" s="277"/>
      <c r="E168" s="100" t="s">
        <v>745</v>
      </c>
      <c r="F168" s="347">
        <f t="shared" ref="F168" si="326">H168+AC168+AO168+BA168+BB168+BL168</f>
        <v>0</v>
      </c>
      <c r="G168" s="101">
        <f t="shared" ref="G168" si="327">I168+AD168+AP168+BA168+BC168+BM168</f>
        <v>1008</v>
      </c>
      <c r="H168" s="102"/>
      <c r="I168" s="102">
        <f t="shared" ref="I168" si="328">J168+H168</f>
        <v>1008</v>
      </c>
      <c r="J168" s="102">
        <f t="shared" ref="J168" si="329">SUM(K168:AB168)</f>
        <v>1008</v>
      </c>
      <c r="K168" s="102"/>
      <c r="L168" s="102"/>
      <c r="M168" s="102"/>
      <c r="N168" s="102">
        <v>1008</v>
      </c>
      <c r="O168" s="102"/>
      <c r="P168" s="102"/>
      <c r="Q168" s="102"/>
      <c r="R168" s="102"/>
      <c r="S168" s="102"/>
      <c r="T168" s="102"/>
      <c r="U168" s="102"/>
      <c r="V168" s="102"/>
      <c r="W168" s="102"/>
      <c r="X168" s="445"/>
      <c r="Y168" s="102"/>
      <c r="Z168" s="102"/>
      <c r="AA168" s="102"/>
      <c r="AB168" s="102"/>
      <c r="AC168" s="102"/>
      <c r="AD168" s="102">
        <f t="shared" ref="AD168" si="330">AC168+AE168</f>
        <v>0</v>
      </c>
      <c r="AE168" s="102">
        <f t="shared" ref="AE168" si="331">SUM(AF168:AN168)</f>
        <v>0</v>
      </c>
      <c r="AF168" s="102"/>
      <c r="AG168" s="102"/>
      <c r="AH168" s="102"/>
      <c r="AI168" s="102"/>
      <c r="AJ168" s="102"/>
      <c r="AK168" s="102"/>
      <c r="AL168" s="445"/>
      <c r="AM168" s="102"/>
      <c r="AN168" s="102"/>
      <c r="AO168" s="102"/>
      <c r="AP168" s="102">
        <f t="shared" ref="AP168" si="332">AQ168+AO168</f>
        <v>0</v>
      </c>
      <c r="AQ168" s="102">
        <f t="shared" ref="AQ168" si="333">SUM(AR168:AZ168)</f>
        <v>0</v>
      </c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  <c r="BB168" s="102"/>
      <c r="BC168" s="123">
        <f t="shared" ref="BC168" si="334">BB168+BD168</f>
        <v>0</v>
      </c>
      <c r="BD168" s="123">
        <f t="shared" ref="BD168" si="335">SUM(BE168:BK168)</f>
        <v>0</v>
      </c>
      <c r="BE168" s="123"/>
      <c r="BF168" s="123"/>
      <c r="BG168" s="123"/>
      <c r="BH168" s="123"/>
      <c r="BI168" s="123"/>
      <c r="BJ168" s="123"/>
      <c r="BK168" s="123"/>
      <c r="BL168" s="123"/>
      <c r="BM168" s="102">
        <f t="shared" ref="BM168" si="336">BN168+BL168</f>
        <v>0</v>
      </c>
      <c r="BN168" s="102">
        <f t="shared" ref="BN168" si="337">SUM(BO168:BW168)</f>
        <v>0</v>
      </c>
      <c r="BO168" s="102"/>
      <c r="BP168" s="102"/>
      <c r="BQ168" s="102"/>
      <c r="BR168" s="102"/>
      <c r="BS168" s="102"/>
      <c r="BT168" s="389"/>
      <c r="BU168" s="102"/>
      <c r="BV168" s="102"/>
      <c r="BW168" s="335"/>
      <c r="BX168" s="103" t="s">
        <v>746</v>
      </c>
      <c r="BY168" s="107"/>
      <c r="BZ168" s="36"/>
      <c r="CA168" s="36"/>
      <c r="CB168" s="36"/>
      <c r="CC168" s="36"/>
      <c r="CD168" s="36"/>
      <c r="CE168" s="36"/>
      <c r="CF168" s="36"/>
      <c r="CG168" s="36"/>
    </row>
    <row r="169" spans="1:85" ht="24" x14ac:dyDescent="0.2">
      <c r="A169" s="146">
        <v>90000051487</v>
      </c>
      <c r="B169" s="117"/>
      <c r="C169" s="495" t="s">
        <v>148</v>
      </c>
      <c r="D169" s="496"/>
      <c r="E169" s="100" t="s">
        <v>248</v>
      </c>
      <c r="F169" s="347">
        <f t="shared" si="290"/>
        <v>889811</v>
      </c>
      <c r="G169" s="101">
        <f t="shared" si="238"/>
        <v>898508</v>
      </c>
      <c r="H169" s="102">
        <v>385564</v>
      </c>
      <c r="I169" s="102">
        <f t="shared" si="246"/>
        <v>385377</v>
      </c>
      <c r="J169" s="102">
        <f t="shared" si="247"/>
        <v>-187</v>
      </c>
      <c r="K169" s="102">
        <v>160</v>
      </c>
      <c r="L169" s="102"/>
      <c r="M169" s="102"/>
      <c r="N169" s="102"/>
      <c r="O169" s="102"/>
      <c r="P169" s="102">
        <v>-467</v>
      </c>
      <c r="Q169" s="102">
        <v>120</v>
      </c>
      <c r="R169" s="102"/>
      <c r="S169" s="102"/>
      <c r="T169" s="102"/>
      <c r="U169" s="102"/>
      <c r="V169" s="102"/>
      <c r="W169" s="102"/>
      <c r="X169" s="445"/>
      <c r="Y169" s="102"/>
      <c r="Z169" s="102"/>
      <c r="AA169" s="102"/>
      <c r="AB169" s="102"/>
      <c r="AC169" s="102">
        <v>489818</v>
      </c>
      <c r="AD169" s="102">
        <f t="shared" si="248"/>
        <v>497926</v>
      </c>
      <c r="AE169" s="102">
        <f t="shared" si="249"/>
        <v>8108</v>
      </c>
      <c r="AF169" s="102"/>
      <c r="AG169" s="102"/>
      <c r="AH169" s="102">
        <v>5896</v>
      </c>
      <c r="AI169" s="102"/>
      <c r="AJ169" s="102"/>
      <c r="AK169" s="102"/>
      <c r="AL169" s="445">
        <v>2212</v>
      </c>
      <c r="AM169" s="102"/>
      <c r="AN169" s="102"/>
      <c r="AO169" s="102">
        <v>14429</v>
      </c>
      <c r="AP169" s="102">
        <f t="shared" si="250"/>
        <v>15205</v>
      </c>
      <c r="AQ169" s="102">
        <f t="shared" si="251"/>
        <v>776</v>
      </c>
      <c r="AR169" s="102"/>
      <c r="AS169" s="102"/>
      <c r="AT169" s="102">
        <v>776</v>
      </c>
      <c r="AU169" s="102"/>
      <c r="AV169" s="102"/>
      <c r="AW169" s="102"/>
      <c r="AX169" s="102"/>
      <c r="AY169" s="102"/>
      <c r="AZ169" s="102"/>
      <c r="BA169" s="102"/>
      <c r="BB169" s="102">
        <v>0</v>
      </c>
      <c r="BC169" s="123">
        <f t="shared" si="252"/>
        <v>0</v>
      </c>
      <c r="BD169" s="123">
        <f t="shared" si="253"/>
        <v>0</v>
      </c>
      <c r="BE169" s="123"/>
      <c r="BF169" s="123"/>
      <c r="BG169" s="123"/>
      <c r="BH169" s="123"/>
      <c r="BI169" s="123"/>
      <c r="BJ169" s="123"/>
      <c r="BK169" s="123"/>
      <c r="BL169" s="123"/>
      <c r="BM169" s="102">
        <f t="shared" si="254"/>
        <v>0</v>
      </c>
      <c r="BN169" s="102">
        <f t="shared" si="255"/>
        <v>0</v>
      </c>
      <c r="BO169" s="102"/>
      <c r="BP169" s="102"/>
      <c r="BQ169" s="102"/>
      <c r="BR169" s="102"/>
      <c r="BS169" s="102"/>
      <c r="BT169" s="389"/>
      <c r="BU169" s="102"/>
      <c r="BV169" s="102"/>
      <c r="BW169" s="335"/>
      <c r="BX169" s="103" t="s">
        <v>428</v>
      </c>
      <c r="BY169" s="107"/>
      <c r="BZ169" s="36"/>
      <c r="CA169" s="36"/>
      <c r="CB169" s="36"/>
      <c r="CC169" s="36"/>
      <c r="CD169" s="36"/>
      <c r="CE169" s="36"/>
      <c r="CF169" s="36"/>
      <c r="CG169" s="36"/>
    </row>
    <row r="170" spans="1:85" s="138" customFormat="1" ht="12.75" x14ac:dyDescent="0.2">
      <c r="A170" s="146"/>
      <c r="B170" s="117"/>
      <c r="C170" s="264"/>
      <c r="D170" s="265"/>
      <c r="E170" s="100" t="s">
        <v>267</v>
      </c>
      <c r="F170" s="347">
        <f t="shared" si="290"/>
        <v>80002</v>
      </c>
      <c r="G170" s="101">
        <f t="shared" si="238"/>
        <v>80002</v>
      </c>
      <c r="H170" s="102">
        <v>80002</v>
      </c>
      <c r="I170" s="102">
        <f t="shared" si="246"/>
        <v>80002</v>
      </c>
      <c r="J170" s="102">
        <f t="shared" si="247"/>
        <v>0</v>
      </c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445"/>
      <c r="Y170" s="102"/>
      <c r="Z170" s="102"/>
      <c r="AA170" s="102"/>
      <c r="AB170" s="102"/>
      <c r="AC170" s="102">
        <v>0</v>
      </c>
      <c r="AD170" s="102">
        <f t="shared" si="248"/>
        <v>0</v>
      </c>
      <c r="AE170" s="102">
        <f t="shared" si="249"/>
        <v>0</v>
      </c>
      <c r="AF170" s="102"/>
      <c r="AG170" s="102"/>
      <c r="AH170" s="102"/>
      <c r="AI170" s="102"/>
      <c r="AJ170" s="102"/>
      <c r="AK170" s="102"/>
      <c r="AL170" s="445"/>
      <c r="AM170" s="102"/>
      <c r="AN170" s="102"/>
      <c r="AO170" s="102">
        <v>0</v>
      </c>
      <c r="AP170" s="102">
        <f t="shared" si="250"/>
        <v>0</v>
      </c>
      <c r="AQ170" s="102">
        <f t="shared" si="251"/>
        <v>0</v>
      </c>
      <c r="AR170" s="102"/>
      <c r="AS170" s="102"/>
      <c r="AT170" s="102"/>
      <c r="AU170" s="102"/>
      <c r="AV170" s="102"/>
      <c r="AW170" s="102"/>
      <c r="AX170" s="102"/>
      <c r="AY170" s="102"/>
      <c r="AZ170" s="102"/>
      <c r="BA170" s="102"/>
      <c r="BB170" s="102">
        <v>0</v>
      </c>
      <c r="BC170" s="123">
        <f t="shared" si="252"/>
        <v>0</v>
      </c>
      <c r="BD170" s="123">
        <f t="shared" si="253"/>
        <v>0</v>
      </c>
      <c r="BE170" s="123"/>
      <c r="BF170" s="123"/>
      <c r="BG170" s="123"/>
      <c r="BH170" s="123"/>
      <c r="BI170" s="123"/>
      <c r="BJ170" s="123"/>
      <c r="BK170" s="123"/>
      <c r="BL170" s="123"/>
      <c r="BM170" s="102">
        <f t="shared" si="254"/>
        <v>0</v>
      </c>
      <c r="BN170" s="102">
        <f t="shared" si="255"/>
        <v>0</v>
      </c>
      <c r="BO170" s="102"/>
      <c r="BP170" s="102"/>
      <c r="BQ170" s="102"/>
      <c r="BR170" s="102"/>
      <c r="BS170" s="102"/>
      <c r="BT170" s="389"/>
      <c r="BU170" s="102"/>
      <c r="BV170" s="102"/>
      <c r="BW170" s="335"/>
      <c r="BX170" s="103" t="s">
        <v>429</v>
      </c>
      <c r="BY170" s="107"/>
      <c r="BZ170" s="36"/>
      <c r="CA170" s="36"/>
      <c r="CB170" s="36"/>
      <c r="CC170" s="36"/>
      <c r="CD170" s="36"/>
      <c r="CE170" s="36"/>
      <c r="CF170" s="36"/>
      <c r="CG170" s="36"/>
    </row>
    <row r="171" spans="1:85" s="145" customFormat="1" ht="36" x14ac:dyDescent="0.2">
      <c r="A171" s="146"/>
      <c r="B171" s="117"/>
      <c r="C171" s="269"/>
      <c r="D171" s="270"/>
      <c r="E171" s="100" t="s">
        <v>276</v>
      </c>
      <c r="F171" s="347">
        <f t="shared" si="290"/>
        <v>1423</v>
      </c>
      <c r="G171" s="101">
        <f t="shared" si="238"/>
        <v>5068</v>
      </c>
      <c r="H171" s="102">
        <v>0</v>
      </c>
      <c r="I171" s="102">
        <f t="shared" si="246"/>
        <v>0</v>
      </c>
      <c r="J171" s="102">
        <f t="shared" si="247"/>
        <v>0</v>
      </c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445"/>
      <c r="Y171" s="102"/>
      <c r="Z171" s="102"/>
      <c r="AA171" s="102"/>
      <c r="AB171" s="102"/>
      <c r="AC171" s="102">
        <v>1423</v>
      </c>
      <c r="AD171" s="102">
        <f t="shared" si="248"/>
        <v>5068</v>
      </c>
      <c r="AE171" s="102">
        <f t="shared" si="249"/>
        <v>3645</v>
      </c>
      <c r="AF171" s="102"/>
      <c r="AG171" s="102"/>
      <c r="AH171" s="102"/>
      <c r="AI171" s="102"/>
      <c r="AJ171" s="102">
        <v>3645</v>
      </c>
      <c r="AK171" s="102"/>
      <c r="AL171" s="445"/>
      <c r="AM171" s="102"/>
      <c r="AN171" s="102"/>
      <c r="AO171" s="102">
        <v>0</v>
      </c>
      <c r="AP171" s="102">
        <f t="shared" si="250"/>
        <v>0</v>
      </c>
      <c r="AQ171" s="102">
        <f t="shared" si="251"/>
        <v>0</v>
      </c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>
        <v>0</v>
      </c>
      <c r="BC171" s="123">
        <f t="shared" si="252"/>
        <v>0</v>
      </c>
      <c r="BD171" s="123">
        <f t="shared" si="253"/>
        <v>0</v>
      </c>
      <c r="BE171" s="123"/>
      <c r="BF171" s="123"/>
      <c r="BG171" s="123"/>
      <c r="BH171" s="123"/>
      <c r="BI171" s="123"/>
      <c r="BJ171" s="123"/>
      <c r="BK171" s="123"/>
      <c r="BL171" s="123"/>
      <c r="BM171" s="102">
        <f t="shared" si="254"/>
        <v>0</v>
      </c>
      <c r="BN171" s="102">
        <f t="shared" si="255"/>
        <v>0</v>
      </c>
      <c r="BO171" s="102"/>
      <c r="BP171" s="102"/>
      <c r="BQ171" s="102"/>
      <c r="BR171" s="102"/>
      <c r="BS171" s="102"/>
      <c r="BT171" s="389"/>
      <c r="BU171" s="102"/>
      <c r="BV171" s="102"/>
      <c r="BW171" s="335"/>
      <c r="BX171" s="103" t="s">
        <v>430</v>
      </c>
      <c r="BY171" s="107"/>
      <c r="BZ171" s="36"/>
      <c r="CA171" s="36"/>
      <c r="CB171" s="36"/>
      <c r="CC171" s="36"/>
      <c r="CD171" s="36"/>
      <c r="CE171" s="36"/>
      <c r="CF171" s="36"/>
      <c r="CG171" s="36"/>
    </row>
    <row r="172" spans="1:85" s="149" customFormat="1" ht="36" x14ac:dyDescent="0.2">
      <c r="A172" s="146"/>
      <c r="B172" s="117"/>
      <c r="C172" s="266"/>
      <c r="D172" s="267"/>
      <c r="E172" s="100" t="s">
        <v>278</v>
      </c>
      <c r="F172" s="347">
        <f t="shared" si="290"/>
        <v>33790</v>
      </c>
      <c r="G172" s="101">
        <f t="shared" si="238"/>
        <v>33790</v>
      </c>
      <c r="H172" s="102">
        <v>33790</v>
      </c>
      <c r="I172" s="102">
        <f t="shared" si="246"/>
        <v>33790</v>
      </c>
      <c r="J172" s="102">
        <f t="shared" si="247"/>
        <v>0</v>
      </c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445"/>
      <c r="Y172" s="102"/>
      <c r="Z172" s="102"/>
      <c r="AA172" s="102"/>
      <c r="AB172" s="102"/>
      <c r="AC172" s="102">
        <v>0</v>
      </c>
      <c r="AD172" s="102">
        <f t="shared" si="248"/>
        <v>0</v>
      </c>
      <c r="AE172" s="102">
        <f t="shared" si="249"/>
        <v>0</v>
      </c>
      <c r="AF172" s="102"/>
      <c r="AG172" s="102"/>
      <c r="AH172" s="102"/>
      <c r="AI172" s="102"/>
      <c r="AJ172" s="102"/>
      <c r="AK172" s="102"/>
      <c r="AL172" s="445"/>
      <c r="AM172" s="102"/>
      <c r="AN172" s="102"/>
      <c r="AO172" s="102">
        <v>0</v>
      </c>
      <c r="AP172" s="102">
        <f t="shared" si="250"/>
        <v>0</v>
      </c>
      <c r="AQ172" s="102">
        <f t="shared" si="251"/>
        <v>0</v>
      </c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2">
        <v>0</v>
      </c>
      <c r="BC172" s="123">
        <f t="shared" si="252"/>
        <v>0</v>
      </c>
      <c r="BD172" s="123">
        <f t="shared" si="253"/>
        <v>0</v>
      </c>
      <c r="BE172" s="123"/>
      <c r="BF172" s="123"/>
      <c r="BG172" s="123"/>
      <c r="BH172" s="123"/>
      <c r="BI172" s="123"/>
      <c r="BJ172" s="123"/>
      <c r="BK172" s="123"/>
      <c r="BL172" s="123"/>
      <c r="BM172" s="102">
        <f t="shared" si="254"/>
        <v>0</v>
      </c>
      <c r="BN172" s="102">
        <f t="shared" si="255"/>
        <v>0</v>
      </c>
      <c r="BO172" s="102"/>
      <c r="BP172" s="102"/>
      <c r="BQ172" s="102"/>
      <c r="BR172" s="102"/>
      <c r="BS172" s="102"/>
      <c r="BT172" s="389"/>
      <c r="BU172" s="102"/>
      <c r="BV172" s="102"/>
      <c r="BW172" s="335"/>
      <c r="BX172" s="103" t="s">
        <v>431</v>
      </c>
      <c r="BY172" s="107"/>
      <c r="BZ172" s="36"/>
      <c r="CA172" s="36"/>
      <c r="CB172" s="36"/>
      <c r="CC172" s="36"/>
      <c r="CD172" s="36"/>
      <c r="CE172" s="36"/>
      <c r="CF172" s="36"/>
      <c r="CG172" s="36"/>
    </row>
    <row r="173" spans="1:85" s="293" customFormat="1" ht="36" x14ac:dyDescent="0.2">
      <c r="A173" s="146"/>
      <c r="B173" s="117"/>
      <c r="C173" s="291"/>
      <c r="D173" s="292"/>
      <c r="E173" s="100" t="s">
        <v>643</v>
      </c>
      <c r="F173" s="347">
        <f t="shared" si="290"/>
        <v>3480</v>
      </c>
      <c r="G173" s="101">
        <f t="shared" si="238"/>
        <v>3480</v>
      </c>
      <c r="H173" s="102">
        <v>3480</v>
      </c>
      <c r="I173" s="102">
        <f t="shared" si="246"/>
        <v>3480</v>
      </c>
      <c r="J173" s="102">
        <f t="shared" si="247"/>
        <v>0</v>
      </c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445"/>
      <c r="Y173" s="102"/>
      <c r="Z173" s="102"/>
      <c r="AA173" s="102"/>
      <c r="AB173" s="102"/>
      <c r="AC173" s="102">
        <v>0</v>
      </c>
      <c r="AD173" s="102">
        <f t="shared" si="248"/>
        <v>0</v>
      </c>
      <c r="AE173" s="102">
        <f t="shared" si="249"/>
        <v>0</v>
      </c>
      <c r="AF173" s="102"/>
      <c r="AG173" s="102"/>
      <c r="AH173" s="102"/>
      <c r="AI173" s="102"/>
      <c r="AJ173" s="102"/>
      <c r="AK173" s="102"/>
      <c r="AL173" s="445"/>
      <c r="AM173" s="102"/>
      <c r="AN173" s="102"/>
      <c r="AO173" s="102">
        <v>0</v>
      </c>
      <c r="AP173" s="102">
        <f t="shared" si="250"/>
        <v>0</v>
      </c>
      <c r="AQ173" s="102">
        <f t="shared" si="251"/>
        <v>0</v>
      </c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>
        <v>0</v>
      </c>
      <c r="BC173" s="123">
        <f t="shared" si="252"/>
        <v>0</v>
      </c>
      <c r="BD173" s="123">
        <f t="shared" si="253"/>
        <v>0</v>
      </c>
      <c r="BE173" s="123"/>
      <c r="BF173" s="123"/>
      <c r="BG173" s="123"/>
      <c r="BH173" s="123"/>
      <c r="BI173" s="123"/>
      <c r="BJ173" s="123"/>
      <c r="BK173" s="123"/>
      <c r="BL173" s="123"/>
      <c r="BM173" s="102">
        <f t="shared" si="254"/>
        <v>0</v>
      </c>
      <c r="BN173" s="102">
        <f t="shared" si="255"/>
        <v>0</v>
      </c>
      <c r="BO173" s="102"/>
      <c r="BP173" s="102"/>
      <c r="BQ173" s="102"/>
      <c r="BR173" s="102"/>
      <c r="BS173" s="102"/>
      <c r="BT173" s="389"/>
      <c r="BU173" s="102"/>
      <c r="BV173" s="102"/>
      <c r="BW173" s="335"/>
      <c r="BX173" s="103" t="s">
        <v>661</v>
      </c>
      <c r="BY173" s="107"/>
      <c r="BZ173" s="36"/>
      <c r="CA173" s="36"/>
      <c r="CB173" s="36"/>
      <c r="CC173" s="36"/>
      <c r="CD173" s="36"/>
      <c r="CE173" s="36"/>
      <c r="CF173" s="36"/>
      <c r="CG173" s="36"/>
    </row>
    <row r="174" spans="1:85" ht="28.5" customHeight="1" x14ac:dyDescent="0.2">
      <c r="A174" s="146">
        <v>90000051519</v>
      </c>
      <c r="B174" s="117"/>
      <c r="C174" s="495" t="s">
        <v>214</v>
      </c>
      <c r="D174" s="496"/>
      <c r="E174" s="100" t="s">
        <v>248</v>
      </c>
      <c r="F174" s="347">
        <f t="shared" si="290"/>
        <v>1516365</v>
      </c>
      <c r="G174" s="101">
        <f t="shared" si="238"/>
        <v>1535353</v>
      </c>
      <c r="H174" s="102">
        <v>678230</v>
      </c>
      <c r="I174" s="102">
        <f t="shared" si="246"/>
        <v>676871</v>
      </c>
      <c r="J174" s="102">
        <f t="shared" si="247"/>
        <v>-1359</v>
      </c>
      <c r="K174" s="102"/>
      <c r="L174" s="102"/>
      <c r="M174" s="102"/>
      <c r="N174" s="102"/>
      <c r="O174" s="102"/>
      <c r="P174" s="102">
        <v>-1359</v>
      </c>
      <c r="Q174" s="102"/>
      <c r="R174" s="102"/>
      <c r="S174" s="102"/>
      <c r="T174" s="102"/>
      <c r="U174" s="102"/>
      <c r="V174" s="102"/>
      <c r="W174" s="102"/>
      <c r="X174" s="445"/>
      <c r="Y174" s="102"/>
      <c r="Z174" s="102"/>
      <c r="AA174" s="102"/>
      <c r="AB174" s="102"/>
      <c r="AC174" s="102">
        <v>820141</v>
      </c>
      <c r="AD174" s="102">
        <f t="shared" si="248"/>
        <v>839069</v>
      </c>
      <c r="AE174" s="102">
        <f t="shared" si="249"/>
        <v>18928</v>
      </c>
      <c r="AF174" s="102"/>
      <c r="AG174" s="102"/>
      <c r="AH174" s="102">
        <v>14000</v>
      </c>
      <c r="AI174" s="102"/>
      <c r="AJ174" s="102"/>
      <c r="AK174" s="102"/>
      <c r="AL174" s="445">
        <v>4928</v>
      </c>
      <c r="AM174" s="102"/>
      <c r="AN174" s="102"/>
      <c r="AO174" s="102">
        <v>17994</v>
      </c>
      <c r="AP174" s="102">
        <f t="shared" si="250"/>
        <v>19413</v>
      </c>
      <c r="AQ174" s="102">
        <f t="shared" si="251"/>
        <v>1419</v>
      </c>
      <c r="AR174" s="102"/>
      <c r="AS174" s="102"/>
      <c r="AT174" s="102">
        <v>1419</v>
      </c>
      <c r="AU174" s="102"/>
      <c r="AV174" s="102"/>
      <c r="AW174" s="102"/>
      <c r="AX174" s="102"/>
      <c r="AY174" s="102"/>
      <c r="AZ174" s="102"/>
      <c r="BA174" s="102"/>
      <c r="BB174" s="102">
        <v>0</v>
      </c>
      <c r="BC174" s="123">
        <f t="shared" si="252"/>
        <v>0</v>
      </c>
      <c r="BD174" s="123">
        <f t="shared" si="253"/>
        <v>0</v>
      </c>
      <c r="BE174" s="123"/>
      <c r="BF174" s="123"/>
      <c r="BG174" s="123"/>
      <c r="BH174" s="123"/>
      <c r="BI174" s="123"/>
      <c r="BJ174" s="123"/>
      <c r="BK174" s="123"/>
      <c r="BL174" s="123"/>
      <c r="BM174" s="102">
        <f t="shared" si="254"/>
        <v>0</v>
      </c>
      <c r="BN174" s="102">
        <f t="shared" si="255"/>
        <v>0</v>
      </c>
      <c r="BO174" s="102"/>
      <c r="BP174" s="102"/>
      <c r="BQ174" s="102"/>
      <c r="BR174" s="102"/>
      <c r="BS174" s="102"/>
      <c r="BT174" s="389"/>
      <c r="BU174" s="102"/>
      <c r="BV174" s="102"/>
      <c r="BW174" s="335"/>
      <c r="BX174" s="103" t="s">
        <v>432</v>
      </c>
      <c r="BY174" s="107"/>
      <c r="BZ174" s="36"/>
      <c r="CA174" s="36"/>
      <c r="CB174" s="36"/>
      <c r="CC174" s="36"/>
      <c r="CD174" s="36"/>
      <c r="CE174" s="36"/>
      <c r="CF174" s="36"/>
      <c r="CG174" s="36"/>
    </row>
    <row r="175" spans="1:85" ht="12.75" x14ac:dyDescent="0.2">
      <c r="A175" s="146"/>
      <c r="B175" s="117"/>
      <c r="C175" s="261"/>
      <c r="D175" s="260"/>
      <c r="E175" s="100" t="s">
        <v>267</v>
      </c>
      <c r="F175" s="347">
        <f t="shared" si="290"/>
        <v>198611</v>
      </c>
      <c r="G175" s="101">
        <f t="shared" si="238"/>
        <v>198623</v>
      </c>
      <c r="H175" s="102">
        <v>130502</v>
      </c>
      <c r="I175" s="102">
        <f t="shared" si="246"/>
        <v>130502</v>
      </c>
      <c r="J175" s="102">
        <f t="shared" si="247"/>
        <v>0</v>
      </c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445"/>
      <c r="Y175" s="102"/>
      <c r="Z175" s="102"/>
      <c r="AA175" s="102"/>
      <c r="AB175" s="102"/>
      <c r="AC175" s="102">
        <v>68109</v>
      </c>
      <c r="AD175" s="102">
        <f t="shared" si="248"/>
        <v>68121</v>
      </c>
      <c r="AE175" s="102">
        <f t="shared" si="249"/>
        <v>12</v>
      </c>
      <c r="AF175" s="102"/>
      <c r="AG175" s="102"/>
      <c r="AH175" s="102">
        <v>12</v>
      </c>
      <c r="AI175" s="102"/>
      <c r="AJ175" s="102"/>
      <c r="AK175" s="102"/>
      <c r="AL175" s="445"/>
      <c r="AM175" s="102"/>
      <c r="AN175" s="102"/>
      <c r="AO175" s="102">
        <v>0</v>
      </c>
      <c r="AP175" s="123">
        <f t="shared" si="250"/>
        <v>0</v>
      </c>
      <c r="AQ175" s="123">
        <f t="shared" si="251"/>
        <v>0</v>
      </c>
      <c r="AR175" s="123"/>
      <c r="AS175" s="123"/>
      <c r="AT175" s="123"/>
      <c r="AU175" s="123"/>
      <c r="AV175" s="123"/>
      <c r="AW175" s="123"/>
      <c r="AX175" s="123"/>
      <c r="AY175" s="123"/>
      <c r="AZ175" s="123"/>
      <c r="BA175" s="123"/>
      <c r="BB175" s="102">
        <v>0</v>
      </c>
      <c r="BC175" s="123">
        <f t="shared" si="252"/>
        <v>0</v>
      </c>
      <c r="BD175" s="123">
        <f t="shared" si="253"/>
        <v>0</v>
      </c>
      <c r="BE175" s="123"/>
      <c r="BF175" s="123"/>
      <c r="BG175" s="123"/>
      <c r="BH175" s="123"/>
      <c r="BI175" s="123"/>
      <c r="BJ175" s="123"/>
      <c r="BK175" s="123"/>
      <c r="BL175" s="123"/>
      <c r="BM175" s="102">
        <f t="shared" si="254"/>
        <v>0</v>
      </c>
      <c r="BN175" s="102">
        <f t="shared" si="255"/>
        <v>0</v>
      </c>
      <c r="BO175" s="102"/>
      <c r="BP175" s="102"/>
      <c r="BQ175" s="102"/>
      <c r="BR175" s="102"/>
      <c r="BS175" s="102"/>
      <c r="BT175" s="389"/>
      <c r="BU175" s="102"/>
      <c r="BV175" s="102"/>
      <c r="BW175" s="335"/>
      <c r="BX175" s="103" t="s">
        <v>433</v>
      </c>
      <c r="BY175" s="107"/>
      <c r="BZ175" s="36"/>
      <c r="CA175" s="36"/>
      <c r="CB175" s="36"/>
      <c r="CC175" s="36"/>
      <c r="CD175" s="36"/>
      <c r="CE175" s="36"/>
      <c r="CF175" s="36"/>
      <c r="CG175" s="36"/>
    </row>
    <row r="176" spans="1:85" ht="29.25" customHeight="1" x14ac:dyDescent="0.2">
      <c r="A176" s="146">
        <v>90009251338</v>
      </c>
      <c r="B176" s="117"/>
      <c r="C176" s="495" t="s">
        <v>541</v>
      </c>
      <c r="D176" s="496"/>
      <c r="E176" s="100" t="s">
        <v>248</v>
      </c>
      <c r="F176" s="347">
        <f t="shared" si="290"/>
        <v>405861</v>
      </c>
      <c r="G176" s="101">
        <f t="shared" si="238"/>
        <v>409556</v>
      </c>
      <c r="H176" s="102">
        <v>283742</v>
      </c>
      <c r="I176" s="102">
        <f t="shared" si="246"/>
        <v>283742</v>
      </c>
      <c r="J176" s="102">
        <f t="shared" si="247"/>
        <v>0</v>
      </c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445"/>
      <c r="Y176" s="102"/>
      <c r="Z176" s="102"/>
      <c r="AA176" s="102"/>
      <c r="AB176" s="102"/>
      <c r="AC176" s="102">
        <v>118859</v>
      </c>
      <c r="AD176" s="102">
        <f t="shared" si="248"/>
        <v>121890</v>
      </c>
      <c r="AE176" s="102">
        <f t="shared" si="249"/>
        <v>3031</v>
      </c>
      <c r="AF176" s="102"/>
      <c r="AG176" s="102"/>
      <c r="AH176" s="102">
        <f>1977+312</f>
        <v>2289</v>
      </c>
      <c r="AI176" s="102"/>
      <c r="AJ176" s="102"/>
      <c r="AK176" s="102"/>
      <c r="AL176" s="445">
        <v>742</v>
      </c>
      <c r="AM176" s="102"/>
      <c r="AN176" s="102"/>
      <c r="AO176" s="102">
        <v>3260</v>
      </c>
      <c r="AP176" s="102">
        <f t="shared" si="250"/>
        <v>3924</v>
      </c>
      <c r="AQ176" s="102">
        <f t="shared" si="251"/>
        <v>664</v>
      </c>
      <c r="AR176" s="102"/>
      <c r="AS176" s="102"/>
      <c r="AT176" s="102">
        <v>664</v>
      </c>
      <c r="AU176" s="102"/>
      <c r="AV176" s="102"/>
      <c r="AW176" s="102"/>
      <c r="AX176" s="102"/>
      <c r="AY176" s="102"/>
      <c r="AZ176" s="102"/>
      <c r="BA176" s="102"/>
      <c r="BB176" s="102">
        <v>0</v>
      </c>
      <c r="BC176" s="123">
        <f t="shared" si="252"/>
        <v>0</v>
      </c>
      <c r="BD176" s="123">
        <f t="shared" si="253"/>
        <v>0</v>
      </c>
      <c r="BE176" s="123"/>
      <c r="BF176" s="123"/>
      <c r="BG176" s="123"/>
      <c r="BH176" s="123"/>
      <c r="BI176" s="123"/>
      <c r="BJ176" s="123"/>
      <c r="BK176" s="123"/>
      <c r="BL176" s="123"/>
      <c r="BM176" s="102">
        <f t="shared" si="254"/>
        <v>0</v>
      </c>
      <c r="BN176" s="102">
        <f t="shared" si="255"/>
        <v>0</v>
      </c>
      <c r="BO176" s="102"/>
      <c r="BP176" s="102"/>
      <c r="BQ176" s="102"/>
      <c r="BR176" s="102"/>
      <c r="BS176" s="102"/>
      <c r="BT176" s="389"/>
      <c r="BU176" s="102"/>
      <c r="BV176" s="102"/>
      <c r="BW176" s="335"/>
      <c r="BX176" s="103" t="s">
        <v>434</v>
      </c>
      <c r="BY176" s="107"/>
      <c r="BZ176" s="36"/>
      <c r="CA176" s="36"/>
      <c r="CB176" s="36"/>
      <c r="CC176" s="36"/>
      <c r="CD176" s="36"/>
      <c r="CE176" s="36"/>
      <c r="CF176" s="36"/>
      <c r="CG176" s="36"/>
    </row>
    <row r="177" spans="1:85" ht="12.75" x14ac:dyDescent="0.2">
      <c r="A177" s="146"/>
      <c r="B177" s="117"/>
      <c r="C177" s="266"/>
      <c r="D177" s="267"/>
      <c r="E177" s="100" t="s">
        <v>267</v>
      </c>
      <c r="F177" s="347">
        <f t="shared" si="290"/>
        <v>31194</v>
      </c>
      <c r="G177" s="101">
        <f t="shared" si="238"/>
        <v>31194</v>
      </c>
      <c r="H177" s="102">
        <v>19237</v>
      </c>
      <c r="I177" s="102">
        <f t="shared" si="246"/>
        <v>19237</v>
      </c>
      <c r="J177" s="102">
        <f t="shared" si="247"/>
        <v>0</v>
      </c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445"/>
      <c r="Y177" s="102"/>
      <c r="Z177" s="102"/>
      <c r="AA177" s="102"/>
      <c r="AB177" s="102"/>
      <c r="AC177" s="102">
        <v>11957</v>
      </c>
      <c r="AD177" s="102">
        <f t="shared" si="248"/>
        <v>11957</v>
      </c>
      <c r="AE177" s="102">
        <f t="shared" si="249"/>
        <v>0</v>
      </c>
      <c r="AF177" s="102"/>
      <c r="AG177" s="102"/>
      <c r="AH177" s="102"/>
      <c r="AI177" s="102"/>
      <c r="AJ177" s="102"/>
      <c r="AK177" s="102"/>
      <c r="AL177" s="445"/>
      <c r="AM177" s="102"/>
      <c r="AN177" s="102"/>
      <c r="AO177" s="102">
        <v>0</v>
      </c>
      <c r="AP177" s="123">
        <f t="shared" si="250"/>
        <v>0</v>
      </c>
      <c r="AQ177" s="123">
        <f t="shared" si="251"/>
        <v>0</v>
      </c>
      <c r="AR177" s="123"/>
      <c r="AS177" s="123"/>
      <c r="AT177" s="123"/>
      <c r="AU177" s="123"/>
      <c r="AV177" s="123"/>
      <c r="AW177" s="123"/>
      <c r="AX177" s="123"/>
      <c r="AY177" s="123"/>
      <c r="AZ177" s="123"/>
      <c r="BA177" s="123"/>
      <c r="BB177" s="123">
        <v>0</v>
      </c>
      <c r="BC177" s="123">
        <f t="shared" si="252"/>
        <v>0</v>
      </c>
      <c r="BD177" s="123">
        <f t="shared" si="253"/>
        <v>0</v>
      </c>
      <c r="BE177" s="123"/>
      <c r="BF177" s="123"/>
      <c r="BG177" s="123"/>
      <c r="BH177" s="123"/>
      <c r="BI177" s="123"/>
      <c r="BJ177" s="123"/>
      <c r="BK177" s="123"/>
      <c r="BL177" s="123"/>
      <c r="BM177" s="102">
        <f t="shared" si="254"/>
        <v>0</v>
      </c>
      <c r="BN177" s="102">
        <f t="shared" si="255"/>
        <v>0</v>
      </c>
      <c r="BO177" s="102"/>
      <c r="BP177" s="102"/>
      <c r="BQ177" s="102"/>
      <c r="BR177" s="102"/>
      <c r="BS177" s="102"/>
      <c r="BT177" s="389"/>
      <c r="BU177" s="102"/>
      <c r="BV177" s="102"/>
      <c r="BW177" s="335"/>
      <c r="BX177" s="103" t="s">
        <v>435</v>
      </c>
      <c r="BY177" s="107"/>
      <c r="BZ177" s="36"/>
      <c r="CA177" s="36"/>
      <c r="CB177" s="36"/>
      <c r="CC177" s="36"/>
      <c r="CD177" s="36"/>
      <c r="CE177" s="36"/>
      <c r="CF177" s="36"/>
      <c r="CG177" s="36"/>
    </row>
    <row r="178" spans="1:85" ht="31.5" customHeight="1" x14ac:dyDescent="0.2">
      <c r="A178" s="146">
        <v>90000051576</v>
      </c>
      <c r="B178" s="117"/>
      <c r="C178" s="495" t="s">
        <v>540</v>
      </c>
      <c r="D178" s="496"/>
      <c r="E178" s="100" t="s">
        <v>248</v>
      </c>
      <c r="F178" s="347">
        <f t="shared" si="290"/>
        <v>621426</v>
      </c>
      <c r="G178" s="101">
        <f t="shared" si="238"/>
        <v>626098</v>
      </c>
      <c r="H178" s="102">
        <v>452259</v>
      </c>
      <c r="I178" s="102">
        <f t="shared" si="246"/>
        <v>448851</v>
      </c>
      <c r="J178" s="102">
        <f t="shared" si="247"/>
        <v>-3408</v>
      </c>
      <c r="K178" s="102"/>
      <c r="L178" s="102"/>
      <c r="M178" s="102"/>
      <c r="N178" s="102">
        <v>-3408</v>
      </c>
      <c r="O178" s="102"/>
      <c r="P178" s="102"/>
      <c r="Q178" s="102"/>
      <c r="R178" s="102"/>
      <c r="S178" s="102"/>
      <c r="T178" s="102"/>
      <c r="U178" s="102"/>
      <c r="V178" s="102"/>
      <c r="W178" s="102"/>
      <c r="X178" s="445"/>
      <c r="Y178" s="102"/>
      <c r="Z178" s="102"/>
      <c r="AA178" s="102"/>
      <c r="AB178" s="102"/>
      <c r="AC178" s="102">
        <v>162667</v>
      </c>
      <c r="AD178" s="102">
        <f t="shared" si="248"/>
        <v>166739</v>
      </c>
      <c r="AE178" s="102">
        <f t="shared" si="249"/>
        <v>4072</v>
      </c>
      <c r="AF178" s="102"/>
      <c r="AG178" s="102">
        <v>3078</v>
      </c>
      <c r="AH178" s="102"/>
      <c r="AI178" s="102"/>
      <c r="AJ178" s="102"/>
      <c r="AK178" s="102"/>
      <c r="AL178" s="445">
        <v>994</v>
      </c>
      <c r="AM178" s="102"/>
      <c r="AN178" s="102"/>
      <c r="AO178" s="102">
        <v>6500</v>
      </c>
      <c r="AP178" s="102">
        <f t="shared" si="250"/>
        <v>10508</v>
      </c>
      <c r="AQ178" s="102">
        <f t="shared" si="251"/>
        <v>4008</v>
      </c>
      <c r="AR178" s="102"/>
      <c r="AS178" s="102">
        <v>4008</v>
      </c>
      <c r="AT178" s="102"/>
      <c r="AU178" s="102"/>
      <c r="AV178" s="102"/>
      <c r="AW178" s="102"/>
      <c r="AX178" s="102"/>
      <c r="AY178" s="102"/>
      <c r="AZ178" s="102"/>
      <c r="BA178" s="102"/>
      <c r="BB178" s="102">
        <v>0</v>
      </c>
      <c r="BC178" s="123">
        <f t="shared" si="252"/>
        <v>0</v>
      </c>
      <c r="BD178" s="123">
        <f t="shared" si="253"/>
        <v>0</v>
      </c>
      <c r="BE178" s="123"/>
      <c r="BF178" s="123"/>
      <c r="BG178" s="123"/>
      <c r="BH178" s="123"/>
      <c r="BI178" s="123"/>
      <c r="BJ178" s="123"/>
      <c r="BK178" s="123"/>
      <c r="BL178" s="123"/>
      <c r="BM178" s="102">
        <f t="shared" si="254"/>
        <v>0</v>
      </c>
      <c r="BN178" s="102">
        <f t="shared" si="255"/>
        <v>0</v>
      </c>
      <c r="BO178" s="102"/>
      <c r="BP178" s="102"/>
      <c r="BQ178" s="102"/>
      <c r="BR178" s="102"/>
      <c r="BS178" s="102"/>
      <c r="BT178" s="389"/>
      <c r="BU178" s="102"/>
      <c r="BV178" s="102"/>
      <c r="BW178" s="335"/>
      <c r="BX178" s="103" t="s">
        <v>436</v>
      </c>
      <c r="BY178" s="107"/>
      <c r="BZ178" s="36"/>
      <c r="CA178" s="36"/>
      <c r="CB178" s="36"/>
      <c r="CC178" s="36"/>
      <c r="CD178" s="36"/>
      <c r="CE178" s="36"/>
      <c r="CF178" s="36"/>
      <c r="CG178" s="36"/>
    </row>
    <row r="179" spans="1:85" ht="12.75" x14ac:dyDescent="0.2">
      <c r="A179" s="146"/>
      <c r="B179" s="117"/>
      <c r="C179" s="266"/>
      <c r="D179" s="267"/>
      <c r="E179" s="100" t="s">
        <v>267</v>
      </c>
      <c r="F179" s="347">
        <f t="shared" si="290"/>
        <v>50540</v>
      </c>
      <c r="G179" s="101">
        <f t="shared" si="238"/>
        <v>51070</v>
      </c>
      <c r="H179" s="102">
        <v>32895</v>
      </c>
      <c r="I179" s="102">
        <f t="shared" si="246"/>
        <v>32895</v>
      </c>
      <c r="J179" s="102">
        <f t="shared" si="247"/>
        <v>0</v>
      </c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445"/>
      <c r="Y179" s="102"/>
      <c r="Z179" s="102"/>
      <c r="AA179" s="102"/>
      <c r="AB179" s="102"/>
      <c r="AC179" s="102">
        <v>17645</v>
      </c>
      <c r="AD179" s="102">
        <f t="shared" si="248"/>
        <v>18175</v>
      </c>
      <c r="AE179" s="102">
        <f t="shared" si="249"/>
        <v>530</v>
      </c>
      <c r="AF179" s="102"/>
      <c r="AG179" s="102"/>
      <c r="AH179" s="102">
        <v>530</v>
      </c>
      <c r="AI179" s="102"/>
      <c r="AJ179" s="102"/>
      <c r="AK179" s="102"/>
      <c r="AL179" s="445"/>
      <c r="AM179" s="102"/>
      <c r="AN179" s="102"/>
      <c r="AO179" s="102">
        <v>0</v>
      </c>
      <c r="AP179" s="123">
        <f t="shared" si="250"/>
        <v>0</v>
      </c>
      <c r="AQ179" s="123">
        <f t="shared" si="251"/>
        <v>0</v>
      </c>
      <c r="AR179" s="123"/>
      <c r="AS179" s="123"/>
      <c r="AT179" s="123"/>
      <c r="AU179" s="123"/>
      <c r="AV179" s="123"/>
      <c r="AW179" s="123"/>
      <c r="AX179" s="123"/>
      <c r="AY179" s="123"/>
      <c r="AZ179" s="123"/>
      <c r="BA179" s="123"/>
      <c r="BB179" s="123">
        <v>0</v>
      </c>
      <c r="BC179" s="123">
        <f t="shared" si="252"/>
        <v>0</v>
      </c>
      <c r="BD179" s="123">
        <f t="shared" si="253"/>
        <v>0</v>
      </c>
      <c r="BE179" s="123"/>
      <c r="BF179" s="123"/>
      <c r="BG179" s="123"/>
      <c r="BH179" s="123"/>
      <c r="BI179" s="123"/>
      <c r="BJ179" s="123"/>
      <c r="BK179" s="123"/>
      <c r="BL179" s="123"/>
      <c r="BM179" s="102">
        <f t="shared" si="254"/>
        <v>0</v>
      </c>
      <c r="BN179" s="102">
        <f t="shared" si="255"/>
        <v>0</v>
      </c>
      <c r="BO179" s="102"/>
      <c r="BP179" s="102"/>
      <c r="BQ179" s="102"/>
      <c r="BR179" s="102"/>
      <c r="BS179" s="102"/>
      <c r="BT179" s="389"/>
      <c r="BU179" s="102"/>
      <c r="BV179" s="102"/>
      <c r="BW179" s="335"/>
      <c r="BX179" s="103" t="s">
        <v>437</v>
      </c>
      <c r="BY179" s="107"/>
      <c r="BZ179" s="36"/>
      <c r="CA179" s="36"/>
      <c r="CB179" s="36"/>
      <c r="CC179" s="36"/>
      <c r="CD179" s="36"/>
      <c r="CE179" s="36"/>
      <c r="CF179" s="36"/>
      <c r="CG179" s="36"/>
    </row>
    <row r="180" spans="1:85" s="407" customFormat="1" ht="36" x14ac:dyDescent="0.2">
      <c r="A180" s="146"/>
      <c r="B180" s="117"/>
      <c r="C180" s="408"/>
      <c r="D180" s="409"/>
      <c r="E180" s="100" t="s">
        <v>794</v>
      </c>
      <c r="F180" s="347">
        <f t="shared" ref="F180" si="338">H180+AC180+AO180+BA180+BB180+BL180</f>
        <v>0</v>
      </c>
      <c r="G180" s="101">
        <f t="shared" ref="G180" si="339">I180+AD180+AP180+BA180+BC180+BM180</f>
        <v>5903</v>
      </c>
      <c r="H180" s="102"/>
      <c r="I180" s="102">
        <f t="shared" ref="I180" si="340">J180+H180</f>
        <v>5903</v>
      </c>
      <c r="J180" s="102">
        <f t="shared" ref="J180" si="341">SUM(K180:AB180)</f>
        <v>5903</v>
      </c>
      <c r="K180" s="102"/>
      <c r="L180" s="102"/>
      <c r="M180" s="102"/>
      <c r="N180" s="102"/>
      <c r="O180" s="102"/>
      <c r="P180" s="102"/>
      <c r="Q180" s="102"/>
      <c r="R180" s="102"/>
      <c r="S180" s="102"/>
      <c r="T180" s="102">
        <v>5903</v>
      </c>
      <c r="U180" s="102"/>
      <c r="V180" s="102"/>
      <c r="W180" s="102"/>
      <c r="X180" s="445"/>
      <c r="Y180" s="102"/>
      <c r="Z180" s="102"/>
      <c r="AA180" s="102"/>
      <c r="AB180" s="102"/>
      <c r="AC180" s="102"/>
      <c r="AD180" s="102">
        <f t="shared" ref="AD180" si="342">AC180+AE180</f>
        <v>0</v>
      </c>
      <c r="AE180" s="102">
        <f t="shared" ref="AE180" si="343">SUM(AF180:AN180)</f>
        <v>0</v>
      </c>
      <c r="AF180" s="102"/>
      <c r="AG180" s="102"/>
      <c r="AH180" s="102"/>
      <c r="AI180" s="102"/>
      <c r="AJ180" s="102"/>
      <c r="AK180" s="102"/>
      <c r="AL180" s="445"/>
      <c r="AM180" s="102"/>
      <c r="AN180" s="102"/>
      <c r="AO180" s="102"/>
      <c r="AP180" s="123">
        <f t="shared" ref="AP180" si="344">AQ180+AO180</f>
        <v>0</v>
      </c>
      <c r="AQ180" s="123">
        <f t="shared" ref="AQ180" si="345">SUM(AR180:AZ180)</f>
        <v>0</v>
      </c>
      <c r="AR180" s="123"/>
      <c r="AS180" s="123"/>
      <c r="AT180" s="123"/>
      <c r="AU180" s="123"/>
      <c r="AV180" s="123"/>
      <c r="AW180" s="123"/>
      <c r="AX180" s="123"/>
      <c r="AY180" s="123"/>
      <c r="AZ180" s="123"/>
      <c r="BA180" s="123"/>
      <c r="BB180" s="123"/>
      <c r="BC180" s="123">
        <f t="shared" ref="BC180" si="346">BB180+BD180</f>
        <v>0</v>
      </c>
      <c r="BD180" s="123">
        <f t="shared" ref="BD180" si="347">SUM(BE180:BK180)</f>
        <v>0</v>
      </c>
      <c r="BE180" s="123"/>
      <c r="BF180" s="123"/>
      <c r="BG180" s="123"/>
      <c r="BH180" s="123"/>
      <c r="BI180" s="123"/>
      <c r="BJ180" s="123"/>
      <c r="BK180" s="123"/>
      <c r="BL180" s="123"/>
      <c r="BM180" s="102">
        <f t="shared" ref="BM180" si="348">BN180+BL180</f>
        <v>0</v>
      </c>
      <c r="BN180" s="102">
        <f t="shared" ref="BN180" si="349">SUM(BO180:BW180)</f>
        <v>0</v>
      </c>
      <c r="BO180" s="102"/>
      <c r="BP180" s="102"/>
      <c r="BQ180" s="102"/>
      <c r="BR180" s="102"/>
      <c r="BS180" s="102"/>
      <c r="BT180" s="389"/>
      <c r="BU180" s="102"/>
      <c r="BV180" s="102"/>
      <c r="BW180" s="335"/>
      <c r="BX180" s="103" t="s">
        <v>795</v>
      </c>
      <c r="BY180" s="107"/>
      <c r="BZ180" s="36"/>
      <c r="CA180" s="36"/>
      <c r="CB180" s="36"/>
      <c r="CC180" s="36"/>
      <c r="CD180" s="36"/>
      <c r="CE180" s="36"/>
      <c r="CF180" s="36"/>
      <c r="CG180" s="36"/>
    </row>
    <row r="181" spans="1:85" ht="24" x14ac:dyDescent="0.2">
      <c r="A181" s="146">
        <v>90000051627</v>
      </c>
      <c r="B181" s="117"/>
      <c r="C181" s="495" t="s">
        <v>215</v>
      </c>
      <c r="D181" s="496"/>
      <c r="E181" s="100" t="s">
        <v>248</v>
      </c>
      <c r="F181" s="347">
        <f t="shared" si="290"/>
        <v>933904</v>
      </c>
      <c r="G181" s="101">
        <f t="shared" si="238"/>
        <v>944821</v>
      </c>
      <c r="H181" s="102">
        <v>453648</v>
      </c>
      <c r="I181" s="102">
        <f t="shared" si="246"/>
        <v>447079</v>
      </c>
      <c r="J181" s="102">
        <f t="shared" si="247"/>
        <v>-6569</v>
      </c>
      <c r="K181" s="102"/>
      <c r="L181" s="102"/>
      <c r="M181" s="102"/>
      <c r="N181" s="102"/>
      <c r="O181" s="102"/>
      <c r="P181" s="102">
        <v>-6569</v>
      </c>
      <c r="Q181" s="102"/>
      <c r="R181" s="102"/>
      <c r="S181" s="102"/>
      <c r="T181" s="102"/>
      <c r="U181" s="102"/>
      <c r="V181" s="102"/>
      <c r="W181" s="102"/>
      <c r="X181" s="445"/>
      <c r="Y181" s="102"/>
      <c r="Z181" s="102"/>
      <c r="AA181" s="102"/>
      <c r="AB181" s="102"/>
      <c r="AC181" s="102">
        <v>465309</v>
      </c>
      <c r="AD181" s="102">
        <f t="shared" si="248"/>
        <v>476198</v>
      </c>
      <c r="AE181" s="102">
        <f t="shared" si="249"/>
        <v>10889</v>
      </c>
      <c r="AF181" s="102"/>
      <c r="AG181" s="102"/>
      <c r="AH181" s="102">
        <v>7949</v>
      </c>
      <c r="AI181" s="102"/>
      <c r="AJ181" s="102"/>
      <c r="AK181" s="102"/>
      <c r="AL181" s="445">
        <v>2940</v>
      </c>
      <c r="AM181" s="102"/>
      <c r="AN181" s="102"/>
      <c r="AO181" s="102">
        <v>14947</v>
      </c>
      <c r="AP181" s="102">
        <f t="shared" si="250"/>
        <v>21544</v>
      </c>
      <c r="AQ181" s="102">
        <f t="shared" si="251"/>
        <v>6597</v>
      </c>
      <c r="AR181" s="102"/>
      <c r="AS181" s="102"/>
      <c r="AT181" s="102">
        <v>6597</v>
      </c>
      <c r="AU181" s="102"/>
      <c r="AV181" s="102"/>
      <c r="AW181" s="102"/>
      <c r="AX181" s="102"/>
      <c r="AY181" s="102"/>
      <c r="AZ181" s="102"/>
      <c r="BA181" s="102"/>
      <c r="BB181" s="102">
        <v>0</v>
      </c>
      <c r="BC181" s="123">
        <f t="shared" si="252"/>
        <v>0</v>
      </c>
      <c r="BD181" s="123">
        <f t="shared" si="253"/>
        <v>0</v>
      </c>
      <c r="BE181" s="123"/>
      <c r="BF181" s="123"/>
      <c r="BG181" s="123"/>
      <c r="BH181" s="123"/>
      <c r="BI181" s="123"/>
      <c r="BJ181" s="123"/>
      <c r="BK181" s="123"/>
      <c r="BL181" s="123"/>
      <c r="BM181" s="102">
        <f t="shared" si="254"/>
        <v>0</v>
      </c>
      <c r="BN181" s="102">
        <f t="shared" si="255"/>
        <v>0</v>
      </c>
      <c r="BO181" s="102"/>
      <c r="BP181" s="102"/>
      <c r="BQ181" s="102"/>
      <c r="BR181" s="102"/>
      <c r="BS181" s="102"/>
      <c r="BT181" s="389"/>
      <c r="BU181" s="102"/>
      <c r="BV181" s="102"/>
      <c r="BW181" s="335"/>
      <c r="BX181" s="103" t="s">
        <v>438</v>
      </c>
      <c r="BY181" s="107"/>
      <c r="BZ181" s="36"/>
      <c r="CA181" s="36"/>
      <c r="CB181" s="36"/>
      <c r="CC181" s="36"/>
      <c r="CD181" s="36"/>
      <c r="CE181" s="36"/>
      <c r="CF181" s="36"/>
      <c r="CG181" s="36"/>
    </row>
    <row r="182" spans="1:85" ht="12.75" x14ac:dyDescent="0.2">
      <c r="A182" s="146"/>
      <c r="B182" s="117"/>
      <c r="C182" s="266"/>
      <c r="D182" s="267"/>
      <c r="E182" s="100" t="s">
        <v>267</v>
      </c>
      <c r="F182" s="347">
        <f t="shared" si="290"/>
        <v>105691</v>
      </c>
      <c r="G182" s="101">
        <f t="shared" si="238"/>
        <v>105691</v>
      </c>
      <c r="H182" s="102">
        <v>65551</v>
      </c>
      <c r="I182" s="102">
        <f t="shared" si="246"/>
        <v>65551</v>
      </c>
      <c r="J182" s="102">
        <f t="shared" si="247"/>
        <v>0</v>
      </c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445"/>
      <c r="Y182" s="102"/>
      <c r="Z182" s="102"/>
      <c r="AA182" s="102"/>
      <c r="AB182" s="102"/>
      <c r="AC182" s="102">
        <v>40140</v>
      </c>
      <c r="AD182" s="102">
        <f t="shared" si="248"/>
        <v>40140</v>
      </c>
      <c r="AE182" s="102">
        <f t="shared" si="249"/>
        <v>0</v>
      </c>
      <c r="AF182" s="102"/>
      <c r="AG182" s="102"/>
      <c r="AH182" s="102"/>
      <c r="AI182" s="102"/>
      <c r="AJ182" s="102"/>
      <c r="AK182" s="102"/>
      <c r="AL182" s="445"/>
      <c r="AM182" s="102"/>
      <c r="AN182" s="102"/>
      <c r="AO182" s="102">
        <v>0</v>
      </c>
      <c r="AP182" s="123">
        <f t="shared" si="250"/>
        <v>0</v>
      </c>
      <c r="AQ182" s="123">
        <f t="shared" si="251"/>
        <v>0</v>
      </c>
      <c r="AR182" s="123"/>
      <c r="AS182" s="123"/>
      <c r="AT182" s="123"/>
      <c r="AU182" s="123"/>
      <c r="AV182" s="123"/>
      <c r="AW182" s="123"/>
      <c r="AX182" s="123"/>
      <c r="AY182" s="123"/>
      <c r="AZ182" s="123"/>
      <c r="BA182" s="123"/>
      <c r="BB182" s="102">
        <v>0</v>
      </c>
      <c r="BC182" s="123">
        <f t="shared" si="252"/>
        <v>0</v>
      </c>
      <c r="BD182" s="123">
        <f t="shared" si="253"/>
        <v>0</v>
      </c>
      <c r="BE182" s="123"/>
      <c r="BF182" s="123"/>
      <c r="BG182" s="123"/>
      <c r="BH182" s="123"/>
      <c r="BI182" s="123"/>
      <c r="BJ182" s="123"/>
      <c r="BK182" s="123"/>
      <c r="BL182" s="123"/>
      <c r="BM182" s="102">
        <f t="shared" si="254"/>
        <v>0</v>
      </c>
      <c r="BN182" s="102">
        <f t="shared" si="255"/>
        <v>0</v>
      </c>
      <c r="BO182" s="102"/>
      <c r="BP182" s="102"/>
      <c r="BQ182" s="102"/>
      <c r="BR182" s="102"/>
      <c r="BS182" s="102"/>
      <c r="BT182" s="389"/>
      <c r="BU182" s="102"/>
      <c r="BV182" s="102"/>
      <c r="BW182" s="335"/>
      <c r="BX182" s="103" t="s">
        <v>439</v>
      </c>
      <c r="BY182" s="107"/>
      <c r="BZ182" s="36"/>
      <c r="CA182" s="36"/>
      <c r="CB182" s="36"/>
      <c r="CC182" s="36"/>
      <c r="CD182" s="36"/>
      <c r="CE182" s="36"/>
      <c r="CF182" s="36"/>
      <c r="CG182" s="36"/>
    </row>
    <row r="183" spans="1:85" s="268" customFormat="1" ht="12.75" x14ac:dyDescent="0.2">
      <c r="A183" s="146"/>
      <c r="B183" s="117"/>
      <c r="C183" s="266"/>
      <c r="D183" s="267"/>
      <c r="E183" s="100" t="s">
        <v>638</v>
      </c>
      <c r="F183" s="347">
        <f t="shared" si="290"/>
        <v>4539</v>
      </c>
      <c r="G183" s="101">
        <f t="shared" si="238"/>
        <v>4539</v>
      </c>
      <c r="H183" s="102">
        <v>4539</v>
      </c>
      <c r="I183" s="102">
        <f t="shared" si="246"/>
        <v>4539</v>
      </c>
      <c r="J183" s="102">
        <f t="shared" si="247"/>
        <v>0</v>
      </c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445"/>
      <c r="Y183" s="102"/>
      <c r="Z183" s="102"/>
      <c r="AA183" s="102"/>
      <c r="AB183" s="102"/>
      <c r="AC183" s="102">
        <v>0</v>
      </c>
      <c r="AD183" s="102">
        <f t="shared" si="248"/>
        <v>0</v>
      </c>
      <c r="AE183" s="102">
        <f t="shared" si="249"/>
        <v>0</v>
      </c>
      <c r="AF183" s="102"/>
      <c r="AG183" s="102"/>
      <c r="AH183" s="102"/>
      <c r="AI183" s="102"/>
      <c r="AJ183" s="102"/>
      <c r="AK183" s="102"/>
      <c r="AL183" s="445"/>
      <c r="AM183" s="102"/>
      <c r="AN183" s="102"/>
      <c r="AO183" s="102">
        <v>0</v>
      </c>
      <c r="AP183" s="102">
        <f t="shared" si="250"/>
        <v>0</v>
      </c>
      <c r="AQ183" s="102">
        <f t="shared" si="251"/>
        <v>0</v>
      </c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>
        <v>0</v>
      </c>
      <c r="BC183" s="123">
        <f t="shared" si="252"/>
        <v>0</v>
      </c>
      <c r="BD183" s="123">
        <f t="shared" si="253"/>
        <v>0</v>
      </c>
      <c r="BE183" s="123"/>
      <c r="BF183" s="123"/>
      <c r="BG183" s="123"/>
      <c r="BH183" s="123"/>
      <c r="BI183" s="123"/>
      <c r="BJ183" s="123"/>
      <c r="BK183" s="123"/>
      <c r="BL183" s="123"/>
      <c r="BM183" s="102">
        <f t="shared" si="254"/>
        <v>0</v>
      </c>
      <c r="BN183" s="102">
        <f t="shared" si="255"/>
        <v>0</v>
      </c>
      <c r="BO183" s="102"/>
      <c r="BP183" s="102"/>
      <c r="BQ183" s="102"/>
      <c r="BR183" s="102"/>
      <c r="BS183" s="102"/>
      <c r="BT183" s="389"/>
      <c r="BU183" s="102"/>
      <c r="BV183" s="102"/>
      <c r="BW183" s="335"/>
      <c r="BX183" s="103" t="s">
        <v>662</v>
      </c>
      <c r="BY183" s="107"/>
      <c r="BZ183" s="36"/>
      <c r="CA183" s="36"/>
      <c r="CB183" s="36"/>
      <c r="CC183" s="36"/>
      <c r="CD183" s="36"/>
      <c r="CE183" s="36"/>
      <c r="CF183" s="36"/>
      <c r="CG183" s="36"/>
    </row>
    <row r="184" spans="1:85" ht="42" customHeight="1" x14ac:dyDescent="0.2">
      <c r="A184" s="146">
        <v>90000053670</v>
      </c>
      <c r="B184" s="117"/>
      <c r="C184" s="495" t="s">
        <v>329</v>
      </c>
      <c r="D184" s="496"/>
      <c r="E184" s="100" t="s">
        <v>277</v>
      </c>
      <c r="F184" s="347">
        <f t="shared" si="290"/>
        <v>525773</v>
      </c>
      <c r="G184" s="101">
        <f t="shared" si="238"/>
        <v>530903</v>
      </c>
      <c r="H184" s="102">
        <v>300315</v>
      </c>
      <c r="I184" s="102">
        <f t="shared" si="246"/>
        <v>300315</v>
      </c>
      <c r="J184" s="102">
        <f t="shared" si="247"/>
        <v>0</v>
      </c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445"/>
      <c r="Y184" s="102"/>
      <c r="Z184" s="102"/>
      <c r="AA184" s="102"/>
      <c r="AB184" s="102"/>
      <c r="AC184" s="102">
        <v>159639</v>
      </c>
      <c r="AD184" s="102">
        <f t="shared" si="248"/>
        <v>160667</v>
      </c>
      <c r="AE184" s="102">
        <f t="shared" si="249"/>
        <v>1028</v>
      </c>
      <c r="AF184" s="102"/>
      <c r="AG184" s="102"/>
      <c r="AH184" s="102">
        <f>1026+2</f>
        <v>1028</v>
      </c>
      <c r="AI184" s="102"/>
      <c r="AJ184" s="102"/>
      <c r="AK184" s="102"/>
      <c r="AL184" s="445"/>
      <c r="AM184" s="102"/>
      <c r="AN184" s="102"/>
      <c r="AO184" s="102">
        <v>65819</v>
      </c>
      <c r="AP184" s="102">
        <f t="shared" si="250"/>
        <v>69921</v>
      </c>
      <c r="AQ184" s="102">
        <f t="shared" si="251"/>
        <v>4102</v>
      </c>
      <c r="AR184" s="102"/>
      <c r="AS184" s="102"/>
      <c r="AT184" s="102">
        <v>4102</v>
      </c>
      <c r="AU184" s="102"/>
      <c r="AV184" s="102"/>
      <c r="AW184" s="102"/>
      <c r="AX184" s="102"/>
      <c r="AY184" s="102"/>
      <c r="AZ184" s="102"/>
      <c r="BA184" s="102"/>
      <c r="BB184" s="102">
        <v>0</v>
      </c>
      <c r="BC184" s="123">
        <f t="shared" si="252"/>
        <v>0</v>
      </c>
      <c r="BD184" s="123">
        <f t="shared" si="253"/>
        <v>0</v>
      </c>
      <c r="BE184" s="123"/>
      <c r="BF184" s="123"/>
      <c r="BG184" s="123"/>
      <c r="BH184" s="123"/>
      <c r="BI184" s="123"/>
      <c r="BJ184" s="123"/>
      <c r="BK184" s="123"/>
      <c r="BL184" s="123"/>
      <c r="BM184" s="102">
        <f t="shared" si="254"/>
        <v>0</v>
      </c>
      <c r="BN184" s="102">
        <f t="shared" si="255"/>
        <v>0</v>
      </c>
      <c r="BO184" s="102"/>
      <c r="BP184" s="102"/>
      <c r="BQ184" s="102"/>
      <c r="BR184" s="102"/>
      <c r="BS184" s="102"/>
      <c r="BT184" s="389"/>
      <c r="BU184" s="102"/>
      <c r="BV184" s="102"/>
      <c r="BW184" s="335"/>
      <c r="BX184" s="103" t="s">
        <v>440</v>
      </c>
      <c r="BY184" s="107"/>
      <c r="BZ184" s="36"/>
      <c r="CA184" s="36"/>
      <c r="CB184" s="36"/>
      <c r="CC184" s="36"/>
      <c r="CD184" s="36"/>
      <c r="CE184" s="36"/>
      <c r="CF184" s="36"/>
      <c r="CG184" s="36"/>
    </row>
    <row r="185" spans="1:85" s="183" customFormat="1" ht="12.75" x14ac:dyDescent="0.2">
      <c r="A185" s="146"/>
      <c r="B185" s="117"/>
      <c r="C185" s="261"/>
      <c r="D185" s="260"/>
      <c r="E185" s="100" t="s">
        <v>267</v>
      </c>
      <c r="F185" s="347">
        <f t="shared" si="290"/>
        <v>18494</v>
      </c>
      <c r="G185" s="101">
        <f t="shared" si="238"/>
        <v>18494</v>
      </c>
      <c r="H185" s="102">
        <v>18494</v>
      </c>
      <c r="I185" s="102">
        <f t="shared" si="246"/>
        <v>18494</v>
      </c>
      <c r="J185" s="102">
        <f t="shared" si="247"/>
        <v>0</v>
      </c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445"/>
      <c r="Y185" s="102"/>
      <c r="Z185" s="102"/>
      <c r="AA185" s="102"/>
      <c r="AB185" s="102"/>
      <c r="AC185" s="102">
        <v>0</v>
      </c>
      <c r="AD185" s="102">
        <f t="shared" si="248"/>
        <v>0</v>
      </c>
      <c r="AE185" s="102">
        <f t="shared" si="249"/>
        <v>0</v>
      </c>
      <c r="AF185" s="102"/>
      <c r="AG185" s="102"/>
      <c r="AH185" s="102"/>
      <c r="AI185" s="102"/>
      <c r="AJ185" s="102"/>
      <c r="AK185" s="102"/>
      <c r="AL185" s="445"/>
      <c r="AM185" s="102"/>
      <c r="AN185" s="102"/>
      <c r="AO185" s="102">
        <v>0</v>
      </c>
      <c r="AP185" s="102">
        <f t="shared" si="250"/>
        <v>0</v>
      </c>
      <c r="AQ185" s="102">
        <f t="shared" si="251"/>
        <v>0</v>
      </c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>
        <v>0</v>
      </c>
      <c r="BC185" s="123">
        <f t="shared" si="252"/>
        <v>0</v>
      </c>
      <c r="BD185" s="123">
        <f t="shared" si="253"/>
        <v>0</v>
      </c>
      <c r="BE185" s="123"/>
      <c r="BF185" s="123"/>
      <c r="BG185" s="123"/>
      <c r="BH185" s="123"/>
      <c r="BI185" s="123"/>
      <c r="BJ185" s="123"/>
      <c r="BK185" s="123"/>
      <c r="BL185" s="123"/>
      <c r="BM185" s="102">
        <f t="shared" si="254"/>
        <v>0</v>
      </c>
      <c r="BN185" s="102">
        <f t="shared" si="255"/>
        <v>0</v>
      </c>
      <c r="BO185" s="102"/>
      <c r="BP185" s="102"/>
      <c r="BQ185" s="102"/>
      <c r="BR185" s="102"/>
      <c r="BS185" s="102"/>
      <c r="BT185" s="389"/>
      <c r="BU185" s="102"/>
      <c r="BV185" s="102"/>
      <c r="BW185" s="335"/>
      <c r="BX185" s="103" t="s">
        <v>442</v>
      </c>
      <c r="BY185" s="107"/>
      <c r="BZ185" s="36"/>
      <c r="CA185" s="36"/>
      <c r="CB185" s="36"/>
      <c r="CC185" s="36"/>
      <c r="CD185" s="36"/>
      <c r="CE185" s="36"/>
      <c r="CF185" s="36"/>
      <c r="CG185" s="36"/>
    </row>
    <row r="186" spans="1:85" ht="27" customHeight="1" x14ac:dyDescent="0.2">
      <c r="A186" s="146">
        <v>90000051595</v>
      </c>
      <c r="B186" s="117"/>
      <c r="C186" s="495" t="s">
        <v>165</v>
      </c>
      <c r="D186" s="496"/>
      <c r="E186" s="100" t="s">
        <v>248</v>
      </c>
      <c r="F186" s="347">
        <f t="shared" si="290"/>
        <v>1084095</v>
      </c>
      <c r="G186" s="101">
        <f t="shared" si="238"/>
        <v>1106785</v>
      </c>
      <c r="H186" s="102">
        <v>543182</v>
      </c>
      <c r="I186" s="102">
        <f t="shared" si="246"/>
        <v>549653</v>
      </c>
      <c r="J186" s="102">
        <f t="shared" si="247"/>
        <v>6471</v>
      </c>
      <c r="K186" s="102"/>
      <c r="L186" s="102"/>
      <c r="M186" s="102"/>
      <c r="N186" s="102"/>
      <c r="O186" s="102"/>
      <c r="P186" s="102">
        <v>6471</v>
      </c>
      <c r="Q186" s="102"/>
      <c r="R186" s="102"/>
      <c r="S186" s="102"/>
      <c r="T186" s="102"/>
      <c r="U186" s="102"/>
      <c r="V186" s="102"/>
      <c r="W186" s="102"/>
      <c r="X186" s="445"/>
      <c r="Y186" s="102"/>
      <c r="Z186" s="102"/>
      <c r="AA186" s="102"/>
      <c r="AB186" s="102"/>
      <c r="AC186" s="102">
        <v>523725</v>
      </c>
      <c r="AD186" s="102">
        <f t="shared" si="248"/>
        <v>535169</v>
      </c>
      <c r="AE186" s="102">
        <f t="shared" si="249"/>
        <v>11444</v>
      </c>
      <c r="AF186" s="102"/>
      <c r="AG186" s="102"/>
      <c r="AH186" s="102">
        <v>8490</v>
      </c>
      <c r="AI186" s="102"/>
      <c r="AJ186" s="102"/>
      <c r="AK186" s="102"/>
      <c r="AL186" s="445">
        <v>2954</v>
      </c>
      <c r="AM186" s="102"/>
      <c r="AN186" s="102"/>
      <c r="AO186" s="102">
        <v>17188</v>
      </c>
      <c r="AP186" s="102">
        <f t="shared" si="250"/>
        <v>21963</v>
      </c>
      <c r="AQ186" s="102">
        <f t="shared" si="251"/>
        <v>4775</v>
      </c>
      <c r="AR186" s="102"/>
      <c r="AS186" s="102"/>
      <c r="AT186" s="102">
        <v>4775</v>
      </c>
      <c r="AU186" s="102"/>
      <c r="AV186" s="102"/>
      <c r="AW186" s="102"/>
      <c r="AX186" s="102"/>
      <c r="AY186" s="102"/>
      <c r="AZ186" s="102"/>
      <c r="BA186" s="102"/>
      <c r="BB186" s="102">
        <v>0</v>
      </c>
      <c r="BC186" s="123">
        <f t="shared" si="252"/>
        <v>0</v>
      </c>
      <c r="BD186" s="123">
        <f t="shared" si="253"/>
        <v>0</v>
      </c>
      <c r="BE186" s="123"/>
      <c r="BF186" s="123"/>
      <c r="BG186" s="123"/>
      <c r="BH186" s="123"/>
      <c r="BI186" s="123"/>
      <c r="BJ186" s="123"/>
      <c r="BK186" s="123"/>
      <c r="BL186" s="123"/>
      <c r="BM186" s="102">
        <f t="shared" si="254"/>
        <v>0</v>
      </c>
      <c r="BN186" s="102">
        <f t="shared" si="255"/>
        <v>0</v>
      </c>
      <c r="BO186" s="102"/>
      <c r="BP186" s="102"/>
      <c r="BQ186" s="102"/>
      <c r="BR186" s="102"/>
      <c r="BS186" s="102"/>
      <c r="BT186" s="389"/>
      <c r="BU186" s="102"/>
      <c r="BV186" s="102"/>
      <c r="BW186" s="335"/>
      <c r="BX186" s="103" t="s">
        <v>443</v>
      </c>
      <c r="BY186" s="107"/>
      <c r="BZ186" s="36"/>
      <c r="CA186" s="36"/>
      <c r="CB186" s="36"/>
      <c r="CC186" s="36"/>
      <c r="CD186" s="36"/>
      <c r="CE186" s="36"/>
      <c r="CF186" s="36"/>
      <c r="CG186" s="36"/>
    </row>
    <row r="187" spans="1:85" ht="12.75" x14ac:dyDescent="0.2">
      <c r="A187" s="146"/>
      <c r="B187" s="117"/>
      <c r="C187" s="266"/>
      <c r="D187" s="267"/>
      <c r="E187" s="100" t="s">
        <v>267</v>
      </c>
      <c r="F187" s="347">
        <f t="shared" si="290"/>
        <v>124505</v>
      </c>
      <c r="G187" s="101">
        <f t="shared" si="238"/>
        <v>128306</v>
      </c>
      <c r="H187" s="102">
        <v>85339</v>
      </c>
      <c r="I187" s="102">
        <f t="shared" si="246"/>
        <v>89140</v>
      </c>
      <c r="J187" s="102">
        <f t="shared" si="247"/>
        <v>3801</v>
      </c>
      <c r="K187" s="102"/>
      <c r="L187" s="102"/>
      <c r="M187" s="102"/>
      <c r="N187" s="102"/>
      <c r="O187" s="102"/>
      <c r="P187" s="102">
        <v>3801</v>
      </c>
      <c r="Q187" s="102"/>
      <c r="R187" s="102"/>
      <c r="S187" s="102"/>
      <c r="T187" s="102"/>
      <c r="U187" s="102"/>
      <c r="V187" s="102"/>
      <c r="W187" s="102"/>
      <c r="X187" s="445"/>
      <c r="Y187" s="102"/>
      <c r="Z187" s="102"/>
      <c r="AA187" s="102"/>
      <c r="AB187" s="102"/>
      <c r="AC187" s="102">
        <v>39166</v>
      </c>
      <c r="AD187" s="102">
        <f t="shared" si="248"/>
        <v>39166</v>
      </c>
      <c r="AE187" s="102">
        <f t="shared" si="249"/>
        <v>0</v>
      </c>
      <c r="AF187" s="102"/>
      <c r="AG187" s="102"/>
      <c r="AH187" s="102"/>
      <c r="AI187" s="102"/>
      <c r="AJ187" s="102"/>
      <c r="AK187" s="102"/>
      <c r="AL187" s="445"/>
      <c r="AM187" s="102"/>
      <c r="AN187" s="102"/>
      <c r="AO187" s="102">
        <v>0</v>
      </c>
      <c r="AP187" s="102">
        <f t="shared" si="250"/>
        <v>0</v>
      </c>
      <c r="AQ187" s="102">
        <f t="shared" si="251"/>
        <v>0</v>
      </c>
      <c r="AR187" s="102"/>
      <c r="AS187" s="102"/>
      <c r="AT187" s="102"/>
      <c r="AU187" s="102"/>
      <c r="AV187" s="102"/>
      <c r="AW187" s="102"/>
      <c r="AX187" s="102"/>
      <c r="AY187" s="102"/>
      <c r="AZ187" s="102"/>
      <c r="BA187" s="102"/>
      <c r="BB187" s="102">
        <v>0</v>
      </c>
      <c r="BC187" s="123">
        <f t="shared" si="252"/>
        <v>0</v>
      </c>
      <c r="BD187" s="123">
        <f t="shared" si="253"/>
        <v>0</v>
      </c>
      <c r="BE187" s="123"/>
      <c r="BF187" s="123"/>
      <c r="BG187" s="123"/>
      <c r="BH187" s="123"/>
      <c r="BI187" s="123"/>
      <c r="BJ187" s="123"/>
      <c r="BK187" s="123"/>
      <c r="BL187" s="123"/>
      <c r="BM187" s="102">
        <f t="shared" si="254"/>
        <v>0</v>
      </c>
      <c r="BN187" s="102">
        <f t="shared" si="255"/>
        <v>0</v>
      </c>
      <c r="BO187" s="102"/>
      <c r="BP187" s="102"/>
      <c r="BQ187" s="102"/>
      <c r="BR187" s="102"/>
      <c r="BS187" s="102"/>
      <c r="BT187" s="389"/>
      <c r="BU187" s="102"/>
      <c r="BV187" s="102"/>
      <c r="BW187" s="335"/>
      <c r="BX187" s="103" t="s">
        <v>441</v>
      </c>
      <c r="BY187" s="107"/>
      <c r="BZ187" s="36"/>
      <c r="CA187" s="36"/>
      <c r="CB187" s="36"/>
      <c r="CC187" s="36"/>
      <c r="CD187" s="36"/>
      <c r="CE187" s="36"/>
      <c r="CF187" s="36"/>
      <c r="CG187" s="36"/>
    </row>
    <row r="188" spans="1:85" s="293" customFormat="1" ht="36" x14ac:dyDescent="0.2">
      <c r="A188" s="146"/>
      <c r="B188" s="117"/>
      <c r="C188" s="291"/>
      <c r="D188" s="292"/>
      <c r="E188" s="100" t="s">
        <v>643</v>
      </c>
      <c r="F188" s="347">
        <f t="shared" si="290"/>
        <v>4479</v>
      </c>
      <c r="G188" s="101">
        <f t="shared" si="238"/>
        <v>4480</v>
      </c>
      <c r="H188" s="102">
        <v>4479</v>
      </c>
      <c r="I188" s="102">
        <f t="shared" si="246"/>
        <v>4480</v>
      </c>
      <c r="J188" s="102">
        <f t="shared" si="247"/>
        <v>1</v>
      </c>
      <c r="K188" s="102"/>
      <c r="L188" s="102"/>
      <c r="M188" s="102"/>
      <c r="N188" s="102"/>
      <c r="O188" s="102"/>
      <c r="P188" s="102"/>
      <c r="Q188" s="102"/>
      <c r="R188" s="102">
        <v>1</v>
      </c>
      <c r="S188" s="102"/>
      <c r="T188" s="102"/>
      <c r="U188" s="102"/>
      <c r="V188" s="102"/>
      <c r="W188" s="102"/>
      <c r="X188" s="445"/>
      <c r="Y188" s="102"/>
      <c r="Z188" s="102"/>
      <c r="AA188" s="102"/>
      <c r="AB188" s="102"/>
      <c r="AC188" s="102">
        <v>0</v>
      </c>
      <c r="AD188" s="102">
        <f t="shared" si="248"/>
        <v>0</v>
      </c>
      <c r="AE188" s="102">
        <f t="shared" si="249"/>
        <v>0</v>
      </c>
      <c r="AF188" s="102"/>
      <c r="AG188" s="102"/>
      <c r="AH188" s="102"/>
      <c r="AI188" s="102"/>
      <c r="AJ188" s="102"/>
      <c r="AK188" s="102"/>
      <c r="AL188" s="445"/>
      <c r="AM188" s="102"/>
      <c r="AN188" s="102"/>
      <c r="AO188" s="102">
        <v>0</v>
      </c>
      <c r="AP188" s="102">
        <f t="shared" si="250"/>
        <v>0</v>
      </c>
      <c r="AQ188" s="102">
        <f t="shared" si="251"/>
        <v>0</v>
      </c>
      <c r="AR188" s="102"/>
      <c r="AS188" s="102"/>
      <c r="AT188" s="102"/>
      <c r="AU188" s="102"/>
      <c r="AV188" s="102"/>
      <c r="AW188" s="102"/>
      <c r="AX188" s="102"/>
      <c r="AY188" s="102"/>
      <c r="AZ188" s="102"/>
      <c r="BA188" s="102"/>
      <c r="BB188" s="102">
        <v>0</v>
      </c>
      <c r="BC188" s="123">
        <f t="shared" si="252"/>
        <v>0</v>
      </c>
      <c r="BD188" s="123">
        <f t="shared" si="253"/>
        <v>0</v>
      </c>
      <c r="BE188" s="123"/>
      <c r="BF188" s="123"/>
      <c r="BG188" s="123"/>
      <c r="BH188" s="123"/>
      <c r="BI188" s="123"/>
      <c r="BJ188" s="123"/>
      <c r="BK188" s="123"/>
      <c r="BL188" s="123"/>
      <c r="BM188" s="102">
        <f t="shared" si="254"/>
        <v>0</v>
      </c>
      <c r="BN188" s="102">
        <f t="shared" si="255"/>
        <v>0</v>
      </c>
      <c r="BO188" s="102"/>
      <c r="BP188" s="102"/>
      <c r="BQ188" s="102"/>
      <c r="BR188" s="102"/>
      <c r="BS188" s="102"/>
      <c r="BT188" s="389"/>
      <c r="BU188" s="102"/>
      <c r="BV188" s="102"/>
      <c r="BW188" s="335"/>
      <c r="BX188" s="103" t="s">
        <v>663</v>
      </c>
      <c r="BY188" s="107"/>
      <c r="BZ188" s="36"/>
      <c r="CA188" s="36"/>
      <c r="CB188" s="36"/>
      <c r="CC188" s="36"/>
      <c r="CD188" s="36"/>
      <c r="CE188" s="36"/>
      <c r="CF188" s="36"/>
      <c r="CG188" s="36"/>
    </row>
    <row r="189" spans="1:85" s="426" customFormat="1" ht="24" x14ac:dyDescent="0.2">
      <c r="A189" s="146"/>
      <c r="B189" s="117"/>
      <c r="C189" s="427"/>
      <c r="D189" s="428"/>
      <c r="E189" s="100" t="s">
        <v>803</v>
      </c>
      <c r="F189" s="347">
        <f t="shared" ref="F189" si="350">H189+AC189+AO189+BA189+BB189+BL189</f>
        <v>0</v>
      </c>
      <c r="G189" s="101">
        <f t="shared" ref="G189" si="351">I189+AD189+AP189+BA189+BC189+BM189</f>
        <v>7820</v>
      </c>
      <c r="H189" s="102"/>
      <c r="I189" s="102">
        <f t="shared" ref="I189" si="352">J189+H189</f>
        <v>7820</v>
      </c>
      <c r="J189" s="102">
        <f t="shared" ref="J189" si="353">SUM(K189:AB189)</f>
        <v>7820</v>
      </c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>
        <v>7820</v>
      </c>
      <c r="X189" s="445"/>
      <c r="Y189" s="102"/>
      <c r="Z189" s="102"/>
      <c r="AA189" s="102"/>
      <c r="AB189" s="102"/>
      <c r="AC189" s="102"/>
      <c r="AD189" s="102">
        <f t="shared" ref="AD189" si="354">AC189+AE189</f>
        <v>0</v>
      </c>
      <c r="AE189" s="102">
        <f t="shared" ref="AE189" si="355">SUM(AF189:AN189)</f>
        <v>0</v>
      </c>
      <c r="AF189" s="102"/>
      <c r="AG189" s="102"/>
      <c r="AH189" s="102"/>
      <c r="AI189" s="102"/>
      <c r="AJ189" s="102"/>
      <c r="AK189" s="102"/>
      <c r="AL189" s="445"/>
      <c r="AM189" s="102"/>
      <c r="AN189" s="102"/>
      <c r="AO189" s="102"/>
      <c r="AP189" s="102">
        <f t="shared" ref="AP189" si="356">AQ189+AO189</f>
        <v>0</v>
      </c>
      <c r="AQ189" s="102">
        <f t="shared" ref="AQ189" si="357">SUM(AR189:AZ189)</f>
        <v>0</v>
      </c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123">
        <f t="shared" ref="BC189" si="358">BB189+BD189</f>
        <v>0</v>
      </c>
      <c r="BD189" s="123">
        <f t="shared" ref="BD189" si="359">SUM(BE189:BK189)</f>
        <v>0</v>
      </c>
      <c r="BE189" s="123"/>
      <c r="BF189" s="123"/>
      <c r="BG189" s="123"/>
      <c r="BH189" s="123"/>
      <c r="BI189" s="123"/>
      <c r="BJ189" s="123"/>
      <c r="BK189" s="123"/>
      <c r="BL189" s="123"/>
      <c r="BM189" s="102">
        <f t="shared" ref="BM189" si="360">BN189+BL189</f>
        <v>0</v>
      </c>
      <c r="BN189" s="102">
        <f t="shared" ref="BN189" si="361">SUM(BO189:BW189)</f>
        <v>0</v>
      </c>
      <c r="BO189" s="102"/>
      <c r="BP189" s="102"/>
      <c r="BQ189" s="102"/>
      <c r="BR189" s="102"/>
      <c r="BS189" s="102"/>
      <c r="BT189" s="389"/>
      <c r="BU189" s="102"/>
      <c r="BV189" s="102"/>
      <c r="BW189" s="335"/>
      <c r="BX189" s="103" t="s">
        <v>804</v>
      </c>
      <c r="BY189" s="107"/>
      <c r="BZ189" s="36"/>
      <c r="CA189" s="36"/>
      <c r="CB189" s="36"/>
      <c r="CC189" s="36"/>
      <c r="CD189" s="36"/>
      <c r="CE189" s="36"/>
      <c r="CF189" s="36"/>
      <c r="CG189" s="36"/>
    </row>
    <row r="190" spans="1:85" ht="24" x14ac:dyDescent="0.2">
      <c r="A190" s="146">
        <v>90000056465</v>
      </c>
      <c r="B190" s="117"/>
      <c r="C190" s="495" t="s">
        <v>330</v>
      </c>
      <c r="D190" s="496"/>
      <c r="E190" s="100" t="s">
        <v>270</v>
      </c>
      <c r="F190" s="347">
        <f t="shared" si="290"/>
        <v>1133494</v>
      </c>
      <c r="G190" s="101">
        <f t="shared" si="238"/>
        <v>1131805</v>
      </c>
      <c r="H190" s="102">
        <v>605657</v>
      </c>
      <c r="I190" s="102">
        <f t="shared" si="246"/>
        <v>606638</v>
      </c>
      <c r="J190" s="102">
        <f t="shared" si="247"/>
        <v>981</v>
      </c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>
        <v>981</v>
      </c>
      <c r="X190" s="445"/>
      <c r="Y190" s="102"/>
      <c r="Z190" s="102"/>
      <c r="AA190" s="102"/>
      <c r="AB190" s="102"/>
      <c r="AC190" s="102">
        <v>437928</v>
      </c>
      <c r="AD190" s="102">
        <f t="shared" si="248"/>
        <v>439420</v>
      </c>
      <c r="AE190" s="102">
        <f t="shared" si="249"/>
        <v>1492</v>
      </c>
      <c r="AF190" s="102">
        <v>1492</v>
      </c>
      <c r="AG190" s="102"/>
      <c r="AH190" s="102"/>
      <c r="AI190" s="102"/>
      <c r="AJ190" s="102"/>
      <c r="AK190" s="102"/>
      <c r="AL190" s="445"/>
      <c r="AM190" s="102"/>
      <c r="AN190" s="102"/>
      <c r="AO190" s="102">
        <v>89909</v>
      </c>
      <c r="AP190" s="102">
        <f t="shared" si="250"/>
        <v>100822</v>
      </c>
      <c r="AQ190" s="102">
        <f t="shared" si="251"/>
        <v>10913</v>
      </c>
      <c r="AR190" s="102">
        <v>10913</v>
      </c>
      <c r="AS190" s="102"/>
      <c r="AT190" s="102"/>
      <c r="AU190" s="102"/>
      <c r="AV190" s="102"/>
      <c r="AW190" s="102"/>
      <c r="AX190" s="102"/>
      <c r="AY190" s="102"/>
      <c r="AZ190" s="102"/>
      <c r="BA190" s="102"/>
      <c r="BB190" s="102">
        <v>0</v>
      </c>
      <c r="BC190" s="123">
        <f t="shared" si="252"/>
        <v>30</v>
      </c>
      <c r="BD190" s="123">
        <f t="shared" si="253"/>
        <v>30</v>
      </c>
      <c r="BE190" s="123"/>
      <c r="BF190" s="123">
        <v>30</v>
      </c>
      <c r="BG190" s="123"/>
      <c r="BH190" s="123"/>
      <c r="BI190" s="123"/>
      <c r="BJ190" s="123"/>
      <c r="BK190" s="123"/>
      <c r="BL190" s="123"/>
      <c r="BM190" s="102">
        <f t="shared" si="254"/>
        <v>-15105</v>
      </c>
      <c r="BN190" s="102">
        <f t="shared" si="255"/>
        <v>-15105</v>
      </c>
      <c r="BO190" s="102"/>
      <c r="BP190" s="102"/>
      <c r="BQ190" s="102"/>
      <c r="BR190" s="102"/>
      <c r="BS190" s="102">
        <v>-15105</v>
      </c>
      <c r="BT190" s="389"/>
      <c r="BU190" s="102"/>
      <c r="BV190" s="102"/>
      <c r="BW190" s="335"/>
      <c r="BX190" s="103" t="s">
        <v>444</v>
      </c>
      <c r="BY190" s="107"/>
      <c r="BZ190" s="36"/>
      <c r="CA190" s="36"/>
      <c r="CB190" s="36"/>
      <c r="CC190" s="36"/>
      <c r="CD190" s="36"/>
      <c r="CE190" s="36"/>
      <c r="CF190" s="36"/>
      <c r="CG190" s="36"/>
    </row>
    <row r="191" spans="1:85" s="386" customFormat="1" ht="36" x14ac:dyDescent="0.2">
      <c r="A191" s="146"/>
      <c r="B191" s="117"/>
      <c r="C191" s="384"/>
      <c r="D191" s="385"/>
      <c r="E191" s="100" t="s">
        <v>759</v>
      </c>
      <c r="F191" s="347">
        <f t="shared" ref="F191" si="362">H191+AC191+AO191+BA191+BB191+BL191</f>
        <v>0</v>
      </c>
      <c r="G191" s="101">
        <f t="shared" ref="G191" si="363">I191+AD191+AP191+BA191+BC191+BM191</f>
        <v>26105</v>
      </c>
      <c r="H191" s="102"/>
      <c r="I191" s="102">
        <f t="shared" ref="I191" si="364">J191+H191</f>
        <v>26105</v>
      </c>
      <c r="J191" s="102">
        <f t="shared" ref="J191" si="365">SUM(K191:AB191)</f>
        <v>26105</v>
      </c>
      <c r="K191" s="102"/>
      <c r="L191" s="102"/>
      <c r="M191" s="102"/>
      <c r="N191" s="102"/>
      <c r="O191" s="102"/>
      <c r="P191" s="102"/>
      <c r="Q191" s="102"/>
      <c r="R191" s="102">
        <v>26105</v>
      </c>
      <c r="S191" s="102"/>
      <c r="T191" s="102"/>
      <c r="U191" s="102"/>
      <c r="V191" s="102"/>
      <c r="W191" s="102"/>
      <c r="X191" s="445"/>
      <c r="Y191" s="102"/>
      <c r="Z191" s="102"/>
      <c r="AA191" s="102"/>
      <c r="AB191" s="102"/>
      <c r="AC191" s="102"/>
      <c r="AD191" s="102">
        <f t="shared" ref="AD191" si="366">AC191+AE191</f>
        <v>0</v>
      </c>
      <c r="AE191" s="102">
        <f t="shared" ref="AE191" si="367">SUM(AF191:AN191)</f>
        <v>0</v>
      </c>
      <c r="AF191" s="102"/>
      <c r="AG191" s="102"/>
      <c r="AH191" s="102"/>
      <c r="AI191" s="102"/>
      <c r="AJ191" s="102"/>
      <c r="AK191" s="102"/>
      <c r="AL191" s="445"/>
      <c r="AM191" s="102"/>
      <c r="AN191" s="102"/>
      <c r="AO191" s="102"/>
      <c r="AP191" s="102">
        <f t="shared" ref="AP191" si="368">AQ191+AO191</f>
        <v>0</v>
      </c>
      <c r="AQ191" s="102">
        <f t="shared" ref="AQ191" si="369">SUM(AR191:AZ191)</f>
        <v>0</v>
      </c>
      <c r="AR191" s="123"/>
      <c r="AS191" s="123"/>
      <c r="AT191" s="123"/>
      <c r="AU191" s="123"/>
      <c r="AV191" s="123"/>
      <c r="AW191" s="123"/>
      <c r="AX191" s="123"/>
      <c r="AY191" s="123"/>
      <c r="AZ191" s="123"/>
      <c r="BA191" s="123"/>
      <c r="BB191" s="123"/>
      <c r="BC191" s="123">
        <f t="shared" ref="BC191" si="370">BB191+BD191</f>
        <v>0</v>
      </c>
      <c r="BD191" s="123">
        <f t="shared" ref="BD191" si="371">SUM(BE191:BK191)</f>
        <v>0</v>
      </c>
      <c r="BE191" s="123"/>
      <c r="BF191" s="123"/>
      <c r="BG191" s="123"/>
      <c r="BH191" s="123"/>
      <c r="BI191" s="123"/>
      <c r="BJ191" s="123"/>
      <c r="BK191" s="123"/>
      <c r="BL191" s="123"/>
      <c r="BM191" s="102">
        <f t="shared" ref="BM191" si="372">BN191+BL191</f>
        <v>0</v>
      </c>
      <c r="BN191" s="102">
        <f t="shared" ref="BN191" si="373">SUM(BO191:BW191)</f>
        <v>0</v>
      </c>
      <c r="BO191" s="102"/>
      <c r="BP191" s="102"/>
      <c r="BQ191" s="102"/>
      <c r="BR191" s="102"/>
      <c r="BS191" s="102"/>
      <c r="BT191" s="389"/>
      <c r="BU191" s="102"/>
      <c r="BV191" s="102"/>
      <c r="BW191" s="335"/>
      <c r="BX191" s="103" t="s">
        <v>760</v>
      </c>
      <c r="BY191" s="107"/>
      <c r="BZ191" s="36"/>
      <c r="CA191" s="36"/>
      <c r="CB191" s="36"/>
      <c r="CC191" s="36"/>
      <c r="CD191" s="36"/>
      <c r="CE191" s="36"/>
      <c r="CF191" s="36"/>
      <c r="CG191" s="36"/>
    </row>
    <row r="192" spans="1:85" ht="36" x14ac:dyDescent="0.2">
      <c r="A192" s="146">
        <v>90009249140</v>
      </c>
      <c r="B192" s="117"/>
      <c r="C192" s="495" t="s">
        <v>596</v>
      </c>
      <c r="D192" s="496"/>
      <c r="E192" s="100" t="s">
        <v>249</v>
      </c>
      <c r="F192" s="347">
        <f t="shared" si="290"/>
        <v>340687</v>
      </c>
      <c r="G192" s="101">
        <f t="shared" si="238"/>
        <v>341477</v>
      </c>
      <c r="H192" s="102">
        <v>314132</v>
      </c>
      <c r="I192" s="102">
        <f t="shared" si="246"/>
        <v>314216</v>
      </c>
      <c r="J192" s="102">
        <f t="shared" si="247"/>
        <v>84</v>
      </c>
      <c r="K192" s="102"/>
      <c r="L192" s="102">
        <v>84</v>
      </c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445"/>
      <c r="Y192" s="102"/>
      <c r="Z192" s="102"/>
      <c r="AA192" s="102"/>
      <c r="AB192" s="102"/>
      <c r="AC192" s="102">
        <v>25299</v>
      </c>
      <c r="AD192" s="102">
        <f t="shared" si="248"/>
        <v>25952</v>
      </c>
      <c r="AE192" s="102">
        <f t="shared" si="249"/>
        <v>653</v>
      </c>
      <c r="AF192" s="102"/>
      <c r="AG192" s="102"/>
      <c r="AH192" s="102">
        <v>653</v>
      </c>
      <c r="AI192" s="102"/>
      <c r="AJ192" s="102"/>
      <c r="AK192" s="102"/>
      <c r="AL192" s="445"/>
      <c r="AM192" s="102"/>
      <c r="AN192" s="102"/>
      <c r="AO192" s="102">
        <v>1256</v>
      </c>
      <c r="AP192" s="123">
        <f t="shared" si="250"/>
        <v>1309</v>
      </c>
      <c r="AQ192" s="123">
        <f t="shared" si="251"/>
        <v>53</v>
      </c>
      <c r="AR192" s="123">
        <v>53</v>
      </c>
      <c r="AS192" s="123"/>
      <c r="AT192" s="123"/>
      <c r="AU192" s="123"/>
      <c r="AV192" s="123"/>
      <c r="AW192" s="123"/>
      <c r="AX192" s="123"/>
      <c r="AY192" s="123"/>
      <c r="AZ192" s="123"/>
      <c r="BA192" s="123"/>
      <c r="BB192" s="123">
        <v>0</v>
      </c>
      <c r="BC192" s="123">
        <f t="shared" si="252"/>
        <v>0</v>
      </c>
      <c r="BD192" s="123">
        <f t="shared" si="253"/>
        <v>0</v>
      </c>
      <c r="BE192" s="123"/>
      <c r="BF192" s="123"/>
      <c r="BG192" s="123"/>
      <c r="BH192" s="123"/>
      <c r="BI192" s="123"/>
      <c r="BJ192" s="123"/>
      <c r="BK192" s="123"/>
      <c r="BL192" s="123"/>
      <c r="BM192" s="102">
        <f t="shared" si="254"/>
        <v>0</v>
      </c>
      <c r="BN192" s="102">
        <f t="shared" si="255"/>
        <v>0</v>
      </c>
      <c r="BO192" s="102"/>
      <c r="BP192" s="102"/>
      <c r="BQ192" s="102"/>
      <c r="BR192" s="102"/>
      <c r="BS192" s="102"/>
      <c r="BT192" s="389"/>
      <c r="BU192" s="102"/>
      <c r="BV192" s="102"/>
      <c r="BW192" s="335"/>
      <c r="BX192" s="103" t="s">
        <v>445</v>
      </c>
      <c r="BY192" s="107"/>
      <c r="BZ192" s="36"/>
      <c r="CA192" s="36"/>
      <c r="CB192" s="36"/>
      <c r="CC192" s="36"/>
      <c r="CD192" s="36"/>
      <c r="CE192" s="36"/>
      <c r="CF192" s="36"/>
      <c r="CG192" s="36"/>
    </row>
    <row r="193" spans="1:85" ht="12.75" x14ac:dyDescent="0.2">
      <c r="A193" s="146"/>
      <c r="B193" s="117"/>
      <c r="C193" s="261"/>
      <c r="D193" s="260"/>
      <c r="E193" s="100" t="s">
        <v>267</v>
      </c>
      <c r="F193" s="347">
        <f t="shared" si="290"/>
        <v>30830</v>
      </c>
      <c r="G193" s="101">
        <f t="shared" si="238"/>
        <v>30830</v>
      </c>
      <c r="H193" s="102">
        <v>30830</v>
      </c>
      <c r="I193" s="102">
        <f t="shared" si="246"/>
        <v>30830</v>
      </c>
      <c r="J193" s="102">
        <f t="shared" si="247"/>
        <v>0</v>
      </c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445"/>
      <c r="Y193" s="102"/>
      <c r="Z193" s="102"/>
      <c r="AA193" s="102"/>
      <c r="AB193" s="102"/>
      <c r="AC193" s="102">
        <v>0</v>
      </c>
      <c r="AD193" s="102">
        <f t="shared" si="248"/>
        <v>0</v>
      </c>
      <c r="AE193" s="102">
        <f t="shared" si="249"/>
        <v>0</v>
      </c>
      <c r="AF193" s="102"/>
      <c r="AG193" s="102"/>
      <c r="AH193" s="102"/>
      <c r="AI193" s="102"/>
      <c r="AJ193" s="102"/>
      <c r="AK193" s="102"/>
      <c r="AL193" s="445"/>
      <c r="AM193" s="102"/>
      <c r="AN193" s="102"/>
      <c r="AO193" s="102">
        <v>0</v>
      </c>
      <c r="AP193" s="102">
        <f t="shared" si="250"/>
        <v>0</v>
      </c>
      <c r="AQ193" s="102">
        <f t="shared" si="251"/>
        <v>0</v>
      </c>
      <c r="AR193" s="102"/>
      <c r="AS193" s="102"/>
      <c r="AT193" s="102"/>
      <c r="AU193" s="102"/>
      <c r="AV193" s="102"/>
      <c r="AW193" s="102"/>
      <c r="AX193" s="102"/>
      <c r="AY193" s="102"/>
      <c r="AZ193" s="102"/>
      <c r="BA193" s="102"/>
      <c r="BB193" s="102">
        <v>0</v>
      </c>
      <c r="BC193" s="123">
        <f t="shared" si="252"/>
        <v>0</v>
      </c>
      <c r="BD193" s="123">
        <f t="shared" si="253"/>
        <v>0</v>
      </c>
      <c r="BE193" s="123"/>
      <c r="BF193" s="123"/>
      <c r="BG193" s="123"/>
      <c r="BH193" s="123"/>
      <c r="BI193" s="123"/>
      <c r="BJ193" s="123"/>
      <c r="BK193" s="123"/>
      <c r="BL193" s="123"/>
      <c r="BM193" s="102">
        <f t="shared" si="254"/>
        <v>0</v>
      </c>
      <c r="BN193" s="102">
        <f t="shared" si="255"/>
        <v>0</v>
      </c>
      <c r="BO193" s="102"/>
      <c r="BP193" s="102"/>
      <c r="BQ193" s="102"/>
      <c r="BR193" s="102"/>
      <c r="BS193" s="102"/>
      <c r="BT193" s="389"/>
      <c r="BU193" s="102"/>
      <c r="BV193" s="102"/>
      <c r="BW193" s="335"/>
      <c r="BX193" s="103" t="s">
        <v>446</v>
      </c>
      <c r="BY193" s="107"/>
      <c r="BZ193" s="36"/>
      <c r="CA193" s="36"/>
      <c r="CB193" s="36"/>
      <c r="CC193" s="36"/>
      <c r="CD193" s="36"/>
      <c r="CE193" s="36"/>
      <c r="CF193" s="36"/>
      <c r="CG193" s="36"/>
    </row>
    <row r="194" spans="1:85" ht="36" x14ac:dyDescent="0.2">
      <c r="A194" s="146">
        <v>90009249210</v>
      </c>
      <c r="B194" s="117"/>
      <c r="C194" s="495" t="s">
        <v>597</v>
      </c>
      <c r="D194" s="496"/>
      <c r="E194" s="100" t="s">
        <v>249</v>
      </c>
      <c r="F194" s="347">
        <f t="shared" si="290"/>
        <v>406277</v>
      </c>
      <c r="G194" s="101">
        <f t="shared" si="238"/>
        <v>414897</v>
      </c>
      <c r="H194" s="102">
        <v>385668</v>
      </c>
      <c r="I194" s="102">
        <f t="shared" si="246"/>
        <v>393611</v>
      </c>
      <c r="J194" s="102">
        <f t="shared" si="247"/>
        <v>7943</v>
      </c>
      <c r="K194" s="102"/>
      <c r="L194" s="102"/>
      <c r="M194" s="102"/>
      <c r="N194" s="102"/>
      <c r="O194" s="102"/>
      <c r="P194" s="102">
        <v>-174</v>
      </c>
      <c r="Q194" s="102"/>
      <c r="R194" s="102"/>
      <c r="S194" s="102"/>
      <c r="T194" s="102">
        <v>8117</v>
      </c>
      <c r="U194" s="102"/>
      <c r="V194" s="102"/>
      <c r="W194" s="102"/>
      <c r="X194" s="445"/>
      <c r="Y194" s="102"/>
      <c r="Z194" s="102"/>
      <c r="AA194" s="102"/>
      <c r="AB194" s="102"/>
      <c r="AC194" s="102">
        <v>20609</v>
      </c>
      <c r="AD194" s="102">
        <f t="shared" si="248"/>
        <v>21112</v>
      </c>
      <c r="AE194" s="102">
        <f t="shared" si="249"/>
        <v>503</v>
      </c>
      <c r="AF194" s="102"/>
      <c r="AG194" s="102"/>
      <c r="AH194" s="102">
        <v>503</v>
      </c>
      <c r="AI194" s="102"/>
      <c r="AJ194" s="102"/>
      <c r="AK194" s="102"/>
      <c r="AL194" s="445"/>
      <c r="AM194" s="102"/>
      <c r="AN194" s="102"/>
      <c r="AO194" s="102">
        <v>0</v>
      </c>
      <c r="AP194" s="123">
        <f t="shared" si="250"/>
        <v>174</v>
      </c>
      <c r="AQ194" s="123">
        <f t="shared" si="251"/>
        <v>174</v>
      </c>
      <c r="AR194" s="123"/>
      <c r="AS194" s="123"/>
      <c r="AT194" s="123">
        <v>174</v>
      </c>
      <c r="AU194" s="123"/>
      <c r="AV194" s="123"/>
      <c r="AW194" s="123"/>
      <c r="AX194" s="123"/>
      <c r="AY194" s="123"/>
      <c r="AZ194" s="123"/>
      <c r="BA194" s="123"/>
      <c r="BB194" s="123">
        <v>0</v>
      </c>
      <c r="BC194" s="123">
        <f t="shared" si="252"/>
        <v>0</v>
      </c>
      <c r="BD194" s="123">
        <f t="shared" si="253"/>
        <v>0</v>
      </c>
      <c r="BE194" s="123"/>
      <c r="BF194" s="123"/>
      <c r="BG194" s="123"/>
      <c r="BH194" s="123"/>
      <c r="BI194" s="123"/>
      <c r="BJ194" s="123"/>
      <c r="BK194" s="123"/>
      <c r="BL194" s="123"/>
      <c r="BM194" s="102">
        <f t="shared" si="254"/>
        <v>0</v>
      </c>
      <c r="BN194" s="102">
        <f t="shared" si="255"/>
        <v>0</v>
      </c>
      <c r="BO194" s="102"/>
      <c r="BP194" s="102"/>
      <c r="BQ194" s="102"/>
      <c r="BR194" s="102"/>
      <c r="BS194" s="102"/>
      <c r="BT194" s="389"/>
      <c r="BU194" s="102"/>
      <c r="BV194" s="102"/>
      <c r="BW194" s="335"/>
      <c r="BX194" s="103" t="s">
        <v>447</v>
      </c>
      <c r="BY194" s="107"/>
      <c r="BZ194" s="36"/>
      <c r="CA194" s="36"/>
      <c r="CB194" s="36"/>
      <c r="CC194" s="36"/>
      <c r="CD194" s="36"/>
      <c r="CE194" s="36"/>
      <c r="CF194" s="36"/>
      <c r="CG194" s="36"/>
    </row>
    <row r="195" spans="1:85" ht="12.75" x14ac:dyDescent="0.2">
      <c r="A195" s="146"/>
      <c r="B195" s="117"/>
      <c r="C195" s="262"/>
      <c r="D195" s="263"/>
      <c r="E195" s="100" t="s">
        <v>267</v>
      </c>
      <c r="F195" s="347">
        <f t="shared" si="290"/>
        <v>43460</v>
      </c>
      <c r="G195" s="101">
        <f t="shared" si="238"/>
        <v>45836</v>
      </c>
      <c r="H195" s="102">
        <v>43460</v>
      </c>
      <c r="I195" s="102">
        <f t="shared" si="246"/>
        <v>45836</v>
      </c>
      <c r="J195" s="102">
        <f t="shared" si="247"/>
        <v>2376</v>
      </c>
      <c r="K195" s="102"/>
      <c r="L195" s="102"/>
      <c r="M195" s="102"/>
      <c r="N195" s="102"/>
      <c r="O195" s="102"/>
      <c r="P195" s="102"/>
      <c r="Q195" s="102"/>
      <c r="R195" s="102"/>
      <c r="S195" s="102"/>
      <c r="T195" s="102">
        <v>2376</v>
      </c>
      <c r="U195" s="102"/>
      <c r="V195" s="102"/>
      <c r="W195" s="102"/>
      <c r="X195" s="445"/>
      <c r="Y195" s="102"/>
      <c r="Z195" s="102"/>
      <c r="AA195" s="102"/>
      <c r="AB195" s="102"/>
      <c r="AC195" s="102">
        <v>0</v>
      </c>
      <c r="AD195" s="102">
        <f t="shared" si="248"/>
        <v>0</v>
      </c>
      <c r="AE195" s="102">
        <f t="shared" si="249"/>
        <v>0</v>
      </c>
      <c r="AF195" s="102"/>
      <c r="AG195" s="102"/>
      <c r="AH195" s="102"/>
      <c r="AI195" s="102"/>
      <c r="AJ195" s="102"/>
      <c r="AK195" s="102"/>
      <c r="AL195" s="445"/>
      <c r="AM195" s="102"/>
      <c r="AN195" s="102"/>
      <c r="AO195" s="102">
        <v>0</v>
      </c>
      <c r="AP195" s="123">
        <f t="shared" si="250"/>
        <v>0</v>
      </c>
      <c r="AQ195" s="123">
        <f t="shared" si="251"/>
        <v>0</v>
      </c>
      <c r="AR195" s="123"/>
      <c r="AS195" s="123"/>
      <c r="AT195" s="123"/>
      <c r="AU195" s="123"/>
      <c r="AV195" s="123"/>
      <c r="AW195" s="123"/>
      <c r="AX195" s="123"/>
      <c r="AY195" s="123"/>
      <c r="AZ195" s="123"/>
      <c r="BA195" s="123"/>
      <c r="BB195" s="123">
        <v>0</v>
      </c>
      <c r="BC195" s="123">
        <f t="shared" si="252"/>
        <v>0</v>
      </c>
      <c r="BD195" s="123">
        <f t="shared" si="253"/>
        <v>0</v>
      </c>
      <c r="BE195" s="123"/>
      <c r="BF195" s="123"/>
      <c r="BG195" s="123"/>
      <c r="BH195" s="123"/>
      <c r="BI195" s="123"/>
      <c r="BJ195" s="123"/>
      <c r="BK195" s="123"/>
      <c r="BL195" s="123"/>
      <c r="BM195" s="102">
        <f t="shared" si="254"/>
        <v>0</v>
      </c>
      <c r="BN195" s="102">
        <f t="shared" si="255"/>
        <v>0</v>
      </c>
      <c r="BO195" s="102"/>
      <c r="BP195" s="102"/>
      <c r="BQ195" s="102"/>
      <c r="BR195" s="102"/>
      <c r="BS195" s="102"/>
      <c r="BT195" s="389"/>
      <c r="BU195" s="102"/>
      <c r="BV195" s="102"/>
      <c r="BW195" s="335"/>
      <c r="BX195" s="103" t="s">
        <v>448</v>
      </c>
      <c r="BY195" s="107"/>
      <c r="BZ195" s="36"/>
      <c r="CA195" s="36"/>
      <c r="CB195" s="36"/>
      <c r="CC195" s="36"/>
      <c r="CD195" s="36"/>
      <c r="CE195" s="36"/>
      <c r="CF195" s="36"/>
      <c r="CG195" s="36"/>
    </row>
    <row r="196" spans="1:85" ht="36" x14ac:dyDescent="0.2">
      <c r="A196" s="146">
        <v>90009249155</v>
      </c>
      <c r="B196" s="117"/>
      <c r="C196" s="495" t="s">
        <v>598</v>
      </c>
      <c r="D196" s="496"/>
      <c r="E196" s="100" t="s">
        <v>249</v>
      </c>
      <c r="F196" s="347">
        <f t="shared" si="290"/>
        <v>365357</v>
      </c>
      <c r="G196" s="101">
        <f t="shared" si="238"/>
        <v>365879</v>
      </c>
      <c r="H196" s="102">
        <v>343320</v>
      </c>
      <c r="I196" s="102">
        <f t="shared" si="246"/>
        <v>343320</v>
      </c>
      <c r="J196" s="102">
        <f t="shared" si="247"/>
        <v>0</v>
      </c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102"/>
      <c r="X196" s="445"/>
      <c r="Y196" s="102"/>
      <c r="Z196" s="102"/>
      <c r="AA196" s="102"/>
      <c r="AB196" s="102"/>
      <c r="AC196" s="102">
        <v>21056</v>
      </c>
      <c r="AD196" s="102">
        <f t="shared" si="248"/>
        <v>21578</v>
      </c>
      <c r="AE196" s="102">
        <f t="shared" si="249"/>
        <v>522</v>
      </c>
      <c r="AF196" s="102"/>
      <c r="AG196" s="102"/>
      <c r="AH196" s="102">
        <v>522</v>
      </c>
      <c r="AI196" s="102"/>
      <c r="AJ196" s="102"/>
      <c r="AK196" s="102"/>
      <c r="AL196" s="445"/>
      <c r="AM196" s="102"/>
      <c r="AN196" s="102"/>
      <c r="AO196" s="102">
        <v>981</v>
      </c>
      <c r="AP196" s="123">
        <f t="shared" si="250"/>
        <v>981</v>
      </c>
      <c r="AQ196" s="123">
        <f t="shared" si="251"/>
        <v>0</v>
      </c>
      <c r="AR196" s="123"/>
      <c r="AS196" s="123"/>
      <c r="AT196" s="123"/>
      <c r="AU196" s="123"/>
      <c r="AV196" s="123"/>
      <c r="AW196" s="123"/>
      <c r="AX196" s="123"/>
      <c r="AY196" s="123"/>
      <c r="AZ196" s="123"/>
      <c r="BA196" s="123"/>
      <c r="BB196" s="123">
        <v>0</v>
      </c>
      <c r="BC196" s="123">
        <f t="shared" si="252"/>
        <v>0</v>
      </c>
      <c r="BD196" s="123">
        <f t="shared" si="253"/>
        <v>0</v>
      </c>
      <c r="BE196" s="123"/>
      <c r="BF196" s="123"/>
      <c r="BG196" s="123"/>
      <c r="BH196" s="123"/>
      <c r="BI196" s="123"/>
      <c r="BJ196" s="123"/>
      <c r="BK196" s="123"/>
      <c r="BL196" s="123"/>
      <c r="BM196" s="102">
        <f t="shared" si="254"/>
        <v>0</v>
      </c>
      <c r="BN196" s="102">
        <f t="shared" si="255"/>
        <v>0</v>
      </c>
      <c r="BO196" s="102"/>
      <c r="BP196" s="102"/>
      <c r="BQ196" s="102"/>
      <c r="BR196" s="102"/>
      <c r="BS196" s="102"/>
      <c r="BT196" s="389"/>
      <c r="BU196" s="102"/>
      <c r="BV196" s="102"/>
      <c r="BW196" s="335"/>
      <c r="BX196" s="103" t="s">
        <v>449</v>
      </c>
      <c r="BY196" s="107"/>
      <c r="BZ196" s="36"/>
      <c r="CA196" s="36"/>
      <c r="CB196" s="36"/>
      <c r="CC196" s="36"/>
      <c r="CD196" s="36"/>
      <c r="CE196" s="36"/>
      <c r="CF196" s="36"/>
      <c r="CG196" s="36"/>
    </row>
    <row r="197" spans="1:85" ht="12.75" x14ac:dyDescent="0.2">
      <c r="A197" s="146"/>
      <c r="B197" s="117"/>
      <c r="C197" s="261"/>
      <c r="D197" s="260"/>
      <c r="E197" s="100" t="s">
        <v>267</v>
      </c>
      <c r="F197" s="347">
        <f t="shared" si="290"/>
        <v>33802</v>
      </c>
      <c r="G197" s="101">
        <f t="shared" si="238"/>
        <v>33802</v>
      </c>
      <c r="H197" s="102">
        <v>33802</v>
      </c>
      <c r="I197" s="102">
        <f t="shared" si="246"/>
        <v>33802</v>
      </c>
      <c r="J197" s="102">
        <f t="shared" si="247"/>
        <v>0</v>
      </c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445"/>
      <c r="Y197" s="102"/>
      <c r="Z197" s="102"/>
      <c r="AA197" s="102"/>
      <c r="AB197" s="102"/>
      <c r="AC197" s="102">
        <v>0</v>
      </c>
      <c r="AD197" s="102">
        <f t="shared" si="248"/>
        <v>0</v>
      </c>
      <c r="AE197" s="102">
        <f t="shared" si="249"/>
        <v>0</v>
      </c>
      <c r="AF197" s="102"/>
      <c r="AG197" s="102"/>
      <c r="AH197" s="102"/>
      <c r="AI197" s="102"/>
      <c r="AJ197" s="102"/>
      <c r="AK197" s="102"/>
      <c r="AL197" s="445"/>
      <c r="AM197" s="102"/>
      <c r="AN197" s="102"/>
      <c r="AO197" s="102">
        <v>0</v>
      </c>
      <c r="AP197" s="102">
        <f t="shared" si="250"/>
        <v>0</v>
      </c>
      <c r="AQ197" s="102">
        <f t="shared" si="251"/>
        <v>0</v>
      </c>
      <c r="AR197" s="102"/>
      <c r="AS197" s="102"/>
      <c r="AT197" s="102"/>
      <c r="AU197" s="102"/>
      <c r="AV197" s="102"/>
      <c r="AW197" s="102"/>
      <c r="AX197" s="102"/>
      <c r="AY197" s="102"/>
      <c r="AZ197" s="102"/>
      <c r="BA197" s="102"/>
      <c r="BB197" s="102">
        <v>0</v>
      </c>
      <c r="BC197" s="123">
        <f t="shared" si="252"/>
        <v>0</v>
      </c>
      <c r="BD197" s="123">
        <f t="shared" si="253"/>
        <v>0</v>
      </c>
      <c r="BE197" s="123"/>
      <c r="BF197" s="123"/>
      <c r="BG197" s="123"/>
      <c r="BH197" s="123"/>
      <c r="BI197" s="123"/>
      <c r="BJ197" s="123"/>
      <c r="BK197" s="123"/>
      <c r="BL197" s="123"/>
      <c r="BM197" s="102">
        <f t="shared" si="254"/>
        <v>0</v>
      </c>
      <c r="BN197" s="102">
        <f t="shared" si="255"/>
        <v>0</v>
      </c>
      <c r="BO197" s="102"/>
      <c r="BP197" s="102"/>
      <c r="BQ197" s="102"/>
      <c r="BR197" s="102"/>
      <c r="BS197" s="102"/>
      <c r="BT197" s="389"/>
      <c r="BU197" s="102"/>
      <c r="BV197" s="102"/>
      <c r="BW197" s="335"/>
      <c r="BX197" s="103" t="s">
        <v>450</v>
      </c>
      <c r="BY197" s="107"/>
      <c r="BZ197" s="36"/>
      <c r="CA197" s="36"/>
      <c r="CB197" s="36"/>
      <c r="CC197" s="36"/>
      <c r="CD197" s="36"/>
      <c r="CE197" s="36"/>
      <c r="CF197" s="36"/>
      <c r="CG197" s="36"/>
    </row>
    <row r="198" spans="1:85" ht="36" x14ac:dyDescent="0.2">
      <c r="A198" s="146">
        <v>90009249259</v>
      </c>
      <c r="B198" s="117"/>
      <c r="C198" s="495" t="s">
        <v>599</v>
      </c>
      <c r="D198" s="496"/>
      <c r="E198" s="100" t="s">
        <v>249</v>
      </c>
      <c r="F198" s="347">
        <f t="shared" si="290"/>
        <v>630943</v>
      </c>
      <c r="G198" s="101">
        <f t="shared" si="238"/>
        <v>632657</v>
      </c>
      <c r="H198" s="102">
        <v>574692</v>
      </c>
      <c r="I198" s="102">
        <f t="shared" si="246"/>
        <v>574699</v>
      </c>
      <c r="J198" s="102">
        <f t="shared" si="247"/>
        <v>7</v>
      </c>
      <c r="K198" s="102"/>
      <c r="L198" s="102">
        <v>446</v>
      </c>
      <c r="M198" s="102"/>
      <c r="N198" s="102"/>
      <c r="O198" s="102"/>
      <c r="P198" s="102">
        <v>-439</v>
      </c>
      <c r="Q198" s="102"/>
      <c r="R198" s="102"/>
      <c r="S198" s="102"/>
      <c r="T198" s="102"/>
      <c r="U198" s="102"/>
      <c r="V198" s="102"/>
      <c r="W198" s="102"/>
      <c r="X198" s="445"/>
      <c r="Y198" s="102"/>
      <c r="Z198" s="102"/>
      <c r="AA198" s="102"/>
      <c r="AB198" s="102"/>
      <c r="AC198" s="102">
        <v>50539</v>
      </c>
      <c r="AD198" s="102">
        <f t="shared" si="248"/>
        <v>51807</v>
      </c>
      <c r="AE198" s="102">
        <f t="shared" si="249"/>
        <v>1268</v>
      </c>
      <c r="AF198" s="102"/>
      <c r="AG198" s="102"/>
      <c r="AH198" s="102">
        <v>1268</v>
      </c>
      <c r="AI198" s="102"/>
      <c r="AJ198" s="102"/>
      <c r="AK198" s="102"/>
      <c r="AL198" s="445"/>
      <c r="AM198" s="102"/>
      <c r="AN198" s="102"/>
      <c r="AO198" s="102">
        <v>5712</v>
      </c>
      <c r="AP198" s="123">
        <f t="shared" si="250"/>
        <v>6151</v>
      </c>
      <c r="AQ198" s="123">
        <f t="shared" si="251"/>
        <v>439</v>
      </c>
      <c r="AR198" s="123"/>
      <c r="AS198" s="123"/>
      <c r="AT198" s="123">
        <v>439</v>
      </c>
      <c r="AU198" s="123"/>
      <c r="AV198" s="123"/>
      <c r="AW198" s="123"/>
      <c r="AX198" s="123"/>
      <c r="AY198" s="123"/>
      <c r="AZ198" s="123"/>
      <c r="BA198" s="123"/>
      <c r="BB198" s="123">
        <v>0</v>
      </c>
      <c r="BC198" s="123">
        <f t="shared" si="252"/>
        <v>0</v>
      </c>
      <c r="BD198" s="123">
        <f t="shared" si="253"/>
        <v>0</v>
      </c>
      <c r="BE198" s="123"/>
      <c r="BF198" s="123"/>
      <c r="BG198" s="123"/>
      <c r="BH198" s="123"/>
      <c r="BI198" s="123"/>
      <c r="BJ198" s="123"/>
      <c r="BK198" s="123"/>
      <c r="BL198" s="123"/>
      <c r="BM198" s="102">
        <f t="shared" si="254"/>
        <v>0</v>
      </c>
      <c r="BN198" s="102">
        <f t="shared" si="255"/>
        <v>0</v>
      </c>
      <c r="BO198" s="102"/>
      <c r="BP198" s="102"/>
      <c r="BQ198" s="102"/>
      <c r="BR198" s="102"/>
      <c r="BS198" s="102"/>
      <c r="BT198" s="389"/>
      <c r="BU198" s="102"/>
      <c r="BV198" s="102"/>
      <c r="BW198" s="335"/>
      <c r="BX198" s="103" t="s">
        <v>451</v>
      </c>
      <c r="BY198" s="107"/>
      <c r="BZ198" s="36"/>
      <c r="CA198" s="36"/>
      <c r="CB198" s="36"/>
      <c r="CC198" s="36"/>
      <c r="CD198" s="36"/>
      <c r="CE198" s="36"/>
      <c r="CF198" s="36"/>
      <c r="CG198" s="36"/>
    </row>
    <row r="199" spans="1:85" ht="12.75" x14ac:dyDescent="0.2">
      <c r="A199" s="146"/>
      <c r="B199" s="117"/>
      <c r="C199" s="261"/>
      <c r="D199" s="260"/>
      <c r="E199" s="100" t="s">
        <v>267</v>
      </c>
      <c r="F199" s="347">
        <f t="shared" si="290"/>
        <v>90658</v>
      </c>
      <c r="G199" s="101">
        <f t="shared" si="238"/>
        <v>91014</v>
      </c>
      <c r="H199" s="102">
        <v>85062</v>
      </c>
      <c r="I199" s="102">
        <f t="shared" si="246"/>
        <v>85062</v>
      </c>
      <c r="J199" s="102">
        <f t="shared" si="247"/>
        <v>0</v>
      </c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445"/>
      <c r="Y199" s="102"/>
      <c r="Z199" s="102"/>
      <c r="AA199" s="102"/>
      <c r="AB199" s="102"/>
      <c r="AC199" s="102">
        <v>0</v>
      </c>
      <c r="AD199" s="102">
        <f t="shared" si="248"/>
        <v>0</v>
      </c>
      <c r="AE199" s="102">
        <f t="shared" si="249"/>
        <v>0</v>
      </c>
      <c r="AF199" s="102"/>
      <c r="AG199" s="102"/>
      <c r="AH199" s="102"/>
      <c r="AI199" s="102"/>
      <c r="AJ199" s="102"/>
      <c r="AK199" s="102"/>
      <c r="AL199" s="445"/>
      <c r="AM199" s="102"/>
      <c r="AN199" s="102"/>
      <c r="AO199" s="102">
        <v>5596</v>
      </c>
      <c r="AP199" s="102">
        <f t="shared" si="250"/>
        <v>5952</v>
      </c>
      <c r="AQ199" s="102">
        <f t="shared" si="251"/>
        <v>356</v>
      </c>
      <c r="AR199" s="102"/>
      <c r="AS199" s="102"/>
      <c r="AT199" s="102">
        <v>356</v>
      </c>
      <c r="AU199" s="102"/>
      <c r="AV199" s="102"/>
      <c r="AW199" s="102"/>
      <c r="AX199" s="102"/>
      <c r="AY199" s="102"/>
      <c r="AZ199" s="102"/>
      <c r="BA199" s="102"/>
      <c r="BB199" s="102">
        <v>0</v>
      </c>
      <c r="BC199" s="123">
        <f t="shared" si="252"/>
        <v>0</v>
      </c>
      <c r="BD199" s="123">
        <f t="shared" si="253"/>
        <v>0</v>
      </c>
      <c r="BE199" s="123"/>
      <c r="BF199" s="123"/>
      <c r="BG199" s="123"/>
      <c r="BH199" s="123"/>
      <c r="BI199" s="123"/>
      <c r="BJ199" s="123"/>
      <c r="BK199" s="123"/>
      <c r="BL199" s="123"/>
      <c r="BM199" s="102">
        <f t="shared" si="254"/>
        <v>0</v>
      </c>
      <c r="BN199" s="102">
        <f t="shared" si="255"/>
        <v>0</v>
      </c>
      <c r="BO199" s="102"/>
      <c r="BP199" s="102"/>
      <c r="BQ199" s="102"/>
      <c r="BR199" s="102"/>
      <c r="BS199" s="102"/>
      <c r="BT199" s="389"/>
      <c r="BU199" s="102"/>
      <c r="BV199" s="102"/>
      <c r="BW199" s="335"/>
      <c r="BX199" s="103" t="s">
        <v>452</v>
      </c>
      <c r="BY199" s="107"/>
      <c r="BZ199" s="36"/>
      <c r="CA199" s="36"/>
      <c r="CB199" s="36"/>
      <c r="CC199" s="36"/>
      <c r="CD199" s="36"/>
      <c r="CE199" s="36"/>
      <c r="CF199" s="36"/>
      <c r="CG199" s="36"/>
    </row>
    <row r="200" spans="1:85" ht="36" x14ac:dyDescent="0.2">
      <c r="A200" s="146">
        <v>90009249314</v>
      </c>
      <c r="B200" s="117"/>
      <c r="C200" s="495" t="s">
        <v>600</v>
      </c>
      <c r="D200" s="496"/>
      <c r="E200" s="100" t="s">
        <v>249</v>
      </c>
      <c r="F200" s="347">
        <f t="shared" si="290"/>
        <v>650227</v>
      </c>
      <c r="G200" s="101">
        <f t="shared" si="238"/>
        <v>657450</v>
      </c>
      <c r="H200" s="102">
        <v>568855</v>
      </c>
      <c r="I200" s="102">
        <f t="shared" si="246"/>
        <v>572925</v>
      </c>
      <c r="J200" s="102">
        <f t="shared" si="247"/>
        <v>4070</v>
      </c>
      <c r="K200" s="102"/>
      <c r="L200" s="102"/>
      <c r="M200" s="102"/>
      <c r="N200" s="102"/>
      <c r="O200" s="102"/>
      <c r="P200" s="102">
        <v>-369</v>
      </c>
      <c r="Q200" s="102"/>
      <c r="R200" s="102"/>
      <c r="S200" s="102"/>
      <c r="T200" s="102"/>
      <c r="U200" s="102"/>
      <c r="V200" s="102"/>
      <c r="W200" s="102">
        <f>1064+3375</f>
        <v>4439</v>
      </c>
      <c r="X200" s="445"/>
      <c r="Y200" s="102"/>
      <c r="Z200" s="102"/>
      <c r="AA200" s="102"/>
      <c r="AB200" s="102"/>
      <c r="AC200" s="102">
        <v>74618</v>
      </c>
      <c r="AD200" s="102">
        <f t="shared" si="248"/>
        <v>76260</v>
      </c>
      <c r="AE200" s="102">
        <f t="shared" si="249"/>
        <v>1642</v>
      </c>
      <c r="AF200" s="102"/>
      <c r="AG200" s="102"/>
      <c r="AH200" s="102">
        <v>1642</v>
      </c>
      <c r="AI200" s="102"/>
      <c r="AJ200" s="102"/>
      <c r="AK200" s="102"/>
      <c r="AL200" s="445"/>
      <c r="AM200" s="102"/>
      <c r="AN200" s="102"/>
      <c r="AO200" s="102">
        <v>6754</v>
      </c>
      <c r="AP200" s="123">
        <f t="shared" si="250"/>
        <v>8265</v>
      </c>
      <c r="AQ200" s="123">
        <f t="shared" si="251"/>
        <v>1511</v>
      </c>
      <c r="AR200" s="123"/>
      <c r="AS200" s="123"/>
      <c r="AT200" s="123">
        <v>1511</v>
      </c>
      <c r="AU200" s="123"/>
      <c r="AV200" s="123"/>
      <c r="AW200" s="123"/>
      <c r="AX200" s="123"/>
      <c r="AY200" s="123"/>
      <c r="AZ200" s="123"/>
      <c r="BA200" s="123"/>
      <c r="BB200" s="123">
        <v>0</v>
      </c>
      <c r="BC200" s="123">
        <f t="shared" si="252"/>
        <v>0</v>
      </c>
      <c r="BD200" s="123">
        <f t="shared" si="253"/>
        <v>0</v>
      </c>
      <c r="BE200" s="123"/>
      <c r="BF200" s="123"/>
      <c r="BG200" s="123"/>
      <c r="BH200" s="123"/>
      <c r="BI200" s="123"/>
      <c r="BJ200" s="123"/>
      <c r="BK200" s="123"/>
      <c r="BL200" s="123"/>
      <c r="BM200" s="102">
        <f t="shared" si="254"/>
        <v>0</v>
      </c>
      <c r="BN200" s="102">
        <f t="shared" si="255"/>
        <v>0</v>
      </c>
      <c r="BO200" s="102"/>
      <c r="BP200" s="102"/>
      <c r="BQ200" s="102"/>
      <c r="BR200" s="102"/>
      <c r="BS200" s="102"/>
      <c r="BT200" s="389"/>
      <c r="BU200" s="102"/>
      <c r="BV200" s="102"/>
      <c r="BW200" s="335"/>
      <c r="BX200" s="103" t="s">
        <v>453</v>
      </c>
      <c r="BY200" s="107"/>
      <c r="BZ200" s="36"/>
      <c r="CA200" s="36"/>
      <c r="CB200" s="36"/>
      <c r="CC200" s="36"/>
      <c r="CD200" s="36"/>
      <c r="CE200" s="36"/>
      <c r="CF200" s="36"/>
      <c r="CG200" s="36"/>
    </row>
    <row r="201" spans="1:85" ht="12.75" x14ac:dyDescent="0.2">
      <c r="A201" s="146"/>
      <c r="B201" s="117"/>
      <c r="C201" s="261"/>
      <c r="D201" s="260"/>
      <c r="E201" s="100" t="s">
        <v>267</v>
      </c>
      <c r="F201" s="347">
        <f t="shared" si="290"/>
        <v>89148</v>
      </c>
      <c r="G201" s="101">
        <f t="shared" si="238"/>
        <v>89148</v>
      </c>
      <c r="H201" s="102">
        <v>89148</v>
      </c>
      <c r="I201" s="102">
        <f t="shared" si="246"/>
        <v>89148</v>
      </c>
      <c r="J201" s="102">
        <f t="shared" si="247"/>
        <v>0</v>
      </c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445"/>
      <c r="Y201" s="102"/>
      <c r="Z201" s="102"/>
      <c r="AA201" s="102"/>
      <c r="AB201" s="102"/>
      <c r="AC201" s="102">
        <v>0</v>
      </c>
      <c r="AD201" s="102">
        <f t="shared" si="248"/>
        <v>0</v>
      </c>
      <c r="AE201" s="102">
        <f t="shared" si="249"/>
        <v>0</v>
      </c>
      <c r="AF201" s="102"/>
      <c r="AG201" s="102"/>
      <c r="AH201" s="102"/>
      <c r="AI201" s="102"/>
      <c r="AJ201" s="102"/>
      <c r="AK201" s="102"/>
      <c r="AL201" s="445"/>
      <c r="AM201" s="102"/>
      <c r="AN201" s="102"/>
      <c r="AO201" s="102">
        <v>0</v>
      </c>
      <c r="AP201" s="102">
        <f t="shared" si="250"/>
        <v>0</v>
      </c>
      <c r="AQ201" s="102">
        <f t="shared" si="251"/>
        <v>0</v>
      </c>
      <c r="AR201" s="102"/>
      <c r="AS201" s="102"/>
      <c r="AT201" s="102"/>
      <c r="AU201" s="102"/>
      <c r="AV201" s="102"/>
      <c r="AW201" s="102"/>
      <c r="AX201" s="102"/>
      <c r="AY201" s="102"/>
      <c r="AZ201" s="102"/>
      <c r="BA201" s="102"/>
      <c r="BB201" s="102">
        <v>0</v>
      </c>
      <c r="BC201" s="123">
        <f t="shared" si="252"/>
        <v>0</v>
      </c>
      <c r="BD201" s="123">
        <f t="shared" si="253"/>
        <v>0</v>
      </c>
      <c r="BE201" s="123"/>
      <c r="BF201" s="123"/>
      <c r="BG201" s="123"/>
      <c r="BH201" s="123"/>
      <c r="BI201" s="123"/>
      <c r="BJ201" s="123"/>
      <c r="BK201" s="123"/>
      <c r="BL201" s="123"/>
      <c r="BM201" s="102">
        <f t="shared" si="254"/>
        <v>0</v>
      </c>
      <c r="BN201" s="102">
        <f t="shared" si="255"/>
        <v>0</v>
      </c>
      <c r="BO201" s="102"/>
      <c r="BP201" s="102"/>
      <c r="BQ201" s="102"/>
      <c r="BR201" s="102"/>
      <c r="BS201" s="102"/>
      <c r="BT201" s="389"/>
      <c r="BU201" s="102"/>
      <c r="BV201" s="102"/>
      <c r="BW201" s="335"/>
      <c r="BX201" s="103" t="s">
        <v>454</v>
      </c>
      <c r="BY201" s="107"/>
      <c r="BZ201" s="36"/>
      <c r="CA201" s="36"/>
      <c r="CB201" s="36"/>
      <c r="CC201" s="36"/>
      <c r="CD201" s="36"/>
      <c r="CE201" s="36"/>
      <c r="CF201" s="36"/>
      <c r="CG201" s="36"/>
    </row>
    <row r="202" spans="1:85" ht="36" x14ac:dyDescent="0.2">
      <c r="A202" s="146">
        <v>90009249189</v>
      </c>
      <c r="B202" s="117"/>
      <c r="C202" s="495" t="s">
        <v>601</v>
      </c>
      <c r="D202" s="496"/>
      <c r="E202" s="100" t="s">
        <v>249</v>
      </c>
      <c r="F202" s="347">
        <f t="shared" si="290"/>
        <v>619793</v>
      </c>
      <c r="G202" s="101">
        <f t="shared" si="238"/>
        <v>625561</v>
      </c>
      <c r="H202" s="102">
        <v>535083</v>
      </c>
      <c r="I202" s="102">
        <f t="shared" si="246"/>
        <v>538418</v>
      </c>
      <c r="J202" s="102">
        <f t="shared" si="247"/>
        <v>3335</v>
      </c>
      <c r="K202" s="102"/>
      <c r="L202" s="102"/>
      <c r="M202" s="102"/>
      <c r="N202" s="102"/>
      <c r="O202" s="102"/>
      <c r="P202" s="102">
        <v>-611</v>
      </c>
      <c r="Q202" s="102"/>
      <c r="R202" s="102"/>
      <c r="S202" s="102"/>
      <c r="T202" s="102">
        <v>3946</v>
      </c>
      <c r="U202" s="102"/>
      <c r="V202" s="102"/>
      <c r="W202" s="102"/>
      <c r="X202" s="445"/>
      <c r="Y202" s="102"/>
      <c r="Z202" s="102"/>
      <c r="AA202" s="102"/>
      <c r="AB202" s="102"/>
      <c r="AC202" s="102">
        <v>79294</v>
      </c>
      <c r="AD202" s="102">
        <f t="shared" si="248"/>
        <v>80786</v>
      </c>
      <c r="AE202" s="102">
        <f t="shared" si="249"/>
        <v>1492</v>
      </c>
      <c r="AF202" s="102"/>
      <c r="AG202" s="102"/>
      <c r="AH202" s="102">
        <v>1492</v>
      </c>
      <c r="AI202" s="102"/>
      <c r="AJ202" s="102"/>
      <c r="AK202" s="102"/>
      <c r="AL202" s="445"/>
      <c r="AM202" s="102"/>
      <c r="AN202" s="102"/>
      <c r="AO202" s="102">
        <v>5416</v>
      </c>
      <c r="AP202" s="123">
        <f t="shared" si="250"/>
        <v>6357</v>
      </c>
      <c r="AQ202" s="123">
        <f t="shared" si="251"/>
        <v>941</v>
      </c>
      <c r="AR202" s="123"/>
      <c r="AS202" s="123"/>
      <c r="AT202" s="123">
        <v>941</v>
      </c>
      <c r="AU202" s="123"/>
      <c r="AV202" s="123"/>
      <c r="AW202" s="123"/>
      <c r="AX202" s="123"/>
      <c r="AY202" s="123"/>
      <c r="AZ202" s="123"/>
      <c r="BA202" s="123"/>
      <c r="BB202" s="123">
        <v>0</v>
      </c>
      <c r="BC202" s="123">
        <f t="shared" si="252"/>
        <v>0</v>
      </c>
      <c r="BD202" s="123">
        <f t="shared" si="253"/>
        <v>0</v>
      </c>
      <c r="BE202" s="123"/>
      <c r="BF202" s="123"/>
      <c r="BG202" s="123"/>
      <c r="BH202" s="123"/>
      <c r="BI202" s="123"/>
      <c r="BJ202" s="123"/>
      <c r="BK202" s="123"/>
      <c r="BL202" s="123"/>
      <c r="BM202" s="102">
        <f t="shared" si="254"/>
        <v>0</v>
      </c>
      <c r="BN202" s="102">
        <f t="shared" si="255"/>
        <v>0</v>
      </c>
      <c r="BO202" s="102"/>
      <c r="BP202" s="102"/>
      <c r="BQ202" s="102"/>
      <c r="BR202" s="102"/>
      <c r="BS202" s="102"/>
      <c r="BT202" s="389"/>
      <c r="BU202" s="102"/>
      <c r="BV202" s="102"/>
      <c r="BW202" s="335"/>
      <c r="BX202" s="103" t="s">
        <v>455</v>
      </c>
      <c r="BY202" s="107"/>
      <c r="BZ202" s="36"/>
      <c r="CA202" s="36"/>
      <c r="CB202" s="36"/>
      <c r="CC202" s="36"/>
      <c r="CD202" s="36"/>
      <c r="CE202" s="36"/>
      <c r="CF202" s="36"/>
      <c r="CG202" s="36"/>
    </row>
    <row r="203" spans="1:85" ht="12.75" x14ac:dyDescent="0.2">
      <c r="A203" s="146"/>
      <c r="B203" s="117"/>
      <c r="C203" s="261"/>
      <c r="D203" s="260"/>
      <c r="E203" s="100" t="s">
        <v>267</v>
      </c>
      <c r="F203" s="347">
        <f t="shared" si="290"/>
        <v>81832</v>
      </c>
      <c r="G203" s="101">
        <f t="shared" si="238"/>
        <v>83121</v>
      </c>
      <c r="H203" s="102">
        <v>76890</v>
      </c>
      <c r="I203" s="102">
        <f t="shared" si="246"/>
        <v>77675</v>
      </c>
      <c r="J203" s="102">
        <f t="shared" si="247"/>
        <v>785</v>
      </c>
      <c r="K203" s="102"/>
      <c r="L203" s="102"/>
      <c r="M203" s="102"/>
      <c r="N203" s="102"/>
      <c r="O203" s="102"/>
      <c r="P203" s="102"/>
      <c r="Q203" s="102"/>
      <c r="R203" s="102"/>
      <c r="S203" s="102"/>
      <c r="T203" s="102">
        <v>785</v>
      </c>
      <c r="U203" s="102"/>
      <c r="V203" s="102"/>
      <c r="W203" s="102"/>
      <c r="X203" s="445"/>
      <c r="Y203" s="102"/>
      <c r="Z203" s="102"/>
      <c r="AA203" s="102"/>
      <c r="AB203" s="102"/>
      <c r="AC203" s="102">
        <v>0</v>
      </c>
      <c r="AD203" s="102">
        <f t="shared" si="248"/>
        <v>0</v>
      </c>
      <c r="AE203" s="102">
        <f t="shared" si="249"/>
        <v>0</v>
      </c>
      <c r="AF203" s="102"/>
      <c r="AG203" s="102"/>
      <c r="AH203" s="102"/>
      <c r="AI203" s="102"/>
      <c r="AJ203" s="102"/>
      <c r="AK203" s="102"/>
      <c r="AL203" s="445"/>
      <c r="AM203" s="102"/>
      <c r="AN203" s="102"/>
      <c r="AO203" s="102">
        <v>4942</v>
      </c>
      <c r="AP203" s="102">
        <f t="shared" si="250"/>
        <v>5446</v>
      </c>
      <c r="AQ203" s="102">
        <f t="shared" si="251"/>
        <v>504</v>
      </c>
      <c r="AR203" s="102"/>
      <c r="AS203" s="102"/>
      <c r="AT203" s="102">
        <v>504</v>
      </c>
      <c r="AU203" s="102"/>
      <c r="AV203" s="102"/>
      <c r="AW203" s="102"/>
      <c r="AX203" s="102"/>
      <c r="AY203" s="102"/>
      <c r="AZ203" s="102"/>
      <c r="BA203" s="102"/>
      <c r="BB203" s="102">
        <v>0</v>
      </c>
      <c r="BC203" s="123">
        <f t="shared" si="252"/>
        <v>0</v>
      </c>
      <c r="BD203" s="123">
        <f t="shared" si="253"/>
        <v>0</v>
      </c>
      <c r="BE203" s="123"/>
      <c r="BF203" s="123"/>
      <c r="BG203" s="123"/>
      <c r="BH203" s="123"/>
      <c r="BI203" s="123"/>
      <c r="BJ203" s="123"/>
      <c r="BK203" s="123"/>
      <c r="BL203" s="123"/>
      <c r="BM203" s="102">
        <f t="shared" si="254"/>
        <v>0</v>
      </c>
      <c r="BN203" s="102">
        <f t="shared" si="255"/>
        <v>0</v>
      </c>
      <c r="BO203" s="102"/>
      <c r="BP203" s="102"/>
      <c r="BQ203" s="102"/>
      <c r="BR203" s="102"/>
      <c r="BS203" s="102"/>
      <c r="BT203" s="389"/>
      <c r="BU203" s="102"/>
      <c r="BV203" s="102"/>
      <c r="BW203" s="335"/>
      <c r="BX203" s="103" t="s">
        <v>456</v>
      </c>
      <c r="BY203" s="107"/>
      <c r="BZ203" s="36"/>
      <c r="CA203" s="36"/>
      <c r="CB203" s="36"/>
      <c r="CC203" s="36"/>
      <c r="CD203" s="36"/>
      <c r="CE203" s="36"/>
      <c r="CF203" s="36"/>
      <c r="CG203" s="36"/>
    </row>
    <row r="204" spans="1:85" ht="36" x14ac:dyDescent="0.2">
      <c r="A204" s="146">
        <v>90009249136</v>
      </c>
      <c r="B204" s="117"/>
      <c r="C204" s="495" t="s">
        <v>602</v>
      </c>
      <c r="D204" s="496"/>
      <c r="E204" s="100" t="s">
        <v>249</v>
      </c>
      <c r="F204" s="347">
        <f t="shared" si="290"/>
        <v>317587</v>
      </c>
      <c r="G204" s="101">
        <f t="shared" si="238"/>
        <v>318000</v>
      </c>
      <c r="H204" s="102">
        <v>302009</v>
      </c>
      <c r="I204" s="102">
        <f t="shared" si="246"/>
        <v>302009</v>
      </c>
      <c r="J204" s="102">
        <f t="shared" si="247"/>
        <v>0</v>
      </c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445"/>
      <c r="Y204" s="102"/>
      <c r="Z204" s="102"/>
      <c r="AA204" s="102"/>
      <c r="AB204" s="102"/>
      <c r="AC204" s="102">
        <v>15486</v>
      </c>
      <c r="AD204" s="102">
        <f t="shared" si="248"/>
        <v>15859</v>
      </c>
      <c r="AE204" s="102">
        <f t="shared" si="249"/>
        <v>373</v>
      </c>
      <c r="AF204" s="102"/>
      <c r="AG204" s="102"/>
      <c r="AH204" s="102">
        <v>373</v>
      </c>
      <c r="AI204" s="102"/>
      <c r="AJ204" s="102"/>
      <c r="AK204" s="102"/>
      <c r="AL204" s="445"/>
      <c r="AM204" s="102"/>
      <c r="AN204" s="102"/>
      <c r="AO204" s="102">
        <v>92</v>
      </c>
      <c r="AP204" s="123">
        <f t="shared" si="250"/>
        <v>132</v>
      </c>
      <c r="AQ204" s="123">
        <f t="shared" si="251"/>
        <v>40</v>
      </c>
      <c r="AR204" s="123"/>
      <c r="AS204" s="123"/>
      <c r="AT204" s="123">
        <v>40</v>
      </c>
      <c r="AU204" s="123"/>
      <c r="AV204" s="123"/>
      <c r="AW204" s="123"/>
      <c r="AX204" s="123"/>
      <c r="AY204" s="123"/>
      <c r="AZ204" s="123"/>
      <c r="BA204" s="123"/>
      <c r="BB204" s="123">
        <v>0</v>
      </c>
      <c r="BC204" s="123">
        <f t="shared" si="252"/>
        <v>0</v>
      </c>
      <c r="BD204" s="123">
        <f t="shared" si="253"/>
        <v>0</v>
      </c>
      <c r="BE204" s="123"/>
      <c r="BF204" s="123"/>
      <c r="BG204" s="123"/>
      <c r="BH204" s="123"/>
      <c r="BI204" s="123"/>
      <c r="BJ204" s="123"/>
      <c r="BK204" s="123"/>
      <c r="BL204" s="123"/>
      <c r="BM204" s="102">
        <f t="shared" si="254"/>
        <v>0</v>
      </c>
      <c r="BN204" s="102">
        <f t="shared" si="255"/>
        <v>0</v>
      </c>
      <c r="BO204" s="102"/>
      <c r="BP204" s="102"/>
      <c r="BQ204" s="102"/>
      <c r="BR204" s="102"/>
      <c r="BS204" s="102"/>
      <c r="BT204" s="389"/>
      <c r="BU204" s="102"/>
      <c r="BV204" s="102"/>
      <c r="BW204" s="335"/>
      <c r="BX204" s="103" t="s">
        <v>457</v>
      </c>
      <c r="BY204" s="107"/>
      <c r="BZ204" s="36"/>
      <c r="CA204" s="36"/>
      <c r="CB204" s="36"/>
      <c r="CC204" s="36"/>
      <c r="CD204" s="36"/>
      <c r="CE204" s="36"/>
      <c r="CF204" s="36"/>
      <c r="CG204" s="36"/>
    </row>
    <row r="205" spans="1:85" ht="12.75" x14ac:dyDescent="0.2">
      <c r="A205" s="146"/>
      <c r="B205" s="117"/>
      <c r="C205" s="261"/>
      <c r="D205" s="260"/>
      <c r="E205" s="100" t="s">
        <v>267</v>
      </c>
      <c r="F205" s="347">
        <f t="shared" si="290"/>
        <v>33059</v>
      </c>
      <c r="G205" s="101">
        <f t="shared" si="238"/>
        <v>33059</v>
      </c>
      <c r="H205" s="102">
        <v>33059</v>
      </c>
      <c r="I205" s="102">
        <f t="shared" si="246"/>
        <v>33059</v>
      </c>
      <c r="J205" s="102">
        <f t="shared" si="247"/>
        <v>0</v>
      </c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445"/>
      <c r="Y205" s="102"/>
      <c r="Z205" s="102"/>
      <c r="AA205" s="102"/>
      <c r="AB205" s="102"/>
      <c r="AC205" s="102">
        <v>0</v>
      </c>
      <c r="AD205" s="102">
        <f t="shared" si="248"/>
        <v>0</v>
      </c>
      <c r="AE205" s="102">
        <f t="shared" si="249"/>
        <v>0</v>
      </c>
      <c r="AF205" s="102"/>
      <c r="AG205" s="102"/>
      <c r="AH205" s="102"/>
      <c r="AI205" s="102"/>
      <c r="AJ205" s="102"/>
      <c r="AK205" s="102"/>
      <c r="AL205" s="445"/>
      <c r="AM205" s="102"/>
      <c r="AN205" s="102"/>
      <c r="AO205" s="102">
        <v>0</v>
      </c>
      <c r="AP205" s="102">
        <f t="shared" si="250"/>
        <v>0</v>
      </c>
      <c r="AQ205" s="102">
        <f t="shared" si="251"/>
        <v>0</v>
      </c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>
        <v>0</v>
      </c>
      <c r="BC205" s="123">
        <f t="shared" si="252"/>
        <v>0</v>
      </c>
      <c r="BD205" s="123">
        <f t="shared" si="253"/>
        <v>0</v>
      </c>
      <c r="BE205" s="123"/>
      <c r="BF205" s="123"/>
      <c r="BG205" s="123"/>
      <c r="BH205" s="123"/>
      <c r="BI205" s="123"/>
      <c r="BJ205" s="123"/>
      <c r="BK205" s="123"/>
      <c r="BL205" s="123"/>
      <c r="BM205" s="102">
        <f t="shared" si="254"/>
        <v>0</v>
      </c>
      <c r="BN205" s="102">
        <f t="shared" si="255"/>
        <v>0</v>
      </c>
      <c r="BO205" s="102"/>
      <c r="BP205" s="102"/>
      <c r="BQ205" s="102"/>
      <c r="BR205" s="102"/>
      <c r="BS205" s="102"/>
      <c r="BT205" s="389"/>
      <c r="BU205" s="102"/>
      <c r="BV205" s="102"/>
      <c r="BW205" s="335"/>
      <c r="BX205" s="103" t="s">
        <v>458</v>
      </c>
      <c r="BY205" s="107"/>
      <c r="BZ205" s="36"/>
      <c r="CA205" s="36"/>
      <c r="CB205" s="36"/>
      <c r="CC205" s="36"/>
      <c r="CD205" s="36"/>
      <c r="CE205" s="36"/>
      <c r="CF205" s="36"/>
      <c r="CG205" s="36"/>
    </row>
    <row r="206" spans="1:85" ht="36" x14ac:dyDescent="0.2">
      <c r="A206" s="146">
        <v>90009563202</v>
      </c>
      <c r="B206" s="117"/>
      <c r="C206" s="495" t="s">
        <v>603</v>
      </c>
      <c r="D206" s="496"/>
      <c r="E206" s="100" t="s">
        <v>249</v>
      </c>
      <c r="F206" s="347">
        <f t="shared" si="290"/>
        <v>330847</v>
      </c>
      <c r="G206" s="101">
        <f t="shared" si="238"/>
        <v>343011</v>
      </c>
      <c r="H206" s="102">
        <v>168927</v>
      </c>
      <c r="I206" s="102">
        <f t="shared" si="246"/>
        <v>168927</v>
      </c>
      <c r="J206" s="102">
        <f t="shared" si="247"/>
        <v>0</v>
      </c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445"/>
      <c r="Y206" s="102"/>
      <c r="Z206" s="102"/>
      <c r="AA206" s="102"/>
      <c r="AB206" s="102"/>
      <c r="AC206" s="102">
        <v>160895</v>
      </c>
      <c r="AD206" s="102">
        <f t="shared" si="248"/>
        <v>172901</v>
      </c>
      <c r="AE206" s="102">
        <f t="shared" si="249"/>
        <v>12006</v>
      </c>
      <c r="AF206" s="102"/>
      <c r="AG206" s="102"/>
      <c r="AH206" s="102">
        <f>541+11465</f>
        <v>12006</v>
      </c>
      <c r="AI206" s="102"/>
      <c r="AJ206" s="102"/>
      <c r="AK206" s="102"/>
      <c r="AL206" s="445"/>
      <c r="AM206" s="102"/>
      <c r="AN206" s="102"/>
      <c r="AO206" s="102">
        <v>1025</v>
      </c>
      <c r="AP206" s="123">
        <f t="shared" si="250"/>
        <v>1183</v>
      </c>
      <c r="AQ206" s="123">
        <f t="shared" si="251"/>
        <v>158</v>
      </c>
      <c r="AR206" s="123"/>
      <c r="AS206" s="123"/>
      <c r="AT206" s="123">
        <v>158</v>
      </c>
      <c r="AU206" s="123"/>
      <c r="AV206" s="123"/>
      <c r="AW206" s="123"/>
      <c r="AX206" s="123"/>
      <c r="AY206" s="123"/>
      <c r="AZ206" s="123"/>
      <c r="BA206" s="123"/>
      <c r="BB206" s="123">
        <v>0</v>
      </c>
      <c r="BC206" s="123">
        <f t="shared" si="252"/>
        <v>0</v>
      </c>
      <c r="BD206" s="123">
        <f t="shared" si="253"/>
        <v>0</v>
      </c>
      <c r="BE206" s="123"/>
      <c r="BF206" s="123"/>
      <c r="BG206" s="123"/>
      <c r="BH206" s="123"/>
      <c r="BI206" s="123"/>
      <c r="BJ206" s="123"/>
      <c r="BK206" s="123"/>
      <c r="BL206" s="123"/>
      <c r="BM206" s="102">
        <f t="shared" si="254"/>
        <v>0</v>
      </c>
      <c r="BN206" s="102">
        <f t="shared" si="255"/>
        <v>0</v>
      </c>
      <c r="BO206" s="102"/>
      <c r="BP206" s="102"/>
      <c r="BQ206" s="102"/>
      <c r="BR206" s="102"/>
      <c r="BS206" s="102"/>
      <c r="BT206" s="389"/>
      <c r="BU206" s="102"/>
      <c r="BV206" s="102"/>
      <c r="BW206" s="335"/>
      <c r="BX206" s="103" t="s">
        <v>459</v>
      </c>
      <c r="BY206" s="107"/>
      <c r="BZ206" s="36"/>
      <c r="CA206" s="36"/>
      <c r="CB206" s="36"/>
      <c r="CC206" s="36"/>
      <c r="CD206" s="36"/>
      <c r="CE206" s="36"/>
      <c r="CF206" s="36"/>
      <c r="CG206" s="36"/>
    </row>
    <row r="207" spans="1:85" s="229" customFormat="1" ht="12.75" x14ac:dyDescent="0.2">
      <c r="A207" s="146"/>
      <c r="B207" s="117"/>
      <c r="C207" s="261"/>
      <c r="D207" s="260"/>
      <c r="E207" s="100" t="s">
        <v>267</v>
      </c>
      <c r="F207" s="347">
        <f t="shared" si="290"/>
        <v>19315</v>
      </c>
      <c r="G207" s="101">
        <f t="shared" si="238"/>
        <v>19315</v>
      </c>
      <c r="H207" s="102">
        <v>19315</v>
      </c>
      <c r="I207" s="102">
        <f t="shared" si="246"/>
        <v>19315</v>
      </c>
      <c r="J207" s="102">
        <f t="shared" si="247"/>
        <v>0</v>
      </c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445"/>
      <c r="Y207" s="102"/>
      <c r="Z207" s="102"/>
      <c r="AA207" s="102"/>
      <c r="AB207" s="102"/>
      <c r="AC207" s="102">
        <v>0</v>
      </c>
      <c r="AD207" s="102">
        <f t="shared" si="248"/>
        <v>0</v>
      </c>
      <c r="AE207" s="102">
        <f t="shared" si="249"/>
        <v>0</v>
      </c>
      <c r="AF207" s="102"/>
      <c r="AG207" s="102"/>
      <c r="AH207" s="102"/>
      <c r="AI207" s="102"/>
      <c r="AJ207" s="102"/>
      <c r="AK207" s="102"/>
      <c r="AL207" s="445"/>
      <c r="AM207" s="102"/>
      <c r="AN207" s="102"/>
      <c r="AO207" s="102">
        <v>0</v>
      </c>
      <c r="AP207" s="102">
        <f t="shared" si="250"/>
        <v>0</v>
      </c>
      <c r="AQ207" s="102">
        <f t="shared" si="251"/>
        <v>0</v>
      </c>
      <c r="AR207" s="102"/>
      <c r="AS207" s="102"/>
      <c r="AT207" s="102"/>
      <c r="AU207" s="102"/>
      <c r="AV207" s="102"/>
      <c r="AW207" s="102"/>
      <c r="AX207" s="102"/>
      <c r="AY207" s="102"/>
      <c r="AZ207" s="102"/>
      <c r="BA207" s="102"/>
      <c r="BB207" s="102">
        <v>0</v>
      </c>
      <c r="BC207" s="123">
        <f t="shared" si="252"/>
        <v>0</v>
      </c>
      <c r="BD207" s="123">
        <f t="shared" si="253"/>
        <v>0</v>
      </c>
      <c r="BE207" s="123"/>
      <c r="BF207" s="123"/>
      <c r="BG207" s="123"/>
      <c r="BH207" s="123"/>
      <c r="BI207" s="123"/>
      <c r="BJ207" s="123"/>
      <c r="BK207" s="123"/>
      <c r="BL207" s="123"/>
      <c r="BM207" s="102">
        <f t="shared" si="254"/>
        <v>0</v>
      </c>
      <c r="BN207" s="102">
        <f t="shared" si="255"/>
        <v>0</v>
      </c>
      <c r="BO207" s="102"/>
      <c r="BP207" s="102"/>
      <c r="BQ207" s="102"/>
      <c r="BR207" s="102"/>
      <c r="BS207" s="102"/>
      <c r="BT207" s="389"/>
      <c r="BU207" s="102"/>
      <c r="BV207" s="102"/>
      <c r="BW207" s="335"/>
      <c r="BX207" s="103" t="s">
        <v>568</v>
      </c>
      <c r="BY207" s="107"/>
      <c r="BZ207" s="36"/>
      <c r="CA207" s="36"/>
      <c r="CB207" s="36"/>
      <c r="CC207" s="36"/>
      <c r="CD207" s="36"/>
      <c r="CE207" s="36"/>
      <c r="CF207" s="36"/>
      <c r="CG207" s="36"/>
    </row>
    <row r="208" spans="1:85" ht="36" x14ac:dyDescent="0.2">
      <c r="A208" s="146">
        <v>90009249206</v>
      </c>
      <c r="B208" s="117"/>
      <c r="C208" s="495" t="s">
        <v>604</v>
      </c>
      <c r="D208" s="496"/>
      <c r="E208" s="100" t="s">
        <v>249</v>
      </c>
      <c r="F208" s="347">
        <f t="shared" si="290"/>
        <v>632762</v>
      </c>
      <c r="G208" s="101">
        <f t="shared" si="238"/>
        <v>634221</v>
      </c>
      <c r="H208" s="102">
        <v>576761</v>
      </c>
      <c r="I208" s="102">
        <f t="shared" si="246"/>
        <v>576761</v>
      </c>
      <c r="J208" s="102">
        <f t="shared" si="247"/>
        <v>0</v>
      </c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445"/>
      <c r="Y208" s="102"/>
      <c r="Z208" s="102"/>
      <c r="AA208" s="102"/>
      <c r="AB208" s="102"/>
      <c r="AC208" s="102">
        <v>50688</v>
      </c>
      <c r="AD208" s="102">
        <f t="shared" si="248"/>
        <v>52035</v>
      </c>
      <c r="AE208" s="102">
        <f t="shared" si="249"/>
        <v>1347</v>
      </c>
      <c r="AF208" s="102">
        <v>4</v>
      </c>
      <c r="AG208" s="102"/>
      <c r="AH208" s="102"/>
      <c r="AI208" s="102">
        <v>1343</v>
      </c>
      <c r="AJ208" s="102"/>
      <c r="AK208" s="102"/>
      <c r="AL208" s="445"/>
      <c r="AM208" s="102"/>
      <c r="AN208" s="102"/>
      <c r="AO208" s="102">
        <v>5313</v>
      </c>
      <c r="AP208" s="123">
        <f t="shared" si="250"/>
        <v>5425</v>
      </c>
      <c r="AQ208" s="123">
        <f t="shared" si="251"/>
        <v>112</v>
      </c>
      <c r="AR208" s="123">
        <v>112</v>
      </c>
      <c r="AS208" s="123"/>
      <c r="AT208" s="123"/>
      <c r="AU208" s="123"/>
      <c r="AV208" s="123"/>
      <c r="AW208" s="123"/>
      <c r="AX208" s="123"/>
      <c r="AY208" s="123"/>
      <c r="AZ208" s="123"/>
      <c r="BA208" s="123"/>
      <c r="BB208" s="123">
        <v>0</v>
      </c>
      <c r="BC208" s="123">
        <f t="shared" si="252"/>
        <v>0</v>
      </c>
      <c r="BD208" s="123">
        <f t="shared" si="253"/>
        <v>0</v>
      </c>
      <c r="BE208" s="123"/>
      <c r="BF208" s="123"/>
      <c r="BG208" s="123"/>
      <c r="BH208" s="123"/>
      <c r="BI208" s="123"/>
      <c r="BJ208" s="123"/>
      <c r="BK208" s="123"/>
      <c r="BL208" s="123"/>
      <c r="BM208" s="102">
        <f t="shared" si="254"/>
        <v>0</v>
      </c>
      <c r="BN208" s="102">
        <f t="shared" si="255"/>
        <v>0</v>
      </c>
      <c r="BO208" s="102"/>
      <c r="BP208" s="102"/>
      <c r="BQ208" s="102"/>
      <c r="BR208" s="102"/>
      <c r="BS208" s="102"/>
      <c r="BT208" s="389"/>
      <c r="BU208" s="102"/>
      <c r="BV208" s="102"/>
      <c r="BW208" s="335"/>
      <c r="BX208" s="103" t="s">
        <v>460</v>
      </c>
      <c r="BY208" s="107"/>
      <c r="BZ208" s="36"/>
      <c r="CA208" s="36"/>
      <c r="CB208" s="36"/>
      <c r="CC208" s="36"/>
      <c r="CD208" s="36"/>
      <c r="CE208" s="36"/>
      <c r="CF208" s="36"/>
      <c r="CG208" s="36"/>
    </row>
    <row r="209" spans="1:85" ht="12.75" x14ac:dyDescent="0.2">
      <c r="A209" s="146"/>
      <c r="B209" s="117"/>
      <c r="C209" s="261"/>
      <c r="D209" s="260"/>
      <c r="E209" s="100" t="s">
        <v>267</v>
      </c>
      <c r="F209" s="347">
        <f t="shared" si="290"/>
        <v>86548</v>
      </c>
      <c r="G209" s="101">
        <f t="shared" si="238"/>
        <v>86548</v>
      </c>
      <c r="H209" s="102">
        <v>86548</v>
      </c>
      <c r="I209" s="102">
        <f t="shared" si="246"/>
        <v>86548</v>
      </c>
      <c r="J209" s="102">
        <f t="shared" si="247"/>
        <v>0</v>
      </c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445"/>
      <c r="Y209" s="102"/>
      <c r="Z209" s="102"/>
      <c r="AA209" s="102"/>
      <c r="AB209" s="102"/>
      <c r="AC209" s="102">
        <v>0</v>
      </c>
      <c r="AD209" s="102">
        <f t="shared" si="248"/>
        <v>0</v>
      </c>
      <c r="AE209" s="102">
        <f t="shared" si="249"/>
        <v>0</v>
      </c>
      <c r="AF209" s="102"/>
      <c r="AG209" s="102"/>
      <c r="AH209" s="102"/>
      <c r="AI209" s="102"/>
      <c r="AJ209" s="102"/>
      <c r="AK209" s="102"/>
      <c r="AL209" s="445"/>
      <c r="AM209" s="102"/>
      <c r="AN209" s="102"/>
      <c r="AO209" s="102">
        <v>0</v>
      </c>
      <c r="AP209" s="102">
        <f t="shared" si="250"/>
        <v>0</v>
      </c>
      <c r="AQ209" s="102">
        <f t="shared" si="251"/>
        <v>0</v>
      </c>
      <c r="AR209" s="102"/>
      <c r="AS209" s="102"/>
      <c r="AT209" s="102"/>
      <c r="AU209" s="102"/>
      <c r="AV209" s="102"/>
      <c r="AW209" s="102"/>
      <c r="AX209" s="102"/>
      <c r="AY209" s="102"/>
      <c r="AZ209" s="102"/>
      <c r="BA209" s="102"/>
      <c r="BB209" s="102">
        <v>0</v>
      </c>
      <c r="BC209" s="123">
        <f t="shared" si="252"/>
        <v>0</v>
      </c>
      <c r="BD209" s="123">
        <f t="shared" si="253"/>
        <v>0</v>
      </c>
      <c r="BE209" s="123"/>
      <c r="BF209" s="123"/>
      <c r="BG209" s="123"/>
      <c r="BH209" s="123"/>
      <c r="BI209" s="123"/>
      <c r="BJ209" s="123"/>
      <c r="BK209" s="123"/>
      <c r="BL209" s="123"/>
      <c r="BM209" s="102">
        <f t="shared" si="254"/>
        <v>0</v>
      </c>
      <c r="BN209" s="102">
        <f t="shared" si="255"/>
        <v>0</v>
      </c>
      <c r="BO209" s="102"/>
      <c r="BP209" s="102"/>
      <c r="BQ209" s="102"/>
      <c r="BR209" s="102"/>
      <c r="BS209" s="102"/>
      <c r="BT209" s="389"/>
      <c r="BU209" s="102"/>
      <c r="BV209" s="102"/>
      <c r="BW209" s="335"/>
      <c r="BX209" s="103" t="s">
        <v>461</v>
      </c>
      <c r="BY209" s="107"/>
      <c r="BZ209" s="36"/>
      <c r="CA209" s="36"/>
      <c r="CB209" s="36"/>
      <c r="CC209" s="36"/>
      <c r="CD209" s="36"/>
      <c r="CE209" s="36"/>
      <c r="CF209" s="36"/>
      <c r="CG209" s="36"/>
    </row>
    <row r="210" spans="1:85" ht="36" x14ac:dyDescent="0.2">
      <c r="A210" s="146">
        <v>90009251357</v>
      </c>
      <c r="B210" s="117"/>
      <c r="C210" s="495" t="s">
        <v>605</v>
      </c>
      <c r="D210" s="496"/>
      <c r="E210" s="100" t="s">
        <v>249</v>
      </c>
      <c r="F210" s="347">
        <f t="shared" si="290"/>
        <v>396099</v>
      </c>
      <c r="G210" s="101">
        <f t="shared" si="238"/>
        <v>397045</v>
      </c>
      <c r="H210" s="102">
        <v>361130</v>
      </c>
      <c r="I210" s="102">
        <f t="shared" si="246"/>
        <v>360677</v>
      </c>
      <c r="J210" s="102">
        <f t="shared" si="247"/>
        <v>-453</v>
      </c>
      <c r="K210" s="102"/>
      <c r="L210" s="102"/>
      <c r="M210" s="102"/>
      <c r="N210" s="102"/>
      <c r="O210" s="102"/>
      <c r="P210" s="102">
        <v>-453</v>
      </c>
      <c r="Q210" s="102"/>
      <c r="R210" s="102"/>
      <c r="S210" s="102"/>
      <c r="T210" s="102"/>
      <c r="U210" s="102"/>
      <c r="V210" s="102"/>
      <c r="W210" s="102"/>
      <c r="X210" s="445"/>
      <c r="Y210" s="102"/>
      <c r="Z210" s="102"/>
      <c r="AA210" s="102"/>
      <c r="AB210" s="102"/>
      <c r="AC210" s="102">
        <v>32968</v>
      </c>
      <c r="AD210" s="102">
        <f t="shared" si="248"/>
        <v>33798</v>
      </c>
      <c r="AE210" s="102">
        <f t="shared" si="249"/>
        <v>830</v>
      </c>
      <c r="AF210" s="102"/>
      <c r="AG210" s="102"/>
      <c r="AH210" s="102">
        <v>830</v>
      </c>
      <c r="AI210" s="102"/>
      <c r="AJ210" s="102"/>
      <c r="AK210" s="102"/>
      <c r="AL210" s="445"/>
      <c r="AM210" s="102"/>
      <c r="AN210" s="102"/>
      <c r="AO210" s="102">
        <v>2001</v>
      </c>
      <c r="AP210" s="123">
        <f t="shared" si="250"/>
        <v>2454</v>
      </c>
      <c r="AQ210" s="123">
        <f t="shared" si="251"/>
        <v>453</v>
      </c>
      <c r="AR210" s="123"/>
      <c r="AS210" s="123"/>
      <c r="AT210" s="123">
        <v>453</v>
      </c>
      <c r="AU210" s="123"/>
      <c r="AV210" s="123"/>
      <c r="AW210" s="123"/>
      <c r="AX210" s="123"/>
      <c r="AY210" s="123"/>
      <c r="AZ210" s="123"/>
      <c r="BA210" s="123"/>
      <c r="BB210" s="123">
        <v>0</v>
      </c>
      <c r="BC210" s="123">
        <f t="shared" si="252"/>
        <v>116</v>
      </c>
      <c r="BD210" s="123">
        <f t="shared" si="253"/>
        <v>116</v>
      </c>
      <c r="BE210" s="123">
        <v>116</v>
      </c>
      <c r="BF210" s="123"/>
      <c r="BG210" s="123"/>
      <c r="BH210" s="123"/>
      <c r="BI210" s="123"/>
      <c r="BJ210" s="123"/>
      <c r="BK210" s="123"/>
      <c r="BL210" s="123"/>
      <c r="BM210" s="102">
        <f t="shared" si="254"/>
        <v>0</v>
      </c>
      <c r="BN210" s="102">
        <f t="shared" si="255"/>
        <v>0</v>
      </c>
      <c r="BO210" s="102"/>
      <c r="BP210" s="102"/>
      <c r="BQ210" s="102"/>
      <c r="BR210" s="102"/>
      <c r="BS210" s="102"/>
      <c r="BT210" s="389"/>
      <c r="BU210" s="102"/>
      <c r="BV210" s="102"/>
      <c r="BW210" s="335"/>
      <c r="BX210" s="103" t="s">
        <v>462</v>
      </c>
      <c r="BY210" s="107"/>
      <c r="BZ210" s="36"/>
      <c r="CA210" s="36"/>
      <c r="CB210" s="36"/>
      <c r="CC210" s="36"/>
      <c r="CD210" s="36"/>
      <c r="CE210" s="36"/>
      <c r="CF210" s="36"/>
      <c r="CG210" s="36"/>
    </row>
    <row r="211" spans="1:85" ht="12.75" x14ac:dyDescent="0.2">
      <c r="A211" s="146"/>
      <c r="B211" s="117"/>
      <c r="C211" s="261"/>
      <c r="D211" s="260"/>
      <c r="E211" s="100" t="s">
        <v>267</v>
      </c>
      <c r="F211" s="347">
        <f t="shared" si="290"/>
        <v>50417</v>
      </c>
      <c r="G211" s="101">
        <f t="shared" si="238"/>
        <v>51221</v>
      </c>
      <c r="H211" s="102">
        <v>44945</v>
      </c>
      <c r="I211" s="102">
        <f t="shared" si="246"/>
        <v>44945</v>
      </c>
      <c r="J211" s="102">
        <f t="shared" si="247"/>
        <v>0</v>
      </c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445"/>
      <c r="Y211" s="102"/>
      <c r="Z211" s="102"/>
      <c r="AA211" s="102"/>
      <c r="AB211" s="102"/>
      <c r="AC211" s="102">
        <v>0</v>
      </c>
      <c r="AD211" s="102">
        <f t="shared" si="248"/>
        <v>0</v>
      </c>
      <c r="AE211" s="102">
        <f t="shared" si="249"/>
        <v>0</v>
      </c>
      <c r="AF211" s="102"/>
      <c r="AG211" s="102"/>
      <c r="AH211" s="102"/>
      <c r="AI211" s="102"/>
      <c r="AJ211" s="102"/>
      <c r="AK211" s="102"/>
      <c r="AL211" s="445"/>
      <c r="AM211" s="102"/>
      <c r="AN211" s="102"/>
      <c r="AO211" s="102">
        <v>5472</v>
      </c>
      <c r="AP211" s="102">
        <f t="shared" si="250"/>
        <v>6276</v>
      </c>
      <c r="AQ211" s="102">
        <f t="shared" si="251"/>
        <v>804</v>
      </c>
      <c r="AR211" s="102"/>
      <c r="AS211" s="102"/>
      <c r="AT211" s="102"/>
      <c r="AU211" s="102">
        <v>804</v>
      </c>
      <c r="AV211" s="102"/>
      <c r="AW211" s="102"/>
      <c r="AX211" s="102"/>
      <c r="AY211" s="102"/>
      <c r="AZ211" s="102"/>
      <c r="BA211" s="102"/>
      <c r="BB211" s="102">
        <v>0</v>
      </c>
      <c r="BC211" s="123">
        <f t="shared" si="252"/>
        <v>0</v>
      </c>
      <c r="BD211" s="123">
        <f t="shared" si="253"/>
        <v>0</v>
      </c>
      <c r="BE211" s="123"/>
      <c r="BF211" s="123"/>
      <c r="BG211" s="123"/>
      <c r="BH211" s="123"/>
      <c r="BI211" s="123"/>
      <c r="BJ211" s="123"/>
      <c r="BK211" s="123"/>
      <c r="BL211" s="123"/>
      <c r="BM211" s="102">
        <f t="shared" si="254"/>
        <v>0</v>
      </c>
      <c r="BN211" s="102">
        <f t="shared" si="255"/>
        <v>0</v>
      </c>
      <c r="BO211" s="102"/>
      <c r="BP211" s="102"/>
      <c r="BQ211" s="102"/>
      <c r="BR211" s="102"/>
      <c r="BS211" s="102"/>
      <c r="BT211" s="389"/>
      <c r="BU211" s="102"/>
      <c r="BV211" s="102"/>
      <c r="BW211" s="335"/>
      <c r="BX211" s="103" t="s">
        <v>463</v>
      </c>
      <c r="BY211" s="107"/>
      <c r="BZ211" s="36"/>
      <c r="CA211" s="36"/>
      <c r="CB211" s="36"/>
      <c r="CC211" s="36"/>
      <c r="CD211" s="36"/>
      <c r="CE211" s="36"/>
      <c r="CF211" s="36"/>
      <c r="CG211" s="36"/>
    </row>
    <row r="212" spans="1:85" ht="24" x14ac:dyDescent="0.2">
      <c r="A212" s="146">
        <v>90000051542</v>
      </c>
      <c r="B212" s="117"/>
      <c r="C212" s="495" t="s">
        <v>20</v>
      </c>
      <c r="D212" s="496"/>
      <c r="E212" s="100" t="s">
        <v>248</v>
      </c>
      <c r="F212" s="347">
        <f t="shared" si="290"/>
        <v>1340292</v>
      </c>
      <c r="G212" s="101">
        <f t="shared" si="238"/>
        <v>1380374</v>
      </c>
      <c r="H212" s="102">
        <v>547656</v>
      </c>
      <c r="I212" s="102">
        <f t="shared" si="246"/>
        <v>570357</v>
      </c>
      <c r="J212" s="102">
        <f t="shared" si="247"/>
        <v>22701</v>
      </c>
      <c r="K212" s="102"/>
      <c r="L212" s="102"/>
      <c r="M212" s="102"/>
      <c r="N212" s="102"/>
      <c r="O212" s="102"/>
      <c r="P212" s="102">
        <f>-2574+810+24465</f>
        <v>22701</v>
      </c>
      <c r="Q212" s="102"/>
      <c r="R212" s="102"/>
      <c r="S212" s="102"/>
      <c r="T212" s="102"/>
      <c r="U212" s="102"/>
      <c r="V212" s="102"/>
      <c r="W212" s="102"/>
      <c r="X212" s="445"/>
      <c r="Y212" s="102"/>
      <c r="Z212" s="102"/>
      <c r="AA212" s="102"/>
      <c r="AB212" s="102"/>
      <c r="AC212" s="102">
        <v>766766</v>
      </c>
      <c r="AD212" s="102">
        <f t="shared" si="248"/>
        <v>781294</v>
      </c>
      <c r="AE212" s="102">
        <f t="shared" si="249"/>
        <v>14528</v>
      </c>
      <c r="AF212" s="102"/>
      <c r="AG212" s="102"/>
      <c r="AH212" s="102">
        <f>403+10692-312</f>
        <v>10783</v>
      </c>
      <c r="AI212" s="102"/>
      <c r="AJ212" s="102"/>
      <c r="AK212" s="102"/>
      <c r="AL212" s="445">
        <v>3745</v>
      </c>
      <c r="AM212" s="102"/>
      <c r="AN212" s="102"/>
      <c r="AO212" s="102">
        <v>25870</v>
      </c>
      <c r="AP212" s="102">
        <f t="shared" si="250"/>
        <v>28723</v>
      </c>
      <c r="AQ212" s="102">
        <f t="shared" si="251"/>
        <v>2853</v>
      </c>
      <c r="AR212" s="102"/>
      <c r="AS212" s="102"/>
      <c r="AT212" s="102">
        <v>2853</v>
      </c>
      <c r="AU212" s="102"/>
      <c r="AV212" s="102"/>
      <c r="AW212" s="102"/>
      <c r="AX212" s="102"/>
      <c r="AY212" s="102"/>
      <c r="AZ212" s="102"/>
      <c r="BA212" s="102"/>
      <c r="BB212" s="102">
        <v>0</v>
      </c>
      <c r="BC212" s="123">
        <f t="shared" si="252"/>
        <v>0</v>
      </c>
      <c r="BD212" s="123">
        <f t="shared" si="253"/>
        <v>0</v>
      </c>
      <c r="BE212" s="123"/>
      <c r="BF212" s="123"/>
      <c r="BG212" s="123"/>
      <c r="BH212" s="123"/>
      <c r="BI212" s="123"/>
      <c r="BJ212" s="123"/>
      <c r="BK212" s="123"/>
      <c r="BL212" s="123"/>
      <c r="BM212" s="102">
        <f t="shared" si="254"/>
        <v>0</v>
      </c>
      <c r="BN212" s="102">
        <f t="shared" si="255"/>
        <v>0</v>
      </c>
      <c r="BO212" s="102"/>
      <c r="BP212" s="102"/>
      <c r="BQ212" s="102"/>
      <c r="BR212" s="102"/>
      <c r="BS212" s="102"/>
      <c r="BT212" s="389"/>
      <c r="BU212" s="102"/>
      <c r="BV212" s="102"/>
      <c r="BW212" s="335"/>
      <c r="BX212" s="103" t="s">
        <v>464</v>
      </c>
      <c r="BY212" s="107"/>
      <c r="BZ212" s="36"/>
      <c r="CA212" s="36"/>
      <c r="CB212" s="36"/>
      <c r="CC212" s="36"/>
      <c r="CD212" s="36"/>
      <c r="CE212" s="36"/>
      <c r="CF212" s="36"/>
      <c r="CG212" s="36"/>
    </row>
    <row r="213" spans="1:85" ht="12.75" x14ac:dyDescent="0.2">
      <c r="A213" s="146"/>
      <c r="B213" s="117"/>
      <c r="C213" s="266"/>
      <c r="D213" s="267"/>
      <c r="E213" s="100" t="s">
        <v>267</v>
      </c>
      <c r="F213" s="347">
        <f t="shared" si="290"/>
        <v>151163</v>
      </c>
      <c r="G213" s="101">
        <f t="shared" ref="G213:G238" si="374">I213+AD213+AP213+BA213+BC213+BM213</f>
        <v>151163</v>
      </c>
      <c r="H213" s="102">
        <v>102336</v>
      </c>
      <c r="I213" s="102">
        <f t="shared" si="246"/>
        <v>102336</v>
      </c>
      <c r="J213" s="102">
        <f t="shared" si="247"/>
        <v>0</v>
      </c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445"/>
      <c r="Y213" s="102"/>
      <c r="Z213" s="102"/>
      <c r="AA213" s="102"/>
      <c r="AB213" s="102"/>
      <c r="AC213" s="102">
        <v>48827</v>
      </c>
      <c r="AD213" s="102">
        <f t="shared" si="248"/>
        <v>48827</v>
      </c>
      <c r="AE213" s="102">
        <f t="shared" si="249"/>
        <v>0</v>
      </c>
      <c r="AF213" s="102"/>
      <c r="AG213" s="102"/>
      <c r="AH213" s="102"/>
      <c r="AI213" s="102"/>
      <c r="AJ213" s="102"/>
      <c r="AK213" s="102"/>
      <c r="AL213" s="445"/>
      <c r="AM213" s="102"/>
      <c r="AN213" s="102"/>
      <c r="AO213" s="102">
        <v>0</v>
      </c>
      <c r="AP213" s="102">
        <f t="shared" si="250"/>
        <v>0</v>
      </c>
      <c r="AQ213" s="102">
        <f t="shared" si="251"/>
        <v>0</v>
      </c>
      <c r="AR213" s="102"/>
      <c r="AS213" s="102"/>
      <c r="AT213" s="102"/>
      <c r="AU213" s="102"/>
      <c r="AV213" s="102"/>
      <c r="AW213" s="102"/>
      <c r="AX213" s="102"/>
      <c r="AY213" s="102"/>
      <c r="AZ213" s="102"/>
      <c r="BA213" s="102"/>
      <c r="BB213" s="102">
        <v>0</v>
      </c>
      <c r="BC213" s="123">
        <f t="shared" si="252"/>
        <v>0</v>
      </c>
      <c r="BD213" s="123">
        <f t="shared" si="253"/>
        <v>0</v>
      </c>
      <c r="BE213" s="123"/>
      <c r="BF213" s="123"/>
      <c r="BG213" s="123"/>
      <c r="BH213" s="123"/>
      <c r="BI213" s="123"/>
      <c r="BJ213" s="123"/>
      <c r="BK213" s="123"/>
      <c r="BL213" s="123"/>
      <c r="BM213" s="102">
        <f t="shared" si="254"/>
        <v>0</v>
      </c>
      <c r="BN213" s="102">
        <f t="shared" si="255"/>
        <v>0</v>
      </c>
      <c r="BO213" s="102"/>
      <c r="BP213" s="102"/>
      <c r="BQ213" s="102"/>
      <c r="BR213" s="102"/>
      <c r="BS213" s="102"/>
      <c r="BT213" s="389"/>
      <c r="BU213" s="102"/>
      <c r="BV213" s="102"/>
      <c r="BW213" s="335"/>
      <c r="BX213" s="103" t="s">
        <v>465</v>
      </c>
      <c r="BY213" s="107"/>
      <c r="BZ213" s="36"/>
      <c r="CA213" s="36"/>
      <c r="CB213" s="36"/>
      <c r="CC213" s="36"/>
      <c r="CD213" s="36"/>
      <c r="CE213" s="36"/>
      <c r="CF213" s="36"/>
      <c r="CG213" s="36"/>
    </row>
    <row r="214" spans="1:85" s="149" customFormat="1" ht="24" x14ac:dyDescent="0.2">
      <c r="A214" s="146"/>
      <c r="B214" s="117"/>
      <c r="C214" s="266"/>
      <c r="D214" s="267"/>
      <c r="E214" s="100" t="s">
        <v>537</v>
      </c>
      <c r="F214" s="347">
        <f t="shared" si="290"/>
        <v>6265</v>
      </c>
      <c r="G214" s="101">
        <f t="shared" si="374"/>
        <v>6265</v>
      </c>
      <c r="H214" s="102">
        <v>6265</v>
      </c>
      <c r="I214" s="102">
        <f t="shared" ref="I214:I238" si="375">J214+H214</f>
        <v>6265</v>
      </c>
      <c r="J214" s="102">
        <f t="shared" ref="J214:J238" si="376">SUM(K214:AB214)</f>
        <v>0</v>
      </c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445"/>
      <c r="Y214" s="102"/>
      <c r="Z214" s="102"/>
      <c r="AA214" s="102"/>
      <c r="AB214" s="102"/>
      <c r="AC214" s="102">
        <v>0</v>
      </c>
      <c r="AD214" s="102">
        <f t="shared" ref="AD214:AD238" si="377">AC214+AE214</f>
        <v>0</v>
      </c>
      <c r="AE214" s="102">
        <f t="shared" ref="AE214:AE238" si="378">SUM(AF214:AN214)</f>
        <v>0</v>
      </c>
      <c r="AF214" s="102"/>
      <c r="AG214" s="102"/>
      <c r="AH214" s="102"/>
      <c r="AI214" s="102"/>
      <c r="AJ214" s="102"/>
      <c r="AK214" s="102"/>
      <c r="AL214" s="445"/>
      <c r="AM214" s="102"/>
      <c r="AN214" s="102"/>
      <c r="AO214" s="102">
        <v>0</v>
      </c>
      <c r="AP214" s="102">
        <f t="shared" ref="AP214:AP238" si="379">AQ214+AO214</f>
        <v>0</v>
      </c>
      <c r="AQ214" s="102">
        <f t="shared" ref="AQ214:AQ238" si="380">SUM(AR214:AZ214)</f>
        <v>0</v>
      </c>
      <c r="AR214" s="102"/>
      <c r="AS214" s="102"/>
      <c r="AT214" s="102"/>
      <c r="AU214" s="102"/>
      <c r="AV214" s="102"/>
      <c r="AW214" s="102"/>
      <c r="AX214" s="102"/>
      <c r="AY214" s="102"/>
      <c r="AZ214" s="102"/>
      <c r="BA214" s="102"/>
      <c r="BB214" s="102">
        <v>0</v>
      </c>
      <c r="BC214" s="123">
        <f t="shared" ref="BC214:BC238" si="381">BB214+BD214</f>
        <v>0</v>
      </c>
      <c r="BD214" s="123">
        <f t="shared" ref="BD214:BD238" si="382">SUM(BE214:BK214)</f>
        <v>0</v>
      </c>
      <c r="BE214" s="123"/>
      <c r="BF214" s="123"/>
      <c r="BG214" s="123"/>
      <c r="BH214" s="123"/>
      <c r="BI214" s="123"/>
      <c r="BJ214" s="123"/>
      <c r="BK214" s="123"/>
      <c r="BL214" s="123"/>
      <c r="BM214" s="102">
        <f t="shared" ref="BM214:BM238" si="383">BN214+BL214</f>
        <v>0</v>
      </c>
      <c r="BN214" s="102">
        <f t="shared" ref="BN214:BN238" si="384">SUM(BO214:BW214)</f>
        <v>0</v>
      </c>
      <c r="BO214" s="102"/>
      <c r="BP214" s="102"/>
      <c r="BQ214" s="102"/>
      <c r="BR214" s="102"/>
      <c r="BS214" s="102"/>
      <c r="BT214" s="389"/>
      <c r="BU214" s="102"/>
      <c r="BV214" s="102"/>
      <c r="BW214" s="335"/>
      <c r="BX214" s="103" t="s">
        <v>466</v>
      </c>
      <c r="BY214" s="107"/>
      <c r="BZ214" s="36"/>
      <c r="CA214" s="36"/>
      <c r="CB214" s="36"/>
      <c r="CC214" s="36"/>
      <c r="CD214" s="36"/>
      <c r="CE214" s="36"/>
      <c r="CF214" s="36"/>
      <c r="CG214" s="36"/>
    </row>
    <row r="215" spans="1:85" s="268" customFormat="1" ht="24" x14ac:dyDescent="0.2">
      <c r="A215" s="146"/>
      <c r="B215" s="117"/>
      <c r="C215" s="266"/>
      <c r="D215" s="267"/>
      <c r="E215" s="100" t="s">
        <v>639</v>
      </c>
      <c r="F215" s="347">
        <f t="shared" si="290"/>
        <v>11033</v>
      </c>
      <c r="G215" s="101">
        <f t="shared" si="374"/>
        <v>11033</v>
      </c>
      <c r="H215" s="102">
        <v>11033</v>
      </c>
      <c r="I215" s="102">
        <f t="shared" si="375"/>
        <v>11033</v>
      </c>
      <c r="J215" s="102">
        <f t="shared" si="376"/>
        <v>0</v>
      </c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445"/>
      <c r="Y215" s="102"/>
      <c r="Z215" s="102"/>
      <c r="AA215" s="102"/>
      <c r="AB215" s="102"/>
      <c r="AC215" s="102">
        <v>0</v>
      </c>
      <c r="AD215" s="102">
        <f t="shared" si="377"/>
        <v>0</v>
      </c>
      <c r="AE215" s="102">
        <f t="shared" si="378"/>
        <v>0</v>
      </c>
      <c r="AF215" s="102"/>
      <c r="AG215" s="102"/>
      <c r="AH215" s="102"/>
      <c r="AI215" s="102"/>
      <c r="AJ215" s="102"/>
      <c r="AK215" s="102"/>
      <c r="AL215" s="445"/>
      <c r="AM215" s="102"/>
      <c r="AN215" s="102"/>
      <c r="AO215" s="102">
        <v>0</v>
      </c>
      <c r="AP215" s="102">
        <f t="shared" si="379"/>
        <v>0</v>
      </c>
      <c r="AQ215" s="102">
        <f t="shared" si="380"/>
        <v>0</v>
      </c>
      <c r="AR215" s="102"/>
      <c r="AS215" s="102"/>
      <c r="AT215" s="102"/>
      <c r="AU215" s="102"/>
      <c r="AV215" s="102"/>
      <c r="AW215" s="102"/>
      <c r="AX215" s="102"/>
      <c r="AY215" s="102"/>
      <c r="AZ215" s="102"/>
      <c r="BA215" s="102"/>
      <c r="BB215" s="102">
        <v>0</v>
      </c>
      <c r="BC215" s="123">
        <f t="shared" si="381"/>
        <v>0</v>
      </c>
      <c r="BD215" s="123">
        <f t="shared" si="382"/>
        <v>0</v>
      </c>
      <c r="BE215" s="123"/>
      <c r="BF215" s="123"/>
      <c r="BG215" s="123"/>
      <c r="BH215" s="123"/>
      <c r="BI215" s="123"/>
      <c r="BJ215" s="123"/>
      <c r="BK215" s="123"/>
      <c r="BL215" s="123"/>
      <c r="BM215" s="102">
        <f t="shared" si="383"/>
        <v>0</v>
      </c>
      <c r="BN215" s="102">
        <f t="shared" si="384"/>
        <v>0</v>
      </c>
      <c r="BO215" s="102"/>
      <c r="BP215" s="102"/>
      <c r="BQ215" s="102"/>
      <c r="BR215" s="102"/>
      <c r="BS215" s="102"/>
      <c r="BT215" s="389"/>
      <c r="BU215" s="102"/>
      <c r="BV215" s="102"/>
      <c r="BW215" s="335"/>
      <c r="BX215" s="103" t="s">
        <v>664</v>
      </c>
      <c r="BY215" s="107"/>
      <c r="BZ215" s="36"/>
      <c r="CA215" s="36"/>
      <c r="CB215" s="36"/>
      <c r="CC215" s="36"/>
      <c r="CD215" s="36"/>
      <c r="CE215" s="36"/>
      <c r="CF215" s="36"/>
      <c r="CG215" s="36"/>
    </row>
    <row r="216" spans="1:85" s="311" customFormat="1" ht="12.75" x14ac:dyDescent="0.2">
      <c r="A216" s="146"/>
      <c r="B216" s="117"/>
      <c r="C216" s="309"/>
      <c r="D216" s="310"/>
      <c r="E216" s="100" t="s">
        <v>674</v>
      </c>
      <c r="F216" s="347">
        <f t="shared" si="290"/>
        <v>2720</v>
      </c>
      <c r="G216" s="101">
        <f t="shared" si="374"/>
        <v>2720</v>
      </c>
      <c r="H216" s="102">
        <v>2720</v>
      </c>
      <c r="I216" s="102">
        <f t="shared" si="375"/>
        <v>2720</v>
      </c>
      <c r="J216" s="102">
        <f t="shared" si="376"/>
        <v>0</v>
      </c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445"/>
      <c r="Y216" s="102"/>
      <c r="Z216" s="102"/>
      <c r="AA216" s="102"/>
      <c r="AB216" s="102"/>
      <c r="AC216" s="102">
        <v>0</v>
      </c>
      <c r="AD216" s="102">
        <f t="shared" si="377"/>
        <v>0</v>
      </c>
      <c r="AE216" s="102">
        <f t="shared" si="378"/>
        <v>0</v>
      </c>
      <c r="AF216" s="102"/>
      <c r="AG216" s="102"/>
      <c r="AH216" s="102"/>
      <c r="AI216" s="102"/>
      <c r="AJ216" s="102"/>
      <c r="AK216" s="102"/>
      <c r="AL216" s="445"/>
      <c r="AM216" s="102"/>
      <c r="AN216" s="102"/>
      <c r="AO216" s="102">
        <v>0</v>
      </c>
      <c r="AP216" s="102">
        <f t="shared" si="379"/>
        <v>0</v>
      </c>
      <c r="AQ216" s="102">
        <f t="shared" si="380"/>
        <v>0</v>
      </c>
      <c r="AR216" s="102"/>
      <c r="AS216" s="102"/>
      <c r="AT216" s="102"/>
      <c r="AU216" s="102"/>
      <c r="AV216" s="102"/>
      <c r="AW216" s="102"/>
      <c r="AX216" s="102"/>
      <c r="AY216" s="102"/>
      <c r="AZ216" s="102"/>
      <c r="BA216" s="102"/>
      <c r="BB216" s="102">
        <v>0</v>
      </c>
      <c r="BC216" s="123">
        <f t="shared" si="381"/>
        <v>0</v>
      </c>
      <c r="BD216" s="123">
        <f t="shared" si="382"/>
        <v>0</v>
      </c>
      <c r="BE216" s="123"/>
      <c r="BF216" s="123"/>
      <c r="BG216" s="123"/>
      <c r="BH216" s="123"/>
      <c r="BI216" s="123"/>
      <c r="BJ216" s="123"/>
      <c r="BK216" s="123"/>
      <c r="BL216" s="123"/>
      <c r="BM216" s="102">
        <f t="shared" si="383"/>
        <v>0</v>
      </c>
      <c r="BN216" s="102">
        <f t="shared" si="384"/>
        <v>0</v>
      </c>
      <c r="BO216" s="102"/>
      <c r="BP216" s="102"/>
      <c r="BQ216" s="102"/>
      <c r="BR216" s="102"/>
      <c r="BS216" s="102"/>
      <c r="BT216" s="389"/>
      <c r="BU216" s="102"/>
      <c r="BV216" s="102"/>
      <c r="BW216" s="335"/>
      <c r="BX216" s="103" t="s">
        <v>675</v>
      </c>
      <c r="BY216" s="107"/>
      <c r="BZ216" s="36"/>
      <c r="CA216" s="36"/>
      <c r="CB216" s="36"/>
      <c r="CC216" s="36"/>
      <c r="CD216" s="36"/>
      <c r="CE216" s="36"/>
      <c r="CF216" s="36"/>
      <c r="CG216" s="36"/>
    </row>
    <row r="217" spans="1:85" ht="24" x14ac:dyDescent="0.2">
      <c r="A217" s="146">
        <v>90001175873</v>
      </c>
      <c r="B217" s="117"/>
      <c r="C217" s="495" t="s">
        <v>166</v>
      </c>
      <c r="D217" s="496"/>
      <c r="E217" s="100" t="s">
        <v>248</v>
      </c>
      <c r="F217" s="347">
        <f t="shared" si="290"/>
        <v>747933</v>
      </c>
      <c r="G217" s="101">
        <f t="shared" si="374"/>
        <v>760665</v>
      </c>
      <c r="H217" s="102">
        <v>316859</v>
      </c>
      <c r="I217" s="102">
        <f t="shared" si="375"/>
        <v>318758</v>
      </c>
      <c r="J217" s="102">
        <f t="shared" si="376"/>
        <v>1899</v>
      </c>
      <c r="K217" s="102"/>
      <c r="L217" s="102"/>
      <c r="M217" s="102"/>
      <c r="N217" s="102">
        <v>1899</v>
      </c>
      <c r="O217" s="102"/>
      <c r="P217" s="102"/>
      <c r="Q217" s="102"/>
      <c r="R217" s="102"/>
      <c r="S217" s="102"/>
      <c r="T217" s="102"/>
      <c r="U217" s="102"/>
      <c r="V217" s="102"/>
      <c r="W217" s="102"/>
      <c r="X217" s="445"/>
      <c r="Y217" s="102"/>
      <c r="Z217" s="102"/>
      <c r="AA217" s="102"/>
      <c r="AB217" s="102"/>
      <c r="AC217" s="102">
        <v>420799</v>
      </c>
      <c r="AD217" s="102">
        <f t="shared" si="377"/>
        <v>430139</v>
      </c>
      <c r="AE217" s="102">
        <f t="shared" si="378"/>
        <v>9340</v>
      </c>
      <c r="AF217" s="102"/>
      <c r="AG217" s="102">
        <v>6792</v>
      </c>
      <c r="AH217" s="102"/>
      <c r="AI217" s="102"/>
      <c r="AJ217" s="102"/>
      <c r="AK217" s="102"/>
      <c r="AL217" s="445">
        <v>2548</v>
      </c>
      <c r="AM217" s="102"/>
      <c r="AN217" s="102"/>
      <c r="AO217" s="102">
        <v>10275</v>
      </c>
      <c r="AP217" s="102">
        <f t="shared" si="379"/>
        <v>11768</v>
      </c>
      <c r="AQ217" s="102">
        <f t="shared" si="380"/>
        <v>1493</v>
      </c>
      <c r="AR217" s="102"/>
      <c r="AS217" s="102">
        <v>1493</v>
      </c>
      <c r="AT217" s="102"/>
      <c r="AU217" s="102"/>
      <c r="AV217" s="102"/>
      <c r="AW217" s="102"/>
      <c r="AX217" s="102"/>
      <c r="AY217" s="102"/>
      <c r="AZ217" s="102"/>
      <c r="BA217" s="102"/>
      <c r="BB217" s="102">
        <v>0</v>
      </c>
      <c r="BC217" s="123">
        <f t="shared" si="381"/>
        <v>0</v>
      </c>
      <c r="BD217" s="123">
        <f t="shared" si="382"/>
        <v>0</v>
      </c>
      <c r="BE217" s="123"/>
      <c r="BF217" s="123"/>
      <c r="BG217" s="123"/>
      <c r="BH217" s="123"/>
      <c r="BI217" s="123"/>
      <c r="BJ217" s="123"/>
      <c r="BK217" s="123"/>
      <c r="BL217" s="123"/>
      <c r="BM217" s="102">
        <f t="shared" si="383"/>
        <v>0</v>
      </c>
      <c r="BN217" s="102">
        <f t="shared" si="384"/>
        <v>0</v>
      </c>
      <c r="BO217" s="102"/>
      <c r="BP217" s="102"/>
      <c r="BQ217" s="102"/>
      <c r="BR217" s="102"/>
      <c r="BS217" s="102"/>
      <c r="BT217" s="389"/>
      <c r="BU217" s="102"/>
      <c r="BV217" s="102"/>
      <c r="BW217" s="335"/>
      <c r="BX217" s="103" t="s">
        <v>467</v>
      </c>
      <c r="BY217" s="107"/>
      <c r="BZ217" s="36"/>
      <c r="CA217" s="36"/>
      <c r="CB217" s="36"/>
      <c r="CC217" s="36"/>
      <c r="CD217" s="36"/>
      <c r="CE217" s="36"/>
      <c r="CF217" s="36"/>
      <c r="CG217" s="36"/>
    </row>
    <row r="218" spans="1:85" ht="12.75" x14ac:dyDescent="0.2">
      <c r="A218" s="146"/>
      <c r="B218" s="117"/>
      <c r="C218" s="266"/>
      <c r="D218" s="267"/>
      <c r="E218" s="100" t="s">
        <v>267</v>
      </c>
      <c r="F218" s="347">
        <f t="shared" si="290"/>
        <v>93927</v>
      </c>
      <c r="G218" s="101">
        <f t="shared" si="374"/>
        <v>93928</v>
      </c>
      <c r="H218" s="102">
        <v>36747</v>
      </c>
      <c r="I218" s="102">
        <f t="shared" si="375"/>
        <v>36747</v>
      </c>
      <c r="J218" s="102">
        <f t="shared" si="376"/>
        <v>0</v>
      </c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445"/>
      <c r="Y218" s="102"/>
      <c r="Z218" s="102"/>
      <c r="AA218" s="102"/>
      <c r="AB218" s="102"/>
      <c r="AC218" s="102">
        <v>57180</v>
      </c>
      <c r="AD218" s="102">
        <f t="shared" si="377"/>
        <v>57181</v>
      </c>
      <c r="AE218" s="102">
        <f t="shared" si="378"/>
        <v>1</v>
      </c>
      <c r="AF218" s="102"/>
      <c r="AG218" s="102"/>
      <c r="AH218" s="102">
        <v>1</v>
      </c>
      <c r="AI218" s="102"/>
      <c r="AJ218" s="102"/>
      <c r="AK218" s="102"/>
      <c r="AL218" s="445"/>
      <c r="AM218" s="102"/>
      <c r="AN218" s="102"/>
      <c r="AO218" s="102">
        <v>0</v>
      </c>
      <c r="AP218" s="102">
        <f t="shared" si="379"/>
        <v>0</v>
      </c>
      <c r="AQ218" s="102">
        <f t="shared" si="380"/>
        <v>0</v>
      </c>
      <c r="AR218" s="102"/>
      <c r="AS218" s="102"/>
      <c r="AT218" s="102"/>
      <c r="AU218" s="102"/>
      <c r="AV218" s="102"/>
      <c r="AW218" s="102"/>
      <c r="AX218" s="102"/>
      <c r="AY218" s="102"/>
      <c r="AZ218" s="102"/>
      <c r="BA218" s="102"/>
      <c r="BB218" s="102">
        <v>0</v>
      </c>
      <c r="BC218" s="123">
        <f t="shared" si="381"/>
        <v>0</v>
      </c>
      <c r="BD218" s="123">
        <f t="shared" si="382"/>
        <v>0</v>
      </c>
      <c r="BE218" s="123"/>
      <c r="BF218" s="123"/>
      <c r="BG218" s="123"/>
      <c r="BH218" s="123"/>
      <c r="BI218" s="123"/>
      <c r="BJ218" s="123"/>
      <c r="BK218" s="123"/>
      <c r="BL218" s="123"/>
      <c r="BM218" s="102">
        <f t="shared" si="383"/>
        <v>0</v>
      </c>
      <c r="BN218" s="102">
        <f t="shared" si="384"/>
        <v>0</v>
      </c>
      <c r="BO218" s="102"/>
      <c r="BP218" s="102"/>
      <c r="BQ218" s="102"/>
      <c r="BR218" s="102"/>
      <c r="BS218" s="102"/>
      <c r="BT218" s="389"/>
      <c r="BU218" s="102"/>
      <c r="BV218" s="102"/>
      <c r="BW218" s="335"/>
      <c r="BX218" s="103" t="s">
        <v>468</v>
      </c>
      <c r="BY218" s="107"/>
      <c r="BZ218" s="36"/>
      <c r="CA218" s="36"/>
      <c r="CB218" s="36"/>
      <c r="CC218" s="36"/>
      <c r="CD218" s="36"/>
      <c r="CE218" s="36"/>
      <c r="CF218" s="36"/>
      <c r="CG218" s="36"/>
    </row>
    <row r="219" spans="1:85" s="293" customFormat="1" ht="36" x14ac:dyDescent="0.2">
      <c r="A219" s="146"/>
      <c r="B219" s="117"/>
      <c r="C219" s="291"/>
      <c r="D219" s="292"/>
      <c r="E219" s="100" t="s">
        <v>643</v>
      </c>
      <c r="F219" s="347">
        <f t="shared" si="290"/>
        <v>4022</v>
      </c>
      <c r="G219" s="101">
        <f t="shared" si="374"/>
        <v>4022</v>
      </c>
      <c r="H219" s="102">
        <v>4022</v>
      </c>
      <c r="I219" s="102">
        <f t="shared" si="375"/>
        <v>4022</v>
      </c>
      <c r="J219" s="102">
        <f t="shared" si="376"/>
        <v>0</v>
      </c>
      <c r="K219" s="102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445"/>
      <c r="Y219" s="102"/>
      <c r="Z219" s="102"/>
      <c r="AA219" s="102"/>
      <c r="AB219" s="102"/>
      <c r="AC219" s="102">
        <v>0</v>
      </c>
      <c r="AD219" s="102">
        <f t="shared" si="377"/>
        <v>0</v>
      </c>
      <c r="AE219" s="102">
        <f t="shared" si="378"/>
        <v>0</v>
      </c>
      <c r="AF219" s="102"/>
      <c r="AG219" s="102"/>
      <c r="AH219" s="102"/>
      <c r="AI219" s="102"/>
      <c r="AJ219" s="102"/>
      <c r="AK219" s="102"/>
      <c r="AL219" s="445"/>
      <c r="AM219" s="102"/>
      <c r="AN219" s="102"/>
      <c r="AO219" s="102">
        <v>0</v>
      </c>
      <c r="AP219" s="102">
        <f t="shared" si="379"/>
        <v>0</v>
      </c>
      <c r="AQ219" s="102">
        <f t="shared" si="380"/>
        <v>0</v>
      </c>
      <c r="AR219" s="102"/>
      <c r="AS219" s="102"/>
      <c r="AT219" s="102"/>
      <c r="AU219" s="102"/>
      <c r="AV219" s="102"/>
      <c r="AW219" s="102"/>
      <c r="AX219" s="102"/>
      <c r="AY219" s="102"/>
      <c r="AZ219" s="102"/>
      <c r="BA219" s="102"/>
      <c r="BB219" s="102">
        <v>0</v>
      </c>
      <c r="BC219" s="123">
        <f t="shared" si="381"/>
        <v>0</v>
      </c>
      <c r="BD219" s="123">
        <f t="shared" si="382"/>
        <v>0</v>
      </c>
      <c r="BE219" s="123"/>
      <c r="BF219" s="123"/>
      <c r="BG219" s="123"/>
      <c r="BH219" s="123"/>
      <c r="BI219" s="123"/>
      <c r="BJ219" s="123"/>
      <c r="BK219" s="123"/>
      <c r="BL219" s="123"/>
      <c r="BM219" s="102">
        <f t="shared" si="383"/>
        <v>0</v>
      </c>
      <c r="BN219" s="102">
        <f t="shared" si="384"/>
        <v>0</v>
      </c>
      <c r="BO219" s="102"/>
      <c r="BP219" s="102"/>
      <c r="BQ219" s="102"/>
      <c r="BR219" s="102"/>
      <c r="BS219" s="102"/>
      <c r="BT219" s="389"/>
      <c r="BU219" s="102"/>
      <c r="BV219" s="102"/>
      <c r="BW219" s="335"/>
      <c r="BX219" s="103" t="s">
        <v>665</v>
      </c>
      <c r="BY219" s="107"/>
      <c r="BZ219" s="36"/>
      <c r="CA219" s="36"/>
      <c r="CB219" s="36"/>
      <c r="CC219" s="36"/>
      <c r="CD219" s="36"/>
      <c r="CE219" s="36"/>
      <c r="CF219" s="36"/>
      <c r="CG219" s="36"/>
    </row>
    <row r="220" spans="1:85" ht="24" x14ac:dyDescent="0.2">
      <c r="A220" s="146">
        <v>90009251361</v>
      </c>
      <c r="B220" s="117"/>
      <c r="C220" s="495" t="s">
        <v>216</v>
      </c>
      <c r="D220" s="496"/>
      <c r="E220" s="100" t="s">
        <v>248</v>
      </c>
      <c r="F220" s="347">
        <f t="shared" si="290"/>
        <v>722121</v>
      </c>
      <c r="G220" s="101">
        <f t="shared" si="374"/>
        <v>734813</v>
      </c>
      <c r="H220" s="102">
        <v>510883</v>
      </c>
      <c r="I220" s="102">
        <f t="shared" si="375"/>
        <v>517086</v>
      </c>
      <c r="J220" s="102">
        <f t="shared" si="376"/>
        <v>6203</v>
      </c>
      <c r="K220" s="102"/>
      <c r="L220" s="102"/>
      <c r="M220" s="102"/>
      <c r="N220" s="102"/>
      <c r="O220" s="102"/>
      <c r="P220" s="102"/>
      <c r="Q220" s="102"/>
      <c r="R220" s="102"/>
      <c r="S220" s="102"/>
      <c r="T220" s="102">
        <v>6203</v>
      </c>
      <c r="U220" s="102"/>
      <c r="V220" s="102"/>
      <c r="W220" s="102"/>
      <c r="X220" s="445"/>
      <c r="Y220" s="102"/>
      <c r="Z220" s="102"/>
      <c r="AA220" s="102"/>
      <c r="AB220" s="102"/>
      <c r="AC220" s="102">
        <v>191585</v>
      </c>
      <c r="AD220" s="102">
        <f t="shared" si="377"/>
        <v>195601</v>
      </c>
      <c r="AE220" s="102">
        <f t="shared" si="378"/>
        <v>4016</v>
      </c>
      <c r="AF220" s="102"/>
      <c r="AG220" s="102"/>
      <c r="AH220" s="102">
        <v>3246</v>
      </c>
      <c r="AI220" s="102"/>
      <c r="AJ220" s="102"/>
      <c r="AK220" s="102"/>
      <c r="AL220" s="445">
        <v>770</v>
      </c>
      <c r="AM220" s="102"/>
      <c r="AN220" s="102"/>
      <c r="AO220" s="102">
        <v>19653</v>
      </c>
      <c r="AP220" s="102">
        <f t="shared" si="379"/>
        <v>23026</v>
      </c>
      <c r="AQ220" s="102">
        <f t="shared" si="380"/>
        <v>3373</v>
      </c>
      <c r="AR220" s="102">
        <v>3373</v>
      </c>
      <c r="AS220" s="102"/>
      <c r="AT220" s="102"/>
      <c r="AU220" s="102"/>
      <c r="AV220" s="102"/>
      <c r="AW220" s="102"/>
      <c r="AX220" s="102"/>
      <c r="AY220" s="102"/>
      <c r="AZ220" s="102"/>
      <c r="BA220" s="102"/>
      <c r="BB220" s="102">
        <v>0</v>
      </c>
      <c r="BC220" s="123">
        <f t="shared" si="381"/>
        <v>0</v>
      </c>
      <c r="BD220" s="123">
        <f t="shared" si="382"/>
        <v>0</v>
      </c>
      <c r="BE220" s="123"/>
      <c r="BF220" s="123"/>
      <c r="BG220" s="123"/>
      <c r="BH220" s="123"/>
      <c r="BI220" s="123"/>
      <c r="BJ220" s="123"/>
      <c r="BK220" s="123"/>
      <c r="BL220" s="123"/>
      <c r="BM220" s="102">
        <f t="shared" si="383"/>
        <v>-900</v>
      </c>
      <c r="BN220" s="102">
        <f t="shared" si="384"/>
        <v>-900</v>
      </c>
      <c r="BO220" s="102"/>
      <c r="BP220" s="102">
        <v>-900</v>
      </c>
      <c r="BQ220" s="102"/>
      <c r="BR220" s="102"/>
      <c r="BS220" s="102"/>
      <c r="BT220" s="389"/>
      <c r="BU220" s="102"/>
      <c r="BV220" s="102"/>
      <c r="BW220" s="335"/>
      <c r="BX220" s="103" t="s">
        <v>469</v>
      </c>
      <c r="BY220" s="107"/>
      <c r="BZ220" s="36"/>
      <c r="CA220" s="36"/>
      <c r="CB220" s="36"/>
      <c r="CC220" s="36"/>
      <c r="CD220" s="36"/>
      <c r="CE220" s="36"/>
      <c r="CF220" s="36"/>
      <c r="CG220" s="36"/>
    </row>
    <row r="221" spans="1:85" ht="12.75" x14ac:dyDescent="0.2">
      <c r="A221" s="146"/>
      <c r="B221" s="117"/>
      <c r="C221" s="261"/>
      <c r="D221" s="260"/>
      <c r="E221" s="100" t="s">
        <v>267</v>
      </c>
      <c r="F221" s="347">
        <f t="shared" si="290"/>
        <v>74131</v>
      </c>
      <c r="G221" s="101">
        <f t="shared" si="374"/>
        <v>74131</v>
      </c>
      <c r="H221" s="102">
        <v>47917</v>
      </c>
      <c r="I221" s="102">
        <f t="shared" si="375"/>
        <v>47917</v>
      </c>
      <c r="J221" s="102">
        <f t="shared" si="376"/>
        <v>0</v>
      </c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445"/>
      <c r="Y221" s="102"/>
      <c r="Z221" s="102"/>
      <c r="AA221" s="102"/>
      <c r="AB221" s="102"/>
      <c r="AC221" s="102">
        <v>26214</v>
      </c>
      <c r="AD221" s="102">
        <f t="shared" si="377"/>
        <v>36861</v>
      </c>
      <c r="AE221" s="102">
        <f t="shared" si="378"/>
        <v>10647</v>
      </c>
      <c r="AF221" s="102"/>
      <c r="AG221" s="102"/>
      <c r="AH221" s="102">
        <v>10647</v>
      </c>
      <c r="AI221" s="102"/>
      <c r="AJ221" s="102"/>
      <c r="AK221" s="102"/>
      <c r="AL221" s="445"/>
      <c r="AM221" s="102"/>
      <c r="AN221" s="102"/>
      <c r="AO221" s="102">
        <v>0</v>
      </c>
      <c r="AP221" s="102">
        <f t="shared" si="379"/>
        <v>0</v>
      </c>
      <c r="AQ221" s="102">
        <f t="shared" si="380"/>
        <v>0</v>
      </c>
      <c r="AR221" s="102"/>
      <c r="AS221" s="102"/>
      <c r="AT221" s="102"/>
      <c r="AU221" s="102"/>
      <c r="AV221" s="102"/>
      <c r="AW221" s="102"/>
      <c r="AX221" s="102"/>
      <c r="AY221" s="102"/>
      <c r="AZ221" s="102"/>
      <c r="BA221" s="102"/>
      <c r="BB221" s="102">
        <v>0</v>
      </c>
      <c r="BC221" s="123">
        <f t="shared" si="381"/>
        <v>0</v>
      </c>
      <c r="BD221" s="123">
        <f t="shared" si="382"/>
        <v>0</v>
      </c>
      <c r="BE221" s="123"/>
      <c r="BF221" s="123"/>
      <c r="BG221" s="123"/>
      <c r="BH221" s="123"/>
      <c r="BI221" s="123"/>
      <c r="BJ221" s="123"/>
      <c r="BK221" s="123"/>
      <c r="BL221" s="123"/>
      <c r="BM221" s="102">
        <f t="shared" si="383"/>
        <v>-10647</v>
      </c>
      <c r="BN221" s="102">
        <f t="shared" si="384"/>
        <v>-10647</v>
      </c>
      <c r="BO221" s="102"/>
      <c r="BP221" s="102"/>
      <c r="BQ221" s="102"/>
      <c r="BR221" s="102"/>
      <c r="BS221" s="102"/>
      <c r="BT221" s="389"/>
      <c r="BU221" s="102">
        <v>-10647</v>
      </c>
      <c r="BV221" s="102"/>
      <c r="BW221" s="335"/>
      <c r="BX221" s="103" t="s">
        <v>470</v>
      </c>
      <c r="BY221" s="107"/>
      <c r="BZ221" s="36"/>
      <c r="CA221" s="36"/>
      <c r="CB221" s="36"/>
      <c r="CC221" s="36"/>
      <c r="CD221" s="36"/>
      <c r="CE221" s="36"/>
      <c r="CF221" s="36"/>
      <c r="CG221" s="36"/>
    </row>
    <row r="222" spans="1:85" ht="27.75" customHeight="1" x14ac:dyDescent="0.2">
      <c r="A222" s="146">
        <v>90000051699</v>
      </c>
      <c r="B222" s="117"/>
      <c r="C222" s="495" t="s">
        <v>217</v>
      </c>
      <c r="D222" s="496"/>
      <c r="E222" s="100" t="s">
        <v>248</v>
      </c>
      <c r="F222" s="347">
        <f t="shared" si="290"/>
        <v>692462</v>
      </c>
      <c r="G222" s="101">
        <f t="shared" si="374"/>
        <v>696837</v>
      </c>
      <c r="H222" s="102">
        <v>471262</v>
      </c>
      <c r="I222" s="102">
        <f t="shared" si="375"/>
        <v>471262</v>
      </c>
      <c r="J222" s="102">
        <f t="shared" si="376"/>
        <v>0</v>
      </c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2"/>
      <c r="W222" s="102"/>
      <c r="X222" s="445"/>
      <c r="Y222" s="102"/>
      <c r="Z222" s="102"/>
      <c r="AA222" s="102"/>
      <c r="AB222" s="102"/>
      <c r="AC222" s="102">
        <v>190855</v>
      </c>
      <c r="AD222" s="102">
        <f t="shared" si="377"/>
        <v>195145</v>
      </c>
      <c r="AE222" s="102">
        <f t="shared" si="378"/>
        <v>4290</v>
      </c>
      <c r="AF222" s="102"/>
      <c r="AG222" s="102"/>
      <c r="AH222" s="102">
        <v>3359</v>
      </c>
      <c r="AI222" s="102"/>
      <c r="AJ222" s="102"/>
      <c r="AK222" s="102"/>
      <c r="AL222" s="445">
        <v>931</v>
      </c>
      <c r="AM222" s="102"/>
      <c r="AN222" s="102"/>
      <c r="AO222" s="102">
        <v>30345</v>
      </c>
      <c r="AP222" s="102">
        <f t="shared" si="379"/>
        <v>30430</v>
      </c>
      <c r="AQ222" s="102">
        <f t="shared" si="380"/>
        <v>85</v>
      </c>
      <c r="AR222" s="102"/>
      <c r="AS222" s="102"/>
      <c r="AT222" s="102">
        <v>85</v>
      </c>
      <c r="AU222" s="102"/>
      <c r="AV222" s="102"/>
      <c r="AW222" s="102"/>
      <c r="AX222" s="102"/>
      <c r="AY222" s="102"/>
      <c r="AZ222" s="102"/>
      <c r="BA222" s="102"/>
      <c r="BB222" s="102">
        <v>0</v>
      </c>
      <c r="BC222" s="123">
        <f t="shared" si="381"/>
        <v>0</v>
      </c>
      <c r="BD222" s="123">
        <f t="shared" si="382"/>
        <v>0</v>
      </c>
      <c r="BE222" s="123"/>
      <c r="BF222" s="123"/>
      <c r="BG222" s="123"/>
      <c r="BH222" s="123"/>
      <c r="BI222" s="123"/>
      <c r="BJ222" s="123"/>
      <c r="BK222" s="123"/>
      <c r="BL222" s="123"/>
      <c r="BM222" s="102">
        <f t="shared" si="383"/>
        <v>0</v>
      </c>
      <c r="BN222" s="102">
        <f t="shared" si="384"/>
        <v>0</v>
      </c>
      <c r="BO222" s="102"/>
      <c r="BP222" s="102"/>
      <c r="BQ222" s="102"/>
      <c r="BR222" s="102"/>
      <c r="BS222" s="102"/>
      <c r="BT222" s="389"/>
      <c r="BU222" s="102"/>
      <c r="BV222" s="102"/>
      <c r="BW222" s="335"/>
      <c r="BX222" s="103" t="s">
        <v>471</v>
      </c>
      <c r="BY222" s="107"/>
      <c r="BZ222" s="36"/>
      <c r="CA222" s="36"/>
      <c r="CB222" s="36"/>
      <c r="CC222" s="36"/>
      <c r="CD222" s="36"/>
      <c r="CE222" s="36"/>
      <c r="CF222" s="36"/>
      <c r="CG222" s="36"/>
    </row>
    <row r="223" spans="1:85" ht="12.75" x14ac:dyDescent="0.2">
      <c r="A223" s="146"/>
      <c r="B223" s="117"/>
      <c r="C223" s="261"/>
      <c r="D223" s="260"/>
      <c r="E223" s="100" t="s">
        <v>267</v>
      </c>
      <c r="F223" s="347">
        <f t="shared" si="290"/>
        <v>75240</v>
      </c>
      <c r="G223" s="101">
        <f t="shared" si="374"/>
        <v>75240</v>
      </c>
      <c r="H223" s="102">
        <v>53318</v>
      </c>
      <c r="I223" s="102">
        <f t="shared" si="375"/>
        <v>53318</v>
      </c>
      <c r="J223" s="102">
        <f t="shared" si="376"/>
        <v>0</v>
      </c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445"/>
      <c r="Y223" s="102"/>
      <c r="Z223" s="102"/>
      <c r="AA223" s="102"/>
      <c r="AB223" s="102"/>
      <c r="AC223" s="102">
        <v>21922</v>
      </c>
      <c r="AD223" s="102">
        <f t="shared" si="377"/>
        <v>21922</v>
      </c>
      <c r="AE223" s="102">
        <f t="shared" si="378"/>
        <v>0</v>
      </c>
      <c r="AF223" s="102"/>
      <c r="AG223" s="102"/>
      <c r="AH223" s="102"/>
      <c r="AI223" s="102"/>
      <c r="AJ223" s="102"/>
      <c r="AK223" s="102"/>
      <c r="AL223" s="445"/>
      <c r="AM223" s="102"/>
      <c r="AN223" s="102"/>
      <c r="AO223" s="102">
        <v>0</v>
      </c>
      <c r="AP223" s="102">
        <f t="shared" si="379"/>
        <v>0</v>
      </c>
      <c r="AQ223" s="102">
        <f t="shared" si="380"/>
        <v>0</v>
      </c>
      <c r="AR223" s="102"/>
      <c r="AS223" s="102"/>
      <c r="AT223" s="102"/>
      <c r="AU223" s="102"/>
      <c r="AV223" s="102"/>
      <c r="AW223" s="102"/>
      <c r="AX223" s="102"/>
      <c r="AY223" s="102"/>
      <c r="AZ223" s="102"/>
      <c r="BA223" s="102"/>
      <c r="BB223" s="102">
        <v>0</v>
      </c>
      <c r="BC223" s="123">
        <f t="shared" si="381"/>
        <v>0</v>
      </c>
      <c r="BD223" s="123">
        <f t="shared" si="382"/>
        <v>0</v>
      </c>
      <c r="BE223" s="123"/>
      <c r="BF223" s="123"/>
      <c r="BG223" s="123"/>
      <c r="BH223" s="123"/>
      <c r="BI223" s="123"/>
      <c r="BJ223" s="123"/>
      <c r="BK223" s="123"/>
      <c r="BL223" s="123"/>
      <c r="BM223" s="102">
        <f t="shared" si="383"/>
        <v>0</v>
      </c>
      <c r="BN223" s="102">
        <f t="shared" si="384"/>
        <v>0</v>
      </c>
      <c r="BO223" s="102"/>
      <c r="BP223" s="102"/>
      <c r="BQ223" s="102"/>
      <c r="BR223" s="102"/>
      <c r="BS223" s="102"/>
      <c r="BT223" s="389"/>
      <c r="BU223" s="102"/>
      <c r="BV223" s="102"/>
      <c r="BW223" s="335"/>
      <c r="BX223" s="103" t="s">
        <v>472</v>
      </c>
      <c r="BY223" s="107"/>
      <c r="BZ223" s="36"/>
      <c r="CA223" s="36"/>
      <c r="CB223" s="36"/>
      <c r="CC223" s="36"/>
      <c r="CD223" s="36"/>
      <c r="CE223" s="36"/>
      <c r="CF223" s="36"/>
      <c r="CG223" s="36"/>
    </row>
    <row r="224" spans="1:85" ht="27.75" customHeight="1" x14ac:dyDescent="0.2">
      <c r="A224" s="146">
        <v>90000051612</v>
      </c>
      <c r="B224" s="117"/>
      <c r="C224" s="495" t="s">
        <v>218</v>
      </c>
      <c r="D224" s="496"/>
      <c r="E224" s="100" t="s">
        <v>248</v>
      </c>
      <c r="F224" s="347">
        <f t="shared" si="290"/>
        <v>670406</v>
      </c>
      <c r="G224" s="101">
        <f t="shared" si="374"/>
        <v>678155</v>
      </c>
      <c r="H224" s="102">
        <v>335718</v>
      </c>
      <c r="I224" s="102">
        <f t="shared" si="375"/>
        <v>333804</v>
      </c>
      <c r="J224" s="102">
        <f t="shared" si="376"/>
        <v>-1914</v>
      </c>
      <c r="K224" s="102"/>
      <c r="L224" s="102"/>
      <c r="M224" s="102"/>
      <c r="N224" s="102"/>
      <c r="O224" s="102"/>
      <c r="P224" s="102">
        <v>-1914</v>
      </c>
      <c r="Q224" s="102"/>
      <c r="R224" s="102"/>
      <c r="S224" s="102"/>
      <c r="T224" s="102"/>
      <c r="U224" s="102"/>
      <c r="V224" s="102"/>
      <c r="W224" s="102"/>
      <c r="X224" s="445"/>
      <c r="Y224" s="102"/>
      <c r="Z224" s="102"/>
      <c r="AA224" s="102"/>
      <c r="AB224" s="102"/>
      <c r="AC224" s="102">
        <v>323652</v>
      </c>
      <c r="AD224" s="102">
        <f t="shared" si="377"/>
        <v>331401</v>
      </c>
      <c r="AE224" s="102">
        <f t="shared" si="378"/>
        <v>7749</v>
      </c>
      <c r="AF224" s="102"/>
      <c r="AG224" s="102"/>
      <c r="AH224" s="102">
        <v>5635</v>
      </c>
      <c r="AI224" s="102"/>
      <c r="AJ224" s="102"/>
      <c r="AK224" s="102"/>
      <c r="AL224" s="445">
        <v>2114</v>
      </c>
      <c r="AM224" s="102"/>
      <c r="AN224" s="102"/>
      <c r="AO224" s="102">
        <v>11036</v>
      </c>
      <c r="AP224" s="102">
        <f t="shared" si="379"/>
        <v>12950</v>
      </c>
      <c r="AQ224" s="102">
        <f t="shared" si="380"/>
        <v>1914</v>
      </c>
      <c r="AR224" s="102"/>
      <c r="AS224" s="102"/>
      <c r="AT224" s="102">
        <v>1914</v>
      </c>
      <c r="AU224" s="102"/>
      <c r="AV224" s="102"/>
      <c r="AW224" s="102"/>
      <c r="AX224" s="102"/>
      <c r="AY224" s="102"/>
      <c r="AZ224" s="102"/>
      <c r="BA224" s="102"/>
      <c r="BB224" s="102">
        <v>0</v>
      </c>
      <c r="BC224" s="123">
        <f t="shared" si="381"/>
        <v>0</v>
      </c>
      <c r="BD224" s="123">
        <f t="shared" si="382"/>
        <v>0</v>
      </c>
      <c r="BE224" s="123"/>
      <c r="BF224" s="123"/>
      <c r="BG224" s="123"/>
      <c r="BH224" s="123"/>
      <c r="BI224" s="123"/>
      <c r="BJ224" s="123"/>
      <c r="BK224" s="123"/>
      <c r="BL224" s="123"/>
      <c r="BM224" s="102">
        <f t="shared" si="383"/>
        <v>0</v>
      </c>
      <c r="BN224" s="102">
        <f t="shared" si="384"/>
        <v>0</v>
      </c>
      <c r="BO224" s="102"/>
      <c r="BP224" s="102"/>
      <c r="BQ224" s="102"/>
      <c r="BR224" s="102"/>
      <c r="BS224" s="102"/>
      <c r="BT224" s="389"/>
      <c r="BU224" s="102"/>
      <c r="BV224" s="102"/>
      <c r="BW224" s="335"/>
      <c r="BX224" s="103" t="s">
        <v>473</v>
      </c>
      <c r="BY224" s="107"/>
      <c r="BZ224" s="36"/>
      <c r="CA224" s="36"/>
      <c r="CB224" s="36"/>
      <c r="CC224" s="36"/>
      <c r="CD224" s="36"/>
      <c r="CE224" s="36"/>
      <c r="CF224" s="36"/>
      <c r="CG224" s="36"/>
    </row>
    <row r="225" spans="1:85" ht="12.75" x14ac:dyDescent="0.2">
      <c r="A225" s="146"/>
      <c r="B225" s="117"/>
      <c r="C225" s="266"/>
      <c r="D225" s="267"/>
      <c r="E225" s="100" t="s">
        <v>267</v>
      </c>
      <c r="F225" s="347">
        <f t="shared" si="290"/>
        <v>77916</v>
      </c>
      <c r="G225" s="101">
        <f t="shared" si="374"/>
        <v>77916</v>
      </c>
      <c r="H225" s="102">
        <v>47128</v>
      </c>
      <c r="I225" s="102">
        <f t="shared" si="375"/>
        <v>47128</v>
      </c>
      <c r="J225" s="102">
        <f t="shared" si="376"/>
        <v>0</v>
      </c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445"/>
      <c r="Y225" s="102"/>
      <c r="Z225" s="102"/>
      <c r="AA225" s="102"/>
      <c r="AB225" s="102"/>
      <c r="AC225" s="102">
        <v>30788</v>
      </c>
      <c r="AD225" s="102">
        <f t="shared" si="377"/>
        <v>30788</v>
      </c>
      <c r="AE225" s="102">
        <f t="shared" si="378"/>
        <v>0</v>
      </c>
      <c r="AF225" s="102"/>
      <c r="AG225" s="102"/>
      <c r="AH225" s="102"/>
      <c r="AI225" s="102"/>
      <c r="AJ225" s="102"/>
      <c r="AK225" s="102"/>
      <c r="AL225" s="445"/>
      <c r="AM225" s="102"/>
      <c r="AN225" s="102"/>
      <c r="AO225" s="102">
        <v>0</v>
      </c>
      <c r="AP225" s="102">
        <f t="shared" si="379"/>
        <v>0</v>
      </c>
      <c r="AQ225" s="102">
        <f t="shared" si="380"/>
        <v>0</v>
      </c>
      <c r="AR225" s="102"/>
      <c r="AS225" s="102"/>
      <c r="AT225" s="102"/>
      <c r="AU225" s="102"/>
      <c r="AV225" s="102"/>
      <c r="AW225" s="102"/>
      <c r="AX225" s="102"/>
      <c r="AY225" s="102"/>
      <c r="AZ225" s="102"/>
      <c r="BA225" s="102"/>
      <c r="BB225" s="102">
        <v>0</v>
      </c>
      <c r="BC225" s="123">
        <f t="shared" si="381"/>
        <v>0</v>
      </c>
      <c r="BD225" s="123">
        <f t="shared" si="382"/>
        <v>0</v>
      </c>
      <c r="BE225" s="123"/>
      <c r="BF225" s="123"/>
      <c r="BG225" s="123"/>
      <c r="BH225" s="123"/>
      <c r="BI225" s="123"/>
      <c r="BJ225" s="123"/>
      <c r="BK225" s="123"/>
      <c r="BL225" s="123"/>
      <c r="BM225" s="102">
        <f t="shared" si="383"/>
        <v>0</v>
      </c>
      <c r="BN225" s="102">
        <f t="shared" si="384"/>
        <v>0</v>
      </c>
      <c r="BO225" s="102"/>
      <c r="BP225" s="102"/>
      <c r="BQ225" s="102"/>
      <c r="BR225" s="102"/>
      <c r="BS225" s="102"/>
      <c r="BT225" s="389"/>
      <c r="BU225" s="102"/>
      <c r="BV225" s="102"/>
      <c r="BW225" s="335"/>
      <c r="BX225" s="103" t="s">
        <v>474</v>
      </c>
      <c r="BY225" s="107"/>
      <c r="BZ225" s="36"/>
      <c r="CA225" s="36"/>
      <c r="CB225" s="36"/>
      <c r="CC225" s="36"/>
      <c r="CD225" s="36"/>
      <c r="CE225" s="36"/>
      <c r="CF225" s="36"/>
      <c r="CG225" s="36"/>
    </row>
    <row r="226" spans="1:85" s="293" customFormat="1" ht="36" x14ac:dyDescent="0.2">
      <c r="A226" s="146"/>
      <c r="B226" s="117"/>
      <c r="C226" s="291"/>
      <c r="D226" s="292"/>
      <c r="E226" s="100" t="s">
        <v>643</v>
      </c>
      <c r="F226" s="347">
        <f t="shared" si="290"/>
        <v>3326</v>
      </c>
      <c r="G226" s="101">
        <f t="shared" si="374"/>
        <v>3327</v>
      </c>
      <c r="H226" s="102">
        <v>3326</v>
      </c>
      <c r="I226" s="102">
        <f t="shared" si="375"/>
        <v>3327</v>
      </c>
      <c r="J226" s="102">
        <f t="shared" si="376"/>
        <v>1</v>
      </c>
      <c r="K226" s="102"/>
      <c r="L226" s="102"/>
      <c r="M226" s="102"/>
      <c r="N226" s="102"/>
      <c r="O226" s="102"/>
      <c r="P226" s="102">
        <v>1</v>
      </c>
      <c r="Q226" s="102"/>
      <c r="R226" s="102"/>
      <c r="S226" s="102"/>
      <c r="T226" s="102"/>
      <c r="U226" s="102"/>
      <c r="V226" s="102"/>
      <c r="W226" s="102"/>
      <c r="X226" s="445"/>
      <c r="Y226" s="102"/>
      <c r="Z226" s="102"/>
      <c r="AA226" s="102"/>
      <c r="AB226" s="102"/>
      <c r="AC226" s="102">
        <v>0</v>
      </c>
      <c r="AD226" s="102">
        <f t="shared" si="377"/>
        <v>0</v>
      </c>
      <c r="AE226" s="102">
        <f t="shared" si="378"/>
        <v>0</v>
      </c>
      <c r="AF226" s="102"/>
      <c r="AG226" s="102"/>
      <c r="AH226" s="102"/>
      <c r="AI226" s="102"/>
      <c r="AJ226" s="102"/>
      <c r="AK226" s="102"/>
      <c r="AL226" s="445"/>
      <c r="AM226" s="102"/>
      <c r="AN226" s="102"/>
      <c r="AO226" s="102">
        <v>0</v>
      </c>
      <c r="AP226" s="102">
        <f t="shared" si="379"/>
        <v>0</v>
      </c>
      <c r="AQ226" s="102">
        <f t="shared" si="380"/>
        <v>0</v>
      </c>
      <c r="AR226" s="102"/>
      <c r="AS226" s="102"/>
      <c r="AT226" s="102"/>
      <c r="AU226" s="102"/>
      <c r="AV226" s="102"/>
      <c r="AW226" s="102"/>
      <c r="AX226" s="102"/>
      <c r="AY226" s="102"/>
      <c r="AZ226" s="102"/>
      <c r="BA226" s="102"/>
      <c r="BB226" s="102">
        <v>0</v>
      </c>
      <c r="BC226" s="123">
        <f t="shared" si="381"/>
        <v>0</v>
      </c>
      <c r="BD226" s="123">
        <f t="shared" si="382"/>
        <v>0</v>
      </c>
      <c r="BE226" s="123"/>
      <c r="BF226" s="123"/>
      <c r="BG226" s="123"/>
      <c r="BH226" s="123"/>
      <c r="BI226" s="123"/>
      <c r="BJ226" s="123"/>
      <c r="BK226" s="123"/>
      <c r="BL226" s="123"/>
      <c r="BM226" s="102">
        <f t="shared" si="383"/>
        <v>0</v>
      </c>
      <c r="BN226" s="102">
        <f t="shared" si="384"/>
        <v>0</v>
      </c>
      <c r="BO226" s="102"/>
      <c r="BP226" s="102"/>
      <c r="BQ226" s="102"/>
      <c r="BR226" s="102"/>
      <c r="BS226" s="102"/>
      <c r="BT226" s="389"/>
      <c r="BU226" s="102"/>
      <c r="BV226" s="102"/>
      <c r="BW226" s="335"/>
      <c r="BX226" s="103" t="s">
        <v>666</v>
      </c>
      <c r="BY226" s="107"/>
      <c r="BZ226" s="36"/>
      <c r="CA226" s="36"/>
      <c r="CB226" s="36"/>
      <c r="CC226" s="36"/>
      <c r="CD226" s="36"/>
      <c r="CE226" s="36"/>
      <c r="CF226" s="36"/>
      <c r="CG226" s="36"/>
    </row>
    <row r="227" spans="1:85" ht="30.75" customHeight="1" x14ac:dyDescent="0.2">
      <c r="A227" s="146">
        <v>90009251342</v>
      </c>
      <c r="B227" s="117"/>
      <c r="C227" s="495" t="s">
        <v>268</v>
      </c>
      <c r="D227" s="496"/>
      <c r="E227" s="100" t="s">
        <v>248</v>
      </c>
      <c r="F227" s="347">
        <f t="shared" ref="F227:F238" si="385">H227+AC227+AO227+BA227+BB227+BL227</f>
        <v>895121</v>
      </c>
      <c r="G227" s="101">
        <f t="shared" si="374"/>
        <v>901650</v>
      </c>
      <c r="H227" s="102">
        <v>48895</v>
      </c>
      <c r="I227" s="102">
        <f t="shared" si="375"/>
        <v>48895</v>
      </c>
      <c r="J227" s="102">
        <f t="shared" si="376"/>
        <v>0</v>
      </c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  <c r="V227" s="102"/>
      <c r="W227" s="102"/>
      <c r="X227" s="445"/>
      <c r="Y227" s="102"/>
      <c r="Z227" s="102"/>
      <c r="AA227" s="102"/>
      <c r="AB227" s="102"/>
      <c r="AC227" s="102">
        <v>839413</v>
      </c>
      <c r="AD227" s="102">
        <f t="shared" si="377"/>
        <v>845942</v>
      </c>
      <c r="AE227" s="102">
        <f t="shared" si="378"/>
        <v>6529</v>
      </c>
      <c r="AF227" s="102"/>
      <c r="AG227" s="102"/>
      <c r="AH227" s="102">
        <v>5927</v>
      </c>
      <c r="AI227" s="102"/>
      <c r="AJ227" s="102"/>
      <c r="AK227" s="102"/>
      <c r="AL227" s="445">
        <v>602</v>
      </c>
      <c r="AM227" s="102"/>
      <c r="AN227" s="102"/>
      <c r="AO227" s="102">
        <v>6813</v>
      </c>
      <c r="AP227" s="102">
        <f t="shared" si="379"/>
        <v>6813</v>
      </c>
      <c r="AQ227" s="102">
        <f t="shared" si="380"/>
        <v>0</v>
      </c>
      <c r="AR227" s="102"/>
      <c r="AS227" s="102"/>
      <c r="AT227" s="102"/>
      <c r="AU227" s="102"/>
      <c r="AV227" s="102"/>
      <c r="AW227" s="102"/>
      <c r="AX227" s="102"/>
      <c r="AY227" s="102"/>
      <c r="AZ227" s="102"/>
      <c r="BA227" s="102"/>
      <c r="BB227" s="102">
        <v>0</v>
      </c>
      <c r="BC227" s="123">
        <f t="shared" si="381"/>
        <v>0</v>
      </c>
      <c r="BD227" s="123">
        <f t="shared" si="382"/>
        <v>0</v>
      </c>
      <c r="BE227" s="123"/>
      <c r="BF227" s="123"/>
      <c r="BG227" s="123"/>
      <c r="BH227" s="123"/>
      <c r="BI227" s="123"/>
      <c r="BJ227" s="123"/>
      <c r="BK227" s="123"/>
      <c r="BL227" s="123"/>
      <c r="BM227" s="102">
        <f t="shared" si="383"/>
        <v>0</v>
      </c>
      <c r="BN227" s="102">
        <f t="shared" si="384"/>
        <v>0</v>
      </c>
      <c r="BO227" s="102"/>
      <c r="BP227" s="102"/>
      <c r="BQ227" s="102"/>
      <c r="BR227" s="102"/>
      <c r="BS227" s="102"/>
      <c r="BT227" s="389"/>
      <c r="BU227" s="102"/>
      <c r="BV227" s="102"/>
      <c r="BW227" s="335"/>
      <c r="BX227" s="103" t="s">
        <v>475</v>
      </c>
      <c r="BY227" s="107"/>
      <c r="BZ227" s="36"/>
      <c r="CA227" s="36"/>
      <c r="CB227" s="36"/>
      <c r="CC227" s="36"/>
      <c r="CD227" s="36"/>
      <c r="CE227" s="36"/>
      <c r="CF227" s="36"/>
      <c r="CG227" s="36"/>
    </row>
    <row r="228" spans="1:85" ht="41.25" customHeight="1" x14ac:dyDescent="0.2">
      <c r="A228" s="146">
        <v>90009249367</v>
      </c>
      <c r="B228" s="117"/>
      <c r="C228" s="495" t="s">
        <v>331</v>
      </c>
      <c r="D228" s="496"/>
      <c r="E228" s="100" t="s">
        <v>269</v>
      </c>
      <c r="F228" s="347">
        <f t="shared" si="385"/>
        <v>1524480</v>
      </c>
      <c r="G228" s="101">
        <f t="shared" si="374"/>
        <v>1567914</v>
      </c>
      <c r="H228" s="102">
        <v>974766</v>
      </c>
      <c r="I228" s="102">
        <f t="shared" si="375"/>
        <v>974766</v>
      </c>
      <c r="J228" s="102">
        <f t="shared" si="376"/>
        <v>0</v>
      </c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  <c r="V228" s="102"/>
      <c r="W228" s="102"/>
      <c r="X228" s="445"/>
      <c r="Y228" s="102"/>
      <c r="Z228" s="102"/>
      <c r="AA228" s="102"/>
      <c r="AB228" s="102"/>
      <c r="AC228" s="102">
        <v>514087</v>
      </c>
      <c r="AD228" s="102">
        <f t="shared" si="377"/>
        <v>554965</v>
      </c>
      <c r="AE228" s="102">
        <f t="shared" si="378"/>
        <v>40878</v>
      </c>
      <c r="AF228" s="102">
        <v>23855</v>
      </c>
      <c r="AG228" s="102"/>
      <c r="AH228" s="102">
        <v>17023</v>
      </c>
      <c r="AI228" s="102"/>
      <c r="AJ228" s="102"/>
      <c r="AK228" s="102"/>
      <c r="AL228" s="445"/>
      <c r="AM228" s="102"/>
      <c r="AN228" s="102"/>
      <c r="AO228" s="102">
        <v>35627</v>
      </c>
      <c r="AP228" s="102">
        <f t="shared" si="379"/>
        <v>38182</v>
      </c>
      <c r="AQ228" s="102">
        <f t="shared" si="380"/>
        <v>2555</v>
      </c>
      <c r="AR228" s="102"/>
      <c r="AS228" s="102"/>
      <c r="AT228" s="102">
        <v>2555</v>
      </c>
      <c r="AU228" s="102"/>
      <c r="AV228" s="102"/>
      <c r="AW228" s="102"/>
      <c r="AX228" s="102"/>
      <c r="AY228" s="102"/>
      <c r="AZ228" s="102"/>
      <c r="BA228" s="102"/>
      <c r="BB228" s="102">
        <v>0</v>
      </c>
      <c r="BC228" s="123">
        <f t="shared" si="381"/>
        <v>1</v>
      </c>
      <c r="BD228" s="123">
        <f t="shared" si="382"/>
        <v>1</v>
      </c>
      <c r="BE228" s="123">
        <v>1</v>
      </c>
      <c r="BF228" s="123"/>
      <c r="BG228" s="123"/>
      <c r="BH228" s="123"/>
      <c r="BI228" s="123"/>
      <c r="BJ228" s="123"/>
      <c r="BK228" s="123"/>
      <c r="BL228" s="123"/>
      <c r="BM228" s="102">
        <f t="shared" si="383"/>
        <v>0</v>
      </c>
      <c r="BN228" s="102">
        <f t="shared" si="384"/>
        <v>0</v>
      </c>
      <c r="BO228" s="102"/>
      <c r="BP228" s="102"/>
      <c r="BQ228" s="102"/>
      <c r="BR228" s="102"/>
      <c r="BS228" s="102"/>
      <c r="BT228" s="389"/>
      <c r="BU228" s="102"/>
      <c r="BV228" s="102"/>
      <c r="BW228" s="335"/>
      <c r="BX228" s="103" t="s">
        <v>476</v>
      </c>
      <c r="BY228" s="107"/>
      <c r="BZ228" s="36"/>
      <c r="CA228" s="36"/>
      <c r="CB228" s="36"/>
      <c r="CC228" s="36"/>
      <c r="CD228" s="36"/>
      <c r="CE228" s="36"/>
      <c r="CF228" s="36"/>
      <c r="CG228" s="36"/>
    </row>
    <row r="229" spans="1:85" s="139" customFormat="1" ht="12.75" x14ac:dyDescent="0.2">
      <c r="A229" s="146"/>
      <c r="B229" s="117"/>
      <c r="C229" s="266"/>
      <c r="D229" s="267"/>
      <c r="E229" s="100" t="s">
        <v>286</v>
      </c>
      <c r="F229" s="347">
        <f t="shared" si="385"/>
        <v>175001</v>
      </c>
      <c r="G229" s="101">
        <f t="shared" si="374"/>
        <v>185961</v>
      </c>
      <c r="H229" s="102">
        <v>175001</v>
      </c>
      <c r="I229" s="102">
        <f t="shared" si="375"/>
        <v>185961</v>
      </c>
      <c r="J229" s="102">
        <f t="shared" si="376"/>
        <v>10960</v>
      </c>
      <c r="K229" s="102"/>
      <c r="L229" s="102"/>
      <c r="M229" s="102"/>
      <c r="N229" s="102"/>
      <c r="O229" s="102"/>
      <c r="P229" s="102"/>
      <c r="Q229" s="102"/>
      <c r="R229" s="102">
        <f>3844+7116</f>
        <v>10960</v>
      </c>
      <c r="S229" s="102"/>
      <c r="T229" s="102"/>
      <c r="U229" s="102"/>
      <c r="V229" s="102"/>
      <c r="W229" s="102"/>
      <c r="X229" s="445"/>
      <c r="Y229" s="102"/>
      <c r="Z229" s="102"/>
      <c r="AA229" s="102"/>
      <c r="AB229" s="102"/>
      <c r="AC229" s="102">
        <v>0</v>
      </c>
      <c r="AD229" s="102">
        <f t="shared" si="377"/>
        <v>0</v>
      </c>
      <c r="AE229" s="102">
        <f t="shared" si="378"/>
        <v>0</v>
      </c>
      <c r="AF229" s="102"/>
      <c r="AG229" s="102"/>
      <c r="AH229" s="102"/>
      <c r="AI229" s="102"/>
      <c r="AJ229" s="102"/>
      <c r="AK229" s="102"/>
      <c r="AL229" s="445"/>
      <c r="AM229" s="102"/>
      <c r="AN229" s="102"/>
      <c r="AO229" s="102">
        <v>0</v>
      </c>
      <c r="AP229" s="102">
        <f t="shared" si="379"/>
        <v>0</v>
      </c>
      <c r="AQ229" s="102">
        <f t="shared" si="380"/>
        <v>0</v>
      </c>
      <c r="AR229" s="102"/>
      <c r="AS229" s="102"/>
      <c r="AT229" s="102"/>
      <c r="AU229" s="102"/>
      <c r="AV229" s="102"/>
      <c r="AW229" s="102"/>
      <c r="AX229" s="102"/>
      <c r="AY229" s="102"/>
      <c r="AZ229" s="102"/>
      <c r="BA229" s="102"/>
      <c r="BB229" s="102">
        <v>0</v>
      </c>
      <c r="BC229" s="123">
        <f t="shared" si="381"/>
        <v>0</v>
      </c>
      <c r="BD229" s="123">
        <f t="shared" si="382"/>
        <v>0</v>
      </c>
      <c r="BE229" s="123"/>
      <c r="BF229" s="123"/>
      <c r="BG229" s="123"/>
      <c r="BH229" s="123"/>
      <c r="BI229" s="123"/>
      <c r="BJ229" s="123"/>
      <c r="BK229" s="123"/>
      <c r="BL229" s="123"/>
      <c r="BM229" s="102">
        <f t="shared" si="383"/>
        <v>0</v>
      </c>
      <c r="BN229" s="102">
        <f t="shared" si="384"/>
        <v>0</v>
      </c>
      <c r="BO229" s="102"/>
      <c r="BP229" s="102"/>
      <c r="BQ229" s="102"/>
      <c r="BR229" s="102"/>
      <c r="BS229" s="102"/>
      <c r="BT229" s="389"/>
      <c r="BU229" s="102"/>
      <c r="BV229" s="102"/>
      <c r="BW229" s="335"/>
      <c r="BX229" s="103" t="s">
        <v>477</v>
      </c>
      <c r="BY229" s="107" t="s">
        <v>507</v>
      </c>
      <c r="BZ229" s="36"/>
      <c r="CA229" s="36"/>
      <c r="CB229" s="36"/>
      <c r="CC229" s="36"/>
      <c r="CD229" s="36"/>
      <c r="CE229" s="36"/>
      <c r="CF229" s="36"/>
      <c r="CG229" s="36"/>
    </row>
    <row r="230" spans="1:85" ht="24" x14ac:dyDescent="0.2">
      <c r="A230" s="146">
        <v>90000783949</v>
      </c>
      <c r="B230" s="117"/>
      <c r="C230" s="495" t="s">
        <v>19</v>
      </c>
      <c r="D230" s="496"/>
      <c r="E230" s="100" t="s">
        <v>248</v>
      </c>
      <c r="F230" s="347">
        <f t="shared" si="385"/>
        <v>637600</v>
      </c>
      <c r="G230" s="101">
        <f t="shared" si="374"/>
        <v>646966</v>
      </c>
      <c r="H230" s="102">
        <v>328628</v>
      </c>
      <c r="I230" s="102">
        <f t="shared" si="375"/>
        <v>330878</v>
      </c>
      <c r="J230" s="102">
        <f t="shared" si="376"/>
        <v>2250</v>
      </c>
      <c r="K230" s="102"/>
      <c r="L230" s="102"/>
      <c r="M230" s="102"/>
      <c r="N230" s="102">
        <v>2250</v>
      </c>
      <c r="O230" s="102"/>
      <c r="P230" s="102"/>
      <c r="Q230" s="102"/>
      <c r="R230" s="102"/>
      <c r="S230" s="102"/>
      <c r="T230" s="102"/>
      <c r="U230" s="102"/>
      <c r="V230" s="102"/>
      <c r="W230" s="102"/>
      <c r="X230" s="445"/>
      <c r="Y230" s="102"/>
      <c r="Z230" s="102"/>
      <c r="AA230" s="102"/>
      <c r="AB230" s="102"/>
      <c r="AC230" s="102">
        <v>305412</v>
      </c>
      <c r="AD230" s="102">
        <f t="shared" si="377"/>
        <v>311657</v>
      </c>
      <c r="AE230" s="102">
        <f t="shared" si="378"/>
        <v>6245</v>
      </c>
      <c r="AF230" s="102"/>
      <c r="AG230" s="102">
        <v>2873</v>
      </c>
      <c r="AH230" s="102">
        <v>2385</v>
      </c>
      <c r="AI230" s="102"/>
      <c r="AJ230" s="102"/>
      <c r="AK230" s="102"/>
      <c r="AL230" s="445">
        <v>987</v>
      </c>
      <c r="AM230" s="102"/>
      <c r="AN230" s="102"/>
      <c r="AO230" s="102">
        <v>3560</v>
      </c>
      <c r="AP230" s="102">
        <f t="shared" si="379"/>
        <v>3931</v>
      </c>
      <c r="AQ230" s="102">
        <f t="shared" si="380"/>
        <v>371</v>
      </c>
      <c r="AR230" s="102"/>
      <c r="AS230" s="102">
        <v>371</v>
      </c>
      <c r="AT230" s="102"/>
      <c r="AU230" s="102"/>
      <c r="AV230" s="102"/>
      <c r="AW230" s="102"/>
      <c r="AX230" s="102"/>
      <c r="AY230" s="102"/>
      <c r="AZ230" s="102"/>
      <c r="BA230" s="102"/>
      <c r="BB230" s="102">
        <v>0</v>
      </c>
      <c r="BC230" s="123">
        <f t="shared" si="381"/>
        <v>500</v>
      </c>
      <c r="BD230" s="123">
        <f t="shared" si="382"/>
        <v>500</v>
      </c>
      <c r="BE230" s="123">
        <v>500</v>
      </c>
      <c r="BF230" s="123"/>
      <c r="BG230" s="123"/>
      <c r="BH230" s="123"/>
      <c r="BI230" s="123"/>
      <c r="BJ230" s="123"/>
      <c r="BK230" s="123"/>
      <c r="BL230" s="123"/>
      <c r="BM230" s="102">
        <f t="shared" si="383"/>
        <v>0</v>
      </c>
      <c r="BN230" s="102">
        <f t="shared" si="384"/>
        <v>0</v>
      </c>
      <c r="BO230" s="102"/>
      <c r="BP230" s="102"/>
      <c r="BQ230" s="102"/>
      <c r="BR230" s="102"/>
      <c r="BS230" s="102"/>
      <c r="BT230" s="389"/>
      <c r="BU230" s="102"/>
      <c r="BV230" s="102"/>
      <c r="BW230" s="335"/>
      <c r="BX230" s="103" t="s">
        <v>478</v>
      </c>
      <c r="BY230" s="107"/>
      <c r="BZ230" s="36"/>
      <c r="CA230" s="36"/>
      <c r="CB230" s="36"/>
      <c r="CC230" s="36"/>
      <c r="CD230" s="36"/>
      <c r="CE230" s="36"/>
      <c r="CF230" s="36"/>
      <c r="CG230" s="36"/>
    </row>
    <row r="231" spans="1:85" ht="12.75" x14ac:dyDescent="0.2">
      <c r="A231" s="146"/>
      <c r="B231" s="117"/>
      <c r="C231" s="269"/>
      <c r="D231" s="270"/>
      <c r="E231" s="100" t="s">
        <v>267</v>
      </c>
      <c r="F231" s="347">
        <f t="shared" si="385"/>
        <v>51242</v>
      </c>
      <c r="G231" s="101">
        <f t="shared" si="374"/>
        <v>51585</v>
      </c>
      <c r="H231" s="102">
        <v>37139</v>
      </c>
      <c r="I231" s="102">
        <f t="shared" si="375"/>
        <v>37139</v>
      </c>
      <c r="J231" s="102">
        <f t="shared" si="376"/>
        <v>0</v>
      </c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102"/>
      <c r="X231" s="445"/>
      <c r="Y231" s="102"/>
      <c r="Z231" s="102"/>
      <c r="AA231" s="102"/>
      <c r="AB231" s="102"/>
      <c r="AC231" s="102">
        <v>14103</v>
      </c>
      <c r="AD231" s="102">
        <f t="shared" si="377"/>
        <v>14446</v>
      </c>
      <c r="AE231" s="102">
        <f t="shared" si="378"/>
        <v>343</v>
      </c>
      <c r="AF231" s="102"/>
      <c r="AG231" s="102"/>
      <c r="AH231" s="102">
        <v>343</v>
      </c>
      <c r="AI231" s="102"/>
      <c r="AJ231" s="102"/>
      <c r="AK231" s="102"/>
      <c r="AL231" s="445"/>
      <c r="AM231" s="102"/>
      <c r="AN231" s="102"/>
      <c r="AO231" s="102">
        <v>0</v>
      </c>
      <c r="AP231" s="123">
        <f t="shared" si="379"/>
        <v>0</v>
      </c>
      <c r="AQ231" s="123">
        <f t="shared" si="380"/>
        <v>0</v>
      </c>
      <c r="AR231" s="123"/>
      <c r="AS231" s="123"/>
      <c r="AT231" s="123"/>
      <c r="AU231" s="123"/>
      <c r="AV231" s="123"/>
      <c r="AW231" s="123"/>
      <c r="AX231" s="123"/>
      <c r="AY231" s="123"/>
      <c r="AZ231" s="123"/>
      <c r="BA231" s="123"/>
      <c r="BB231" s="123">
        <v>0</v>
      </c>
      <c r="BC231" s="123">
        <f t="shared" si="381"/>
        <v>0</v>
      </c>
      <c r="BD231" s="123">
        <f t="shared" si="382"/>
        <v>0</v>
      </c>
      <c r="BE231" s="123"/>
      <c r="BF231" s="123"/>
      <c r="BG231" s="123"/>
      <c r="BH231" s="123"/>
      <c r="BI231" s="123"/>
      <c r="BJ231" s="123"/>
      <c r="BK231" s="123"/>
      <c r="BL231" s="123"/>
      <c r="BM231" s="102">
        <f t="shared" si="383"/>
        <v>0</v>
      </c>
      <c r="BN231" s="102">
        <f t="shared" si="384"/>
        <v>0</v>
      </c>
      <c r="BO231" s="102"/>
      <c r="BP231" s="102"/>
      <c r="BQ231" s="102"/>
      <c r="BR231" s="102"/>
      <c r="BS231" s="102"/>
      <c r="BT231" s="389"/>
      <c r="BU231" s="102"/>
      <c r="BV231" s="102"/>
      <c r="BW231" s="335"/>
      <c r="BX231" s="103" t="s">
        <v>479</v>
      </c>
      <c r="BY231" s="107"/>
      <c r="BZ231" s="36"/>
      <c r="CA231" s="36"/>
      <c r="CB231" s="36"/>
      <c r="CC231" s="36"/>
      <c r="CD231" s="36"/>
      <c r="CE231" s="36"/>
      <c r="CF231" s="36"/>
      <c r="CG231" s="36"/>
    </row>
    <row r="232" spans="1:85" s="268" customFormat="1" ht="60" x14ac:dyDescent="0.2">
      <c r="A232" s="146"/>
      <c r="B232" s="117"/>
      <c r="C232" s="266"/>
      <c r="D232" s="267"/>
      <c r="E232" s="100" t="s">
        <v>640</v>
      </c>
      <c r="F232" s="347">
        <f t="shared" si="385"/>
        <v>13556</v>
      </c>
      <c r="G232" s="101">
        <f t="shared" si="374"/>
        <v>13556</v>
      </c>
      <c r="H232" s="102">
        <v>13556</v>
      </c>
      <c r="I232" s="102">
        <f t="shared" si="375"/>
        <v>13556</v>
      </c>
      <c r="J232" s="102">
        <f t="shared" si="376"/>
        <v>0</v>
      </c>
      <c r="K232" s="102"/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  <c r="V232" s="102"/>
      <c r="W232" s="102"/>
      <c r="X232" s="445"/>
      <c r="Y232" s="102"/>
      <c r="Z232" s="102"/>
      <c r="AA232" s="102"/>
      <c r="AB232" s="102"/>
      <c r="AC232" s="102">
        <v>0</v>
      </c>
      <c r="AD232" s="102">
        <f t="shared" si="377"/>
        <v>0</v>
      </c>
      <c r="AE232" s="102">
        <f t="shared" si="378"/>
        <v>0</v>
      </c>
      <c r="AF232" s="102"/>
      <c r="AG232" s="102"/>
      <c r="AH232" s="102"/>
      <c r="AI232" s="102"/>
      <c r="AJ232" s="102"/>
      <c r="AK232" s="102"/>
      <c r="AL232" s="445"/>
      <c r="AM232" s="102"/>
      <c r="AN232" s="102"/>
      <c r="AO232" s="102">
        <v>0</v>
      </c>
      <c r="AP232" s="102">
        <f t="shared" si="379"/>
        <v>0</v>
      </c>
      <c r="AQ232" s="102">
        <f t="shared" si="380"/>
        <v>0</v>
      </c>
      <c r="AR232" s="102"/>
      <c r="AS232" s="102"/>
      <c r="AT232" s="102"/>
      <c r="AU232" s="102"/>
      <c r="AV232" s="102"/>
      <c r="AW232" s="102"/>
      <c r="AX232" s="102"/>
      <c r="AY232" s="102"/>
      <c r="AZ232" s="102"/>
      <c r="BA232" s="102"/>
      <c r="BB232" s="102">
        <v>0</v>
      </c>
      <c r="BC232" s="123">
        <f t="shared" si="381"/>
        <v>0</v>
      </c>
      <c r="BD232" s="123">
        <f t="shared" si="382"/>
        <v>0</v>
      </c>
      <c r="BE232" s="123"/>
      <c r="BF232" s="123"/>
      <c r="BG232" s="123"/>
      <c r="BH232" s="123"/>
      <c r="BI232" s="123"/>
      <c r="BJ232" s="123"/>
      <c r="BK232" s="123"/>
      <c r="BL232" s="123"/>
      <c r="BM232" s="102">
        <f t="shared" si="383"/>
        <v>0</v>
      </c>
      <c r="BN232" s="102">
        <f t="shared" si="384"/>
        <v>0</v>
      </c>
      <c r="BO232" s="102"/>
      <c r="BP232" s="102"/>
      <c r="BQ232" s="102"/>
      <c r="BR232" s="102"/>
      <c r="BS232" s="102"/>
      <c r="BT232" s="389"/>
      <c r="BU232" s="102"/>
      <c r="BV232" s="102"/>
      <c r="BW232" s="335"/>
      <c r="BX232" s="103" t="s">
        <v>667</v>
      </c>
      <c r="BY232" s="107"/>
      <c r="BZ232" s="36"/>
      <c r="CA232" s="36"/>
      <c r="CB232" s="36"/>
      <c r="CC232" s="36"/>
      <c r="CD232" s="36"/>
      <c r="CE232" s="36"/>
      <c r="CF232" s="36"/>
      <c r="CG232" s="36"/>
    </row>
    <row r="233" spans="1:85" ht="24" x14ac:dyDescent="0.2">
      <c r="A233" s="146">
        <v>90000051646</v>
      </c>
      <c r="B233" s="117"/>
      <c r="C233" s="495" t="s">
        <v>167</v>
      </c>
      <c r="D233" s="496"/>
      <c r="E233" s="100" t="s">
        <v>248</v>
      </c>
      <c r="F233" s="347">
        <f t="shared" si="385"/>
        <v>225999</v>
      </c>
      <c r="G233" s="101">
        <f t="shared" si="374"/>
        <v>230720</v>
      </c>
      <c r="H233" s="102">
        <v>86849</v>
      </c>
      <c r="I233" s="102">
        <f t="shared" si="375"/>
        <v>86849</v>
      </c>
      <c r="J233" s="102">
        <f t="shared" si="376"/>
        <v>0</v>
      </c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  <c r="V233" s="102"/>
      <c r="W233" s="102"/>
      <c r="X233" s="445"/>
      <c r="Y233" s="102"/>
      <c r="Z233" s="102"/>
      <c r="AA233" s="102"/>
      <c r="AB233" s="102"/>
      <c r="AC233" s="102">
        <v>139110</v>
      </c>
      <c r="AD233" s="102">
        <f t="shared" si="377"/>
        <v>143831</v>
      </c>
      <c r="AE233" s="102">
        <f t="shared" si="378"/>
        <v>4721</v>
      </c>
      <c r="AF233" s="102"/>
      <c r="AG233" s="102"/>
      <c r="AH233" s="102">
        <v>3433</v>
      </c>
      <c r="AI233" s="102"/>
      <c r="AJ233" s="102"/>
      <c r="AK233" s="102"/>
      <c r="AL233" s="445">
        <v>1288</v>
      </c>
      <c r="AM233" s="102"/>
      <c r="AN233" s="102"/>
      <c r="AO233" s="102">
        <v>50</v>
      </c>
      <c r="AP233" s="102">
        <f t="shared" si="379"/>
        <v>50</v>
      </c>
      <c r="AQ233" s="102">
        <f t="shared" si="380"/>
        <v>0</v>
      </c>
      <c r="AR233" s="102"/>
      <c r="AS233" s="102"/>
      <c r="AT233" s="102"/>
      <c r="AU233" s="102"/>
      <c r="AV233" s="102"/>
      <c r="AW233" s="102"/>
      <c r="AX233" s="102"/>
      <c r="AY233" s="102"/>
      <c r="AZ233" s="102"/>
      <c r="BA233" s="102"/>
      <c r="BB233" s="102">
        <v>0</v>
      </c>
      <c r="BC233" s="123">
        <f t="shared" si="381"/>
        <v>0</v>
      </c>
      <c r="BD233" s="123">
        <f t="shared" si="382"/>
        <v>0</v>
      </c>
      <c r="BE233" s="123"/>
      <c r="BF233" s="123"/>
      <c r="BG233" s="123"/>
      <c r="BH233" s="123"/>
      <c r="BI233" s="123"/>
      <c r="BJ233" s="123"/>
      <c r="BK233" s="123"/>
      <c r="BL233" s="123">
        <v>-10</v>
      </c>
      <c r="BM233" s="102">
        <f t="shared" si="383"/>
        <v>-10</v>
      </c>
      <c r="BN233" s="102">
        <f t="shared" si="384"/>
        <v>0</v>
      </c>
      <c r="BO233" s="102"/>
      <c r="BP233" s="102"/>
      <c r="BQ233" s="102"/>
      <c r="BR233" s="102"/>
      <c r="BS233" s="102"/>
      <c r="BT233" s="389"/>
      <c r="BU233" s="102"/>
      <c r="BV233" s="102"/>
      <c r="BW233" s="335"/>
      <c r="BX233" s="103" t="s">
        <v>480</v>
      </c>
      <c r="BY233" s="107"/>
      <c r="BZ233" s="36"/>
      <c r="CA233" s="36"/>
      <c r="CB233" s="36"/>
      <c r="CC233" s="36"/>
      <c r="CD233" s="36"/>
      <c r="CE233" s="36"/>
      <c r="CF233" s="36"/>
      <c r="CG233" s="36"/>
    </row>
    <row r="234" spans="1:85" s="138" customFormat="1" ht="12.75" x14ac:dyDescent="0.2">
      <c r="A234" s="146"/>
      <c r="B234" s="117"/>
      <c r="C234" s="269"/>
      <c r="D234" s="270"/>
      <c r="E234" s="100" t="s">
        <v>267</v>
      </c>
      <c r="F234" s="347">
        <f t="shared" si="385"/>
        <v>38268</v>
      </c>
      <c r="G234" s="101">
        <f t="shared" si="374"/>
        <v>38268</v>
      </c>
      <c r="H234" s="102">
        <v>38268</v>
      </c>
      <c r="I234" s="102">
        <f t="shared" si="375"/>
        <v>38268</v>
      </c>
      <c r="J234" s="102">
        <f t="shared" si="376"/>
        <v>0</v>
      </c>
      <c r="K234" s="102"/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  <c r="V234" s="102"/>
      <c r="W234" s="102"/>
      <c r="X234" s="445"/>
      <c r="Y234" s="102"/>
      <c r="Z234" s="102"/>
      <c r="AA234" s="102"/>
      <c r="AB234" s="102"/>
      <c r="AC234" s="102">
        <v>0</v>
      </c>
      <c r="AD234" s="102">
        <f t="shared" si="377"/>
        <v>0</v>
      </c>
      <c r="AE234" s="102">
        <f t="shared" si="378"/>
        <v>0</v>
      </c>
      <c r="AF234" s="102"/>
      <c r="AG234" s="102"/>
      <c r="AH234" s="102"/>
      <c r="AI234" s="102"/>
      <c r="AJ234" s="102"/>
      <c r="AK234" s="102"/>
      <c r="AL234" s="445"/>
      <c r="AM234" s="102"/>
      <c r="AN234" s="102"/>
      <c r="AO234" s="102">
        <v>0</v>
      </c>
      <c r="AP234" s="102">
        <f t="shared" si="379"/>
        <v>0</v>
      </c>
      <c r="AQ234" s="102">
        <f t="shared" si="380"/>
        <v>0</v>
      </c>
      <c r="AR234" s="102"/>
      <c r="AS234" s="102"/>
      <c r="AT234" s="102"/>
      <c r="AU234" s="102"/>
      <c r="AV234" s="102"/>
      <c r="AW234" s="102"/>
      <c r="AX234" s="102"/>
      <c r="AY234" s="102"/>
      <c r="AZ234" s="102"/>
      <c r="BA234" s="102"/>
      <c r="BB234" s="102">
        <v>0</v>
      </c>
      <c r="BC234" s="123">
        <f t="shared" si="381"/>
        <v>0</v>
      </c>
      <c r="BD234" s="123">
        <f t="shared" si="382"/>
        <v>0</v>
      </c>
      <c r="BE234" s="123"/>
      <c r="BF234" s="123"/>
      <c r="BG234" s="123"/>
      <c r="BH234" s="123"/>
      <c r="BI234" s="123"/>
      <c r="BJ234" s="123"/>
      <c r="BK234" s="123"/>
      <c r="BL234" s="123"/>
      <c r="BM234" s="102">
        <f t="shared" si="383"/>
        <v>0</v>
      </c>
      <c r="BN234" s="102">
        <f t="shared" si="384"/>
        <v>0</v>
      </c>
      <c r="BO234" s="102"/>
      <c r="BP234" s="102"/>
      <c r="BQ234" s="102"/>
      <c r="BR234" s="102"/>
      <c r="BS234" s="102"/>
      <c r="BT234" s="389"/>
      <c r="BU234" s="102"/>
      <c r="BV234" s="102"/>
      <c r="BW234" s="335"/>
      <c r="BX234" s="103" t="s">
        <v>481</v>
      </c>
      <c r="BY234" s="107"/>
      <c r="BZ234" s="36"/>
      <c r="CA234" s="36"/>
      <c r="CB234" s="36"/>
      <c r="CC234" s="36"/>
      <c r="CD234" s="36"/>
      <c r="CE234" s="36"/>
      <c r="CF234" s="36"/>
      <c r="CG234" s="36"/>
    </row>
    <row r="235" spans="1:85" s="142" customFormat="1" ht="26.25" customHeight="1" x14ac:dyDescent="0.2">
      <c r="A235" s="146">
        <v>40008006745</v>
      </c>
      <c r="B235" s="117"/>
      <c r="C235" s="495" t="s">
        <v>353</v>
      </c>
      <c r="D235" s="496"/>
      <c r="E235" s="100" t="s">
        <v>267</v>
      </c>
      <c r="F235" s="347">
        <f t="shared" si="385"/>
        <v>24358</v>
      </c>
      <c r="G235" s="101">
        <f t="shared" si="374"/>
        <v>26654</v>
      </c>
      <c r="H235" s="102">
        <v>0</v>
      </c>
      <c r="I235" s="102">
        <f t="shared" si="375"/>
        <v>0</v>
      </c>
      <c r="J235" s="102">
        <f t="shared" si="376"/>
        <v>0</v>
      </c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445"/>
      <c r="Y235" s="102"/>
      <c r="Z235" s="102"/>
      <c r="AA235" s="102"/>
      <c r="AB235" s="102"/>
      <c r="AC235" s="102">
        <v>24358</v>
      </c>
      <c r="AD235" s="102">
        <f t="shared" si="377"/>
        <v>26654</v>
      </c>
      <c r="AE235" s="102">
        <f t="shared" si="378"/>
        <v>2296</v>
      </c>
      <c r="AF235" s="102"/>
      <c r="AG235" s="102"/>
      <c r="AH235" s="102">
        <v>2296</v>
      </c>
      <c r="AI235" s="102"/>
      <c r="AJ235" s="102"/>
      <c r="AK235" s="102"/>
      <c r="AL235" s="445"/>
      <c r="AM235" s="102"/>
      <c r="AN235" s="102"/>
      <c r="AO235" s="102">
        <v>0</v>
      </c>
      <c r="AP235" s="102">
        <f t="shared" si="379"/>
        <v>0</v>
      </c>
      <c r="AQ235" s="102">
        <f t="shared" si="380"/>
        <v>0</v>
      </c>
      <c r="AR235" s="102"/>
      <c r="AS235" s="102"/>
      <c r="AT235" s="102"/>
      <c r="AU235" s="102"/>
      <c r="AV235" s="102"/>
      <c r="AW235" s="102"/>
      <c r="AX235" s="102"/>
      <c r="AY235" s="102"/>
      <c r="AZ235" s="102"/>
      <c r="BA235" s="102"/>
      <c r="BB235" s="102">
        <v>0</v>
      </c>
      <c r="BC235" s="123">
        <f t="shared" si="381"/>
        <v>0</v>
      </c>
      <c r="BD235" s="123">
        <f t="shared" si="382"/>
        <v>0</v>
      </c>
      <c r="BE235" s="123"/>
      <c r="BF235" s="123"/>
      <c r="BG235" s="123"/>
      <c r="BH235" s="123"/>
      <c r="BI235" s="123"/>
      <c r="BJ235" s="123"/>
      <c r="BK235" s="123"/>
      <c r="BL235" s="123"/>
      <c r="BM235" s="102">
        <f t="shared" si="383"/>
        <v>0</v>
      </c>
      <c r="BN235" s="102">
        <f t="shared" si="384"/>
        <v>0</v>
      </c>
      <c r="BO235" s="102"/>
      <c r="BP235" s="102"/>
      <c r="BQ235" s="102"/>
      <c r="BR235" s="102"/>
      <c r="BS235" s="102"/>
      <c r="BT235" s="389"/>
      <c r="BU235" s="102"/>
      <c r="BV235" s="102"/>
      <c r="BW235" s="335"/>
      <c r="BX235" s="103" t="s">
        <v>482</v>
      </c>
      <c r="BY235" s="107"/>
      <c r="BZ235" s="36"/>
      <c r="CA235" s="36"/>
      <c r="CB235" s="36"/>
      <c r="CC235" s="36"/>
      <c r="CD235" s="36"/>
      <c r="CE235" s="36"/>
      <c r="CF235" s="36"/>
      <c r="CG235" s="36"/>
    </row>
    <row r="236" spans="1:85" ht="60" x14ac:dyDescent="0.2">
      <c r="A236" s="146"/>
      <c r="B236" s="117"/>
      <c r="C236" s="495" t="s">
        <v>181</v>
      </c>
      <c r="D236" s="496"/>
      <c r="E236" s="303" t="s">
        <v>284</v>
      </c>
      <c r="F236" s="347">
        <f t="shared" si="385"/>
        <v>450500</v>
      </c>
      <c r="G236" s="101">
        <f t="shared" si="374"/>
        <v>450500</v>
      </c>
      <c r="H236" s="178"/>
      <c r="I236" s="102">
        <f t="shared" si="375"/>
        <v>0</v>
      </c>
      <c r="J236" s="102">
        <f t="shared" si="376"/>
        <v>0</v>
      </c>
      <c r="K236" s="178"/>
      <c r="L236" s="178"/>
      <c r="M236" s="178"/>
      <c r="N236" s="178"/>
      <c r="O236" s="178"/>
      <c r="P236" s="178"/>
      <c r="Q236" s="178"/>
      <c r="R236" s="178"/>
      <c r="S236" s="178"/>
      <c r="T236" s="178"/>
      <c r="U236" s="178"/>
      <c r="V236" s="178"/>
      <c r="W236" s="178"/>
      <c r="X236" s="460"/>
      <c r="Y236" s="178"/>
      <c r="Z236" s="178"/>
      <c r="AA236" s="178"/>
      <c r="AB236" s="178"/>
      <c r="AC236" s="102"/>
      <c r="AD236" s="102">
        <f t="shared" si="377"/>
        <v>0</v>
      </c>
      <c r="AE236" s="102">
        <f t="shared" si="378"/>
        <v>0</v>
      </c>
      <c r="AF236" s="102"/>
      <c r="AG236" s="102"/>
      <c r="AH236" s="102"/>
      <c r="AI236" s="102"/>
      <c r="AJ236" s="102"/>
      <c r="AK236" s="102"/>
      <c r="AL236" s="445"/>
      <c r="AM236" s="102"/>
      <c r="AN236" s="102"/>
      <c r="AO236" s="102"/>
      <c r="AP236" s="102">
        <f t="shared" si="379"/>
        <v>0</v>
      </c>
      <c r="AQ236" s="102">
        <f t="shared" si="380"/>
        <v>0</v>
      </c>
      <c r="AR236" s="102"/>
      <c r="AS236" s="102"/>
      <c r="AT236" s="102"/>
      <c r="AU236" s="102"/>
      <c r="AV236" s="102"/>
      <c r="AW236" s="102"/>
      <c r="AX236" s="102"/>
      <c r="AY236" s="102"/>
      <c r="AZ236" s="102"/>
      <c r="BA236" s="102">
        <v>450500</v>
      </c>
      <c r="BB236" s="123"/>
      <c r="BC236" s="123">
        <f t="shared" si="381"/>
        <v>0</v>
      </c>
      <c r="BD236" s="123">
        <f t="shared" si="382"/>
        <v>0</v>
      </c>
      <c r="BE236" s="123"/>
      <c r="BF236" s="123"/>
      <c r="BG236" s="123"/>
      <c r="BH236" s="123"/>
      <c r="BI236" s="123"/>
      <c r="BJ236" s="123"/>
      <c r="BK236" s="123"/>
      <c r="BL236" s="123"/>
      <c r="BM236" s="102">
        <f t="shared" si="383"/>
        <v>0</v>
      </c>
      <c r="BN236" s="102">
        <f t="shared" si="384"/>
        <v>0</v>
      </c>
      <c r="BO236" s="102"/>
      <c r="BP236" s="102"/>
      <c r="BQ236" s="102"/>
      <c r="BR236" s="102"/>
      <c r="BS236" s="102"/>
      <c r="BT236" s="389"/>
      <c r="BU236" s="102"/>
      <c r="BV236" s="102"/>
      <c r="BW236" s="335"/>
      <c r="BX236" s="103"/>
      <c r="BY236" s="107"/>
      <c r="BZ236" s="36"/>
      <c r="CA236" s="36"/>
      <c r="CB236" s="36"/>
      <c r="CC236" s="36"/>
      <c r="CD236" s="36"/>
      <c r="CE236" s="36"/>
      <c r="CF236" s="36"/>
      <c r="CG236" s="36"/>
    </row>
    <row r="237" spans="1:85" s="143" customFormat="1" ht="24" x14ac:dyDescent="0.2">
      <c r="A237" s="146"/>
      <c r="B237" s="117"/>
      <c r="C237" s="300"/>
      <c r="D237" s="302"/>
      <c r="E237" s="303" t="s">
        <v>281</v>
      </c>
      <c r="F237" s="347">
        <f t="shared" si="385"/>
        <v>284577</v>
      </c>
      <c r="G237" s="101">
        <f t="shared" si="374"/>
        <v>284577</v>
      </c>
      <c r="H237" s="102"/>
      <c r="I237" s="102">
        <f t="shared" si="375"/>
        <v>0</v>
      </c>
      <c r="J237" s="102">
        <f t="shared" si="376"/>
        <v>0</v>
      </c>
      <c r="K237" s="102"/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  <c r="V237" s="102"/>
      <c r="W237" s="102"/>
      <c r="X237" s="445"/>
      <c r="Y237" s="102"/>
      <c r="Z237" s="102"/>
      <c r="AA237" s="102"/>
      <c r="AB237" s="102"/>
      <c r="AC237" s="102"/>
      <c r="AD237" s="102">
        <f t="shared" si="377"/>
        <v>0</v>
      </c>
      <c r="AE237" s="102">
        <f t="shared" si="378"/>
        <v>0</v>
      </c>
      <c r="AF237" s="102"/>
      <c r="AG237" s="102"/>
      <c r="AH237" s="102"/>
      <c r="AI237" s="102"/>
      <c r="AJ237" s="102"/>
      <c r="AK237" s="102"/>
      <c r="AL237" s="445"/>
      <c r="AM237" s="102"/>
      <c r="AN237" s="102"/>
      <c r="AO237" s="102"/>
      <c r="AP237" s="102">
        <f t="shared" si="379"/>
        <v>0</v>
      </c>
      <c r="AQ237" s="102">
        <f t="shared" si="380"/>
        <v>0</v>
      </c>
      <c r="AR237" s="102"/>
      <c r="AS237" s="102"/>
      <c r="AT237" s="102"/>
      <c r="AU237" s="102"/>
      <c r="AV237" s="102"/>
      <c r="AW237" s="102"/>
      <c r="AX237" s="102"/>
      <c r="AY237" s="102"/>
      <c r="AZ237" s="102"/>
      <c r="BA237" s="102">
        <v>284577</v>
      </c>
      <c r="BB237" s="123"/>
      <c r="BC237" s="123">
        <f t="shared" si="381"/>
        <v>0</v>
      </c>
      <c r="BD237" s="123">
        <f t="shared" si="382"/>
        <v>0</v>
      </c>
      <c r="BE237" s="123"/>
      <c r="BF237" s="123"/>
      <c r="BG237" s="123"/>
      <c r="BH237" s="123"/>
      <c r="BI237" s="123"/>
      <c r="BJ237" s="123"/>
      <c r="BK237" s="123"/>
      <c r="BL237" s="123"/>
      <c r="BM237" s="102">
        <f t="shared" si="383"/>
        <v>0</v>
      </c>
      <c r="BN237" s="102">
        <f t="shared" si="384"/>
        <v>0</v>
      </c>
      <c r="BO237" s="102"/>
      <c r="BP237" s="102"/>
      <c r="BQ237" s="102"/>
      <c r="BR237" s="102"/>
      <c r="BS237" s="102"/>
      <c r="BT237" s="389"/>
      <c r="BU237" s="102"/>
      <c r="BV237" s="102"/>
      <c r="BW237" s="335"/>
      <c r="BX237" s="103"/>
      <c r="BY237" s="107"/>
      <c r="BZ237" s="36"/>
      <c r="CA237" s="36"/>
      <c r="CB237" s="36"/>
      <c r="CC237" s="36"/>
      <c r="CD237" s="36"/>
      <c r="CE237" s="36"/>
      <c r="CF237" s="36"/>
      <c r="CG237" s="36"/>
    </row>
    <row r="238" spans="1:85" s="163" customFormat="1" ht="48" x14ac:dyDescent="0.2">
      <c r="A238" s="146"/>
      <c r="B238" s="164"/>
      <c r="C238" s="300"/>
      <c r="D238" s="302"/>
      <c r="E238" s="303" t="s">
        <v>288</v>
      </c>
      <c r="F238" s="347">
        <f t="shared" si="385"/>
        <v>122000</v>
      </c>
      <c r="G238" s="101">
        <f t="shared" si="374"/>
        <v>122000</v>
      </c>
      <c r="H238" s="102"/>
      <c r="I238" s="102">
        <f t="shared" si="375"/>
        <v>0</v>
      </c>
      <c r="J238" s="102">
        <f t="shared" si="376"/>
        <v>0</v>
      </c>
      <c r="K238" s="102"/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  <c r="V238" s="102"/>
      <c r="W238" s="102"/>
      <c r="X238" s="445"/>
      <c r="Y238" s="102"/>
      <c r="Z238" s="102"/>
      <c r="AA238" s="102"/>
      <c r="AB238" s="102"/>
      <c r="AC238" s="102"/>
      <c r="AD238" s="102">
        <f t="shared" si="377"/>
        <v>0</v>
      </c>
      <c r="AE238" s="102">
        <f t="shared" si="378"/>
        <v>0</v>
      </c>
      <c r="AF238" s="102"/>
      <c r="AG238" s="102"/>
      <c r="AH238" s="102"/>
      <c r="AI238" s="102"/>
      <c r="AJ238" s="102"/>
      <c r="AK238" s="102"/>
      <c r="AL238" s="445"/>
      <c r="AM238" s="102"/>
      <c r="AN238" s="102"/>
      <c r="AO238" s="102"/>
      <c r="AP238" s="123">
        <f t="shared" si="379"/>
        <v>0</v>
      </c>
      <c r="AQ238" s="123">
        <f t="shared" si="380"/>
        <v>0</v>
      </c>
      <c r="AR238" s="123"/>
      <c r="AS238" s="123"/>
      <c r="AT238" s="123"/>
      <c r="AU238" s="123"/>
      <c r="AV238" s="123"/>
      <c r="AW238" s="123"/>
      <c r="AX238" s="123"/>
      <c r="AY238" s="123"/>
      <c r="AZ238" s="123"/>
      <c r="BA238" s="123">
        <v>122000</v>
      </c>
      <c r="BB238" s="123"/>
      <c r="BC238" s="123">
        <f t="shared" si="381"/>
        <v>0</v>
      </c>
      <c r="BD238" s="123">
        <f t="shared" si="382"/>
        <v>0</v>
      </c>
      <c r="BE238" s="123"/>
      <c r="BF238" s="123"/>
      <c r="BG238" s="123"/>
      <c r="BH238" s="123"/>
      <c r="BI238" s="123"/>
      <c r="BJ238" s="123"/>
      <c r="BK238" s="123"/>
      <c r="BL238" s="123"/>
      <c r="BM238" s="102">
        <f t="shared" si="383"/>
        <v>0</v>
      </c>
      <c r="BN238" s="102">
        <f t="shared" si="384"/>
        <v>0</v>
      </c>
      <c r="BO238" s="102"/>
      <c r="BP238" s="102"/>
      <c r="BQ238" s="102"/>
      <c r="BR238" s="102"/>
      <c r="BS238" s="102"/>
      <c r="BT238" s="389"/>
      <c r="BU238" s="102"/>
      <c r="BV238" s="102"/>
      <c r="BW238" s="335"/>
      <c r="BX238" s="103"/>
      <c r="BY238" s="107"/>
      <c r="BZ238" s="36"/>
      <c r="CA238" s="36"/>
      <c r="CB238" s="36"/>
      <c r="CC238" s="36"/>
      <c r="CD238" s="36"/>
      <c r="CE238" s="36"/>
      <c r="CF238" s="36"/>
      <c r="CG238" s="36"/>
    </row>
    <row r="239" spans="1:85" ht="13.5" thickBot="1" x14ac:dyDescent="0.25">
      <c r="A239" s="146"/>
      <c r="B239" s="133"/>
      <c r="C239" s="510"/>
      <c r="D239" s="511"/>
      <c r="E239" s="144"/>
      <c r="F239" s="348"/>
      <c r="G239" s="89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446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446"/>
      <c r="AM239" s="90"/>
      <c r="AN239" s="90"/>
      <c r="AO239" s="90"/>
      <c r="AP239" s="122"/>
      <c r="AQ239" s="122"/>
      <c r="AR239" s="122"/>
      <c r="AS239" s="122"/>
      <c r="AT239" s="122"/>
      <c r="AU239" s="122"/>
      <c r="AV239" s="122"/>
      <c r="AW239" s="122"/>
      <c r="AX239" s="122"/>
      <c r="AY239" s="122"/>
      <c r="AZ239" s="122"/>
      <c r="BA239" s="122"/>
      <c r="BB239" s="122"/>
      <c r="BC239" s="122"/>
      <c r="BD239" s="122"/>
      <c r="BE239" s="122"/>
      <c r="BF239" s="122"/>
      <c r="BG239" s="122"/>
      <c r="BH239" s="122"/>
      <c r="BI239" s="122"/>
      <c r="BJ239" s="122"/>
      <c r="BK239" s="122"/>
      <c r="BL239" s="122"/>
      <c r="BM239" s="90"/>
      <c r="BN239" s="90"/>
      <c r="BO239" s="90"/>
      <c r="BP239" s="90"/>
      <c r="BQ239" s="90"/>
      <c r="BR239" s="90"/>
      <c r="BS239" s="90"/>
      <c r="BT239" s="387"/>
      <c r="BU239" s="90"/>
      <c r="BV239" s="90"/>
      <c r="BW239" s="336"/>
      <c r="BX239" s="91"/>
      <c r="BY239" s="108"/>
      <c r="BZ239" s="36"/>
      <c r="CA239" s="36"/>
      <c r="CB239" s="36"/>
      <c r="CC239" s="36"/>
      <c r="CD239" s="36"/>
      <c r="CE239" s="36"/>
      <c r="CF239" s="36"/>
      <c r="CG239" s="36"/>
    </row>
    <row r="240" spans="1:85" ht="12.75" thickBot="1" x14ac:dyDescent="0.25">
      <c r="A240" s="173"/>
      <c r="B240" s="499" t="s">
        <v>21</v>
      </c>
      <c r="C240" s="499"/>
      <c r="D240" s="170" t="s">
        <v>22</v>
      </c>
      <c r="E240" s="16"/>
      <c r="F240" s="349">
        <f t="shared" ref="F240:F265" si="386">H240+AC240+AO240+BA240+BB240+BL240</f>
        <v>7978682</v>
      </c>
      <c r="G240" s="17">
        <f t="shared" ref="G240:G265" si="387">I240+AD240+AP240+BA240+BC240+BM240</f>
        <v>7734149</v>
      </c>
      <c r="H240" s="10">
        <f t="shared" ref="H240:BW240" si="388">SUM(H241:H266)</f>
        <v>6747196</v>
      </c>
      <c r="I240" s="10">
        <f t="shared" si="388"/>
        <v>6490529</v>
      </c>
      <c r="J240" s="10">
        <f t="shared" si="388"/>
        <v>-256667</v>
      </c>
      <c r="K240" s="10">
        <f t="shared" si="388"/>
        <v>0</v>
      </c>
      <c r="L240" s="10">
        <f t="shared" si="388"/>
        <v>0</v>
      </c>
      <c r="M240" s="10">
        <f t="shared" si="388"/>
        <v>0</v>
      </c>
      <c r="N240" s="10">
        <f t="shared" si="388"/>
        <v>-46605</v>
      </c>
      <c r="O240" s="10">
        <f t="shared" si="388"/>
        <v>0</v>
      </c>
      <c r="P240" s="10">
        <f t="shared" si="388"/>
        <v>-3305</v>
      </c>
      <c r="Q240" s="10">
        <f t="shared" si="388"/>
        <v>0</v>
      </c>
      <c r="R240" s="10">
        <f t="shared" si="388"/>
        <v>-300981</v>
      </c>
      <c r="S240" s="10">
        <f t="shared" si="388"/>
        <v>7405</v>
      </c>
      <c r="T240" s="10">
        <f t="shared" si="388"/>
        <v>3300</v>
      </c>
      <c r="U240" s="10">
        <f t="shared" ref="U240:V240" si="389">SUM(U241:U266)</f>
        <v>0</v>
      </c>
      <c r="V240" s="10">
        <f t="shared" si="389"/>
        <v>49892</v>
      </c>
      <c r="W240" s="10">
        <f t="shared" si="388"/>
        <v>39237</v>
      </c>
      <c r="X240" s="444">
        <f t="shared" ref="X240:AA240" si="390">SUM(X241:X266)</f>
        <v>-5610</v>
      </c>
      <c r="Y240" s="10">
        <f t="shared" si="390"/>
        <v>0</v>
      </c>
      <c r="Z240" s="10">
        <f t="shared" si="390"/>
        <v>0</v>
      </c>
      <c r="AA240" s="10">
        <f t="shared" si="390"/>
        <v>0</v>
      </c>
      <c r="AB240" s="10">
        <f t="shared" si="388"/>
        <v>0</v>
      </c>
      <c r="AC240" s="10">
        <f t="shared" si="388"/>
        <v>242196</v>
      </c>
      <c r="AD240" s="10">
        <f t="shared" si="388"/>
        <v>259168</v>
      </c>
      <c r="AE240" s="10">
        <f t="shared" si="388"/>
        <v>16972</v>
      </c>
      <c r="AF240" s="10">
        <f t="shared" si="388"/>
        <v>0</v>
      </c>
      <c r="AG240" s="10">
        <f t="shared" si="388"/>
        <v>0</v>
      </c>
      <c r="AH240" s="10">
        <f t="shared" si="388"/>
        <v>16194</v>
      </c>
      <c r="AI240" s="10">
        <f t="shared" si="388"/>
        <v>0</v>
      </c>
      <c r="AJ240" s="10">
        <f t="shared" si="388"/>
        <v>778</v>
      </c>
      <c r="AK240" s="10">
        <f t="shared" ref="AK240:AM240" si="391">SUM(AK241:AK266)</f>
        <v>0</v>
      </c>
      <c r="AL240" s="444">
        <f t="shared" si="391"/>
        <v>0</v>
      </c>
      <c r="AM240" s="10">
        <f t="shared" si="391"/>
        <v>0</v>
      </c>
      <c r="AN240" s="10">
        <f t="shared" si="388"/>
        <v>0</v>
      </c>
      <c r="AO240" s="10">
        <f t="shared" si="388"/>
        <v>636522</v>
      </c>
      <c r="AP240" s="10">
        <f t="shared" si="388"/>
        <v>635307</v>
      </c>
      <c r="AQ240" s="10">
        <f t="shared" si="388"/>
        <v>-1215</v>
      </c>
      <c r="AR240" s="10">
        <f t="shared" si="388"/>
        <v>0</v>
      </c>
      <c r="AS240" s="10">
        <f t="shared" si="388"/>
        <v>2652</v>
      </c>
      <c r="AT240" s="10">
        <f t="shared" si="388"/>
        <v>-4238</v>
      </c>
      <c r="AU240" s="10">
        <f t="shared" si="388"/>
        <v>0</v>
      </c>
      <c r="AV240" s="10">
        <f t="shared" si="388"/>
        <v>371</v>
      </c>
      <c r="AW240" s="10">
        <f t="shared" ref="AW240:AY240" si="392">SUM(AW241:AW266)</f>
        <v>0</v>
      </c>
      <c r="AX240" s="10">
        <f t="shared" si="392"/>
        <v>0</v>
      </c>
      <c r="AY240" s="10">
        <f t="shared" si="392"/>
        <v>0</v>
      </c>
      <c r="AZ240" s="10">
        <f t="shared" si="388"/>
        <v>0</v>
      </c>
      <c r="BA240" s="10">
        <f t="shared" si="388"/>
        <v>355643</v>
      </c>
      <c r="BB240" s="10">
        <f t="shared" si="388"/>
        <v>520</v>
      </c>
      <c r="BC240" s="10">
        <f t="shared" si="388"/>
        <v>808</v>
      </c>
      <c r="BD240" s="10">
        <f t="shared" si="388"/>
        <v>288</v>
      </c>
      <c r="BE240" s="10">
        <f t="shared" si="388"/>
        <v>288</v>
      </c>
      <c r="BF240" s="10">
        <f t="shared" si="388"/>
        <v>0</v>
      </c>
      <c r="BG240" s="10">
        <f t="shared" si="388"/>
        <v>0</v>
      </c>
      <c r="BH240" s="10">
        <f t="shared" si="388"/>
        <v>0</v>
      </c>
      <c r="BI240" s="10">
        <f t="shared" si="388"/>
        <v>0</v>
      </c>
      <c r="BJ240" s="10">
        <f t="shared" si="388"/>
        <v>0</v>
      </c>
      <c r="BK240" s="10">
        <f t="shared" si="388"/>
        <v>0</v>
      </c>
      <c r="BL240" s="10">
        <f t="shared" si="388"/>
        <v>-3395</v>
      </c>
      <c r="BM240" s="10">
        <f t="shared" si="388"/>
        <v>-7306</v>
      </c>
      <c r="BN240" s="10">
        <f t="shared" si="388"/>
        <v>-3911</v>
      </c>
      <c r="BO240" s="10">
        <f t="shared" si="388"/>
        <v>0</v>
      </c>
      <c r="BP240" s="10">
        <f t="shared" si="388"/>
        <v>0</v>
      </c>
      <c r="BQ240" s="10">
        <f t="shared" si="388"/>
        <v>-2652</v>
      </c>
      <c r="BR240" s="10">
        <f t="shared" si="388"/>
        <v>0</v>
      </c>
      <c r="BS240" s="10">
        <f t="shared" si="388"/>
        <v>-888</v>
      </c>
      <c r="BT240" s="121">
        <f t="shared" ref="BT240:BV240" si="393">SUM(BT241:BT266)</f>
        <v>0</v>
      </c>
      <c r="BU240" s="10">
        <f t="shared" si="393"/>
        <v>-371</v>
      </c>
      <c r="BV240" s="10">
        <f t="shared" si="393"/>
        <v>0</v>
      </c>
      <c r="BW240" s="404">
        <f t="shared" si="388"/>
        <v>0</v>
      </c>
      <c r="BX240" s="18"/>
      <c r="BY240" s="109"/>
      <c r="BZ240" s="36"/>
      <c r="CA240" s="36"/>
      <c r="CB240" s="36"/>
      <c r="CC240" s="36"/>
      <c r="CD240" s="36"/>
      <c r="CE240" s="36"/>
      <c r="CF240" s="36"/>
      <c r="CG240" s="36"/>
    </row>
    <row r="241" spans="1:85" s="167" customFormat="1" ht="24.75" thickTop="1" x14ac:dyDescent="0.2">
      <c r="A241" s="146">
        <v>90000056357</v>
      </c>
      <c r="B241" s="172"/>
      <c r="C241" s="497" t="s">
        <v>5</v>
      </c>
      <c r="D241" s="498"/>
      <c r="E241" s="287" t="s">
        <v>521</v>
      </c>
      <c r="F241" s="353">
        <f t="shared" si="386"/>
        <v>869741</v>
      </c>
      <c r="G241" s="194">
        <f t="shared" si="387"/>
        <v>585870</v>
      </c>
      <c r="H241" s="230">
        <v>869741</v>
      </c>
      <c r="I241" s="230">
        <f t="shared" ref="I241:I265" si="394">J241+H241</f>
        <v>585870</v>
      </c>
      <c r="J241" s="230">
        <f t="shared" ref="J241:J265" si="395">SUM(K241:AB241)</f>
        <v>-283871</v>
      </c>
      <c r="K241" s="230"/>
      <c r="L241" s="230"/>
      <c r="M241" s="230"/>
      <c r="N241" s="230">
        <v>-47964</v>
      </c>
      <c r="O241" s="230"/>
      <c r="P241" s="230"/>
      <c r="Q241" s="230"/>
      <c r="R241" s="230">
        <v>-307804</v>
      </c>
      <c r="S241" s="230">
        <v>7405</v>
      </c>
      <c r="T241" s="230">
        <v>3300</v>
      </c>
      <c r="U241" s="230"/>
      <c r="V241" s="230">
        <v>49000</v>
      </c>
      <c r="W241" s="230">
        <f>8702+9100</f>
        <v>17802</v>
      </c>
      <c r="X241" s="448">
        <v>-5610</v>
      </c>
      <c r="Y241" s="230"/>
      <c r="Z241" s="230"/>
      <c r="AA241" s="230"/>
      <c r="AB241" s="230"/>
      <c r="AC241" s="230">
        <v>0</v>
      </c>
      <c r="AD241" s="230">
        <f t="shared" ref="AD241:AD265" si="396">AC241+AE241</f>
        <v>0</v>
      </c>
      <c r="AE241" s="230">
        <f t="shared" ref="AE241:AE265" si="397">SUM(AF241:AN241)</f>
        <v>0</v>
      </c>
      <c r="AF241" s="230"/>
      <c r="AG241" s="230"/>
      <c r="AH241" s="230"/>
      <c r="AI241" s="230"/>
      <c r="AJ241" s="230"/>
      <c r="AK241" s="230"/>
      <c r="AL241" s="448"/>
      <c r="AM241" s="230"/>
      <c r="AN241" s="230"/>
      <c r="AO241" s="230">
        <v>0</v>
      </c>
      <c r="AP241" s="230">
        <f t="shared" ref="AP241:AP265" si="398">AQ241+AO241</f>
        <v>0</v>
      </c>
      <c r="AQ241" s="230">
        <f t="shared" ref="AQ241:AQ265" si="399">SUM(AR241:AZ241)</f>
        <v>0</v>
      </c>
      <c r="AR241" s="230"/>
      <c r="AS241" s="230"/>
      <c r="AT241" s="230"/>
      <c r="AU241" s="230"/>
      <c r="AV241" s="230"/>
      <c r="AW241" s="230"/>
      <c r="AX241" s="230"/>
      <c r="AY241" s="230"/>
      <c r="AZ241" s="230"/>
      <c r="BA241" s="230"/>
      <c r="BB241" s="230">
        <v>0</v>
      </c>
      <c r="BC241" s="331">
        <f t="shared" ref="BC241:BC264" si="400">BB241+BD241</f>
        <v>0</v>
      </c>
      <c r="BD241" s="331">
        <f t="shared" ref="BD241:BD265" si="401">SUM(BE241:BK241)</f>
        <v>0</v>
      </c>
      <c r="BE241" s="331"/>
      <c r="BF241" s="331"/>
      <c r="BG241" s="331"/>
      <c r="BH241" s="331"/>
      <c r="BI241" s="331"/>
      <c r="BJ241" s="331"/>
      <c r="BK241" s="331"/>
      <c r="BL241" s="331"/>
      <c r="BM241" s="230">
        <f t="shared" ref="BM241:BM265" si="402">BN241+BL241</f>
        <v>0</v>
      </c>
      <c r="BN241" s="230">
        <f t="shared" ref="BN241:BN265" si="403">SUM(BO241:BW241)</f>
        <v>0</v>
      </c>
      <c r="BO241" s="230"/>
      <c r="BP241" s="230"/>
      <c r="BQ241" s="230"/>
      <c r="BR241" s="230"/>
      <c r="BS241" s="230"/>
      <c r="BT241" s="415"/>
      <c r="BU241" s="230"/>
      <c r="BV241" s="230"/>
      <c r="BW241" s="341"/>
      <c r="BX241" s="298" t="s">
        <v>686</v>
      </c>
      <c r="BY241" s="108" t="s">
        <v>786</v>
      </c>
      <c r="BZ241" s="36"/>
      <c r="CA241" s="36"/>
      <c r="CB241" s="36"/>
      <c r="CC241" s="36"/>
      <c r="CD241" s="36"/>
      <c r="CE241" s="36"/>
      <c r="CF241" s="36"/>
      <c r="CG241" s="36"/>
    </row>
    <row r="242" spans="1:85" ht="25.5" customHeight="1" x14ac:dyDescent="0.2">
      <c r="A242" s="146">
        <v>90000594245</v>
      </c>
      <c r="B242" s="117"/>
      <c r="C242" s="495" t="s">
        <v>606</v>
      </c>
      <c r="D242" s="496"/>
      <c r="E242" s="100" t="s">
        <v>197</v>
      </c>
      <c r="F242" s="347">
        <f t="shared" si="386"/>
        <v>777681</v>
      </c>
      <c r="G242" s="101">
        <f t="shared" si="387"/>
        <v>785707</v>
      </c>
      <c r="H242" s="102">
        <v>777621</v>
      </c>
      <c r="I242" s="102">
        <f t="shared" si="394"/>
        <v>781276</v>
      </c>
      <c r="J242" s="102">
        <f t="shared" si="395"/>
        <v>3655</v>
      </c>
      <c r="K242" s="102"/>
      <c r="L242" s="102"/>
      <c r="M242" s="102"/>
      <c r="N242" s="102">
        <v>559</v>
      </c>
      <c r="O242" s="102"/>
      <c r="P242" s="102">
        <v>986</v>
      </c>
      <c r="Q242" s="102"/>
      <c r="R242" s="102"/>
      <c r="S242" s="102"/>
      <c r="T242" s="102"/>
      <c r="U242" s="102"/>
      <c r="V242" s="102">
        <v>2110</v>
      </c>
      <c r="W242" s="102"/>
      <c r="X242" s="445"/>
      <c r="Y242" s="102"/>
      <c r="Z242" s="102"/>
      <c r="AA242" s="102"/>
      <c r="AB242" s="102"/>
      <c r="AC242" s="102">
        <v>0</v>
      </c>
      <c r="AD242" s="102">
        <f t="shared" si="396"/>
        <v>4371</v>
      </c>
      <c r="AE242" s="102">
        <f t="shared" si="397"/>
        <v>4371</v>
      </c>
      <c r="AF242" s="102"/>
      <c r="AG242" s="102"/>
      <c r="AH242" s="102">
        <v>3593</v>
      </c>
      <c r="AI242" s="102"/>
      <c r="AJ242" s="102">
        <v>778</v>
      </c>
      <c r="AK242" s="102"/>
      <c r="AL242" s="445"/>
      <c r="AM242" s="102"/>
      <c r="AN242" s="102"/>
      <c r="AO242" s="102">
        <v>60</v>
      </c>
      <c r="AP242" s="123">
        <f t="shared" si="398"/>
        <v>3083</v>
      </c>
      <c r="AQ242" s="123">
        <f t="shared" si="399"/>
        <v>3023</v>
      </c>
      <c r="AR242" s="123"/>
      <c r="AS242" s="123">
        <v>2652</v>
      </c>
      <c r="AT242" s="123"/>
      <c r="AU242" s="123"/>
      <c r="AV242" s="123">
        <v>371</v>
      </c>
      <c r="AW242" s="123"/>
      <c r="AX242" s="123"/>
      <c r="AY242" s="123"/>
      <c r="AZ242" s="123"/>
      <c r="BA242" s="123"/>
      <c r="BB242" s="123">
        <v>0</v>
      </c>
      <c r="BC242" s="123">
        <f t="shared" si="400"/>
        <v>0</v>
      </c>
      <c r="BD242" s="123">
        <f t="shared" si="401"/>
        <v>0</v>
      </c>
      <c r="BE242" s="123"/>
      <c r="BF242" s="123"/>
      <c r="BG242" s="123"/>
      <c r="BH242" s="123"/>
      <c r="BI242" s="123"/>
      <c r="BJ242" s="123"/>
      <c r="BK242" s="123"/>
      <c r="BL242" s="123"/>
      <c r="BM242" s="102">
        <f t="shared" si="402"/>
        <v>-3023</v>
      </c>
      <c r="BN242" s="102">
        <f t="shared" si="403"/>
        <v>-3023</v>
      </c>
      <c r="BO242" s="102"/>
      <c r="BP242" s="102"/>
      <c r="BQ242" s="102">
        <v>-2652</v>
      </c>
      <c r="BR242" s="102"/>
      <c r="BS242" s="102"/>
      <c r="BT242" s="389"/>
      <c r="BU242" s="102">
        <v>-371</v>
      </c>
      <c r="BV242" s="102"/>
      <c r="BW242" s="335"/>
      <c r="BX242" s="103" t="s">
        <v>483</v>
      </c>
      <c r="BY242" s="107"/>
      <c r="BZ242" s="36"/>
      <c r="CA242" s="36"/>
      <c r="CB242" s="36"/>
      <c r="CC242" s="36"/>
      <c r="CD242" s="36"/>
      <c r="CE242" s="36"/>
      <c r="CF242" s="36"/>
      <c r="CG242" s="36"/>
    </row>
    <row r="243" spans="1:85" s="167" customFormat="1" ht="27" customHeight="1" x14ac:dyDescent="0.2">
      <c r="A243" s="146"/>
      <c r="B243" s="117"/>
      <c r="C243" s="269"/>
      <c r="D243" s="270"/>
      <c r="E243" s="100" t="s">
        <v>224</v>
      </c>
      <c r="F243" s="347">
        <f t="shared" si="386"/>
        <v>202355</v>
      </c>
      <c r="G243" s="101">
        <f t="shared" si="387"/>
        <v>202355</v>
      </c>
      <c r="H243" s="102">
        <v>11048</v>
      </c>
      <c r="I243" s="102">
        <f t="shared" si="394"/>
        <v>11048</v>
      </c>
      <c r="J243" s="102">
        <f t="shared" si="395"/>
        <v>0</v>
      </c>
      <c r="K243" s="102"/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102"/>
      <c r="X243" s="445"/>
      <c r="Y243" s="102"/>
      <c r="Z243" s="102"/>
      <c r="AA243" s="102"/>
      <c r="AB243" s="102"/>
      <c r="AC243" s="102">
        <v>191307</v>
      </c>
      <c r="AD243" s="102">
        <f t="shared" si="396"/>
        <v>191307</v>
      </c>
      <c r="AE243" s="102">
        <f t="shared" si="397"/>
        <v>0</v>
      </c>
      <c r="AF243" s="102"/>
      <c r="AG243" s="102"/>
      <c r="AH243" s="102"/>
      <c r="AI243" s="102"/>
      <c r="AJ243" s="102"/>
      <c r="AK243" s="102"/>
      <c r="AL243" s="445"/>
      <c r="AM243" s="102"/>
      <c r="AN243" s="102"/>
      <c r="AO243" s="102">
        <v>0</v>
      </c>
      <c r="AP243" s="123">
        <f t="shared" si="398"/>
        <v>0</v>
      </c>
      <c r="AQ243" s="123">
        <f t="shared" si="399"/>
        <v>0</v>
      </c>
      <c r="AR243" s="123"/>
      <c r="AS243" s="123"/>
      <c r="AT243" s="123"/>
      <c r="AU243" s="123"/>
      <c r="AV243" s="123"/>
      <c r="AW243" s="123"/>
      <c r="AX243" s="123"/>
      <c r="AY243" s="123"/>
      <c r="AZ243" s="123"/>
      <c r="BA243" s="123"/>
      <c r="BB243" s="123">
        <v>0</v>
      </c>
      <c r="BC243" s="123">
        <f t="shared" si="400"/>
        <v>0</v>
      </c>
      <c r="BD243" s="123">
        <f t="shared" si="401"/>
        <v>0</v>
      </c>
      <c r="BE243" s="123"/>
      <c r="BF243" s="123"/>
      <c r="BG243" s="123"/>
      <c r="BH243" s="123"/>
      <c r="BI243" s="123"/>
      <c r="BJ243" s="123"/>
      <c r="BK243" s="123"/>
      <c r="BL243" s="123"/>
      <c r="BM243" s="102">
        <f t="shared" si="402"/>
        <v>0</v>
      </c>
      <c r="BN243" s="102">
        <f t="shared" si="403"/>
        <v>0</v>
      </c>
      <c r="BO243" s="102"/>
      <c r="BP243" s="102"/>
      <c r="BQ243" s="102"/>
      <c r="BR243" s="102"/>
      <c r="BS243" s="102"/>
      <c r="BT243" s="389"/>
      <c r="BU243" s="102"/>
      <c r="BV243" s="102"/>
      <c r="BW243" s="335"/>
      <c r="BX243" s="103" t="s">
        <v>484</v>
      </c>
      <c r="BY243" s="107" t="s">
        <v>695</v>
      </c>
      <c r="BZ243" s="36"/>
      <c r="CA243" s="36"/>
      <c r="CB243" s="36"/>
      <c r="CC243" s="36"/>
      <c r="CD243" s="36"/>
      <c r="CE243" s="36"/>
      <c r="CF243" s="36"/>
      <c r="CG243" s="36"/>
    </row>
    <row r="244" spans="1:85" ht="24" x14ac:dyDescent="0.2">
      <c r="A244" s="146"/>
      <c r="B244" s="117"/>
      <c r="C244" s="269"/>
      <c r="D244" s="270"/>
      <c r="E244" s="100" t="s">
        <v>225</v>
      </c>
      <c r="F244" s="347">
        <f t="shared" si="386"/>
        <v>736690</v>
      </c>
      <c r="G244" s="101">
        <f t="shared" si="387"/>
        <v>736690</v>
      </c>
      <c r="H244" s="102">
        <v>732420</v>
      </c>
      <c r="I244" s="102">
        <f t="shared" si="394"/>
        <v>732420</v>
      </c>
      <c r="J244" s="102">
        <f t="shared" si="395"/>
        <v>0</v>
      </c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445"/>
      <c r="Y244" s="102"/>
      <c r="Z244" s="102"/>
      <c r="AA244" s="102"/>
      <c r="AB244" s="102"/>
      <c r="AC244" s="102">
        <v>4270</v>
      </c>
      <c r="AD244" s="102">
        <f t="shared" si="396"/>
        <v>4270</v>
      </c>
      <c r="AE244" s="102">
        <f t="shared" si="397"/>
        <v>0</v>
      </c>
      <c r="AF244" s="102"/>
      <c r="AG244" s="102"/>
      <c r="AH244" s="102"/>
      <c r="AI244" s="102"/>
      <c r="AJ244" s="102"/>
      <c r="AK244" s="102"/>
      <c r="AL244" s="445"/>
      <c r="AM244" s="102"/>
      <c r="AN244" s="102"/>
      <c r="AO244" s="102">
        <v>0</v>
      </c>
      <c r="AP244" s="123">
        <f t="shared" si="398"/>
        <v>0</v>
      </c>
      <c r="AQ244" s="123">
        <f t="shared" si="399"/>
        <v>0</v>
      </c>
      <c r="AR244" s="123"/>
      <c r="AS244" s="123"/>
      <c r="AT244" s="123"/>
      <c r="AU244" s="123"/>
      <c r="AV244" s="123"/>
      <c r="AW244" s="123"/>
      <c r="AX244" s="123"/>
      <c r="AY244" s="123"/>
      <c r="AZ244" s="123"/>
      <c r="BA244" s="123"/>
      <c r="BB244" s="123">
        <v>0</v>
      </c>
      <c r="BC244" s="123">
        <f t="shared" si="400"/>
        <v>0</v>
      </c>
      <c r="BD244" s="123">
        <f t="shared" si="401"/>
        <v>0</v>
      </c>
      <c r="BE244" s="123"/>
      <c r="BF244" s="123"/>
      <c r="BG244" s="123"/>
      <c r="BH244" s="123"/>
      <c r="BI244" s="123"/>
      <c r="BJ244" s="123"/>
      <c r="BK244" s="123"/>
      <c r="BL244" s="123"/>
      <c r="BM244" s="102">
        <f t="shared" si="402"/>
        <v>0</v>
      </c>
      <c r="BN244" s="102">
        <f t="shared" si="403"/>
        <v>0</v>
      </c>
      <c r="BO244" s="102"/>
      <c r="BP244" s="102"/>
      <c r="BQ244" s="102"/>
      <c r="BR244" s="102"/>
      <c r="BS244" s="102"/>
      <c r="BT244" s="389"/>
      <c r="BU244" s="102"/>
      <c r="BV244" s="102"/>
      <c r="BW244" s="335"/>
      <c r="BX244" s="103" t="s">
        <v>485</v>
      </c>
      <c r="BY244" s="107" t="s">
        <v>695</v>
      </c>
      <c r="BZ244" s="36"/>
      <c r="CA244" s="36"/>
      <c r="CB244" s="36"/>
      <c r="CC244" s="36"/>
      <c r="CD244" s="36"/>
      <c r="CE244" s="36"/>
      <c r="CF244" s="36"/>
      <c r="CG244" s="36"/>
    </row>
    <row r="245" spans="1:85" ht="24" x14ac:dyDescent="0.2">
      <c r="A245" s="146"/>
      <c r="B245" s="117"/>
      <c r="C245" s="269"/>
      <c r="D245" s="270"/>
      <c r="E245" s="100" t="s">
        <v>226</v>
      </c>
      <c r="F245" s="347">
        <f t="shared" si="386"/>
        <v>325239</v>
      </c>
      <c r="G245" s="101">
        <f t="shared" si="387"/>
        <v>325239</v>
      </c>
      <c r="H245" s="102">
        <v>322961</v>
      </c>
      <c r="I245" s="102">
        <f t="shared" si="394"/>
        <v>322961</v>
      </c>
      <c r="J245" s="102">
        <f t="shared" si="395"/>
        <v>0</v>
      </c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2"/>
      <c r="W245" s="102"/>
      <c r="X245" s="445"/>
      <c r="Y245" s="102"/>
      <c r="Z245" s="102"/>
      <c r="AA245" s="102"/>
      <c r="AB245" s="102"/>
      <c r="AC245" s="102">
        <v>0</v>
      </c>
      <c r="AD245" s="102">
        <f t="shared" si="396"/>
        <v>0</v>
      </c>
      <c r="AE245" s="102">
        <f t="shared" si="397"/>
        <v>0</v>
      </c>
      <c r="AF245" s="102"/>
      <c r="AG245" s="102"/>
      <c r="AH245" s="102"/>
      <c r="AI245" s="102"/>
      <c r="AJ245" s="102"/>
      <c r="AK245" s="102"/>
      <c r="AL245" s="445"/>
      <c r="AM245" s="102"/>
      <c r="AN245" s="102"/>
      <c r="AO245" s="102">
        <v>2278</v>
      </c>
      <c r="AP245" s="123">
        <f t="shared" si="398"/>
        <v>2278</v>
      </c>
      <c r="AQ245" s="123">
        <f t="shared" si="399"/>
        <v>0</v>
      </c>
      <c r="AR245" s="123"/>
      <c r="AS245" s="123"/>
      <c r="AT245" s="123"/>
      <c r="AU245" s="123"/>
      <c r="AV245" s="123"/>
      <c r="AW245" s="123"/>
      <c r="AX245" s="123"/>
      <c r="AY245" s="123"/>
      <c r="AZ245" s="123"/>
      <c r="BA245" s="123"/>
      <c r="BB245" s="123">
        <v>0</v>
      </c>
      <c r="BC245" s="123">
        <f t="shared" si="400"/>
        <v>0</v>
      </c>
      <c r="BD245" s="123">
        <f t="shared" si="401"/>
        <v>0</v>
      </c>
      <c r="BE245" s="123"/>
      <c r="BF245" s="123"/>
      <c r="BG245" s="123"/>
      <c r="BH245" s="123"/>
      <c r="BI245" s="123"/>
      <c r="BJ245" s="123"/>
      <c r="BK245" s="123"/>
      <c r="BL245" s="123"/>
      <c r="BM245" s="102">
        <f t="shared" si="402"/>
        <v>0</v>
      </c>
      <c r="BN245" s="102">
        <f t="shared" si="403"/>
        <v>0</v>
      </c>
      <c r="BO245" s="102"/>
      <c r="BP245" s="102"/>
      <c r="BQ245" s="102"/>
      <c r="BR245" s="102"/>
      <c r="BS245" s="102"/>
      <c r="BT245" s="389"/>
      <c r="BU245" s="102"/>
      <c r="BV245" s="102"/>
      <c r="BW245" s="335"/>
      <c r="BX245" s="103" t="s">
        <v>486</v>
      </c>
      <c r="BY245" s="107" t="s">
        <v>696</v>
      </c>
      <c r="BZ245" s="36"/>
      <c r="CA245" s="36"/>
      <c r="CB245" s="36"/>
      <c r="CC245" s="36"/>
      <c r="CD245" s="36"/>
      <c r="CE245" s="36"/>
      <c r="CF245" s="36"/>
      <c r="CG245" s="36"/>
    </row>
    <row r="246" spans="1:85" ht="24" x14ac:dyDescent="0.2">
      <c r="A246" s="146"/>
      <c r="B246" s="117"/>
      <c r="C246" s="269"/>
      <c r="D246" s="270"/>
      <c r="E246" s="100" t="s">
        <v>227</v>
      </c>
      <c r="F246" s="347">
        <f t="shared" si="386"/>
        <v>284400</v>
      </c>
      <c r="G246" s="101">
        <f t="shared" si="387"/>
        <v>284400</v>
      </c>
      <c r="H246" s="102">
        <v>284400</v>
      </c>
      <c r="I246" s="102">
        <f t="shared" si="394"/>
        <v>284400</v>
      </c>
      <c r="J246" s="102">
        <f t="shared" si="395"/>
        <v>0</v>
      </c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445"/>
      <c r="Y246" s="102"/>
      <c r="Z246" s="102"/>
      <c r="AA246" s="102"/>
      <c r="AB246" s="102"/>
      <c r="AC246" s="102">
        <v>0</v>
      </c>
      <c r="AD246" s="102">
        <f t="shared" si="396"/>
        <v>0</v>
      </c>
      <c r="AE246" s="102">
        <f t="shared" si="397"/>
        <v>0</v>
      </c>
      <c r="AF246" s="102"/>
      <c r="AG246" s="102"/>
      <c r="AH246" s="102"/>
      <c r="AI246" s="102"/>
      <c r="AJ246" s="102"/>
      <c r="AK246" s="102"/>
      <c r="AL246" s="445"/>
      <c r="AM246" s="102"/>
      <c r="AN246" s="102"/>
      <c r="AO246" s="102">
        <v>0</v>
      </c>
      <c r="AP246" s="123">
        <f t="shared" si="398"/>
        <v>0</v>
      </c>
      <c r="AQ246" s="123">
        <f t="shared" si="399"/>
        <v>0</v>
      </c>
      <c r="AR246" s="123"/>
      <c r="AS246" s="123"/>
      <c r="AT246" s="123"/>
      <c r="AU246" s="123"/>
      <c r="AV246" s="123"/>
      <c r="AW246" s="123"/>
      <c r="AX246" s="123"/>
      <c r="AY246" s="123"/>
      <c r="AZ246" s="123"/>
      <c r="BA246" s="123"/>
      <c r="BB246" s="123">
        <v>0</v>
      </c>
      <c r="BC246" s="123">
        <f t="shared" si="400"/>
        <v>0</v>
      </c>
      <c r="BD246" s="123">
        <f t="shared" si="401"/>
        <v>0</v>
      </c>
      <c r="BE246" s="123"/>
      <c r="BF246" s="123"/>
      <c r="BG246" s="123"/>
      <c r="BH246" s="123"/>
      <c r="BI246" s="123"/>
      <c r="BJ246" s="123"/>
      <c r="BK246" s="123"/>
      <c r="BL246" s="123"/>
      <c r="BM246" s="102">
        <f t="shared" si="402"/>
        <v>0</v>
      </c>
      <c r="BN246" s="102">
        <f t="shared" si="403"/>
        <v>0</v>
      </c>
      <c r="BO246" s="102"/>
      <c r="BP246" s="102"/>
      <c r="BQ246" s="102"/>
      <c r="BR246" s="102"/>
      <c r="BS246" s="102"/>
      <c r="BT246" s="389"/>
      <c r="BU246" s="102"/>
      <c r="BV246" s="102"/>
      <c r="BW246" s="335"/>
      <c r="BX246" s="103" t="s">
        <v>487</v>
      </c>
      <c r="BY246" s="107" t="s">
        <v>697</v>
      </c>
      <c r="BZ246" s="36"/>
      <c r="CA246" s="36"/>
      <c r="CB246" s="36"/>
      <c r="CC246" s="36"/>
      <c r="CD246" s="36"/>
      <c r="CE246" s="36"/>
      <c r="CF246" s="36"/>
      <c r="CG246" s="36"/>
    </row>
    <row r="247" spans="1:85" ht="24" x14ac:dyDescent="0.2">
      <c r="A247" s="146"/>
      <c r="B247" s="117"/>
      <c r="C247" s="269"/>
      <c r="D247" s="270"/>
      <c r="E247" s="100" t="s">
        <v>316</v>
      </c>
      <c r="F247" s="347">
        <f t="shared" si="386"/>
        <v>356766</v>
      </c>
      <c r="G247" s="101">
        <f t="shared" si="387"/>
        <v>355548</v>
      </c>
      <c r="H247" s="102">
        <v>356766</v>
      </c>
      <c r="I247" s="102">
        <f t="shared" si="394"/>
        <v>355548</v>
      </c>
      <c r="J247" s="102">
        <f t="shared" si="395"/>
        <v>-1218</v>
      </c>
      <c r="K247" s="102"/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  <c r="V247" s="102">
        <v>-1218</v>
      </c>
      <c r="W247" s="102"/>
      <c r="X247" s="445"/>
      <c r="Y247" s="102"/>
      <c r="Z247" s="102"/>
      <c r="AA247" s="102"/>
      <c r="AB247" s="102"/>
      <c r="AC247" s="102">
        <v>0</v>
      </c>
      <c r="AD247" s="102">
        <f t="shared" si="396"/>
        <v>0</v>
      </c>
      <c r="AE247" s="102">
        <f t="shared" si="397"/>
        <v>0</v>
      </c>
      <c r="AF247" s="102"/>
      <c r="AG247" s="102"/>
      <c r="AH247" s="102"/>
      <c r="AI247" s="102"/>
      <c r="AJ247" s="102"/>
      <c r="AK247" s="102"/>
      <c r="AL247" s="445"/>
      <c r="AM247" s="102"/>
      <c r="AN247" s="102"/>
      <c r="AO247" s="102">
        <v>0</v>
      </c>
      <c r="AP247" s="123">
        <f t="shared" si="398"/>
        <v>0</v>
      </c>
      <c r="AQ247" s="123">
        <f t="shared" si="399"/>
        <v>0</v>
      </c>
      <c r="AR247" s="123"/>
      <c r="AS247" s="123"/>
      <c r="AT247" s="123"/>
      <c r="AU247" s="123"/>
      <c r="AV247" s="123"/>
      <c r="AW247" s="123"/>
      <c r="AX247" s="123"/>
      <c r="AY247" s="123"/>
      <c r="AZ247" s="123"/>
      <c r="BA247" s="123"/>
      <c r="BB247" s="123">
        <v>0</v>
      </c>
      <c r="BC247" s="123">
        <f t="shared" si="400"/>
        <v>0</v>
      </c>
      <c r="BD247" s="123">
        <f t="shared" si="401"/>
        <v>0</v>
      </c>
      <c r="BE247" s="123"/>
      <c r="BF247" s="123"/>
      <c r="BG247" s="123"/>
      <c r="BH247" s="123"/>
      <c r="BI247" s="123"/>
      <c r="BJ247" s="123"/>
      <c r="BK247" s="123"/>
      <c r="BL247" s="123"/>
      <c r="BM247" s="102">
        <f t="shared" si="402"/>
        <v>0</v>
      </c>
      <c r="BN247" s="102">
        <f t="shared" si="403"/>
        <v>0</v>
      </c>
      <c r="BO247" s="102"/>
      <c r="BP247" s="102"/>
      <c r="BQ247" s="102"/>
      <c r="BR247" s="102"/>
      <c r="BS247" s="102"/>
      <c r="BT247" s="389"/>
      <c r="BU247" s="102"/>
      <c r="BV247" s="102"/>
      <c r="BW247" s="335"/>
      <c r="BX247" s="103" t="s">
        <v>488</v>
      </c>
      <c r="BY247" s="107" t="s">
        <v>585</v>
      </c>
      <c r="BZ247" s="36"/>
      <c r="CA247" s="36"/>
      <c r="CB247" s="36"/>
      <c r="CC247" s="36"/>
      <c r="CD247" s="36"/>
      <c r="CE247" s="36"/>
      <c r="CF247" s="36"/>
      <c r="CG247" s="36"/>
    </row>
    <row r="248" spans="1:85" s="167" customFormat="1" ht="24" x14ac:dyDescent="0.2">
      <c r="A248" s="146"/>
      <c r="B248" s="117"/>
      <c r="C248" s="269"/>
      <c r="D248" s="270"/>
      <c r="E248" s="100" t="s">
        <v>315</v>
      </c>
      <c r="F248" s="347">
        <f t="shared" si="386"/>
        <v>644133</v>
      </c>
      <c r="G248" s="101">
        <f t="shared" si="387"/>
        <v>644133</v>
      </c>
      <c r="H248" s="102">
        <v>642373</v>
      </c>
      <c r="I248" s="102">
        <f t="shared" si="394"/>
        <v>642373</v>
      </c>
      <c r="J248" s="102">
        <f t="shared" si="395"/>
        <v>0</v>
      </c>
      <c r="K248" s="102"/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  <c r="V248" s="102"/>
      <c r="W248" s="102"/>
      <c r="X248" s="445"/>
      <c r="Y248" s="102"/>
      <c r="Z248" s="102"/>
      <c r="AA248" s="102"/>
      <c r="AB248" s="102"/>
      <c r="AC248" s="102">
        <v>0</v>
      </c>
      <c r="AD248" s="102">
        <f t="shared" si="396"/>
        <v>0</v>
      </c>
      <c r="AE248" s="102">
        <f t="shared" si="397"/>
        <v>0</v>
      </c>
      <c r="AF248" s="102"/>
      <c r="AG248" s="102"/>
      <c r="AH248" s="102"/>
      <c r="AI248" s="102"/>
      <c r="AJ248" s="102"/>
      <c r="AK248" s="102"/>
      <c r="AL248" s="445"/>
      <c r="AM248" s="102"/>
      <c r="AN248" s="102"/>
      <c r="AO248" s="102">
        <v>1760</v>
      </c>
      <c r="AP248" s="123">
        <f t="shared" si="398"/>
        <v>1760</v>
      </c>
      <c r="AQ248" s="123">
        <f t="shared" si="399"/>
        <v>0</v>
      </c>
      <c r="AR248" s="123"/>
      <c r="AS248" s="123"/>
      <c r="AT248" s="123"/>
      <c r="AU248" s="123"/>
      <c r="AV248" s="123"/>
      <c r="AW248" s="123"/>
      <c r="AX248" s="123"/>
      <c r="AY248" s="123"/>
      <c r="AZ248" s="123"/>
      <c r="BA248" s="123"/>
      <c r="BB248" s="123">
        <v>0</v>
      </c>
      <c r="BC248" s="123">
        <f t="shared" si="400"/>
        <v>0</v>
      </c>
      <c r="BD248" s="123">
        <f t="shared" si="401"/>
        <v>0</v>
      </c>
      <c r="BE248" s="123"/>
      <c r="BF248" s="123"/>
      <c r="BG248" s="123"/>
      <c r="BH248" s="123"/>
      <c r="BI248" s="123"/>
      <c r="BJ248" s="123"/>
      <c r="BK248" s="123"/>
      <c r="BL248" s="123"/>
      <c r="BM248" s="102">
        <f t="shared" si="402"/>
        <v>0</v>
      </c>
      <c r="BN248" s="102">
        <f t="shared" si="403"/>
        <v>0</v>
      </c>
      <c r="BO248" s="102"/>
      <c r="BP248" s="102"/>
      <c r="BQ248" s="102"/>
      <c r="BR248" s="102"/>
      <c r="BS248" s="102"/>
      <c r="BT248" s="389"/>
      <c r="BU248" s="102"/>
      <c r="BV248" s="102"/>
      <c r="BW248" s="335"/>
      <c r="BX248" s="103" t="s">
        <v>489</v>
      </c>
      <c r="BY248" s="107" t="s">
        <v>697</v>
      </c>
      <c r="BZ248" s="36"/>
      <c r="CA248" s="36"/>
      <c r="CB248" s="36"/>
      <c r="CC248" s="36"/>
      <c r="CD248" s="36"/>
      <c r="CE248" s="36"/>
      <c r="CF248" s="36"/>
      <c r="CG248" s="36"/>
    </row>
    <row r="249" spans="1:85" ht="27" customHeight="1" x14ac:dyDescent="0.2">
      <c r="A249" s="146"/>
      <c r="B249" s="117"/>
      <c r="C249" s="269"/>
      <c r="D249" s="270"/>
      <c r="E249" s="100" t="s">
        <v>556</v>
      </c>
      <c r="F249" s="347">
        <f t="shared" si="386"/>
        <v>115280</v>
      </c>
      <c r="G249" s="101">
        <f t="shared" si="387"/>
        <v>115280</v>
      </c>
      <c r="H249" s="102">
        <v>115280</v>
      </c>
      <c r="I249" s="102">
        <f t="shared" si="394"/>
        <v>115280</v>
      </c>
      <c r="J249" s="102">
        <f t="shared" si="395"/>
        <v>0</v>
      </c>
      <c r="K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  <c r="V249" s="102"/>
      <c r="W249" s="102"/>
      <c r="X249" s="445"/>
      <c r="Y249" s="102"/>
      <c r="Z249" s="102"/>
      <c r="AA249" s="102"/>
      <c r="AB249" s="102"/>
      <c r="AC249" s="102">
        <v>0</v>
      </c>
      <c r="AD249" s="102">
        <f t="shared" si="396"/>
        <v>0</v>
      </c>
      <c r="AE249" s="102">
        <f t="shared" si="397"/>
        <v>0</v>
      </c>
      <c r="AF249" s="102"/>
      <c r="AG249" s="102"/>
      <c r="AH249" s="102"/>
      <c r="AI249" s="102"/>
      <c r="AJ249" s="102"/>
      <c r="AK249" s="102"/>
      <c r="AL249" s="445"/>
      <c r="AM249" s="102"/>
      <c r="AN249" s="102"/>
      <c r="AO249" s="102">
        <v>0</v>
      </c>
      <c r="AP249" s="123">
        <f t="shared" si="398"/>
        <v>0</v>
      </c>
      <c r="AQ249" s="123">
        <f t="shared" si="399"/>
        <v>0</v>
      </c>
      <c r="AR249" s="123"/>
      <c r="AS249" s="123"/>
      <c r="AT249" s="123"/>
      <c r="AU249" s="123"/>
      <c r="AV249" s="123"/>
      <c r="AW249" s="123"/>
      <c r="AX249" s="123"/>
      <c r="AY249" s="123"/>
      <c r="AZ249" s="123"/>
      <c r="BA249" s="123"/>
      <c r="BB249" s="123">
        <v>0</v>
      </c>
      <c r="BC249" s="123">
        <f t="shared" si="400"/>
        <v>0</v>
      </c>
      <c r="BD249" s="123">
        <f t="shared" si="401"/>
        <v>0</v>
      </c>
      <c r="BE249" s="123"/>
      <c r="BF249" s="123"/>
      <c r="BG249" s="123"/>
      <c r="BH249" s="123"/>
      <c r="BI249" s="123"/>
      <c r="BJ249" s="123"/>
      <c r="BK249" s="123"/>
      <c r="BL249" s="123"/>
      <c r="BM249" s="102">
        <f t="shared" si="402"/>
        <v>0</v>
      </c>
      <c r="BN249" s="102">
        <f t="shared" si="403"/>
        <v>0</v>
      </c>
      <c r="BO249" s="102"/>
      <c r="BP249" s="102"/>
      <c r="BQ249" s="102"/>
      <c r="BR249" s="102"/>
      <c r="BS249" s="102"/>
      <c r="BT249" s="389"/>
      <c r="BU249" s="102"/>
      <c r="BV249" s="102"/>
      <c r="BW249" s="335"/>
      <c r="BX249" s="103" t="s">
        <v>490</v>
      </c>
      <c r="BY249" s="107"/>
      <c r="BZ249" s="36"/>
      <c r="CA249" s="36"/>
      <c r="CB249" s="36"/>
      <c r="CC249" s="36"/>
      <c r="CD249" s="36"/>
      <c r="CE249" s="36"/>
      <c r="CF249" s="36"/>
      <c r="CG249" s="36"/>
    </row>
    <row r="250" spans="1:85" s="268" customFormat="1" ht="36" x14ac:dyDescent="0.2">
      <c r="A250" s="146"/>
      <c r="B250" s="117"/>
      <c r="C250" s="266"/>
      <c r="D250" s="267"/>
      <c r="E250" s="100" t="s">
        <v>641</v>
      </c>
      <c r="F250" s="347">
        <f t="shared" si="386"/>
        <v>257562</v>
      </c>
      <c r="G250" s="101">
        <f t="shared" si="387"/>
        <v>262313</v>
      </c>
      <c r="H250" s="102">
        <v>257562</v>
      </c>
      <c r="I250" s="102">
        <f t="shared" si="394"/>
        <v>262313</v>
      </c>
      <c r="J250" s="102">
        <f t="shared" si="395"/>
        <v>4751</v>
      </c>
      <c r="K250" s="102"/>
      <c r="L250" s="102"/>
      <c r="M250" s="102"/>
      <c r="N250" s="102"/>
      <c r="O250" s="102"/>
      <c r="P250" s="102"/>
      <c r="Q250" s="102"/>
      <c r="R250" s="102">
        <v>4751</v>
      </c>
      <c r="S250" s="102"/>
      <c r="T250" s="102"/>
      <c r="U250" s="102"/>
      <c r="V250" s="102"/>
      <c r="W250" s="102"/>
      <c r="X250" s="445"/>
      <c r="Y250" s="102"/>
      <c r="Z250" s="102"/>
      <c r="AA250" s="102"/>
      <c r="AB250" s="102"/>
      <c r="AC250" s="102">
        <v>0</v>
      </c>
      <c r="AD250" s="102">
        <f t="shared" si="396"/>
        <v>0</v>
      </c>
      <c r="AE250" s="102">
        <f t="shared" si="397"/>
        <v>0</v>
      </c>
      <c r="AF250" s="102"/>
      <c r="AG250" s="102"/>
      <c r="AH250" s="102"/>
      <c r="AI250" s="102"/>
      <c r="AJ250" s="102"/>
      <c r="AK250" s="102"/>
      <c r="AL250" s="445"/>
      <c r="AM250" s="102"/>
      <c r="AN250" s="102"/>
      <c r="AO250" s="102">
        <v>0</v>
      </c>
      <c r="AP250" s="102">
        <f t="shared" si="398"/>
        <v>0</v>
      </c>
      <c r="AQ250" s="102">
        <f t="shared" si="399"/>
        <v>0</v>
      </c>
      <c r="AR250" s="102"/>
      <c r="AS250" s="102"/>
      <c r="AT250" s="102"/>
      <c r="AU250" s="102"/>
      <c r="AV250" s="102"/>
      <c r="AW250" s="102"/>
      <c r="AX250" s="102"/>
      <c r="AY250" s="102"/>
      <c r="AZ250" s="102"/>
      <c r="BA250" s="102"/>
      <c r="BB250" s="102">
        <v>0</v>
      </c>
      <c r="BC250" s="123">
        <f t="shared" si="400"/>
        <v>0</v>
      </c>
      <c r="BD250" s="123">
        <f t="shared" si="401"/>
        <v>0</v>
      </c>
      <c r="BE250" s="123"/>
      <c r="BF250" s="123"/>
      <c r="BG250" s="123"/>
      <c r="BH250" s="123"/>
      <c r="BI250" s="123"/>
      <c r="BJ250" s="123"/>
      <c r="BK250" s="123"/>
      <c r="BL250" s="123"/>
      <c r="BM250" s="102">
        <f t="shared" si="402"/>
        <v>0</v>
      </c>
      <c r="BN250" s="102">
        <f t="shared" si="403"/>
        <v>0</v>
      </c>
      <c r="BO250" s="102"/>
      <c r="BP250" s="102"/>
      <c r="BQ250" s="102"/>
      <c r="BR250" s="102"/>
      <c r="BS250" s="102"/>
      <c r="BT250" s="389"/>
      <c r="BU250" s="102"/>
      <c r="BV250" s="102"/>
      <c r="BW250" s="335"/>
      <c r="BX250" s="103" t="s">
        <v>582</v>
      </c>
      <c r="BY250" s="107"/>
      <c r="BZ250" s="36"/>
      <c r="CA250" s="36"/>
      <c r="CB250" s="36"/>
      <c r="CC250" s="36"/>
      <c r="CD250" s="36"/>
      <c r="CE250" s="36"/>
      <c r="CF250" s="36"/>
      <c r="CG250" s="36"/>
    </row>
    <row r="251" spans="1:85" s="218" customFormat="1" ht="29.25" customHeight="1" x14ac:dyDescent="0.2">
      <c r="A251" s="146"/>
      <c r="B251" s="117"/>
      <c r="C251" s="266"/>
      <c r="D251" s="267"/>
      <c r="E251" s="100" t="s">
        <v>542</v>
      </c>
      <c r="F251" s="347">
        <f t="shared" si="386"/>
        <v>1213</v>
      </c>
      <c r="G251" s="101">
        <f t="shared" si="387"/>
        <v>2397</v>
      </c>
      <c r="H251" s="102">
        <v>1608</v>
      </c>
      <c r="I251" s="102">
        <f t="shared" si="394"/>
        <v>3680</v>
      </c>
      <c r="J251" s="102">
        <f t="shared" si="395"/>
        <v>2072</v>
      </c>
      <c r="K251" s="102"/>
      <c r="L251" s="102"/>
      <c r="M251" s="102"/>
      <c r="N251" s="102"/>
      <c r="O251" s="102"/>
      <c r="P251" s="102"/>
      <c r="Q251" s="102"/>
      <c r="R251" s="102">
        <v>2072</v>
      </c>
      <c r="S251" s="102"/>
      <c r="T251" s="102"/>
      <c r="U251" s="102"/>
      <c r="V251" s="102"/>
      <c r="W251" s="102"/>
      <c r="X251" s="445"/>
      <c r="Y251" s="102"/>
      <c r="Z251" s="102"/>
      <c r="AA251" s="102"/>
      <c r="AB251" s="102"/>
      <c r="AC251" s="102">
        <v>0</v>
      </c>
      <c r="AD251" s="102">
        <f t="shared" si="396"/>
        <v>0</v>
      </c>
      <c r="AE251" s="102">
        <f t="shared" si="397"/>
        <v>0</v>
      </c>
      <c r="AF251" s="102"/>
      <c r="AG251" s="102"/>
      <c r="AH251" s="102"/>
      <c r="AI251" s="102"/>
      <c r="AJ251" s="102"/>
      <c r="AK251" s="102"/>
      <c r="AL251" s="445"/>
      <c r="AM251" s="102"/>
      <c r="AN251" s="102"/>
      <c r="AO251" s="102">
        <v>0</v>
      </c>
      <c r="AP251" s="102">
        <f t="shared" si="398"/>
        <v>0</v>
      </c>
      <c r="AQ251" s="102">
        <f t="shared" si="399"/>
        <v>0</v>
      </c>
      <c r="AR251" s="102"/>
      <c r="AS251" s="102"/>
      <c r="AT251" s="102"/>
      <c r="AU251" s="102"/>
      <c r="AV251" s="102"/>
      <c r="AW251" s="102"/>
      <c r="AX251" s="102"/>
      <c r="AY251" s="102"/>
      <c r="AZ251" s="102"/>
      <c r="BA251" s="102"/>
      <c r="BB251" s="102">
        <v>0</v>
      </c>
      <c r="BC251" s="123">
        <f t="shared" si="400"/>
        <v>0</v>
      </c>
      <c r="BD251" s="123">
        <f t="shared" si="401"/>
        <v>0</v>
      </c>
      <c r="BE251" s="123"/>
      <c r="BF251" s="123"/>
      <c r="BG251" s="123"/>
      <c r="BH251" s="123"/>
      <c r="BI251" s="123"/>
      <c r="BJ251" s="123"/>
      <c r="BK251" s="123"/>
      <c r="BL251" s="123">
        <v>-395</v>
      </c>
      <c r="BM251" s="102">
        <f t="shared" si="402"/>
        <v>-1283</v>
      </c>
      <c r="BN251" s="102">
        <f t="shared" si="403"/>
        <v>-888</v>
      </c>
      <c r="BO251" s="102"/>
      <c r="BP251" s="102"/>
      <c r="BQ251" s="102"/>
      <c r="BR251" s="102"/>
      <c r="BS251" s="102">
        <v>-888</v>
      </c>
      <c r="BT251" s="389"/>
      <c r="BU251" s="102"/>
      <c r="BV251" s="102"/>
      <c r="BW251" s="335"/>
      <c r="BX251" s="103" t="s">
        <v>668</v>
      </c>
      <c r="BY251" s="107"/>
      <c r="BZ251" s="36"/>
      <c r="CA251" s="36"/>
      <c r="CB251" s="36"/>
      <c r="CC251" s="36"/>
      <c r="CD251" s="36"/>
      <c r="CE251" s="36"/>
      <c r="CF251" s="36"/>
      <c r="CG251" s="36"/>
    </row>
    <row r="252" spans="1:85" s="268" customFormat="1" ht="29.25" customHeight="1" x14ac:dyDescent="0.2">
      <c r="A252" s="146"/>
      <c r="B252" s="117"/>
      <c r="C252" s="266"/>
      <c r="D252" s="267"/>
      <c r="E252" s="100" t="s">
        <v>642</v>
      </c>
      <c r="F252" s="347">
        <f t="shared" si="386"/>
        <v>4792</v>
      </c>
      <c r="G252" s="101">
        <f t="shared" si="387"/>
        <v>4792</v>
      </c>
      <c r="H252" s="102">
        <v>4792</v>
      </c>
      <c r="I252" s="102">
        <f t="shared" si="394"/>
        <v>4792</v>
      </c>
      <c r="J252" s="102">
        <f t="shared" si="395"/>
        <v>0</v>
      </c>
      <c r="K252" s="102"/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  <c r="V252" s="102"/>
      <c r="W252" s="102"/>
      <c r="X252" s="445"/>
      <c r="Y252" s="102"/>
      <c r="Z252" s="102"/>
      <c r="AA252" s="102"/>
      <c r="AB252" s="102"/>
      <c r="AC252" s="102">
        <v>0</v>
      </c>
      <c r="AD252" s="102">
        <f t="shared" si="396"/>
        <v>0</v>
      </c>
      <c r="AE252" s="102">
        <f t="shared" si="397"/>
        <v>0</v>
      </c>
      <c r="AF252" s="102"/>
      <c r="AG252" s="102"/>
      <c r="AH252" s="102"/>
      <c r="AI252" s="102"/>
      <c r="AJ252" s="102"/>
      <c r="AK252" s="102"/>
      <c r="AL252" s="445"/>
      <c r="AM252" s="102"/>
      <c r="AN252" s="102"/>
      <c r="AO252" s="102">
        <v>0</v>
      </c>
      <c r="AP252" s="102">
        <f t="shared" si="398"/>
        <v>0</v>
      </c>
      <c r="AQ252" s="102">
        <f t="shared" si="399"/>
        <v>0</v>
      </c>
      <c r="AR252" s="102"/>
      <c r="AS252" s="102"/>
      <c r="AT252" s="102"/>
      <c r="AU252" s="102"/>
      <c r="AV252" s="102"/>
      <c r="AW252" s="102"/>
      <c r="AX252" s="102"/>
      <c r="AY252" s="102"/>
      <c r="AZ252" s="102"/>
      <c r="BA252" s="102"/>
      <c r="BB252" s="102">
        <v>0</v>
      </c>
      <c r="BC252" s="123">
        <f t="shared" si="400"/>
        <v>0</v>
      </c>
      <c r="BD252" s="123">
        <f t="shared" si="401"/>
        <v>0</v>
      </c>
      <c r="BE252" s="123"/>
      <c r="BF252" s="123"/>
      <c r="BG252" s="123"/>
      <c r="BH252" s="123"/>
      <c r="BI252" s="123"/>
      <c r="BJ252" s="123"/>
      <c r="BK252" s="123"/>
      <c r="BL252" s="123"/>
      <c r="BM252" s="102">
        <f t="shared" si="402"/>
        <v>0</v>
      </c>
      <c r="BN252" s="102">
        <f t="shared" si="403"/>
        <v>0</v>
      </c>
      <c r="BO252" s="102"/>
      <c r="BP252" s="102"/>
      <c r="BQ252" s="102"/>
      <c r="BR252" s="102"/>
      <c r="BS252" s="102"/>
      <c r="BT252" s="389"/>
      <c r="BU252" s="102"/>
      <c r="BV252" s="102"/>
      <c r="BW252" s="335"/>
      <c r="BX252" s="103" t="s">
        <v>669</v>
      </c>
      <c r="BY252" s="107"/>
      <c r="BZ252" s="36"/>
      <c r="CA252" s="36"/>
      <c r="CB252" s="36"/>
      <c r="CC252" s="36"/>
      <c r="CD252" s="36"/>
      <c r="CE252" s="36"/>
      <c r="CF252" s="36"/>
      <c r="CG252" s="36"/>
    </row>
    <row r="253" spans="1:85" ht="61.5" customHeight="1" x14ac:dyDescent="0.2">
      <c r="A253" s="146">
        <v>90010991438</v>
      </c>
      <c r="B253" s="117"/>
      <c r="C253" s="495" t="s">
        <v>538</v>
      </c>
      <c r="D253" s="496"/>
      <c r="E253" s="100" t="s">
        <v>229</v>
      </c>
      <c r="F253" s="347">
        <f t="shared" si="386"/>
        <v>1373245</v>
      </c>
      <c r="G253" s="101">
        <f t="shared" si="387"/>
        <v>1376064</v>
      </c>
      <c r="H253" s="102">
        <v>715344</v>
      </c>
      <c r="I253" s="102">
        <f t="shared" si="394"/>
        <v>709800</v>
      </c>
      <c r="J253" s="102">
        <f t="shared" si="395"/>
        <v>-5544</v>
      </c>
      <c r="K253" s="102"/>
      <c r="L253" s="102"/>
      <c r="M253" s="102"/>
      <c r="N253" s="102"/>
      <c r="O253" s="102"/>
      <c r="P253" s="102">
        <v>-5544</v>
      </c>
      <c r="Q253" s="102"/>
      <c r="R253" s="102"/>
      <c r="S253" s="102"/>
      <c r="T253" s="102"/>
      <c r="U253" s="102"/>
      <c r="V253" s="102"/>
      <c r="W253" s="102"/>
      <c r="X253" s="445"/>
      <c r="Y253" s="102"/>
      <c r="Z253" s="102"/>
      <c r="AA253" s="102"/>
      <c r="AB253" s="102"/>
      <c r="AC253" s="102">
        <v>46619</v>
      </c>
      <c r="AD253" s="102">
        <f t="shared" si="396"/>
        <v>59220</v>
      </c>
      <c r="AE253" s="102">
        <f t="shared" si="397"/>
        <v>12601</v>
      </c>
      <c r="AF253" s="102"/>
      <c r="AG253" s="102"/>
      <c r="AH253" s="102">
        <v>12601</v>
      </c>
      <c r="AI253" s="102"/>
      <c r="AJ253" s="102"/>
      <c r="AK253" s="102"/>
      <c r="AL253" s="445"/>
      <c r="AM253" s="102"/>
      <c r="AN253" s="102"/>
      <c r="AO253" s="102">
        <v>611090</v>
      </c>
      <c r="AP253" s="102">
        <f t="shared" si="398"/>
        <v>606852</v>
      </c>
      <c r="AQ253" s="102">
        <f t="shared" si="399"/>
        <v>-4238</v>
      </c>
      <c r="AR253" s="102"/>
      <c r="AS253" s="102"/>
      <c r="AT253" s="102">
        <f>2819-7057</f>
        <v>-4238</v>
      </c>
      <c r="AU253" s="102"/>
      <c r="AV253" s="102"/>
      <c r="AW253" s="102"/>
      <c r="AX253" s="102"/>
      <c r="AY253" s="102"/>
      <c r="AZ253" s="102"/>
      <c r="BA253" s="102"/>
      <c r="BB253" s="102">
        <v>192</v>
      </c>
      <c r="BC253" s="123">
        <f t="shared" si="400"/>
        <v>192</v>
      </c>
      <c r="BD253" s="123">
        <f t="shared" si="401"/>
        <v>0</v>
      </c>
      <c r="BE253" s="123"/>
      <c r="BF253" s="123"/>
      <c r="BG253" s="123"/>
      <c r="BH253" s="123"/>
      <c r="BI253" s="123"/>
      <c r="BJ253" s="123"/>
      <c r="BK253" s="123"/>
      <c r="BL253" s="123"/>
      <c r="BM253" s="102">
        <f t="shared" si="402"/>
        <v>0</v>
      </c>
      <c r="BN253" s="102">
        <f t="shared" si="403"/>
        <v>0</v>
      </c>
      <c r="BO253" s="102"/>
      <c r="BP253" s="102"/>
      <c r="BQ253" s="102"/>
      <c r="BR253" s="102"/>
      <c r="BS253" s="102"/>
      <c r="BT253" s="389"/>
      <c r="BU253" s="102"/>
      <c r="BV253" s="102"/>
      <c r="BW253" s="335"/>
      <c r="BX253" s="103" t="s">
        <v>671</v>
      </c>
      <c r="BY253" s="107"/>
      <c r="BZ253" s="36"/>
      <c r="CA253" s="36"/>
      <c r="CB253" s="36"/>
      <c r="CC253" s="36"/>
      <c r="CD253" s="36"/>
      <c r="CE253" s="36"/>
      <c r="CF253" s="36"/>
      <c r="CG253" s="36"/>
    </row>
    <row r="254" spans="1:85" ht="24" x14ac:dyDescent="0.2">
      <c r="A254" s="146"/>
      <c r="B254" s="117"/>
      <c r="C254" s="269"/>
      <c r="D254" s="270"/>
      <c r="E254" s="100" t="s">
        <v>557</v>
      </c>
      <c r="F254" s="347">
        <f t="shared" si="386"/>
        <v>41424</v>
      </c>
      <c r="G254" s="101">
        <f t="shared" si="387"/>
        <v>41424</v>
      </c>
      <c r="H254" s="102">
        <v>41424</v>
      </c>
      <c r="I254" s="102">
        <f t="shared" si="394"/>
        <v>41424</v>
      </c>
      <c r="J254" s="102">
        <f t="shared" si="395"/>
        <v>0</v>
      </c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  <c r="V254" s="102"/>
      <c r="W254" s="102"/>
      <c r="X254" s="445"/>
      <c r="Y254" s="102"/>
      <c r="Z254" s="102"/>
      <c r="AA254" s="102"/>
      <c r="AB254" s="102"/>
      <c r="AC254" s="102">
        <v>0</v>
      </c>
      <c r="AD254" s="102">
        <f t="shared" si="396"/>
        <v>0</v>
      </c>
      <c r="AE254" s="102">
        <f t="shared" si="397"/>
        <v>0</v>
      </c>
      <c r="AF254" s="102"/>
      <c r="AG254" s="102"/>
      <c r="AH254" s="102"/>
      <c r="AI254" s="102"/>
      <c r="AJ254" s="102"/>
      <c r="AK254" s="102"/>
      <c r="AL254" s="445"/>
      <c r="AM254" s="102"/>
      <c r="AN254" s="102"/>
      <c r="AO254" s="102">
        <v>0</v>
      </c>
      <c r="AP254" s="123">
        <f t="shared" si="398"/>
        <v>0</v>
      </c>
      <c r="AQ254" s="123">
        <f t="shared" si="399"/>
        <v>0</v>
      </c>
      <c r="AR254" s="123"/>
      <c r="AS254" s="123"/>
      <c r="AT254" s="123"/>
      <c r="AU254" s="123"/>
      <c r="AV254" s="123"/>
      <c r="AW254" s="123"/>
      <c r="AX254" s="123"/>
      <c r="AY254" s="123"/>
      <c r="AZ254" s="123"/>
      <c r="BA254" s="123"/>
      <c r="BB254" s="123">
        <v>0</v>
      </c>
      <c r="BC254" s="123">
        <f t="shared" si="400"/>
        <v>0</v>
      </c>
      <c r="BD254" s="123">
        <f t="shared" si="401"/>
        <v>0</v>
      </c>
      <c r="BE254" s="123"/>
      <c r="BF254" s="123"/>
      <c r="BG254" s="123"/>
      <c r="BH254" s="123"/>
      <c r="BI254" s="123"/>
      <c r="BJ254" s="123"/>
      <c r="BK254" s="123"/>
      <c r="BL254" s="123"/>
      <c r="BM254" s="102">
        <f t="shared" si="402"/>
        <v>0</v>
      </c>
      <c r="BN254" s="102">
        <f t="shared" si="403"/>
        <v>0</v>
      </c>
      <c r="BO254" s="102"/>
      <c r="BP254" s="102"/>
      <c r="BQ254" s="102"/>
      <c r="BR254" s="102"/>
      <c r="BS254" s="102"/>
      <c r="BT254" s="389"/>
      <c r="BU254" s="102"/>
      <c r="BV254" s="102"/>
      <c r="BW254" s="335"/>
      <c r="BX254" s="103" t="s">
        <v>583</v>
      </c>
      <c r="BY254" s="107"/>
      <c r="BZ254" s="36"/>
      <c r="CA254" s="36"/>
      <c r="CB254" s="36"/>
      <c r="CC254" s="36"/>
      <c r="CD254" s="36"/>
      <c r="CE254" s="36"/>
      <c r="CF254" s="36"/>
      <c r="CG254" s="36"/>
    </row>
    <row r="255" spans="1:85" ht="24" x14ac:dyDescent="0.2">
      <c r="A255" s="146"/>
      <c r="B255" s="117"/>
      <c r="C255" s="269"/>
      <c r="D255" s="270"/>
      <c r="E255" s="100" t="s">
        <v>231</v>
      </c>
      <c r="F255" s="347">
        <f t="shared" si="386"/>
        <v>13490</v>
      </c>
      <c r="G255" s="101">
        <f t="shared" si="387"/>
        <v>13490</v>
      </c>
      <c r="H255" s="102">
        <v>13490</v>
      </c>
      <c r="I255" s="102">
        <f t="shared" si="394"/>
        <v>13490</v>
      </c>
      <c r="J255" s="102">
        <f t="shared" si="395"/>
        <v>0</v>
      </c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445"/>
      <c r="Y255" s="102"/>
      <c r="Z255" s="102"/>
      <c r="AA255" s="102"/>
      <c r="AB255" s="102"/>
      <c r="AC255" s="102">
        <v>0</v>
      </c>
      <c r="AD255" s="102">
        <f t="shared" si="396"/>
        <v>0</v>
      </c>
      <c r="AE255" s="102">
        <f t="shared" si="397"/>
        <v>0</v>
      </c>
      <c r="AF255" s="102"/>
      <c r="AG255" s="102"/>
      <c r="AH255" s="102"/>
      <c r="AI255" s="102"/>
      <c r="AJ255" s="102"/>
      <c r="AK255" s="102"/>
      <c r="AL255" s="445"/>
      <c r="AM255" s="102"/>
      <c r="AN255" s="102"/>
      <c r="AO255" s="102">
        <v>0</v>
      </c>
      <c r="AP255" s="123">
        <f t="shared" si="398"/>
        <v>0</v>
      </c>
      <c r="AQ255" s="123">
        <f t="shared" si="399"/>
        <v>0</v>
      </c>
      <c r="AR255" s="123"/>
      <c r="AS255" s="123"/>
      <c r="AT255" s="123"/>
      <c r="AU255" s="123"/>
      <c r="AV255" s="123"/>
      <c r="AW255" s="123"/>
      <c r="AX255" s="123"/>
      <c r="AY255" s="123"/>
      <c r="AZ255" s="123"/>
      <c r="BA255" s="123"/>
      <c r="BB255" s="123">
        <v>0</v>
      </c>
      <c r="BC255" s="123">
        <f t="shared" si="400"/>
        <v>0</v>
      </c>
      <c r="BD255" s="123">
        <f t="shared" si="401"/>
        <v>0</v>
      </c>
      <c r="BE255" s="123"/>
      <c r="BF255" s="123"/>
      <c r="BG255" s="123"/>
      <c r="BH255" s="123"/>
      <c r="BI255" s="123"/>
      <c r="BJ255" s="123"/>
      <c r="BK255" s="123"/>
      <c r="BL255" s="123"/>
      <c r="BM255" s="102">
        <f t="shared" si="402"/>
        <v>0</v>
      </c>
      <c r="BN255" s="102">
        <f t="shared" si="403"/>
        <v>0</v>
      </c>
      <c r="BO255" s="102"/>
      <c r="BP255" s="102"/>
      <c r="BQ255" s="102"/>
      <c r="BR255" s="102"/>
      <c r="BS255" s="102"/>
      <c r="BT255" s="389"/>
      <c r="BU255" s="102"/>
      <c r="BV255" s="102"/>
      <c r="BW255" s="335"/>
      <c r="BX255" s="103" t="s">
        <v>491</v>
      </c>
      <c r="BY255" s="107"/>
      <c r="BZ255" s="36"/>
      <c r="CA255" s="36"/>
      <c r="CB255" s="36"/>
      <c r="CC255" s="36"/>
      <c r="CD255" s="36"/>
      <c r="CE255" s="36"/>
      <c r="CF255" s="36"/>
      <c r="CG255" s="36"/>
    </row>
    <row r="256" spans="1:85" ht="12.75" x14ac:dyDescent="0.2">
      <c r="A256" s="146"/>
      <c r="B256" s="117"/>
      <c r="C256" s="269"/>
      <c r="D256" s="270"/>
      <c r="E256" s="100" t="s">
        <v>230</v>
      </c>
      <c r="F256" s="347">
        <f t="shared" si="386"/>
        <v>112555</v>
      </c>
      <c r="G256" s="101">
        <f t="shared" si="387"/>
        <v>112555</v>
      </c>
      <c r="H256" s="102">
        <v>112555</v>
      </c>
      <c r="I256" s="102">
        <f t="shared" si="394"/>
        <v>112555</v>
      </c>
      <c r="J256" s="102">
        <f t="shared" si="395"/>
        <v>0</v>
      </c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  <c r="X256" s="445"/>
      <c r="Y256" s="102"/>
      <c r="Z256" s="102"/>
      <c r="AA256" s="102"/>
      <c r="AB256" s="102"/>
      <c r="AC256" s="102">
        <v>0</v>
      </c>
      <c r="AD256" s="102">
        <f t="shared" si="396"/>
        <v>0</v>
      </c>
      <c r="AE256" s="102">
        <f t="shared" si="397"/>
        <v>0</v>
      </c>
      <c r="AF256" s="102"/>
      <c r="AG256" s="102"/>
      <c r="AH256" s="102"/>
      <c r="AI256" s="102"/>
      <c r="AJ256" s="102"/>
      <c r="AK256" s="102"/>
      <c r="AL256" s="445"/>
      <c r="AM256" s="102"/>
      <c r="AN256" s="102"/>
      <c r="AO256" s="102">
        <v>0</v>
      </c>
      <c r="AP256" s="123">
        <f t="shared" si="398"/>
        <v>0</v>
      </c>
      <c r="AQ256" s="123">
        <f t="shared" si="399"/>
        <v>0</v>
      </c>
      <c r="AR256" s="123"/>
      <c r="AS256" s="123"/>
      <c r="AT256" s="123"/>
      <c r="AU256" s="123"/>
      <c r="AV256" s="123"/>
      <c r="AW256" s="123"/>
      <c r="AX256" s="123"/>
      <c r="AY256" s="123"/>
      <c r="AZ256" s="123"/>
      <c r="BA256" s="123"/>
      <c r="BB256" s="123">
        <v>0</v>
      </c>
      <c r="BC256" s="123">
        <f t="shared" si="400"/>
        <v>0</v>
      </c>
      <c r="BD256" s="123">
        <f t="shared" si="401"/>
        <v>0</v>
      </c>
      <c r="BE256" s="123"/>
      <c r="BF256" s="123"/>
      <c r="BG256" s="123"/>
      <c r="BH256" s="123"/>
      <c r="BI256" s="123"/>
      <c r="BJ256" s="123"/>
      <c r="BK256" s="123"/>
      <c r="BL256" s="123"/>
      <c r="BM256" s="102">
        <f t="shared" si="402"/>
        <v>0</v>
      </c>
      <c r="BN256" s="102">
        <f t="shared" si="403"/>
        <v>0</v>
      </c>
      <c r="BO256" s="102"/>
      <c r="BP256" s="102"/>
      <c r="BQ256" s="102"/>
      <c r="BR256" s="102"/>
      <c r="BS256" s="102"/>
      <c r="BT256" s="389"/>
      <c r="BU256" s="102"/>
      <c r="BV256" s="102"/>
      <c r="BW256" s="335"/>
      <c r="BX256" s="103" t="s">
        <v>492</v>
      </c>
      <c r="BY256" s="107"/>
      <c r="BZ256" s="36"/>
      <c r="CA256" s="36"/>
      <c r="CB256" s="36"/>
      <c r="CC256" s="36"/>
      <c r="CD256" s="36"/>
      <c r="CE256" s="36"/>
      <c r="CF256" s="36"/>
      <c r="CG256" s="36"/>
    </row>
    <row r="257" spans="1:85" ht="24" x14ac:dyDescent="0.2">
      <c r="A257" s="146"/>
      <c r="B257" s="117"/>
      <c r="C257" s="269"/>
      <c r="D257" s="270"/>
      <c r="E257" s="100" t="s">
        <v>324</v>
      </c>
      <c r="F257" s="347">
        <f t="shared" si="386"/>
        <v>397309</v>
      </c>
      <c r="G257" s="101">
        <f t="shared" si="387"/>
        <v>398562</v>
      </c>
      <c r="H257" s="102">
        <v>384279</v>
      </c>
      <c r="I257" s="102">
        <f t="shared" si="394"/>
        <v>385532</v>
      </c>
      <c r="J257" s="102">
        <f t="shared" si="395"/>
        <v>1253</v>
      </c>
      <c r="K257" s="102"/>
      <c r="L257" s="102"/>
      <c r="M257" s="102"/>
      <c r="N257" s="102"/>
      <c r="O257" s="102"/>
      <c r="P257" s="102">
        <v>1253</v>
      </c>
      <c r="Q257" s="102"/>
      <c r="R257" s="102"/>
      <c r="S257" s="102"/>
      <c r="T257" s="102"/>
      <c r="U257" s="102"/>
      <c r="V257" s="102"/>
      <c r="W257" s="102"/>
      <c r="X257" s="445"/>
      <c r="Y257" s="102"/>
      <c r="Z257" s="102"/>
      <c r="AA257" s="102"/>
      <c r="AB257" s="102"/>
      <c r="AC257" s="102">
        <v>0</v>
      </c>
      <c r="AD257" s="102">
        <f t="shared" si="396"/>
        <v>0</v>
      </c>
      <c r="AE257" s="102">
        <f t="shared" si="397"/>
        <v>0</v>
      </c>
      <c r="AF257" s="102"/>
      <c r="AG257" s="102"/>
      <c r="AH257" s="102"/>
      <c r="AI257" s="102"/>
      <c r="AJ257" s="102"/>
      <c r="AK257" s="102"/>
      <c r="AL257" s="445"/>
      <c r="AM257" s="102"/>
      <c r="AN257" s="102"/>
      <c r="AO257" s="102">
        <v>13030</v>
      </c>
      <c r="AP257" s="123">
        <f t="shared" si="398"/>
        <v>13030</v>
      </c>
      <c r="AQ257" s="123">
        <f t="shared" si="399"/>
        <v>0</v>
      </c>
      <c r="AR257" s="123"/>
      <c r="AS257" s="123"/>
      <c r="AT257" s="123"/>
      <c r="AU257" s="123"/>
      <c r="AV257" s="123"/>
      <c r="AW257" s="123"/>
      <c r="AX257" s="123"/>
      <c r="AY257" s="123"/>
      <c r="AZ257" s="123"/>
      <c r="BA257" s="123"/>
      <c r="BB257" s="123">
        <v>0</v>
      </c>
      <c r="BC257" s="123">
        <f t="shared" si="400"/>
        <v>0</v>
      </c>
      <c r="BD257" s="123">
        <f t="shared" si="401"/>
        <v>0</v>
      </c>
      <c r="BE257" s="123"/>
      <c r="BF257" s="123"/>
      <c r="BG257" s="123"/>
      <c r="BH257" s="123"/>
      <c r="BI257" s="123"/>
      <c r="BJ257" s="123"/>
      <c r="BK257" s="123"/>
      <c r="BL257" s="123"/>
      <c r="BM257" s="102">
        <f t="shared" si="402"/>
        <v>0</v>
      </c>
      <c r="BN257" s="102">
        <f t="shared" si="403"/>
        <v>0</v>
      </c>
      <c r="BO257" s="102"/>
      <c r="BP257" s="102"/>
      <c r="BQ257" s="102"/>
      <c r="BR257" s="102"/>
      <c r="BS257" s="102"/>
      <c r="BT257" s="389"/>
      <c r="BU257" s="102"/>
      <c r="BV257" s="102"/>
      <c r="BW257" s="335"/>
      <c r="BX257" s="103" t="s">
        <v>493</v>
      </c>
      <c r="BY257" s="107"/>
      <c r="BZ257" s="36"/>
      <c r="CA257" s="36"/>
      <c r="CB257" s="36"/>
      <c r="CC257" s="36"/>
      <c r="CD257" s="36"/>
      <c r="CE257" s="36"/>
      <c r="CF257" s="36"/>
      <c r="CG257" s="36"/>
    </row>
    <row r="258" spans="1:85" ht="24" x14ac:dyDescent="0.2">
      <c r="A258" s="146"/>
      <c r="B258" s="117"/>
      <c r="C258" s="269"/>
      <c r="D258" s="270"/>
      <c r="E258" s="100" t="s">
        <v>558</v>
      </c>
      <c r="F258" s="347">
        <f t="shared" si="386"/>
        <v>66157</v>
      </c>
      <c r="G258" s="101">
        <f t="shared" si="387"/>
        <v>66157</v>
      </c>
      <c r="H258" s="102">
        <v>66157</v>
      </c>
      <c r="I258" s="102">
        <f t="shared" si="394"/>
        <v>66157</v>
      </c>
      <c r="J258" s="102">
        <f t="shared" si="395"/>
        <v>0</v>
      </c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102"/>
      <c r="X258" s="445"/>
      <c r="Y258" s="102"/>
      <c r="Z258" s="102"/>
      <c r="AA258" s="102"/>
      <c r="AB258" s="102"/>
      <c r="AC258" s="102">
        <v>0</v>
      </c>
      <c r="AD258" s="102">
        <f t="shared" si="396"/>
        <v>0</v>
      </c>
      <c r="AE258" s="102">
        <f t="shared" si="397"/>
        <v>0</v>
      </c>
      <c r="AF258" s="102"/>
      <c r="AG258" s="102"/>
      <c r="AH258" s="102"/>
      <c r="AI258" s="102"/>
      <c r="AJ258" s="102"/>
      <c r="AK258" s="102"/>
      <c r="AL258" s="445"/>
      <c r="AM258" s="102"/>
      <c r="AN258" s="102"/>
      <c r="AO258" s="102">
        <v>0</v>
      </c>
      <c r="AP258" s="123">
        <f t="shared" si="398"/>
        <v>0</v>
      </c>
      <c r="AQ258" s="123">
        <f t="shared" si="399"/>
        <v>0</v>
      </c>
      <c r="AR258" s="123"/>
      <c r="AS258" s="123"/>
      <c r="AT258" s="123"/>
      <c r="AU258" s="123"/>
      <c r="AV258" s="123"/>
      <c r="AW258" s="123"/>
      <c r="AX258" s="123"/>
      <c r="AY258" s="123"/>
      <c r="AZ258" s="123"/>
      <c r="BA258" s="123"/>
      <c r="BB258" s="123">
        <v>0</v>
      </c>
      <c r="BC258" s="123">
        <f t="shared" si="400"/>
        <v>0</v>
      </c>
      <c r="BD258" s="123">
        <f t="shared" si="401"/>
        <v>0</v>
      </c>
      <c r="BE258" s="123"/>
      <c r="BF258" s="123"/>
      <c r="BG258" s="123"/>
      <c r="BH258" s="123"/>
      <c r="BI258" s="123"/>
      <c r="BJ258" s="123"/>
      <c r="BK258" s="123"/>
      <c r="BL258" s="123"/>
      <c r="BM258" s="102">
        <f t="shared" si="402"/>
        <v>0</v>
      </c>
      <c r="BN258" s="102">
        <f t="shared" si="403"/>
        <v>0</v>
      </c>
      <c r="BO258" s="102"/>
      <c r="BP258" s="102"/>
      <c r="BQ258" s="102"/>
      <c r="BR258" s="102"/>
      <c r="BS258" s="102"/>
      <c r="BT258" s="389"/>
      <c r="BU258" s="102"/>
      <c r="BV258" s="102"/>
      <c r="BW258" s="335"/>
      <c r="BX258" s="103" t="s">
        <v>494</v>
      </c>
      <c r="BY258" s="107"/>
      <c r="BZ258" s="36"/>
      <c r="CA258" s="36"/>
      <c r="CB258" s="36"/>
      <c r="CC258" s="36"/>
      <c r="CD258" s="36"/>
      <c r="CE258" s="36"/>
      <c r="CF258" s="36"/>
      <c r="CG258" s="36"/>
    </row>
    <row r="259" spans="1:85" s="140" customFormat="1" ht="24" x14ac:dyDescent="0.2">
      <c r="A259" s="146"/>
      <c r="B259" s="117"/>
      <c r="C259" s="269"/>
      <c r="D259" s="270"/>
      <c r="E259" s="100" t="s">
        <v>590</v>
      </c>
      <c r="F259" s="347">
        <f t="shared" si="386"/>
        <v>336919</v>
      </c>
      <c r="G259" s="101">
        <f t="shared" si="387"/>
        <v>336919</v>
      </c>
      <c r="H259" s="102">
        <v>336919</v>
      </c>
      <c r="I259" s="102">
        <f t="shared" si="394"/>
        <v>336919</v>
      </c>
      <c r="J259" s="102">
        <f t="shared" si="395"/>
        <v>0</v>
      </c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02"/>
      <c r="X259" s="445"/>
      <c r="Y259" s="102"/>
      <c r="Z259" s="102"/>
      <c r="AA259" s="102"/>
      <c r="AB259" s="102"/>
      <c r="AC259" s="102">
        <v>0</v>
      </c>
      <c r="AD259" s="102">
        <f t="shared" si="396"/>
        <v>0</v>
      </c>
      <c r="AE259" s="102">
        <f t="shared" si="397"/>
        <v>0</v>
      </c>
      <c r="AF259" s="102"/>
      <c r="AG259" s="102"/>
      <c r="AH259" s="102"/>
      <c r="AI259" s="102"/>
      <c r="AJ259" s="102"/>
      <c r="AK259" s="102"/>
      <c r="AL259" s="445"/>
      <c r="AM259" s="102"/>
      <c r="AN259" s="102"/>
      <c r="AO259" s="102">
        <v>0</v>
      </c>
      <c r="AP259" s="123">
        <f t="shared" si="398"/>
        <v>0</v>
      </c>
      <c r="AQ259" s="123">
        <f t="shared" si="399"/>
        <v>0</v>
      </c>
      <c r="AR259" s="123"/>
      <c r="AS259" s="123"/>
      <c r="AT259" s="123"/>
      <c r="AU259" s="123"/>
      <c r="AV259" s="123"/>
      <c r="AW259" s="123"/>
      <c r="AX259" s="123"/>
      <c r="AY259" s="123"/>
      <c r="AZ259" s="123"/>
      <c r="BA259" s="123"/>
      <c r="BB259" s="123">
        <v>0</v>
      </c>
      <c r="BC259" s="123">
        <f t="shared" si="400"/>
        <v>0</v>
      </c>
      <c r="BD259" s="123">
        <f t="shared" si="401"/>
        <v>0</v>
      </c>
      <c r="BE259" s="123"/>
      <c r="BF259" s="123"/>
      <c r="BG259" s="123"/>
      <c r="BH259" s="123"/>
      <c r="BI259" s="123"/>
      <c r="BJ259" s="123"/>
      <c r="BK259" s="123"/>
      <c r="BL259" s="123"/>
      <c r="BM259" s="102">
        <f t="shared" si="402"/>
        <v>0</v>
      </c>
      <c r="BN259" s="102">
        <f t="shared" si="403"/>
        <v>0</v>
      </c>
      <c r="BO259" s="102"/>
      <c r="BP259" s="102"/>
      <c r="BQ259" s="102"/>
      <c r="BR259" s="102"/>
      <c r="BS259" s="102"/>
      <c r="BT259" s="389"/>
      <c r="BU259" s="102"/>
      <c r="BV259" s="102"/>
      <c r="BW259" s="335"/>
      <c r="BX259" s="103" t="s">
        <v>670</v>
      </c>
      <c r="BY259" s="107"/>
      <c r="BZ259" s="36"/>
      <c r="CA259" s="36"/>
      <c r="CB259" s="36"/>
      <c r="CC259" s="36"/>
      <c r="CD259" s="36"/>
      <c r="CE259" s="36"/>
      <c r="CF259" s="36"/>
      <c r="CG259" s="36"/>
    </row>
    <row r="260" spans="1:85" ht="39" customHeight="1" x14ac:dyDescent="0.2">
      <c r="A260" s="146">
        <v>90001868844</v>
      </c>
      <c r="B260" s="117"/>
      <c r="C260" s="495" t="s">
        <v>354</v>
      </c>
      <c r="D260" s="496"/>
      <c r="E260" s="100" t="s">
        <v>206</v>
      </c>
      <c r="F260" s="347">
        <f t="shared" si="386"/>
        <v>516992</v>
      </c>
      <c r="G260" s="101">
        <f t="shared" si="387"/>
        <v>518080</v>
      </c>
      <c r="H260" s="102">
        <v>512364</v>
      </c>
      <c r="I260" s="102">
        <f t="shared" si="394"/>
        <v>513164</v>
      </c>
      <c r="J260" s="102">
        <f t="shared" si="395"/>
        <v>800</v>
      </c>
      <c r="K260" s="102"/>
      <c r="L260" s="102"/>
      <c r="M260" s="102"/>
      <c r="N260" s="102">
        <v>800</v>
      </c>
      <c r="O260" s="102"/>
      <c r="P260" s="102"/>
      <c r="Q260" s="102"/>
      <c r="R260" s="102"/>
      <c r="S260" s="102"/>
      <c r="T260" s="102"/>
      <c r="U260" s="102"/>
      <c r="V260" s="102"/>
      <c r="W260" s="102"/>
      <c r="X260" s="445"/>
      <c r="Y260" s="102"/>
      <c r="Z260" s="102"/>
      <c r="AA260" s="102"/>
      <c r="AB260" s="102"/>
      <c r="AC260" s="102">
        <v>0</v>
      </c>
      <c r="AD260" s="102">
        <f t="shared" si="396"/>
        <v>0</v>
      </c>
      <c r="AE260" s="102">
        <f t="shared" si="397"/>
        <v>0</v>
      </c>
      <c r="AF260" s="102"/>
      <c r="AG260" s="102"/>
      <c r="AH260" s="102"/>
      <c r="AI260" s="102"/>
      <c r="AJ260" s="102"/>
      <c r="AK260" s="102"/>
      <c r="AL260" s="445"/>
      <c r="AM260" s="102"/>
      <c r="AN260" s="102"/>
      <c r="AO260" s="102">
        <v>4300</v>
      </c>
      <c r="AP260" s="123">
        <f t="shared" si="398"/>
        <v>4300</v>
      </c>
      <c r="AQ260" s="123">
        <f t="shared" si="399"/>
        <v>0</v>
      </c>
      <c r="AR260" s="123"/>
      <c r="AS260" s="123"/>
      <c r="AT260" s="123"/>
      <c r="AU260" s="123"/>
      <c r="AV260" s="123"/>
      <c r="AW260" s="123"/>
      <c r="AX260" s="123"/>
      <c r="AY260" s="123"/>
      <c r="AZ260" s="123"/>
      <c r="BA260" s="123"/>
      <c r="BB260" s="102">
        <v>328</v>
      </c>
      <c r="BC260" s="123">
        <f t="shared" si="400"/>
        <v>616</v>
      </c>
      <c r="BD260" s="123">
        <f t="shared" si="401"/>
        <v>288</v>
      </c>
      <c r="BE260" s="123">
        <v>288</v>
      </c>
      <c r="BF260" s="123"/>
      <c r="BG260" s="123"/>
      <c r="BH260" s="123"/>
      <c r="BI260" s="123"/>
      <c r="BJ260" s="123"/>
      <c r="BK260" s="123"/>
      <c r="BL260" s="123"/>
      <c r="BM260" s="102">
        <f t="shared" si="402"/>
        <v>0</v>
      </c>
      <c r="BN260" s="102">
        <f t="shared" si="403"/>
        <v>0</v>
      </c>
      <c r="BO260" s="102"/>
      <c r="BP260" s="102"/>
      <c r="BQ260" s="102"/>
      <c r="BR260" s="102"/>
      <c r="BS260" s="102"/>
      <c r="BT260" s="389"/>
      <c r="BU260" s="102"/>
      <c r="BV260" s="102"/>
      <c r="BW260" s="335"/>
      <c r="BX260" s="103" t="s">
        <v>495</v>
      </c>
      <c r="BY260" s="107"/>
      <c r="BZ260" s="36"/>
      <c r="CA260" s="36"/>
      <c r="CB260" s="36"/>
      <c r="CC260" s="36"/>
      <c r="CD260" s="36"/>
      <c r="CE260" s="36"/>
      <c r="CF260" s="36"/>
      <c r="CG260" s="36"/>
    </row>
    <row r="261" spans="1:85" ht="24" x14ac:dyDescent="0.2">
      <c r="A261" s="146"/>
      <c r="B261" s="117"/>
      <c r="C261" s="269"/>
      <c r="D261" s="270"/>
      <c r="E261" s="100" t="s">
        <v>231</v>
      </c>
      <c r="F261" s="347">
        <f t="shared" si="386"/>
        <v>484</v>
      </c>
      <c r="G261" s="101">
        <f t="shared" si="387"/>
        <v>484</v>
      </c>
      <c r="H261" s="102">
        <v>484</v>
      </c>
      <c r="I261" s="102">
        <f t="shared" si="394"/>
        <v>484</v>
      </c>
      <c r="J261" s="102">
        <f t="shared" si="395"/>
        <v>0</v>
      </c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445"/>
      <c r="Y261" s="102"/>
      <c r="Z261" s="102"/>
      <c r="AA261" s="102"/>
      <c r="AB261" s="102"/>
      <c r="AC261" s="102">
        <v>0</v>
      </c>
      <c r="AD261" s="102">
        <f t="shared" si="396"/>
        <v>0</v>
      </c>
      <c r="AE261" s="102">
        <f t="shared" si="397"/>
        <v>0</v>
      </c>
      <c r="AF261" s="102"/>
      <c r="AG261" s="102"/>
      <c r="AH261" s="102"/>
      <c r="AI261" s="102"/>
      <c r="AJ261" s="102"/>
      <c r="AK261" s="102"/>
      <c r="AL261" s="445"/>
      <c r="AM261" s="102"/>
      <c r="AN261" s="102"/>
      <c r="AO261" s="102">
        <v>0</v>
      </c>
      <c r="AP261" s="102">
        <f t="shared" si="398"/>
        <v>0</v>
      </c>
      <c r="AQ261" s="102">
        <f t="shared" si="399"/>
        <v>0</v>
      </c>
      <c r="AR261" s="102"/>
      <c r="AS261" s="102"/>
      <c r="AT261" s="102"/>
      <c r="AU261" s="102"/>
      <c r="AV261" s="102"/>
      <c r="AW261" s="102"/>
      <c r="AX261" s="102"/>
      <c r="AY261" s="102"/>
      <c r="AZ261" s="102"/>
      <c r="BA261" s="102"/>
      <c r="BB261" s="123">
        <v>0</v>
      </c>
      <c r="BC261" s="123">
        <f t="shared" si="400"/>
        <v>0</v>
      </c>
      <c r="BD261" s="123">
        <f t="shared" si="401"/>
        <v>0</v>
      </c>
      <c r="BE261" s="123"/>
      <c r="BF261" s="123"/>
      <c r="BG261" s="123"/>
      <c r="BH261" s="123"/>
      <c r="BI261" s="123"/>
      <c r="BJ261" s="123"/>
      <c r="BK261" s="123"/>
      <c r="BL261" s="123"/>
      <c r="BM261" s="102">
        <f t="shared" si="402"/>
        <v>0</v>
      </c>
      <c r="BN261" s="102">
        <f t="shared" si="403"/>
        <v>0</v>
      </c>
      <c r="BO261" s="102"/>
      <c r="BP261" s="102"/>
      <c r="BQ261" s="102"/>
      <c r="BR261" s="102"/>
      <c r="BS261" s="102"/>
      <c r="BT261" s="389"/>
      <c r="BU261" s="102"/>
      <c r="BV261" s="102"/>
      <c r="BW261" s="335"/>
      <c r="BX261" s="103" t="s">
        <v>496</v>
      </c>
      <c r="BY261" s="107"/>
      <c r="BZ261" s="36"/>
      <c r="CA261" s="36"/>
      <c r="CB261" s="36"/>
      <c r="CC261" s="36"/>
      <c r="CD261" s="36"/>
      <c r="CE261" s="36"/>
      <c r="CF261" s="36"/>
      <c r="CG261" s="36"/>
    </row>
    <row r="262" spans="1:85" ht="24" x14ac:dyDescent="0.2">
      <c r="A262" s="146">
        <v>90000091456</v>
      </c>
      <c r="B262" s="117"/>
      <c r="C262" s="495" t="s">
        <v>213</v>
      </c>
      <c r="D262" s="496"/>
      <c r="E262" s="100" t="s">
        <v>207</v>
      </c>
      <c r="F262" s="347">
        <f t="shared" si="386"/>
        <v>176612</v>
      </c>
      <c r="G262" s="101">
        <f t="shared" si="387"/>
        <v>176612</v>
      </c>
      <c r="H262" s="102">
        <v>175608</v>
      </c>
      <c r="I262" s="102">
        <f t="shared" si="394"/>
        <v>175608</v>
      </c>
      <c r="J262" s="102">
        <f t="shared" si="395"/>
        <v>0</v>
      </c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02"/>
      <c r="X262" s="445"/>
      <c r="Y262" s="102"/>
      <c r="Z262" s="102"/>
      <c r="AA262" s="102"/>
      <c r="AB262" s="102"/>
      <c r="AC262" s="102">
        <v>0</v>
      </c>
      <c r="AD262" s="102">
        <f t="shared" si="396"/>
        <v>0</v>
      </c>
      <c r="AE262" s="102">
        <f t="shared" si="397"/>
        <v>0</v>
      </c>
      <c r="AF262" s="102"/>
      <c r="AG262" s="102"/>
      <c r="AH262" s="102"/>
      <c r="AI262" s="102"/>
      <c r="AJ262" s="102"/>
      <c r="AK262" s="102"/>
      <c r="AL262" s="445"/>
      <c r="AM262" s="102"/>
      <c r="AN262" s="102"/>
      <c r="AO262" s="102">
        <v>4004</v>
      </c>
      <c r="AP262" s="123">
        <f t="shared" si="398"/>
        <v>4004</v>
      </c>
      <c r="AQ262" s="123">
        <f t="shared" si="399"/>
        <v>0</v>
      </c>
      <c r="AR262" s="123"/>
      <c r="AS262" s="123"/>
      <c r="AT262" s="123"/>
      <c r="AU262" s="123"/>
      <c r="AV262" s="123"/>
      <c r="AW262" s="123"/>
      <c r="AX262" s="123"/>
      <c r="AY262" s="123"/>
      <c r="AZ262" s="123"/>
      <c r="BA262" s="123"/>
      <c r="BB262" s="102">
        <v>0</v>
      </c>
      <c r="BC262" s="123">
        <f t="shared" si="400"/>
        <v>0</v>
      </c>
      <c r="BD262" s="123">
        <f t="shared" si="401"/>
        <v>0</v>
      </c>
      <c r="BE262" s="123"/>
      <c r="BF262" s="123"/>
      <c r="BG262" s="123"/>
      <c r="BH262" s="123"/>
      <c r="BI262" s="123"/>
      <c r="BJ262" s="123"/>
      <c r="BK262" s="123"/>
      <c r="BL262" s="123">
        <v>-3000</v>
      </c>
      <c r="BM262" s="102">
        <f t="shared" si="402"/>
        <v>-3000</v>
      </c>
      <c r="BN262" s="102">
        <f t="shared" si="403"/>
        <v>0</v>
      </c>
      <c r="BO262" s="102"/>
      <c r="BP262" s="102"/>
      <c r="BQ262" s="102"/>
      <c r="BR262" s="102"/>
      <c r="BS262" s="102"/>
      <c r="BT262" s="389"/>
      <c r="BU262" s="102"/>
      <c r="BV262" s="102"/>
      <c r="BW262" s="335"/>
      <c r="BX262" s="103" t="s">
        <v>497</v>
      </c>
      <c r="BY262" s="107"/>
      <c r="BZ262" s="36"/>
      <c r="CA262" s="36"/>
      <c r="CB262" s="36"/>
      <c r="CC262" s="36"/>
      <c r="CD262" s="36"/>
      <c r="CE262" s="36"/>
      <c r="CF262" s="36"/>
      <c r="CG262" s="36"/>
    </row>
    <row r="263" spans="1:85" s="231" customFormat="1" ht="51.75" customHeight="1" x14ac:dyDescent="0.2">
      <c r="A263" s="146">
        <v>50003220021</v>
      </c>
      <c r="B263" s="117"/>
      <c r="C263" s="495" t="s">
        <v>589</v>
      </c>
      <c r="D263" s="496"/>
      <c r="E263" s="100" t="s">
        <v>522</v>
      </c>
      <c r="F263" s="347">
        <f t="shared" si="386"/>
        <v>12000</v>
      </c>
      <c r="G263" s="101">
        <f t="shared" si="387"/>
        <v>33435</v>
      </c>
      <c r="H263" s="102">
        <v>12000</v>
      </c>
      <c r="I263" s="102">
        <f t="shared" si="394"/>
        <v>33435</v>
      </c>
      <c r="J263" s="102">
        <f t="shared" si="395"/>
        <v>21435</v>
      </c>
      <c r="K263" s="102"/>
      <c r="L263" s="102"/>
      <c r="M263" s="102"/>
      <c r="N263" s="102"/>
      <c r="O263" s="102"/>
      <c r="P263" s="102"/>
      <c r="Q263" s="102"/>
      <c r="R263" s="102"/>
      <c r="S263" s="102"/>
      <c r="T263" s="102"/>
      <c r="U263" s="102"/>
      <c r="V263" s="102"/>
      <c r="W263" s="102">
        <v>21435</v>
      </c>
      <c r="X263" s="445"/>
      <c r="Y263" s="102"/>
      <c r="Z263" s="102"/>
      <c r="AA263" s="102"/>
      <c r="AB263" s="102"/>
      <c r="AC263" s="102"/>
      <c r="AD263" s="102">
        <f t="shared" si="396"/>
        <v>0</v>
      </c>
      <c r="AE263" s="102">
        <f t="shared" si="397"/>
        <v>0</v>
      </c>
      <c r="AF263" s="102"/>
      <c r="AG263" s="102"/>
      <c r="AH263" s="102"/>
      <c r="AI263" s="102"/>
      <c r="AJ263" s="102"/>
      <c r="AK263" s="102"/>
      <c r="AL263" s="445"/>
      <c r="AM263" s="102"/>
      <c r="AN263" s="102"/>
      <c r="AO263" s="102"/>
      <c r="AP263" s="123">
        <f t="shared" si="398"/>
        <v>0</v>
      </c>
      <c r="AQ263" s="123">
        <f t="shared" si="399"/>
        <v>0</v>
      </c>
      <c r="AR263" s="123"/>
      <c r="AS263" s="123"/>
      <c r="AT263" s="123"/>
      <c r="AU263" s="123"/>
      <c r="AV263" s="123"/>
      <c r="AW263" s="123"/>
      <c r="AX263" s="123"/>
      <c r="AY263" s="123"/>
      <c r="AZ263" s="123"/>
      <c r="BA263" s="123"/>
      <c r="BB263" s="123"/>
      <c r="BC263" s="123">
        <f t="shared" si="400"/>
        <v>0</v>
      </c>
      <c r="BD263" s="123">
        <f t="shared" si="401"/>
        <v>0</v>
      </c>
      <c r="BE263" s="123"/>
      <c r="BF263" s="123"/>
      <c r="BG263" s="123"/>
      <c r="BH263" s="123"/>
      <c r="BI263" s="123"/>
      <c r="BJ263" s="123"/>
      <c r="BK263" s="123"/>
      <c r="BL263" s="123"/>
      <c r="BM263" s="102">
        <f t="shared" si="402"/>
        <v>0</v>
      </c>
      <c r="BN263" s="102">
        <f t="shared" si="403"/>
        <v>0</v>
      </c>
      <c r="BO263" s="102"/>
      <c r="BP263" s="102"/>
      <c r="BQ263" s="102"/>
      <c r="BR263" s="102"/>
      <c r="BS263" s="102"/>
      <c r="BT263" s="389"/>
      <c r="BU263" s="102"/>
      <c r="BV263" s="102"/>
      <c r="BW263" s="335"/>
      <c r="BX263" s="103" t="s">
        <v>588</v>
      </c>
      <c r="BY263" s="107"/>
      <c r="BZ263" s="36"/>
      <c r="CA263" s="36"/>
      <c r="CB263" s="36"/>
      <c r="CC263" s="36"/>
      <c r="CD263" s="36"/>
      <c r="CE263" s="36"/>
      <c r="CF263" s="36"/>
      <c r="CG263" s="36"/>
    </row>
    <row r="264" spans="1:85" ht="64.5" customHeight="1" x14ac:dyDescent="0.2">
      <c r="A264" s="146"/>
      <c r="B264" s="117"/>
      <c r="C264" s="495" t="s">
        <v>181</v>
      </c>
      <c r="D264" s="496"/>
      <c r="E264" s="303" t="s">
        <v>282</v>
      </c>
      <c r="F264" s="347">
        <f t="shared" si="386"/>
        <v>241889</v>
      </c>
      <c r="G264" s="101">
        <f t="shared" si="387"/>
        <v>241889</v>
      </c>
      <c r="H264" s="102"/>
      <c r="I264" s="102">
        <f t="shared" si="394"/>
        <v>0</v>
      </c>
      <c r="J264" s="102">
        <f t="shared" si="395"/>
        <v>0</v>
      </c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  <c r="V264" s="102"/>
      <c r="W264" s="102"/>
      <c r="X264" s="445"/>
      <c r="Y264" s="102"/>
      <c r="Z264" s="102"/>
      <c r="AA264" s="102"/>
      <c r="AB264" s="102"/>
      <c r="AC264" s="102"/>
      <c r="AD264" s="102">
        <f t="shared" si="396"/>
        <v>0</v>
      </c>
      <c r="AE264" s="102">
        <f t="shared" si="397"/>
        <v>0</v>
      </c>
      <c r="AF264" s="102"/>
      <c r="AG264" s="102"/>
      <c r="AH264" s="102"/>
      <c r="AI264" s="102"/>
      <c r="AJ264" s="102"/>
      <c r="AK264" s="102"/>
      <c r="AL264" s="445"/>
      <c r="AM264" s="102"/>
      <c r="AN264" s="102"/>
      <c r="AO264" s="102"/>
      <c r="AP264" s="102">
        <f t="shared" si="398"/>
        <v>0</v>
      </c>
      <c r="AQ264" s="102">
        <f t="shared" si="399"/>
        <v>0</v>
      </c>
      <c r="AR264" s="102"/>
      <c r="AS264" s="102"/>
      <c r="AT264" s="102"/>
      <c r="AU264" s="102"/>
      <c r="AV264" s="102"/>
      <c r="AW264" s="102"/>
      <c r="AX264" s="102"/>
      <c r="AY264" s="102"/>
      <c r="AZ264" s="102"/>
      <c r="BA264" s="102">
        <v>241889</v>
      </c>
      <c r="BB264" s="123"/>
      <c r="BC264" s="123">
        <f t="shared" si="400"/>
        <v>0</v>
      </c>
      <c r="BD264" s="123">
        <f t="shared" si="401"/>
        <v>0</v>
      </c>
      <c r="BE264" s="123"/>
      <c r="BF264" s="123"/>
      <c r="BG264" s="123"/>
      <c r="BH264" s="123"/>
      <c r="BI264" s="123"/>
      <c r="BJ264" s="123"/>
      <c r="BK264" s="123"/>
      <c r="BL264" s="123"/>
      <c r="BM264" s="102">
        <f t="shared" si="402"/>
        <v>0</v>
      </c>
      <c r="BN264" s="102">
        <f t="shared" si="403"/>
        <v>0</v>
      </c>
      <c r="BO264" s="102"/>
      <c r="BP264" s="102"/>
      <c r="BQ264" s="102"/>
      <c r="BR264" s="102"/>
      <c r="BS264" s="102"/>
      <c r="BT264" s="389"/>
      <c r="BU264" s="102"/>
      <c r="BV264" s="102"/>
      <c r="BW264" s="335"/>
      <c r="BX264" s="103"/>
      <c r="BY264" s="107"/>
      <c r="CA264" s="36"/>
      <c r="CB264" s="36"/>
      <c r="CC264" s="36"/>
      <c r="CD264" s="36"/>
      <c r="CE264" s="36"/>
      <c r="CF264" s="36"/>
      <c r="CG264" s="36"/>
    </row>
    <row r="265" spans="1:85" s="143" customFormat="1" ht="48" x14ac:dyDescent="0.2">
      <c r="A265" s="146"/>
      <c r="B265" s="117"/>
      <c r="C265" s="300"/>
      <c r="D265" s="301"/>
      <c r="E265" s="303" t="s">
        <v>274</v>
      </c>
      <c r="F265" s="347">
        <f t="shared" si="386"/>
        <v>113754</v>
      </c>
      <c r="G265" s="101">
        <f t="shared" si="387"/>
        <v>113754</v>
      </c>
      <c r="H265" s="102"/>
      <c r="I265" s="102">
        <f t="shared" si="394"/>
        <v>0</v>
      </c>
      <c r="J265" s="102">
        <f t="shared" si="395"/>
        <v>0</v>
      </c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  <c r="V265" s="102"/>
      <c r="W265" s="102"/>
      <c r="X265" s="445"/>
      <c r="Y265" s="102"/>
      <c r="Z265" s="102"/>
      <c r="AA265" s="102"/>
      <c r="AB265" s="102"/>
      <c r="AC265" s="102"/>
      <c r="AD265" s="102">
        <f t="shared" si="396"/>
        <v>0</v>
      </c>
      <c r="AE265" s="102">
        <f t="shared" si="397"/>
        <v>0</v>
      </c>
      <c r="AF265" s="102"/>
      <c r="AG265" s="102"/>
      <c r="AH265" s="102"/>
      <c r="AI265" s="102"/>
      <c r="AJ265" s="102"/>
      <c r="AK265" s="102"/>
      <c r="AL265" s="445"/>
      <c r="AM265" s="102"/>
      <c r="AN265" s="102"/>
      <c r="AO265" s="102"/>
      <c r="AP265" s="102">
        <f t="shared" si="398"/>
        <v>0</v>
      </c>
      <c r="AQ265" s="102">
        <f t="shared" si="399"/>
        <v>0</v>
      </c>
      <c r="AR265" s="102"/>
      <c r="AS265" s="102"/>
      <c r="AT265" s="102"/>
      <c r="AU265" s="102"/>
      <c r="AV265" s="102"/>
      <c r="AW265" s="102"/>
      <c r="AX265" s="102"/>
      <c r="AY265" s="102"/>
      <c r="AZ265" s="102"/>
      <c r="BA265" s="102">
        <v>113754</v>
      </c>
      <c r="BB265" s="123"/>
      <c r="BC265" s="123">
        <f>BB265+BD265</f>
        <v>0</v>
      </c>
      <c r="BD265" s="123">
        <f t="shared" si="401"/>
        <v>0</v>
      </c>
      <c r="BE265" s="123"/>
      <c r="BF265" s="123"/>
      <c r="BG265" s="123"/>
      <c r="BH265" s="123"/>
      <c r="BI265" s="123"/>
      <c r="BJ265" s="123"/>
      <c r="BK265" s="123"/>
      <c r="BL265" s="123"/>
      <c r="BM265" s="102">
        <f t="shared" si="402"/>
        <v>0</v>
      </c>
      <c r="BN265" s="102">
        <f t="shared" si="403"/>
        <v>0</v>
      </c>
      <c r="BO265" s="102"/>
      <c r="BP265" s="102"/>
      <c r="BQ265" s="102"/>
      <c r="BR265" s="102"/>
      <c r="BS265" s="102"/>
      <c r="BT265" s="389"/>
      <c r="BU265" s="102"/>
      <c r="BV265" s="102"/>
      <c r="BW265" s="335"/>
      <c r="BX265" s="103"/>
      <c r="BY265" s="107"/>
      <c r="CA265" s="36"/>
      <c r="CB265" s="36"/>
      <c r="CC265" s="36"/>
      <c r="CD265" s="36"/>
      <c r="CE265" s="36"/>
      <c r="CF265" s="36"/>
      <c r="CG265" s="36"/>
    </row>
    <row r="266" spans="1:85" ht="12.75" thickBot="1" x14ac:dyDescent="0.25">
      <c r="A266" s="135"/>
      <c r="B266" s="131"/>
      <c r="C266" s="508"/>
      <c r="D266" s="509"/>
      <c r="E266" s="25"/>
      <c r="F266" s="348"/>
      <c r="G266" s="89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446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446"/>
      <c r="AM266" s="90"/>
      <c r="AN266" s="90"/>
      <c r="AO266" s="90"/>
      <c r="AP266" s="122"/>
      <c r="AQ266" s="122"/>
      <c r="AR266" s="122"/>
      <c r="AS266" s="122"/>
      <c r="AT266" s="122"/>
      <c r="AU266" s="122"/>
      <c r="AV266" s="122"/>
      <c r="AW266" s="122"/>
      <c r="AX266" s="122"/>
      <c r="AY266" s="122"/>
      <c r="AZ266" s="122"/>
      <c r="BA266" s="122"/>
      <c r="BB266" s="122"/>
      <c r="BC266" s="122"/>
      <c r="BD266" s="122"/>
      <c r="BE266" s="122"/>
      <c r="BF266" s="122"/>
      <c r="BG266" s="122"/>
      <c r="BH266" s="122"/>
      <c r="BI266" s="122"/>
      <c r="BJ266" s="122"/>
      <c r="BK266" s="122"/>
      <c r="BL266" s="122"/>
      <c r="BM266" s="90"/>
      <c r="BN266" s="90"/>
      <c r="BO266" s="90"/>
      <c r="BP266" s="90"/>
      <c r="BQ266" s="90"/>
      <c r="BR266" s="90"/>
      <c r="BS266" s="90"/>
      <c r="BT266" s="387"/>
      <c r="BU266" s="90"/>
      <c r="BV266" s="90"/>
      <c r="BW266" s="336"/>
      <c r="BX266" s="91"/>
      <c r="BY266" s="110"/>
      <c r="CA266" s="36"/>
      <c r="CB266" s="36"/>
      <c r="CC266" s="36"/>
      <c r="CD266" s="36"/>
      <c r="CE266" s="36"/>
      <c r="CF266" s="36"/>
      <c r="CG266" s="36"/>
    </row>
    <row r="267" spans="1:85" ht="13.5" thickTop="1" thickBot="1" x14ac:dyDescent="0.25">
      <c r="A267" s="136"/>
      <c r="B267" s="504" t="s">
        <v>135</v>
      </c>
      <c r="C267" s="504"/>
      <c r="D267" s="505"/>
      <c r="E267" s="20"/>
      <c r="F267" s="354">
        <f>H267+AC267+AO267+BA267+BB267+BL267</f>
        <v>511936</v>
      </c>
      <c r="G267" s="21">
        <f t="shared" ref="G267:G298" si="404">I267+AD267+AP267+BA267+BC267+BM267</f>
        <v>1236035</v>
      </c>
      <c r="H267" s="22">
        <f>SUM(H268)</f>
        <v>760733</v>
      </c>
      <c r="I267" s="22">
        <f t="shared" ref="I267:BW267" si="405">SUM(I268)</f>
        <v>1244891</v>
      </c>
      <c r="J267" s="22">
        <f t="shared" si="405"/>
        <v>484158</v>
      </c>
      <c r="K267" s="22">
        <f t="shared" si="405"/>
        <v>0</v>
      </c>
      <c r="L267" s="22">
        <f t="shared" si="405"/>
        <v>15185</v>
      </c>
      <c r="M267" s="22">
        <f t="shared" si="405"/>
        <v>2399051</v>
      </c>
      <c r="N267" s="22">
        <f t="shared" si="405"/>
        <v>-623430</v>
      </c>
      <c r="O267" s="22">
        <f t="shared" si="405"/>
        <v>-41825</v>
      </c>
      <c r="P267" s="22">
        <f t="shared" si="405"/>
        <v>-466085</v>
      </c>
      <c r="Q267" s="22">
        <f t="shared" si="405"/>
        <v>0</v>
      </c>
      <c r="R267" s="22">
        <f t="shared" si="405"/>
        <v>-59674</v>
      </c>
      <c r="S267" s="22">
        <f t="shared" si="405"/>
        <v>0</v>
      </c>
      <c r="T267" s="22">
        <f t="shared" si="405"/>
        <v>-276732</v>
      </c>
      <c r="U267" s="22">
        <f t="shared" si="405"/>
        <v>0</v>
      </c>
      <c r="V267" s="22">
        <f t="shared" si="405"/>
        <v>-39786</v>
      </c>
      <c r="W267" s="22">
        <f t="shared" si="405"/>
        <v>-422546</v>
      </c>
      <c r="X267" s="452">
        <f t="shared" si="405"/>
        <v>0</v>
      </c>
      <c r="Y267" s="22">
        <f t="shared" si="405"/>
        <v>0</v>
      </c>
      <c r="Z267" s="22">
        <f t="shared" si="405"/>
        <v>0</v>
      </c>
      <c r="AA267" s="22">
        <f t="shared" si="405"/>
        <v>0</v>
      </c>
      <c r="AB267" s="22">
        <f t="shared" si="405"/>
        <v>0</v>
      </c>
      <c r="AC267" s="22">
        <f t="shared" si="405"/>
        <v>86193</v>
      </c>
      <c r="AD267" s="22">
        <f t="shared" si="405"/>
        <v>300556</v>
      </c>
      <c r="AE267" s="22">
        <f t="shared" si="405"/>
        <v>214363</v>
      </c>
      <c r="AF267" s="22">
        <f t="shared" si="405"/>
        <v>258694</v>
      </c>
      <c r="AG267" s="22">
        <f t="shared" si="405"/>
        <v>0</v>
      </c>
      <c r="AH267" s="22">
        <f t="shared" si="405"/>
        <v>-44331</v>
      </c>
      <c r="AI267" s="22">
        <f t="shared" si="405"/>
        <v>0</v>
      </c>
      <c r="AJ267" s="22">
        <f t="shared" si="405"/>
        <v>0</v>
      </c>
      <c r="AK267" s="22">
        <f t="shared" si="405"/>
        <v>30856</v>
      </c>
      <c r="AL267" s="452">
        <f t="shared" si="405"/>
        <v>-30856</v>
      </c>
      <c r="AM267" s="22">
        <f t="shared" si="405"/>
        <v>0</v>
      </c>
      <c r="AN267" s="22">
        <f t="shared" si="405"/>
        <v>0</v>
      </c>
      <c r="AO267" s="22">
        <f t="shared" si="405"/>
        <v>4271</v>
      </c>
      <c r="AP267" s="22">
        <f>SUM(AP268)</f>
        <v>67636</v>
      </c>
      <c r="AQ267" s="22">
        <f t="shared" si="405"/>
        <v>63365</v>
      </c>
      <c r="AR267" s="22">
        <f t="shared" si="405"/>
        <v>108274</v>
      </c>
      <c r="AS267" s="22">
        <f t="shared" si="405"/>
        <v>-21147</v>
      </c>
      <c r="AT267" s="22">
        <f t="shared" si="405"/>
        <v>-22720</v>
      </c>
      <c r="AU267" s="22">
        <f t="shared" si="405"/>
        <v>-1042</v>
      </c>
      <c r="AV267" s="22">
        <f t="shared" si="405"/>
        <v>0</v>
      </c>
      <c r="AW267" s="22">
        <f t="shared" si="405"/>
        <v>0</v>
      </c>
      <c r="AX267" s="22">
        <f t="shared" si="405"/>
        <v>0</v>
      </c>
      <c r="AY267" s="22">
        <f t="shared" si="405"/>
        <v>0</v>
      </c>
      <c r="AZ267" s="22">
        <f t="shared" si="405"/>
        <v>0</v>
      </c>
      <c r="BA267" s="22">
        <f t="shared" si="405"/>
        <v>0</v>
      </c>
      <c r="BB267" s="22">
        <f t="shared" si="405"/>
        <v>0</v>
      </c>
      <c r="BC267" s="22">
        <f>SUM(BC268)</f>
        <v>0</v>
      </c>
      <c r="BD267" s="22">
        <f t="shared" si="405"/>
        <v>0</v>
      </c>
      <c r="BE267" s="22">
        <f t="shared" si="405"/>
        <v>0</v>
      </c>
      <c r="BF267" s="22">
        <f t="shared" si="405"/>
        <v>0</v>
      </c>
      <c r="BG267" s="22">
        <f t="shared" si="405"/>
        <v>0</v>
      </c>
      <c r="BH267" s="22">
        <f t="shared" si="405"/>
        <v>0</v>
      </c>
      <c r="BI267" s="22">
        <f t="shared" si="405"/>
        <v>0</v>
      </c>
      <c r="BJ267" s="22">
        <f t="shared" si="405"/>
        <v>0</v>
      </c>
      <c r="BK267" s="22">
        <f t="shared" si="405"/>
        <v>0</v>
      </c>
      <c r="BL267" s="22">
        <f t="shared" si="405"/>
        <v>-339261</v>
      </c>
      <c r="BM267" s="22">
        <f t="shared" si="405"/>
        <v>-377048</v>
      </c>
      <c r="BN267" s="22">
        <f t="shared" si="405"/>
        <v>-37787</v>
      </c>
      <c r="BO267" s="22">
        <f t="shared" si="405"/>
        <v>-7210</v>
      </c>
      <c r="BP267" s="22">
        <f t="shared" si="405"/>
        <v>0</v>
      </c>
      <c r="BQ267" s="22">
        <f t="shared" si="405"/>
        <v>-101</v>
      </c>
      <c r="BR267" s="22">
        <f t="shared" si="405"/>
        <v>-5951</v>
      </c>
      <c r="BS267" s="22">
        <f t="shared" si="405"/>
        <v>-15786</v>
      </c>
      <c r="BT267" s="419">
        <f t="shared" si="405"/>
        <v>-8739</v>
      </c>
      <c r="BU267" s="22">
        <f t="shared" si="405"/>
        <v>0</v>
      </c>
      <c r="BV267" s="22">
        <f t="shared" si="405"/>
        <v>0</v>
      </c>
      <c r="BW267" s="406">
        <f t="shared" si="405"/>
        <v>0</v>
      </c>
      <c r="BX267" s="23"/>
      <c r="BY267" s="111"/>
      <c r="CA267" s="36"/>
      <c r="CB267" s="36"/>
      <c r="CC267" s="36"/>
      <c r="CD267" s="36"/>
      <c r="CE267" s="36"/>
      <c r="CF267" s="36"/>
      <c r="CG267" s="36"/>
    </row>
    <row r="268" spans="1:85" ht="14.25" thickTop="1" thickBot="1" x14ac:dyDescent="0.25">
      <c r="A268" s="137"/>
      <c r="B268" s="134"/>
      <c r="C268" s="506" t="s">
        <v>131</v>
      </c>
      <c r="D268" s="507"/>
      <c r="E268" s="12"/>
      <c r="F268" s="355">
        <f>H268+AC268+AO268+BA268+BB268+BL268</f>
        <v>511936</v>
      </c>
      <c r="G268" s="15">
        <f>I268+AD268+AP268+BA268+BC268+BM268</f>
        <v>1236035</v>
      </c>
      <c r="H268" s="13">
        <f>SUM(H269:H296)</f>
        <v>760733</v>
      </c>
      <c r="I268" s="13">
        <f>J268+H268</f>
        <v>1244891</v>
      </c>
      <c r="J268" s="13">
        <f>SUM(K268:AB268)</f>
        <v>484158</v>
      </c>
      <c r="K268" s="13">
        <f t="shared" ref="K268:AC268" si="406">SUM(K269:K296)</f>
        <v>0</v>
      </c>
      <c r="L268" s="13">
        <f t="shared" si="406"/>
        <v>15185</v>
      </c>
      <c r="M268" s="13">
        <f t="shared" si="406"/>
        <v>2399051</v>
      </c>
      <c r="N268" s="13">
        <f t="shared" si="406"/>
        <v>-623430</v>
      </c>
      <c r="O268" s="13">
        <f t="shared" si="406"/>
        <v>-41825</v>
      </c>
      <c r="P268" s="13">
        <f t="shared" si="406"/>
        <v>-466085</v>
      </c>
      <c r="Q268" s="13">
        <f t="shared" si="406"/>
        <v>0</v>
      </c>
      <c r="R268" s="13">
        <f t="shared" si="406"/>
        <v>-59674</v>
      </c>
      <c r="S268" s="13">
        <f t="shared" si="406"/>
        <v>0</v>
      </c>
      <c r="T268" s="13">
        <f t="shared" si="406"/>
        <v>-276732</v>
      </c>
      <c r="U268" s="13">
        <f t="shared" si="406"/>
        <v>0</v>
      </c>
      <c r="V268" s="13">
        <f t="shared" si="406"/>
        <v>-39786</v>
      </c>
      <c r="W268" s="13">
        <f t="shared" si="406"/>
        <v>-422546</v>
      </c>
      <c r="X268" s="453">
        <f t="shared" ref="X268:AA268" si="407">SUM(X269:X296)</f>
        <v>0</v>
      </c>
      <c r="Y268" s="13">
        <f t="shared" si="407"/>
        <v>0</v>
      </c>
      <c r="Z268" s="13">
        <f t="shared" si="407"/>
        <v>0</v>
      </c>
      <c r="AA268" s="13">
        <f t="shared" si="407"/>
        <v>0</v>
      </c>
      <c r="AB268" s="13">
        <f t="shared" si="406"/>
        <v>0</v>
      </c>
      <c r="AC268" s="13">
        <f t="shared" si="406"/>
        <v>86193</v>
      </c>
      <c r="AD268" s="13">
        <f>AC268+AE268</f>
        <v>300556</v>
      </c>
      <c r="AE268" s="13">
        <f>SUM(AF268:AN268)</f>
        <v>214363</v>
      </c>
      <c r="AF268" s="13">
        <f>SUM(AF269:AF296)</f>
        <v>258694</v>
      </c>
      <c r="AG268" s="13"/>
      <c r="AH268" s="13">
        <f>-403+10599-5091-12-530-1-10647-2296-343-2-2385-9-3167-1556-17023-11465</f>
        <v>-44331</v>
      </c>
      <c r="AI268" s="13">
        <f t="shared" ref="AI268:AO268" si="408">SUM(AI269:AI296)</f>
        <v>0</v>
      </c>
      <c r="AJ268" s="13">
        <f t="shared" si="408"/>
        <v>0</v>
      </c>
      <c r="AK268" s="13">
        <f t="shared" si="408"/>
        <v>30856</v>
      </c>
      <c r="AL268" s="453">
        <f t="shared" si="408"/>
        <v>-30856</v>
      </c>
      <c r="AM268" s="13">
        <f t="shared" si="408"/>
        <v>0</v>
      </c>
      <c r="AN268" s="13">
        <f t="shared" si="408"/>
        <v>0</v>
      </c>
      <c r="AO268" s="13">
        <f t="shared" si="408"/>
        <v>4271</v>
      </c>
      <c r="AP268" s="124">
        <f>AQ268+AO268</f>
        <v>67636</v>
      </c>
      <c r="AQ268" s="124">
        <f>SUM(AR268:AZ268)</f>
        <v>63365</v>
      </c>
      <c r="AR268" s="124">
        <f>SUM(AR269:AR296)</f>
        <v>108274</v>
      </c>
      <c r="AS268" s="124">
        <f>-149-371-4008-1722-4816-8588-1493</f>
        <v>-21147</v>
      </c>
      <c r="AT268" s="124">
        <f>-2853-1359-85-4775-6597-2819-8302+4200+110-564-1178-664-1914+920-776-174-439-356-941-504-158-453-1511-40-107+107+470-1462+1462-33466+32916+8592</f>
        <v>-22720</v>
      </c>
      <c r="AU268" s="124">
        <f t="shared" ref="AU268:BA268" si="409">SUM(AU269:AU296)</f>
        <v>-1042</v>
      </c>
      <c r="AV268" s="124">
        <f t="shared" si="409"/>
        <v>0</v>
      </c>
      <c r="AW268" s="124">
        <f t="shared" si="409"/>
        <v>0</v>
      </c>
      <c r="AX268" s="124">
        <f t="shared" si="409"/>
        <v>0</v>
      </c>
      <c r="AY268" s="124">
        <f t="shared" si="409"/>
        <v>0</v>
      </c>
      <c r="AZ268" s="124">
        <f t="shared" si="409"/>
        <v>0</v>
      </c>
      <c r="BA268" s="124">
        <f t="shared" si="409"/>
        <v>0</v>
      </c>
      <c r="BB268" s="124"/>
      <c r="BC268" s="124">
        <f t="shared" ref="BC268:BC294" si="410">BB268+BD268</f>
        <v>0</v>
      </c>
      <c r="BD268" s="124">
        <f t="shared" ref="BD268:BD294" si="411">SUM(BE268:BK268)</f>
        <v>0</v>
      </c>
      <c r="BE268" s="124"/>
      <c r="BF268" s="124">
        <f t="shared" ref="BF268:BK268" si="412">SUM(BF269:BF296)</f>
        <v>0</v>
      </c>
      <c r="BG268" s="124">
        <f t="shared" si="412"/>
        <v>0</v>
      </c>
      <c r="BH268" s="124">
        <f t="shared" si="412"/>
        <v>0</v>
      </c>
      <c r="BI268" s="124">
        <f t="shared" si="412"/>
        <v>0</v>
      </c>
      <c r="BJ268" s="124">
        <f t="shared" si="412"/>
        <v>0</v>
      </c>
      <c r="BK268" s="124">
        <f t="shared" si="412"/>
        <v>0</v>
      </c>
      <c r="BL268" s="124">
        <v>-339261</v>
      </c>
      <c r="BM268" s="13">
        <f>BN268+BL268</f>
        <v>-377048</v>
      </c>
      <c r="BN268" s="13">
        <f>SUM(BO268:BW268)</f>
        <v>-37787</v>
      </c>
      <c r="BO268" s="13">
        <v>-7210</v>
      </c>
      <c r="BP268" s="13"/>
      <c r="BQ268" s="13">
        <v>-101</v>
      </c>
      <c r="BR268" s="13">
        <f>-2921-3029-1</f>
        <v>-5951</v>
      </c>
      <c r="BS268" s="13">
        <f>SUM(BS269:BS296)</f>
        <v>-15786</v>
      </c>
      <c r="BT268" s="420">
        <f>SUM(BT269:BT296)</f>
        <v>-8739</v>
      </c>
      <c r="BU268" s="13">
        <f>SUM(BU269:BU296)</f>
        <v>0</v>
      </c>
      <c r="BV268" s="13">
        <f>SUM(BV269:BV296)</f>
        <v>0</v>
      </c>
      <c r="BW268" s="342">
        <f>SUM(BW269:BW296)</f>
        <v>0</v>
      </c>
      <c r="BX268" s="14"/>
      <c r="BY268" s="388"/>
      <c r="CA268" s="36"/>
      <c r="CB268" s="36"/>
      <c r="CC268" s="36"/>
      <c r="CD268" s="36"/>
      <c r="CE268" s="36"/>
      <c r="CF268" s="36"/>
      <c r="CG268" s="36"/>
    </row>
    <row r="269" spans="1:85" s="386" customFormat="1" ht="12.75" hidden="1" outlineLevel="1" x14ac:dyDescent="0.2">
      <c r="A269" s="137"/>
      <c r="C269" s="283"/>
      <c r="D269" s="523" t="s">
        <v>761</v>
      </c>
      <c r="E269" s="524"/>
      <c r="F269" s="347">
        <f>H269+AC269+AO269+BA269+BB269+BL269</f>
        <v>175000</v>
      </c>
      <c r="G269" s="101">
        <f>I269+AD269+AP269+BA269+BC269+BM269</f>
        <v>172000</v>
      </c>
      <c r="H269" s="102">
        <v>175000</v>
      </c>
      <c r="I269" s="102">
        <f>J269+H269</f>
        <v>172000</v>
      </c>
      <c r="J269" s="102">
        <f t="shared" ref="J269:J294" si="413">SUM(K269:AB269)</f>
        <v>-3000</v>
      </c>
      <c r="K269" s="102"/>
      <c r="L269" s="102"/>
      <c r="M269" s="102"/>
      <c r="N269" s="102">
        <v>-3000</v>
      </c>
      <c r="O269" s="102"/>
      <c r="P269" s="102"/>
      <c r="Q269" s="102"/>
      <c r="R269" s="102"/>
      <c r="S269" s="102"/>
      <c r="T269" s="102"/>
      <c r="U269" s="102"/>
      <c r="V269" s="102"/>
      <c r="W269" s="102"/>
      <c r="X269" s="445"/>
      <c r="Y269" s="102"/>
      <c r="Z269" s="102"/>
      <c r="AA269" s="102"/>
      <c r="AB269" s="102"/>
      <c r="AC269" s="102"/>
      <c r="AD269" s="102">
        <f t="shared" ref="AD269:AD294" si="414">AC269+AE269</f>
        <v>0</v>
      </c>
      <c r="AE269" s="102">
        <f>SUM(AF269:AN269)</f>
        <v>0</v>
      </c>
      <c r="AF269" s="102"/>
      <c r="AG269" s="102"/>
      <c r="AH269" s="102"/>
      <c r="AI269" s="102"/>
      <c r="AJ269" s="102"/>
      <c r="AK269" s="102"/>
      <c r="AL269" s="445"/>
      <c r="AM269" s="102"/>
      <c r="AN269" s="102"/>
      <c r="AO269" s="102"/>
      <c r="AP269" s="123">
        <f t="shared" ref="AP269:AP294" si="415">AQ269+AO269</f>
        <v>0</v>
      </c>
      <c r="AQ269" s="123">
        <f t="shared" ref="AQ269:AQ294" si="416">SUM(AR269:AZ269)</f>
        <v>0</v>
      </c>
      <c r="AR269" s="123"/>
      <c r="AS269" s="123"/>
      <c r="AU269" s="102"/>
      <c r="AV269" s="123"/>
      <c r="AW269" s="123"/>
      <c r="AX269" s="123"/>
      <c r="AY269" s="123"/>
      <c r="AZ269" s="123"/>
      <c r="BA269" s="123"/>
      <c r="BB269" s="123"/>
      <c r="BC269" s="123">
        <f t="shared" si="410"/>
        <v>0</v>
      </c>
      <c r="BD269" s="123">
        <f t="shared" si="411"/>
        <v>0</v>
      </c>
      <c r="BE269" s="123"/>
      <c r="BF269" s="123"/>
      <c r="BG269" s="123"/>
      <c r="BH269" s="123"/>
      <c r="BI269" s="123"/>
      <c r="BJ269" s="123"/>
      <c r="BK269" s="123"/>
      <c r="BL269" s="123"/>
      <c r="BM269" s="102">
        <f>BN269+BL269</f>
        <v>0</v>
      </c>
      <c r="BN269" s="102">
        <f t="shared" ref="BN269:BN294" si="417">SUM(BO269:BW269)</f>
        <v>0</v>
      </c>
      <c r="BP269" s="410"/>
      <c r="BQ269" s="410"/>
      <c r="BR269" s="117"/>
      <c r="BS269" s="102"/>
      <c r="BT269" s="389"/>
      <c r="BU269" s="102"/>
      <c r="BV269" s="102"/>
      <c r="BW269" s="389"/>
      <c r="BX269" s="103"/>
      <c r="BY269" s="107"/>
      <c r="CA269" s="36"/>
      <c r="CB269" s="36"/>
      <c r="CC269" s="36"/>
      <c r="CD269" s="36"/>
      <c r="CE269" s="36"/>
      <c r="CF269" s="36"/>
      <c r="CG269" s="36"/>
    </row>
    <row r="270" spans="1:85" s="386" customFormat="1" ht="12.75" hidden="1" outlineLevel="1" x14ac:dyDescent="0.2">
      <c r="A270" s="137"/>
      <c r="C270" s="283"/>
      <c r="D270" s="523" t="s">
        <v>528</v>
      </c>
      <c r="E270" s="524"/>
      <c r="F270" s="347">
        <f t="shared" ref="F270:F294" si="418">H270+AC270+AO270+BA270+BB270+BL270</f>
        <v>96749</v>
      </c>
      <c r="G270" s="101">
        <f t="shared" ref="G270:G294" si="419">I270+AD270+AP270+BA270+BC270+BM270</f>
        <v>491248</v>
      </c>
      <c r="H270" s="102">
        <v>96749</v>
      </c>
      <c r="I270" s="102">
        <f>J270+H270</f>
        <v>491248</v>
      </c>
      <c r="J270" s="102">
        <f>SUM(K270:AB270)</f>
        <v>394499</v>
      </c>
      <c r="K270" s="102"/>
      <c r="L270" s="102">
        <v>7975</v>
      </c>
      <c r="M270" s="102">
        <v>2326915</v>
      </c>
      <c r="N270" s="102">
        <v>-620531</v>
      </c>
      <c r="O270" s="102">
        <v>-41825</v>
      </c>
      <c r="P270" s="102">
        <f>2574+1359-6471-3801+6569-119000-4000-11778+1914+467+174+439+611+453+369-17073+5544-1253-200000-16300-810-21436+2934-100000</f>
        <v>-478515</v>
      </c>
      <c r="Q270" s="102"/>
      <c r="R270" s="102">
        <f>2314-2000-13058+3426-928+18902-3844-7116</f>
        <v>-2304</v>
      </c>
      <c r="S270" s="102"/>
      <c r="T270" s="102">
        <f>-38014-104060-88100-175-9174-3946-785-6203-8117-2376-23049-2500-3055-1995-9750</f>
        <v>-301299</v>
      </c>
      <c r="U270" s="102"/>
      <c r="V270" s="102">
        <f>-6000-120-34037</f>
        <v>-40157</v>
      </c>
      <c r="W270" s="102">
        <f>-5000-21435-1064-12671-1555-3375-50000-25000-49551-7072-981-791-8000-1522-30620-8702-103473-6219-97629-12000-9100</f>
        <v>-455760</v>
      </c>
      <c r="X270" s="445"/>
      <c r="Y270" s="102"/>
      <c r="Z270" s="102"/>
      <c r="AA270" s="102"/>
      <c r="AB270" s="102"/>
      <c r="AC270" s="102"/>
      <c r="AD270" s="102">
        <f t="shared" si="414"/>
        <v>0</v>
      </c>
      <c r="AE270" s="102">
        <f t="shared" ref="AE270:AE294" si="420">SUM(AF270:AN270)</f>
        <v>0</v>
      </c>
      <c r="AF270" s="102"/>
      <c r="AG270" s="102"/>
      <c r="AH270" s="102"/>
      <c r="AI270" s="102"/>
      <c r="AJ270" s="102"/>
      <c r="AK270" s="102"/>
      <c r="AL270" s="445"/>
      <c r="AM270" s="102"/>
      <c r="AN270" s="102"/>
      <c r="AO270" s="102"/>
      <c r="AP270" s="123">
        <f t="shared" si="415"/>
        <v>0</v>
      </c>
      <c r="AQ270" s="123">
        <f t="shared" si="416"/>
        <v>0</v>
      </c>
      <c r="AR270" s="123"/>
      <c r="AS270" s="123"/>
      <c r="AT270" s="123"/>
      <c r="AU270" s="123"/>
      <c r="AV270" s="123"/>
      <c r="AW270" s="123"/>
      <c r="AX270" s="123"/>
      <c r="AY270" s="123"/>
      <c r="AZ270" s="123"/>
      <c r="BA270" s="123"/>
      <c r="BB270" s="123"/>
      <c r="BC270" s="123">
        <f t="shared" si="410"/>
        <v>0</v>
      </c>
      <c r="BD270" s="123">
        <f t="shared" si="411"/>
        <v>0</v>
      </c>
      <c r="BE270" s="123"/>
      <c r="BF270" s="123"/>
      <c r="BG270" s="123"/>
      <c r="BH270" s="123"/>
      <c r="BI270" s="123"/>
      <c r="BJ270" s="123"/>
      <c r="BK270" s="123"/>
      <c r="BL270" s="123"/>
      <c r="BM270" s="102">
        <f t="shared" ref="BM270:BM294" si="421">BN270+BL270</f>
        <v>0</v>
      </c>
      <c r="BN270" s="102">
        <f t="shared" si="417"/>
        <v>0</v>
      </c>
      <c r="BO270" s="102"/>
      <c r="BP270" s="102"/>
      <c r="BQ270" s="102"/>
      <c r="BR270" s="102"/>
      <c r="BS270" s="102"/>
      <c r="BT270" s="389"/>
      <c r="BU270" s="102"/>
      <c r="BV270" s="102"/>
      <c r="BW270" s="389"/>
      <c r="BX270" s="103"/>
      <c r="BY270" s="107"/>
      <c r="CA270" s="36"/>
      <c r="CB270" s="36"/>
      <c r="CC270" s="36"/>
      <c r="CD270" s="36"/>
      <c r="CE270" s="36"/>
      <c r="CF270" s="36"/>
      <c r="CG270" s="36"/>
    </row>
    <row r="271" spans="1:85" s="386" customFormat="1" ht="12.75" hidden="1" outlineLevel="1" x14ac:dyDescent="0.2">
      <c r="A271" s="137"/>
      <c r="C271" s="283"/>
      <c r="D271" s="523" t="s">
        <v>777</v>
      </c>
      <c r="E271" s="524"/>
      <c r="F271" s="347">
        <f t="shared" ref="F271" si="422">H271+AC271+AO271+BA271+BB271+BL271</f>
        <v>0</v>
      </c>
      <c r="G271" s="101">
        <f t="shared" ref="G271" si="423">I271+AD271+AP271+BA271+BC271+BM271</f>
        <v>13658</v>
      </c>
      <c r="H271" s="102"/>
      <c r="I271" s="102">
        <f t="shared" ref="I271:I294" si="424">J271+H271</f>
        <v>13658</v>
      </c>
      <c r="J271" s="102">
        <f t="shared" ref="J271" si="425">SUM(K271:AB271)</f>
        <v>13658</v>
      </c>
      <c r="K271" s="102"/>
      <c r="L271" s="102"/>
      <c r="M271" s="102"/>
      <c r="N271" s="102"/>
      <c r="O271" s="102"/>
      <c r="P271" s="102">
        <f>2921+550+3029-605+1</f>
        <v>5896</v>
      </c>
      <c r="Q271" s="102"/>
      <c r="R271" s="102">
        <f>888-2187+15105-15105-1-48</f>
        <v>-1348</v>
      </c>
      <c r="S271" s="102"/>
      <c r="T271" s="102">
        <f>8739</f>
        <v>8739</v>
      </c>
      <c r="U271" s="102"/>
      <c r="V271" s="102">
        <f>371</f>
        <v>371</v>
      </c>
      <c r="W271" s="102"/>
      <c r="X271" s="445"/>
      <c r="Y271" s="102"/>
      <c r="Z271" s="102"/>
      <c r="AA271" s="102"/>
      <c r="AB271" s="102"/>
      <c r="AC271" s="102"/>
      <c r="AD271" s="102">
        <f t="shared" si="414"/>
        <v>0</v>
      </c>
      <c r="AE271" s="102">
        <f t="shared" si="420"/>
        <v>0</v>
      </c>
      <c r="AF271" s="102"/>
      <c r="AG271" s="102"/>
      <c r="AH271" s="102"/>
      <c r="AI271" s="102"/>
      <c r="AJ271" s="102">
        <f>10647-10647</f>
        <v>0</v>
      </c>
      <c r="AK271" s="102"/>
      <c r="AL271" s="445"/>
      <c r="AM271" s="102"/>
      <c r="AN271" s="102"/>
      <c r="AO271" s="102"/>
      <c r="AP271" s="123">
        <f t="shared" si="415"/>
        <v>0</v>
      </c>
      <c r="AQ271" s="123">
        <f t="shared" si="416"/>
        <v>0</v>
      </c>
      <c r="AR271" s="123"/>
      <c r="AS271" s="123"/>
      <c r="AT271" s="123"/>
      <c r="AU271" s="123"/>
      <c r="AV271" s="123"/>
      <c r="AW271" s="123"/>
      <c r="AX271" s="123"/>
      <c r="AY271" s="123"/>
      <c r="AZ271" s="123"/>
      <c r="BA271" s="123"/>
      <c r="BB271" s="123"/>
      <c r="BC271" s="123">
        <f t="shared" si="410"/>
        <v>0</v>
      </c>
      <c r="BD271" s="123">
        <f t="shared" si="411"/>
        <v>0</v>
      </c>
      <c r="BE271" s="123"/>
      <c r="BF271" s="123"/>
      <c r="BG271" s="123"/>
      <c r="BH271" s="123"/>
      <c r="BI271" s="123"/>
      <c r="BJ271" s="123"/>
      <c r="BK271" s="123"/>
      <c r="BL271" s="123"/>
      <c r="BM271" s="102">
        <f t="shared" si="421"/>
        <v>0</v>
      </c>
      <c r="BN271" s="102">
        <f t="shared" si="417"/>
        <v>0</v>
      </c>
      <c r="BO271" s="102"/>
      <c r="BP271" s="102"/>
      <c r="BQ271" s="102"/>
      <c r="BR271" s="102"/>
      <c r="BS271" s="102"/>
      <c r="BT271" s="389"/>
      <c r="BU271" s="102"/>
      <c r="BV271" s="102"/>
      <c r="BW271" s="389"/>
      <c r="BX271" s="103"/>
      <c r="BY271" s="107"/>
      <c r="CA271" s="36"/>
      <c r="CB271" s="36"/>
      <c r="CC271" s="36"/>
      <c r="CD271" s="36"/>
      <c r="CE271" s="36"/>
      <c r="CF271" s="36"/>
      <c r="CG271" s="36"/>
    </row>
    <row r="272" spans="1:85" s="386" customFormat="1" ht="12.75" hidden="1" outlineLevel="1" x14ac:dyDescent="0.2">
      <c r="A272" s="137"/>
      <c r="C272" s="283"/>
      <c r="D272" s="523" t="s">
        <v>778</v>
      </c>
      <c r="E272" s="524"/>
      <c r="F272" s="347">
        <f>H272+AC272+AO272+BA272+BB272+BL272</f>
        <v>0</v>
      </c>
      <c r="G272" s="101">
        <f t="shared" ref="G272" si="426">I272+AD272+AP272+BA272+BC272+BM272</f>
        <v>0</v>
      </c>
      <c r="H272" s="102"/>
      <c r="I272" s="102">
        <f t="shared" si="424"/>
        <v>0</v>
      </c>
      <c r="J272" s="102">
        <f t="shared" ref="J272" si="427">SUM(K272:AB272)</f>
        <v>0</v>
      </c>
      <c r="K272" s="102"/>
      <c r="L272" s="102"/>
      <c r="M272" s="102">
        <v>72135</v>
      </c>
      <c r="N272" s="102"/>
      <c r="O272" s="102"/>
      <c r="P272" s="102">
        <f>-20+605-1-1-1</f>
        <v>582</v>
      </c>
      <c r="Q272" s="102"/>
      <c r="R272" s="102">
        <f>-3604-888+48-1-50848-9910-1419-3845-371-1879</f>
        <v>-72717</v>
      </c>
      <c r="S272" s="102"/>
      <c r="T272" s="102"/>
      <c r="U272" s="102"/>
      <c r="V272" s="102"/>
      <c r="W272" s="102"/>
      <c r="X272" s="445"/>
      <c r="Y272" s="102"/>
      <c r="Z272" s="102"/>
      <c r="AA272" s="102"/>
      <c r="AB272" s="102"/>
      <c r="AC272" s="102"/>
      <c r="AD272" s="102">
        <f t="shared" si="414"/>
        <v>0</v>
      </c>
      <c r="AE272" s="102">
        <f t="shared" ref="AE272" si="428">SUM(AF272:AN272)</f>
        <v>0</v>
      </c>
      <c r="AF272" s="102"/>
      <c r="AG272" s="102"/>
      <c r="AH272" s="102"/>
      <c r="AI272" s="102"/>
      <c r="AJ272" s="102"/>
      <c r="AK272" s="102"/>
      <c r="AL272" s="445"/>
      <c r="AM272" s="102"/>
      <c r="AN272" s="102"/>
      <c r="AO272" s="102"/>
      <c r="AP272" s="123">
        <f t="shared" si="415"/>
        <v>0</v>
      </c>
      <c r="AQ272" s="123">
        <f t="shared" ref="AQ272" si="429">SUM(AR272:AZ272)</f>
        <v>0</v>
      </c>
      <c r="AR272" s="123"/>
      <c r="AS272" s="123"/>
      <c r="AT272" s="123"/>
      <c r="AU272" s="123"/>
      <c r="AV272" s="123"/>
      <c r="AW272" s="123"/>
      <c r="AX272" s="123"/>
      <c r="AY272" s="123"/>
      <c r="AZ272" s="123"/>
      <c r="BA272" s="123"/>
      <c r="BB272" s="123"/>
      <c r="BC272" s="123">
        <f t="shared" si="410"/>
        <v>0</v>
      </c>
      <c r="BD272" s="123">
        <f t="shared" ref="BD272" si="430">SUM(BE272:BK272)</f>
        <v>0</v>
      </c>
      <c r="BE272" s="123"/>
      <c r="BF272" s="123"/>
      <c r="BG272" s="123"/>
      <c r="BH272" s="123"/>
      <c r="BI272" s="123"/>
      <c r="BJ272" s="123"/>
      <c r="BK272" s="123"/>
      <c r="BL272" s="123"/>
      <c r="BM272" s="102">
        <f t="shared" ref="BM272" si="431">BN272+BL272</f>
        <v>0</v>
      </c>
      <c r="BN272" s="102">
        <f t="shared" ref="BN272" si="432">SUM(BO272:BW272)</f>
        <v>0</v>
      </c>
      <c r="BO272" s="102"/>
      <c r="BP272" s="102"/>
      <c r="BQ272" s="102"/>
      <c r="BR272" s="102"/>
      <c r="BS272" s="102"/>
      <c r="BT272" s="389"/>
      <c r="BU272" s="102"/>
      <c r="BV272" s="102"/>
      <c r="BW272" s="389"/>
      <c r="BX272" s="103"/>
      <c r="BY272" s="107"/>
      <c r="CA272" s="36"/>
      <c r="CB272" s="36"/>
      <c r="CC272" s="36"/>
      <c r="CD272" s="36"/>
      <c r="CE272" s="36"/>
      <c r="CF272" s="36"/>
      <c r="CG272" s="36"/>
    </row>
    <row r="273" spans="1:85" s="386" customFormat="1" ht="12.75" hidden="1" outlineLevel="1" x14ac:dyDescent="0.2">
      <c r="A273" s="137"/>
      <c r="C273" s="283"/>
      <c r="D273" s="523" t="s">
        <v>762</v>
      </c>
      <c r="E273" s="524"/>
      <c r="F273" s="347">
        <f>H273+AC273+AO273+BA273+BB273+BL273</f>
        <v>123724</v>
      </c>
      <c r="G273" s="101">
        <f t="shared" si="419"/>
        <v>161781</v>
      </c>
      <c r="H273" s="102">
        <v>399367</v>
      </c>
      <c r="I273" s="102">
        <f t="shared" si="424"/>
        <v>465638</v>
      </c>
      <c r="J273" s="102">
        <f t="shared" si="413"/>
        <v>66271</v>
      </c>
      <c r="K273" s="102"/>
      <c r="L273" s="102">
        <v>7210</v>
      </c>
      <c r="M273" s="102"/>
      <c r="N273" s="102"/>
      <c r="O273" s="102"/>
      <c r="P273" s="102">
        <f>3029+1</f>
        <v>3030</v>
      </c>
      <c r="Q273" s="102"/>
      <c r="R273" s="102">
        <f>-1-928+18902+2908+1879</f>
        <v>22760</v>
      </c>
      <c r="S273" s="102"/>
      <c r="T273" s="102">
        <v>1365</v>
      </c>
      <c r="U273" s="102"/>
      <c r="V273" s="102"/>
      <c r="W273" s="102">
        <v>31906</v>
      </c>
      <c r="X273" s="445"/>
      <c r="Y273" s="102"/>
      <c r="Z273" s="102"/>
      <c r="AA273" s="102"/>
      <c r="AB273" s="102"/>
      <c r="AC273" s="102"/>
      <c r="AD273" s="102">
        <f t="shared" si="414"/>
        <v>0</v>
      </c>
      <c r="AE273" s="102">
        <f t="shared" si="420"/>
        <v>0</v>
      </c>
      <c r="AF273" s="102"/>
      <c r="AG273" s="102"/>
      <c r="AH273" s="102"/>
      <c r="AI273" s="102"/>
      <c r="AJ273" s="102"/>
      <c r="AK273" s="102"/>
      <c r="AL273" s="445"/>
      <c r="AM273" s="102"/>
      <c r="AN273" s="102"/>
      <c r="AO273" s="102"/>
      <c r="AP273" s="123">
        <f t="shared" si="415"/>
        <v>0</v>
      </c>
      <c r="AQ273" s="123">
        <f t="shared" si="416"/>
        <v>0</v>
      </c>
      <c r="AR273" s="123"/>
      <c r="AS273" s="123"/>
      <c r="AT273" s="123"/>
      <c r="AU273" s="123"/>
      <c r="AV273" s="123"/>
      <c r="AW273" s="123"/>
      <c r="AX273" s="123"/>
      <c r="AY273" s="123"/>
      <c r="AZ273" s="123"/>
      <c r="BA273" s="123"/>
      <c r="BB273" s="123"/>
      <c r="BC273" s="123">
        <f t="shared" si="410"/>
        <v>0</v>
      </c>
      <c r="BD273" s="123">
        <f t="shared" si="411"/>
        <v>0</v>
      </c>
      <c r="BE273" s="123"/>
      <c r="BF273" s="123"/>
      <c r="BG273" s="123"/>
      <c r="BH273" s="123"/>
      <c r="BI273" s="123"/>
      <c r="BJ273" s="123"/>
      <c r="BK273" s="123"/>
      <c r="BL273" s="123">
        <v>-275643</v>
      </c>
      <c r="BM273" s="102">
        <f>BN273+BL273</f>
        <v>-303857</v>
      </c>
      <c r="BN273" s="102">
        <f>SUM(BO273:BW273)</f>
        <v>-28214</v>
      </c>
      <c r="BO273" s="102">
        <v>-7210</v>
      </c>
      <c r="BP273" s="102"/>
      <c r="BQ273" s="102"/>
      <c r="BR273" s="102">
        <f>-3029-1</f>
        <v>-3030</v>
      </c>
      <c r="BS273" s="102">
        <f>928-18902</f>
        <v>-17974</v>
      </c>
      <c r="BT273" s="389"/>
      <c r="BU273" s="102"/>
      <c r="BV273" s="102"/>
      <c r="BW273" s="389"/>
      <c r="BX273" s="103"/>
      <c r="BY273" s="107"/>
      <c r="CA273" s="36"/>
      <c r="CB273" s="36"/>
      <c r="CC273" s="36"/>
      <c r="CD273" s="36"/>
      <c r="CE273" s="36"/>
      <c r="CF273" s="36"/>
      <c r="CG273" s="36"/>
    </row>
    <row r="274" spans="1:85" s="386" customFormat="1" ht="12.75" hidden="1" outlineLevel="1" x14ac:dyDescent="0.2">
      <c r="A274" s="137"/>
      <c r="C274" s="283"/>
      <c r="D274" s="523" t="s">
        <v>763</v>
      </c>
      <c r="E274" s="524"/>
      <c r="F274" s="347">
        <f t="shared" si="418"/>
        <v>25999</v>
      </c>
      <c r="G274" s="101">
        <f t="shared" si="419"/>
        <v>29156</v>
      </c>
      <c r="H274" s="102">
        <v>89617</v>
      </c>
      <c r="I274" s="102">
        <f t="shared" si="424"/>
        <v>102347</v>
      </c>
      <c r="J274" s="102">
        <f t="shared" si="413"/>
        <v>12730</v>
      </c>
      <c r="K274" s="102"/>
      <c r="L274" s="102"/>
      <c r="M274" s="102">
        <v>1</v>
      </c>
      <c r="N274" s="102">
        <v>101</v>
      </c>
      <c r="O274" s="102"/>
      <c r="P274" s="102">
        <f>2921+1</f>
        <v>2922</v>
      </c>
      <c r="Q274" s="102"/>
      <c r="R274" s="102">
        <f>-3878-2187</f>
        <v>-6065</v>
      </c>
      <c r="S274" s="102"/>
      <c r="T274" s="102">
        <f>8739+5724</f>
        <v>14463</v>
      </c>
      <c r="U274" s="102"/>
      <c r="V274" s="102"/>
      <c r="W274" s="102">
        <v>1308</v>
      </c>
      <c r="X274" s="445"/>
      <c r="Y274" s="102"/>
      <c r="Z274" s="102"/>
      <c r="AA274" s="102"/>
      <c r="AB274" s="102"/>
      <c r="AC274" s="102"/>
      <c r="AD274" s="102">
        <f t="shared" si="414"/>
        <v>0</v>
      </c>
      <c r="AE274" s="102">
        <f t="shared" si="420"/>
        <v>0</v>
      </c>
      <c r="AF274" s="102"/>
      <c r="AG274" s="102"/>
      <c r="AH274" s="102"/>
      <c r="AI274" s="102"/>
      <c r="AJ274" s="102"/>
      <c r="AK274" s="102"/>
      <c r="AL274" s="445"/>
      <c r="AM274" s="102"/>
      <c r="AN274" s="102"/>
      <c r="AO274" s="102"/>
      <c r="AP274" s="123">
        <f t="shared" si="415"/>
        <v>0</v>
      </c>
      <c r="AQ274" s="123">
        <f t="shared" si="416"/>
        <v>0</v>
      </c>
      <c r="AR274" s="123"/>
      <c r="AS274" s="123"/>
      <c r="AT274" s="123"/>
      <c r="AU274" s="123"/>
      <c r="AV274" s="123"/>
      <c r="AW274" s="123"/>
      <c r="AX274" s="123"/>
      <c r="AY274" s="123"/>
      <c r="AZ274" s="123"/>
      <c r="BA274" s="123"/>
      <c r="BB274" s="123"/>
      <c r="BC274" s="123">
        <f t="shared" si="410"/>
        <v>0</v>
      </c>
      <c r="BD274" s="123">
        <f t="shared" si="411"/>
        <v>0</v>
      </c>
      <c r="BE274" s="123"/>
      <c r="BF274" s="123"/>
      <c r="BG274" s="123"/>
      <c r="BH274" s="123"/>
      <c r="BI274" s="123"/>
      <c r="BJ274" s="123"/>
      <c r="BK274" s="123"/>
      <c r="BL274" s="123">
        <f>-19500-5276-9133-29709</f>
        <v>-63618</v>
      </c>
      <c r="BM274" s="102">
        <f t="shared" si="421"/>
        <v>-73191</v>
      </c>
      <c r="BN274" s="102">
        <f t="shared" si="417"/>
        <v>-9573</v>
      </c>
      <c r="BO274" s="102"/>
      <c r="BP274" s="102"/>
      <c r="BQ274" s="102">
        <v>-101</v>
      </c>
      <c r="BR274" s="102">
        <v>-2921</v>
      </c>
      <c r="BS274" s="102">
        <f>2187+1</f>
        <v>2188</v>
      </c>
      <c r="BT274" s="389">
        <f>-8739</f>
        <v>-8739</v>
      </c>
      <c r="BU274" s="102"/>
      <c r="BV274" s="102"/>
      <c r="BW274" s="389"/>
      <c r="BX274" s="103"/>
      <c r="BY274" s="107"/>
      <c r="CA274" s="36"/>
      <c r="CB274" s="36"/>
      <c r="CC274" s="36"/>
      <c r="CD274" s="36"/>
      <c r="CE274" s="36"/>
      <c r="CF274" s="36"/>
      <c r="CG274" s="36"/>
    </row>
    <row r="275" spans="1:85" s="386" customFormat="1" ht="12.75" hidden="1" outlineLevel="1" x14ac:dyDescent="0.2">
      <c r="A275" s="137"/>
      <c r="C275" s="283"/>
      <c r="D275" s="523" t="s">
        <v>779</v>
      </c>
      <c r="E275" s="524"/>
      <c r="F275" s="347">
        <f t="shared" ref="F275" si="433">H275+AC275+AO275+BA275+BB275+BL275</f>
        <v>0</v>
      </c>
      <c r="G275" s="101">
        <f t="shared" ref="G275" si="434">I275+AD275+AP275+BA275+BC275+BM275</f>
        <v>0</v>
      </c>
      <c r="H275" s="102"/>
      <c r="I275" s="102">
        <f t="shared" si="424"/>
        <v>0</v>
      </c>
      <c r="J275" s="102">
        <f t="shared" ref="J275" si="435">SUM(K275:AB275)</f>
        <v>0</v>
      </c>
      <c r="K275" s="102"/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102"/>
      <c r="X275" s="445"/>
      <c r="Y275" s="102"/>
      <c r="Z275" s="102"/>
      <c r="AA275" s="102"/>
      <c r="AB275" s="102"/>
      <c r="AC275" s="102"/>
      <c r="AD275" s="102">
        <f t="shared" si="414"/>
        <v>0</v>
      </c>
      <c r="AE275" s="102">
        <f t="shared" ref="AE275" si="436">SUM(AF275:AN275)</f>
        <v>0</v>
      </c>
      <c r="AF275" s="102"/>
      <c r="AG275" s="102"/>
      <c r="AH275" s="102"/>
      <c r="AI275" s="102"/>
      <c r="AJ275" s="102"/>
      <c r="AK275" s="102"/>
      <c r="AL275" s="445"/>
      <c r="AM275" s="102"/>
      <c r="AN275" s="102"/>
      <c r="AO275" s="102"/>
      <c r="AP275" s="123">
        <f t="shared" si="415"/>
        <v>0</v>
      </c>
      <c r="AQ275" s="123">
        <f t="shared" ref="AQ275" si="437">SUM(AR275:AZ275)</f>
        <v>0</v>
      </c>
      <c r="AR275" s="123">
        <v>108274</v>
      </c>
      <c r="AS275" s="123">
        <v>-45955</v>
      </c>
      <c r="AT275" s="123">
        <f>-2853-1359-85-4775-6597-2819-8302-564-1178-664-1914+920-776-174-439-356-941-504-158-453-1511-40-107+470-1462-33466+8592</f>
        <v>-61515</v>
      </c>
      <c r="AU275" s="123">
        <f>-804</f>
        <v>-804</v>
      </c>
      <c r="AV275" s="123"/>
      <c r="AW275" s="123"/>
      <c r="AX275" s="123"/>
      <c r="AY275" s="123"/>
      <c r="AZ275" s="123"/>
      <c r="BA275" s="123"/>
      <c r="BB275" s="123"/>
      <c r="BC275" s="123">
        <f t="shared" si="410"/>
        <v>0</v>
      </c>
      <c r="BD275" s="123">
        <f t="shared" ref="BD275" si="438">SUM(BE275:BK275)</f>
        <v>0</v>
      </c>
      <c r="BE275" s="123"/>
      <c r="BF275" s="123"/>
      <c r="BG275" s="123"/>
      <c r="BH275" s="123"/>
      <c r="BI275" s="123"/>
      <c r="BJ275" s="123"/>
      <c r="BK275" s="123"/>
      <c r="BL275" s="123"/>
      <c r="BM275" s="102">
        <f t="shared" ref="BM275" si="439">BN275+BL275</f>
        <v>0</v>
      </c>
      <c r="BN275" s="102">
        <f t="shared" ref="BN275" si="440">SUM(BO275:BW275)</f>
        <v>0</v>
      </c>
      <c r="BO275" s="102"/>
      <c r="BP275" s="102"/>
      <c r="BQ275" s="102"/>
      <c r="BR275" s="102"/>
      <c r="BS275" s="102"/>
      <c r="BT275" s="389"/>
      <c r="BU275" s="102"/>
      <c r="BV275" s="102"/>
      <c r="BW275" s="389"/>
      <c r="BX275" s="103"/>
      <c r="BY275" s="107"/>
      <c r="CA275" s="36"/>
      <c r="CB275" s="36"/>
      <c r="CC275" s="36"/>
      <c r="CD275" s="36"/>
      <c r="CE275" s="36"/>
      <c r="CF275" s="36"/>
      <c r="CG275" s="36"/>
    </row>
    <row r="276" spans="1:85" s="386" customFormat="1" ht="12.75" hidden="1" outlineLevel="1" x14ac:dyDescent="0.2">
      <c r="A276" s="137"/>
      <c r="C276" s="283"/>
      <c r="D276" s="523" t="s">
        <v>764</v>
      </c>
      <c r="E276" s="524"/>
      <c r="F276" s="347">
        <f t="shared" si="418"/>
        <v>0</v>
      </c>
      <c r="G276" s="101">
        <f t="shared" si="419"/>
        <v>34485</v>
      </c>
      <c r="H276" s="102"/>
      <c r="I276" s="102">
        <f t="shared" si="424"/>
        <v>0</v>
      </c>
      <c r="J276" s="102">
        <f t="shared" si="413"/>
        <v>0</v>
      </c>
      <c r="K276" s="102"/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  <c r="V276" s="102"/>
      <c r="W276" s="102"/>
      <c r="X276" s="445"/>
      <c r="Y276" s="102"/>
      <c r="Z276" s="102"/>
      <c r="AA276" s="102"/>
      <c r="AB276" s="102"/>
      <c r="AC276" s="102"/>
      <c r="AD276" s="102">
        <f t="shared" si="414"/>
        <v>0</v>
      </c>
      <c r="AE276" s="102">
        <f t="shared" si="420"/>
        <v>0</v>
      </c>
      <c r="AF276" s="102"/>
      <c r="AG276" s="102"/>
      <c r="AH276" s="102"/>
      <c r="AI276" s="102"/>
      <c r="AJ276" s="102"/>
      <c r="AK276" s="102"/>
      <c r="AL276" s="445"/>
      <c r="AM276" s="102"/>
      <c r="AN276" s="102"/>
      <c r="AO276" s="102"/>
      <c r="AP276" s="123">
        <f t="shared" si="415"/>
        <v>34485</v>
      </c>
      <c r="AQ276" s="123">
        <f t="shared" si="416"/>
        <v>34485</v>
      </c>
      <c r="AR276" s="123"/>
      <c r="AS276" s="123"/>
      <c r="AT276" s="123">
        <f>107+1462+32916</f>
        <v>34485</v>
      </c>
      <c r="AU276" s="123"/>
      <c r="AV276" s="123"/>
      <c r="AW276" s="123"/>
      <c r="AX276" s="123"/>
      <c r="AY276" s="123"/>
      <c r="AZ276" s="123"/>
      <c r="BA276" s="123"/>
      <c r="BB276" s="123"/>
      <c r="BC276" s="123">
        <f t="shared" si="410"/>
        <v>0</v>
      </c>
      <c r="BD276" s="123">
        <f t="shared" si="411"/>
        <v>0</v>
      </c>
      <c r="BE276" s="123"/>
      <c r="BF276" s="123"/>
      <c r="BG276" s="123"/>
      <c r="BH276" s="123"/>
      <c r="BI276" s="123"/>
      <c r="BJ276" s="123"/>
      <c r="BK276" s="123"/>
      <c r="BL276" s="123"/>
      <c r="BM276" s="102">
        <f t="shared" si="421"/>
        <v>0</v>
      </c>
      <c r="BN276" s="102">
        <f t="shared" si="417"/>
        <v>0</v>
      </c>
      <c r="BO276" s="102"/>
      <c r="BP276" s="102"/>
      <c r="BQ276" s="102"/>
      <c r="BR276" s="102"/>
      <c r="BS276" s="102"/>
      <c r="BT276" s="389"/>
      <c r="BU276" s="102"/>
      <c r="BV276" s="102"/>
      <c r="BW276" s="389"/>
      <c r="BX276" s="103"/>
      <c r="BY276" s="107"/>
      <c r="CA276" s="36"/>
      <c r="CB276" s="36"/>
      <c r="CC276" s="36"/>
      <c r="CD276" s="36"/>
      <c r="CE276" s="36"/>
      <c r="CF276" s="36"/>
      <c r="CG276" s="36"/>
    </row>
    <row r="277" spans="1:85" s="386" customFormat="1" ht="12.75" hidden="1" outlineLevel="1" x14ac:dyDescent="0.2">
      <c r="A277" s="137"/>
      <c r="C277" s="283"/>
      <c r="D277" s="523" t="s">
        <v>765</v>
      </c>
      <c r="E277" s="524"/>
      <c r="F277" s="347">
        <f t="shared" si="418"/>
        <v>4271</v>
      </c>
      <c r="G277" s="101">
        <f t="shared" si="419"/>
        <v>33151</v>
      </c>
      <c r="H277" s="102"/>
      <c r="I277" s="102">
        <f t="shared" si="424"/>
        <v>0</v>
      </c>
      <c r="J277" s="102">
        <f t="shared" si="413"/>
        <v>0</v>
      </c>
      <c r="K277" s="102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  <c r="V277" s="102"/>
      <c r="W277" s="102"/>
      <c r="X277" s="445"/>
      <c r="Y277" s="102"/>
      <c r="Z277" s="102"/>
      <c r="AA277" s="102"/>
      <c r="AB277" s="102"/>
      <c r="AC277" s="102"/>
      <c r="AD277" s="102">
        <f t="shared" si="414"/>
        <v>0</v>
      </c>
      <c r="AE277" s="102">
        <f t="shared" si="420"/>
        <v>0</v>
      </c>
      <c r="AF277" s="102"/>
      <c r="AG277" s="102"/>
      <c r="AH277" s="102"/>
      <c r="AI277" s="102"/>
      <c r="AJ277" s="102"/>
      <c r="AK277" s="102"/>
      <c r="AL277" s="445"/>
      <c r="AM277" s="102"/>
      <c r="AN277" s="102"/>
      <c r="AO277" s="102">
        <v>4271</v>
      </c>
      <c r="AP277" s="123">
        <f t="shared" si="415"/>
        <v>33151</v>
      </c>
      <c r="AQ277" s="123">
        <f t="shared" si="416"/>
        <v>28880</v>
      </c>
      <c r="AR277" s="123"/>
      <c r="AS277" s="123">
        <v>24808</v>
      </c>
      <c r="AT277" s="123">
        <f>4200+110</f>
        <v>4310</v>
      </c>
      <c r="AU277" s="123">
        <v>-238</v>
      </c>
      <c r="AV277" s="123"/>
      <c r="AW277" s="123"/>
      <c r="AX277" s="123"/>
      <c r="AY277" s="123"/>
      <c r="AZ277" s="123"/>
      <c r="BA277" s="123"/>
      <c r="BB277" s="123"/>
      <c r="BC277" s="123">
        <f t="shared" si="410"/>
        <v>0</v>
      </c>
      <c r="BD277" s="123">
        <f t="shared" si="411"/>
        <v>0</v>
      </c>
      <c r="BE277" s="123"/>
      <c r="BF277" s="123"/>
      <c r="BG277" s="123"/>
      <c r="BH277" s="123"/>
      <c r="BI277" s="123"/>
      <c r="BJ277" s="123"/>
      <c r="BK277" s="123"/>
      <c r="BL277" s="123"/>
      <c r="BM277" s="102">
        <f t="shared" si="421"/>
        <v>0</v>
      </c>
      <c r="BN277" s="102">
        <f t="shared" si="417"/>
        <v>0</v>
      </c>
      <c r="BO277" s="102"/>
      <c r="BP277" s="102"/>
      <c r="BQ277" s="102"/>
      <c r="BR277" s="102"/>
      <c r="BS277" s="102"/>
      <c r="BT277" s="389"/>
      <c r="BU277" s="102"/>
      <c r="BV277" s="102"/>
      <c r="BW277" s="389"/>
      <c r="BX277" s="103"/>
      <c r="BY277" s="107"/>
      <c r="CA277" s="36"/>
      <c r="CB277" s="36"/>
      <c r="CC277" s="36"/>
      <c r="CD277" s="36"/>
      <c r="CE277" s="36"/>
      <c r="CF277" s="36"/>
      <c r="CG277" s="36"/>
    </row>
    <row r="278" spans="1:85" s="386" customFormat="1" ht="12.75" hidden="1" outlineLevel="1" x14ac:dyDescent="0.2">
      <c r="A278" s="137"/>
      <c r="C278" s="283"/>
      <c r="D278" s="523" t="s">
        <v>56</v>
      </c>
      <c r="E278" s="524"/>
      <c r="F278" s="347">
        <f t="shared" si="418"/>
        <v>0</v>
      </c>
      <c r="G278" s="101">
        <f t="shared" si="419"/>
        <v>0</v>
      </c>
      <c r="H278" s="102"/>
      <c r="I278" s="102">
        <f t="shared" si="424"/>
        <v>0</v>
      </c>
      <c r="J278" s="102">
        <f t="shared" si="413"/>
        <v>0</v>
      </c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  <c r="V278" s="102"/>
      <c r="W278" s="102"/>
      <c r="X278" s="445"/>
      <c r="Y278" s="102"/>
      <c r="Z278" s="102"/>
      <c r="AA278" s="102"/>
      <c r="AB278" s="102"/>
      <c r="AC278" s="102"/>
      <c r="AD278" s="102">
        <f t="shared" si="414"/>
        <v>0</v>
      </c>
      <c r="AE278" s="102">
        <f t="shared" si="420"/>
        <v>0</v>
      </c>
      <c r="AF278" s="102"/>
      <c r="AG278" s="102"/>
      <c r="AH278" s="102"/>
      <c r="AI278" s="102"/>
      <c r="AJ278" s="102"/>
      <c r="AK278" s="102"/>
      <c r="AL278" s="445"/>
      <c r="AM278" s="102"/>
      <c r="AN278" s="102"/>
      <c r="AO278" s="102"/>
      <c r="AP278" s="123">
        <f t="shared" si="415"/>
        <v>0</v>
      </c>
      <c r="AQ278" s="123">
        <f t="shared" si="416"/>
        <v>0</v>
      </c>
      <c r="AR278" s="123"/>
      <c r="AS278" s="123"/>
      <c r="AT278" s="123"/>
      <c r="AU278" s="123"/>
      <c r="AV278" s="123"/>
      <c r="AW278" s="123"/>
      <c r="AX278" s="123"/>
      <c r="AY278" s="123"/>
      <c r="AZ278" s="123"/>
      <c r="BA278" s="123"/>
      <c r="BB278" s="123"/>
      <c r="BC278" s="123">
        <f t="shared" si="410"/>
        <v>0</v>
      </c>
      <c r="BD278" s="123">
        <f t="shared" si="411"/>
        <v>0</v>
      </c>
      <c r="BE278" s="123"/>
      <c r="BF278" s="123"/>
      <c r="BG278" s="123"/>
      <c r="BH278" s="123"/>
      <c r="BI278" s="123"/>
      <c r="BJ278" s="123"/>
      <c r="BK278" s="123"/>
      <c r="BL278" s="123"/>
      <c r="BM278" s="102">
        <f t="shared" si="421"/>
        <v>0</v>
      </c>
      <c r="BN278" s="102">
        <f t="shared" si="417"/>
        <v>0</v>
      </c>
      <c r="BO278" s="102"/>
      <c r="BP278" s="102"/>
      <c r="BQ278" s="102"/>
      <c r="BR278" s="102"/>
      <c r="BS278" s="102"/>
      <c r="BT278" s="389"/>
      <c r="BU278" s="102"/>
      <c r="BV278" s="102"/>
      <c r="BW278" s="389"/>
      <c r="BX278" s="103"/>
      <c r="BY278" s="107"/>
      <c r="CA278" s="36"/>
      <c r="CB278" s="36"/>
      <c r="CC278" s="36"/>
      <c r="CD278" s="36"/>
      <c r="CE278" s="36"/>
      <c r="CF278" s="36"/>
      <c r="CG278" s="36"/>
    </row>
    <row r="279" spans="1:85" s="386" customFormat="1" ht="12.75" hidden="1" outlineLevel="1" x14ac:dyDescent="0.2">
      <c r="A279" s="137"/>
      <c r="C279" s="283"/>
      <c r="D279" s="523" t="s">
        <v>766</v>
      </c>
      <c r="E279" s="524"/>
      <c r="F279" s="347">
        <f t="shared" si="418"/>
        <v>0</v>
      </c>
      <c r="G279" s="101">
        <f t="shared" si="419"/>
        <v>0</v>
      </c>
      <c r="H279" s="102"/>
      <c r="I279" s="102">
        <f t="shared" si="424"/>
        <v>0</v>
      </c>
      <c r="J279" s="102">
        <f t="shared" si="413"/>
        <v>0</v>
      </c>
      <c r="K279" s="102"/>
      <c r="L279" s="102"/>
      <c r="M279" s="102"/>
      <c r="N279" s="102"/>
      <c r="O279" s="102"/>
      <c r="P279" s="102"/>
      <c r="Q279" s="102"/>
      <c r="R279" s="102"/>
      <c r="S279" s="102"/>
      <c r="T279" s="102"/>
      <c r="U279" s="102"/>
      <c r="V279" s="102"/>
      <c r="W279" s="102"/>
      <c r="X279" s="445"/>
      <c r="Y279" s="102"/>
      <c r="Z279" s="102"/>
      <c r="AA279" s="102"/>
      <c r="AB279" s="102"/>
      <c r="AC279" s="102"/>
      <c r="AD279" s="102">
        <f t="shared" si="414"/>
        <v>0</v>
      </c>
      <c r="AE279" s="102">
        <f t="shared" si="420"/>
        <v>0</v>
      </c>
      <c r="AF279" s="102">
        <v>11</v>
      </c>
      <c r="AG279" s="102"/>
      <c r="AH279" s="102">
        <f>-2-9</f>
        <v>-11</v>
      </c>
      <c r="AI279" s="102"/>
      <c r="AJ279" s="102"/>
      <c r="AK279" s="102"/>
      <c r="AL279" s="445"/>
      <c r="AM279" s="102"/>
      <c r="AN279" s="102"/>
      <c r="AO279" s="102"/>
      <c r="AP279" s="123">
        <f t="shared" si="415"/>
        <v>0</v>
      </c>
      <c r="AQ279" s="123">
        <f t="shared" si="416"/>
        <v>0</v>
      </c>
      <c r="AR279" s="123"/>
      <c r="AS279" s="123"/>
      <c r="AT279" s="123"/>
      <c r="AU279" s="123"/>
      <c r="AV279" s="123"/>
      <c r="AW279" s="123"/>
      <c r="AX279" s="123"/>
      <c r="AY279" s="123"/>
      <c r="AZ279" s="123"/>
      <c r="BA279" s="123"/>
      <c r="BB279" s="123"/>
      <c r="BC279" s="123">
        <f t="shared" si="410"/>
        <v>0</v>
      </c>
      <c r="BD279" s="123">
        <f t="shared" si="411"/>
        <v>0</v>
      </c>
      <c r="BE279" s="123"/>
      <c r="BF279" s="123"/>
      <c r="BG279" s="123"/>
      <c r="BH279" s="123"/>
      <c r="BI279" s="123"/>
      <c r="BJ279" s="123"/>
      <c r="BK279" s="123"/>
      <c r="BL279" s="123"/>
      <c r="BM279" s="102">
        <f t="shared" si="421"/>
        <v>0</v>
      </c>
      <c r="BN279" s="102">
        <f t="shared" si="417"/>
        <v>0</v>
      </c>
      <c r="BO279" s="102"/>
      <c r="BP279" s="102"/>
      <c r="BQ279" s="102"/>
      <c r="BR279" s="102"/>
      <c r="BS279" s="102"/>
      <c r="BT279" s="389"/>
      <c r="BU279" s="102"/>
      <c r="BV279" s="102"/>
      <c r="BW279" s="389"/>
      <c r="BX279" s="103"/>
      <c r="BY279" s="107"/>
      <c r="CA279" s="36"/>
      <c r="CB279" s="36"/>
      <c r="CC279" s="36"/>
      <c r="CD279" s="36"/>
      <c r="CE279" s="36"/>
      <c r="CF279" s="36"/>
      <c r="CG279" s="36"/>
    </row>
    <row r="280" spans="1:85" s="386" customFormat="1" ht="12.75" hidden="1" outlineLevel="1" x14ac:dyDescent="0.2">
      <c r="A280" s="137"/>
      <c r="C280" s="283"/>
      <c r="D280" s="523" t="s">
        <v>767</v>
      </c>
      <c r="E280" s="524"/>
      <c r="F280" s="347">
        <f t="shared" si="418"/>
        <v>30147</v>
      </c>
      <c r="G280" s="101">
        <f t="shared" si="419"/>
        <v>148605</v>
      </c>
      <c r="H280" s="102"/>
      <c r="I280" s="102">
        <f t="shared" si="424"/>
        <v>0</v>
      </c>
      <c r="J280" s="102">
        <f t="shared" si="413"/>
        <v>0</v>
      </c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  <c r="V280" s="102"/>
      <c r="W280" s="102"/>
      <c r="X280" s="445"/>
      <c r="Y280" s="102"/>
      <c r="Z280" s="102"/>
      <c r="AA280" s="102"/>
      <c r="AB280" s="102"/>
      <c r="AC280" s="102">
        <v>30147</v>
      </c>
      <c r="AD280" s="102">
        <f t="shared" si="414"/>
        <v>148605</v>
      </c>
      <c r="AE280" s="102">
        <f t="shared" si="420"/>
        <v>118458</v>
      </c>
      <c r="AF280" s="102">
        <v>118458</v>
      </c>
      <c r="AG280" s="102"/>
      <c r="AH280" s="102"/>
      <c r="AI280" s="102"/>
      <c r="AJ280" s="102"/>
      <c r="AK280" s="102"/>
      <c r="AL280" s="445"/>
      <c r="AM280" s="102"/>
      <c r="AN280" s="102"/>
      <c r="AO280" s="102"/>
      <c r="AP280" s="123">
        <f t="shared" si="415"/>
        <v>0</v>
      </c>
      <c r="AQ280" s="123">
        <f t="shared" si="416"/>
        <v>0</v>
      </c>
      <c r="AR280" s="123"/>
      <c r="AS280" s="123"/>
      <c r="AT280" s="123"/>
      <c r="AU280" s="123"/>
      <c r="AV280" s="123"/>
      <c r="AW280" s="123"/>
      <c r="AX280" s="123"/>
      <c r="AY280" s="123"/>
      <c r="AZ280" s="123"/>
      <c r="BA280" s="123"/>
      <c r="BB280" s="123"/>
      <c r="BC280" s="123">
        <f t="shared" si="410"/>
        <v>0</v>
      </c>
      <c r="BD280" s="123">
        <f t="shared" si="411"/>
        <v>0</v>
      </c>
      <c r="BE280" s="123"/>
      <c r="BF280" s="123"/>
      <c r="BG280" s="123"/>
      <c r="BH280" s="123"/>
      <c r="BI280" s="123"/>
      <c r="BJ280" s="123"/>
      <c r="BK280" s="123"/>
      <c r="BL280" s="123"/>
      <c r="BM280" s="102">
        <f t="shared" si="421"/>
        <v>0</v>
      </c>
      <c r="BN280" s="102">
        <f t="shared" si="417"/>
        <v>0</v>
      </c>
      <c r="BO280" s="102"/>
      <c r="BP280" s="102"/>
      <c r="BQ280" s="102"/>
      <c r="BR280" s="102"/>
      <c r="BS280" s="102"/>
      <c r="BT280" s="389"/>
      <c r="BU280" s="102"/>
      <c r="BV280" s="102"/>
      <c r="BW280" s="389"/>
      <c r="BX280" s="103"/>
      <c r="BY280" s="107"/>
      <c r="CA280" s="36"/>
      <c r="CB280" s="36"/>
      <c r="CC280" s="36"/>
      <c r="CD280" s="36"/>
      <c r="CE280" s="36"/>
      <c r="CF280" s="36"/>
      <c r="CG280" s="36"/>
    </row>
    <row r="281" spans="1:85" s="386" customFormat="1" ht="12.75" hidden="1" outlineLevel="1" x14ac:dyDescent="0.2">
      <c r="A281" s="137"/>
      <c r="C281" s="283"/>
      <c r="D281" s="527" t="s">
        <v>768</v>
      </c>
      <c r="E281" s="528"/>
      <c r="F281" s="347">
        <f t="shared" si="418"/>
        <v>54762</v>
      </c>
      <c r="G281" s="101">
        <f t="shared" si="419"/>
        <v>55004</v>
      </c>
      <c r="H281" s="102"/>
      <c r="I281" s="102">
        <f t="shared" si="424"/>
        <v>0</v>
      </c>
      <c r="J281" s="102">
        <f t="shared" si="413"/>
        <v>0</v>
      </c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  <c r="V281" s="102"/>
      <c r="W281" s="102"/>
      <c r="X281" s="445"/>
      <c r="Y281" s="102"/>
      <c r="Z281" s="102"/>
      <c r="AA281" s="102"/>
      <c r="AB281" s="102"/>
      <c r="AC281" s="102">
        <v>54762</v>
      </c>
      <c r="AD281" s="102">
        <f t="shared" si="414"/>
        <v>55004</v>
      </c>
      <c r="AE281" s="102">
        <f t="shared" si="420"/>
        <v>242</v>
      </c>
      <c r="AF281" s="102">
        <v>242</v>
      </c>
      <c r="AG281" s="102"/>
      <c r="AH281" s="102"/>
      <c r="AI281" s="102"/>
      <c r="AJ281" s="102"/>
      <c r="AK281" s="102"/>
      <c r="AL281" s="445"/>
      <c r="AM281" s="102"/>
      <c r="AN281" s="102"/>
      <c r="AO281" s="102"/>
      <c r="AP281" s="123">
        <f t="shared" si="415"/>
        <v>0</v>
      </c>
      <c r="AQ281" s="123">
        <f t="shared" si="416"/>
        <v>0</v>
      </c>
      <c r="AR281" s="123"/>
      <c r="AS281" s="123"/>
      <c r="AT281" s="123"/>
      <c r="AU281" s="123"/>
      <c r="AV281" s="123"/>
      <c r="AW281" s="123"/>
      <c r="AX281" s="123"/>
      <c r="AY281" s="123"/>
      <c r="AZ281" s="123"/>
      <c r="BA281" s="123"/>
      <c r="BB281" s="123"/>
      <c r="BC281" s="123">
        <f t="shared" si="410"/>
        <v>0</v>
      </c>
      <c r="BD281" s="123">
        <f t="shared" si="411"/>
        <v>0</v>
      </c>
      <c r="BE281" s="123"/>
      <c r="BF281" s="123"/>
      <c r="BG281" s="123"/>
      <c r="BH281" s="123"/>
      <c r="BI281" s="123"/>
      <c r="BJ281" s="123"/>
      <c r="BK281" s="123"/>
      <c r="BL281" s="123"/>
      <c r="BM281" s="102">
        <f t="shared" si="421"/>
        <v>0</v>
      </c>
      <c r="BN281" s="102">
        <f t="shared" si="417"/>
        <v>0</v>
      </c>
      <c r="BO281" s="102"/>
      <c r="BP281" s="102"/>
      <c r="BQ281" s="102"/>
      <c r="BR281" s="102"/>
      <c r="BS281" s="102"/>
      <c r="BT281" s="389"/>
      <c r="BU281" s="102"/>
      <c r="BV281" s="102"/>
      <c r="BW281" s="389"/>
      <c r="BX281" s="103"/>
      <c r="BY281" s="107"/>
      <c r="CA281" s="36"/>
      <c r="CB281" s="36"/>
      <c r="CC281" s="36"/>
      <c r="CD281" s="36"/>
      <c r="CE281" s="36"/>
      <c r="CF281" s="36"/>
      <c r="CG281" s="36"/>
    </row>
    <row r="282" spans="1:85" s="386" customFormat="1" ht="12.75" hidden="1" outlineLevel="1" x14ac:dyDescent="0.2">
      <c r="A282" s="137"/>
      <c r="C282" s="283"/>
      <c r="D282" s="523" t="s">
        <v>769</v>
      </c>
      <c r="E282" s="524"/>
      <c r="F282" s="347">
        <f t="shared" si="418"/>
        <v>0</v>
      </c>
      <c r="G282" s="101">
        <f t="shared" si="419"/>
        <v>0</v>
      </c>
      <c r="H282" s="102"/>
      <c r="I282" s="102">
        <f t="shared" si="424"/>
        <v>0</v>
      </c>
      <c r="J282" s="102">
        <f t="shared" si="413"/>
        <v>0</v>
      </c>
      <c r="K282" s="102"/>
      <c r="L282" s="102"/>
      <c r="M282" s="102"/>
      <c r="N282" s="102"/>
      <c r="O282" s="102"/>
      <c r="P282" s="102"/>
      <c r="Q282" s="102"/>
      <c r="R282" s="102"/>
      <c r="S282" s="102"/>
      <c r="T282" s="102"/>
      <c r="U282" s="102"/>
      <c r="V282" s="102"/>
      <c r="W282" s="102"/>
      <c r="X282" s="445"/>
      <c r="Y282" s="102"/>
      <c r="Z282" s="102"/>
      <c r="AA282" s="102"/>
      <c r="AB282" s="102"/>
      <c r="AC282" s="102"/>
      <c r="AD282" s="102">
        <f t="shared" si="414"/>
        <v>0</v>
      </c>
      <c r="AE282" s="102">
        <f t="shared" si="420"/>
        <v>0</v>
      </c>
      <c r="AF282" s="102"/>
      <c r="AG282" s="102"/>
      <c r="AH282" s="102"/>
      <c r="AI282" s="102"/>
      <c r="AJ282" s="102"/>
      <c r="AK282" s="102"/>
      <c r="AL282" s="445"/>
      <c r="AM282" s="102"/>
      <c r="AN282" s="102"/>
      <c r="AO282" s="102"/>
      <c r="AP282" s="123">
        <f t="shared" si="415"/>
        <v>0</v>
      </c>
      <c r="AQ282" s="123">
        <f t="shared" si="416"/>
        <v>0</v>
      </c>
      <c r="AR282" s="123"/>
      <c r="AS282" s="123"/>
      <c r="AT282" s="123"/>
      <c r="AU282" s="123"/>
      <c r="AV282" s="123"/>
      <c r="AW282" s="123"/>
      <c r="AX282" s="123"/>
      <c r="AY282" s="123"/>
      <c r="AZ282" s="123"/>
      <c r="BA282" s="123"/>
      <c r="BB282" s="123"/>
      <c r="BC282" s="123">
        <f t="shared" si="410"/>
        <v>0</v>
      </c>
      <c r="BD282" s="123">
        <f t="shared" si="411"/>
        <v>0</v>
      </c>
      <c r="BE282" s="123"/>
      <c r="BF282" s="123"/>
      <c r="BG282" s="123"/>
      <c r="BH282" s="123"/>
      <c r="BI282" s="123"/>
      <c r="BJ282" s="123"/>
      <c r="BK282" s="123"/>
      <c r="BL282" s="123"/>
      <c r="BM282" s="102">
        <f t="shared" si="421"/>
        <v>0</v>
      </c>
      <c r="BN282" s="102">
        <f t="shared" si="417"/>
        <v>0</v>
      </c>
      <c r="BO282" s="102"/>
      <c r="BP282" s="102"/>
      <c r="BQ282" s="102"/>
      <c r="BR282" s="102"/>
      <c r="BS282" s="102"/>
      <c r="BT282" s="389"/>
      <c r="BU282" s="102"/>
      <c r="BV282" s="102"/>
      <c r="BW282" s="389"/>
      <c r="BX282" s="103"/>
      <c r="BY282" s="107"/>
      <c r="CA282" s="36"/>
      <c r="CB282" s="36"/>
      <c r="CC282" s="36"/>
      <c r="CD282" s="36"/>
      <c r="CE282" s="36"/>
      <c r="CF282" s="36"/>
      <c r="CG282" s="36"/>
    </row>
    <row r="283" spans="1:85" s="386" customFormat="1" ht="12.75" hidden="1" outlineLevel="1" x14ac:dyDescent="0.2">
      <c r="A283" s="137"/>
      <c r="C283" s="283"/>
      <c r="D283" s="523" t="s">
        <v>770</v>
      </c>
      <c r="E283" s="524"/>
      <c r="F283" s="347">
        <f t="shared" si="418"/>
        <v>1284</v>
      </c>
      <c r="G283" s="101">
        <f t="shared" si="419"/>
        <v>32015</v>
      </c>
      <c r="H283" s="102"/>
      <c r="I283" s="102">
        <f t="shared" si="424"/>
        <v>0</v>
      </c>
      <c r="J283" s="102">
        <f t="shared" si="413"/>
        <v>0</v>
      </c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  <c r="V283" s="102"/>
      <c r="W283" s="102"/>
      <c r="X283" s="445"/>
      <c r="Y283" s="102"/>
      <c r="Z283" s="102"/>
      <c r="AA283" s="102"/>
      <c r="AB283" s="102"/>
      <c r="AC283" s="102">
        <v>1284</v>
      </c>
      <c r="AD283" s="102">
        <f t="shared" si="414"/>
        <v>32015</v>
      </c>
      <c r="AE283" s="102">
        <f t="shared" si="420"/>
        <v>30731</v>
      </c>
      <c r="AF283" s="102">
        <v>30731</v>
      </c>
      <c r="AG283" s="102"/>
      <c r="AH283" s="102"/>
      <c r="AI283" s="102"/>
      <c r="AJ283" s="102"/>
      <c r="AK283" s="102"/>
      <c r="AL283" s="445"/>
      <c r="AM283" s="102"/>
      <c r="AN283" s="102"/>
      <c r="AO283" s="102"/>
      <c r="AP283" s="123">
        <f t="shared" si="415"/>
        <v>0</v>
      </c>
      <c r="AQ283" s="123">
        <f t="shared" si="416"/>
        <v>0</v>
      </c>
      <c r="AR283" s="123"/>
      <c r="AS283" s="123"/>
      <c r="AT283" s="123"/>
      <c r="AU283" s="123"/>
      <c r="AV283" s="123"/>
      <c r="AW283" s="123"/>
      <c r="AX283" s="123"/>
      <c r="AY283" s="123"/>
      <c r="AZ283" s="123"/>
      <c r="BA283" s="123"/>
      <c r="BB283" s="123"/>
      <c r="BC283" s="123">
        <f t="shared" si="410"/>
        <v>0</v>
      </c>
      <c r="BD283" s="123">
        <f t="shared" si="411"/>
        <v>0</v>
      </c>
      <c r="BE283" s="123"/>
      <c r="BF283" s="123"/>
      <c r="BG283" s="123"/>
      <c r="BH283" s="123"/>
      <c r="BI283" s="123"/>
      <c r="BJ283" s="123"/>
      <c r="BK283" s="123"/>
      <c r="BL283" s="123"/>
      <c r="BM283" s="102">
        <f t="shared" si="421"/>
        <v>0</v>
      </c>
      <c r="BN283" s="102">
        <f t="shared" si="417"/>
        <v>0</v>
      </c>
      <c r="BO283" s="102"/>
      <c r="BP283" s="102"/>
      <c r="BQ283" s="102"/>
      <c r="BR283" s="102"/>
      <c r="BS283" s="102"/>
      <c r="BT283" s="389"/>
      <c r="BU283" s="102"/>
      <c r="BV283" s="102"/>
      <c r="BW283" s="389"/>
      <c r="BX283" s="103"/>
      <c r="BY283" s="107"/>
      <c r="CA283" s="36"/>
      <c r="CB283" s="36"/>
      <c r="CC283" s="36"/>
      <c r="CD283" s="36"/>
      <c r="CE283" s="36"/>
      <c r="CF283" s="36"/>
      <c r="CG283" s="36"/>
    </row>
    <row r="284" spans="1:85" s="386" customFormat="1" ht="12.75" hidden="1" outlineLevel="1" x14ac:dyDescent="0.2">
      <c r="A284" s="137"/>
      <c r="C284" s="283"/>
      <c r="D284" s="523" t="s">
        <v>771</v>
      </c>
      <c r="E284" s="524"/>
      <c r="F284" s="347">
        <f t="shared" si="418"/>
        <v>0</v>
      </c>
      <c r="G284" s="101">
        <f t="shared" si="419"/>
        <v>0</v>
      </c>
      <c r="H284" s="102"/>
      <c r="I284" s="102">
        <f t="shared" si="424"/>
        <v>0</v>
      </c>
      <c r="J284" s="102">
        <f t="shared" si="413"/>
        <v>0</v>
      </c>
      <c r="K284" s="102"/>
      <c r="L284" s="102"/>
      <c r="M284" s="102"/>
      <c r="N284" s="102"/>
      <c r="O284" s="102"/>
      <c r="P284" s="102"/>
      <c r="Q284" s="102"/>
      <c r="R284" s="102"/>
      <c r="S284" s="102"/>
      <c r="T284" s="102"/>
      <c r="U284" s="102"/>
      <c r="V284" s="102"/>
      <c r="W284" s="102"/>
      <c r="X284" s="445"/>
      <c r="Y284" s="102"/>
      <c r="Z284" s="102"/>
      <c r="AA284" s="102"/>
      <c r="AB284" s="102"/>
      <c r="AC284" s="102"/>
      <c r="AD284" s="102">
        <f t="shared" si="414"/>
        <v>0</v>
      </c>
      <c r="AE284" s="102">
        <f t="shared" si="420"/>
        <v>0</v>
      </c>
      <c r="AF284" s="102">
        <v>17023</v>
      </c>
      <c r="AG284" s="102"/>
      <c r="AH284" s="102">
        <v>-17023</v>
      </c>
      <c r="AI284" s="102"/>
      <c r="AJ284" s="102"/>
      <c r="AK284" s="102"/>
      <c r="AL284" s="445"/>
      <c r="AM284" s="102"/>
      <c r="AN284" s="102"/>
      <c r="AO284" s="102"/>
      <c r="AP284" s="123">
        <f t="shared" si="415"/>
        <v>0</v>
      </c>
      <c r="AQ284" s="123">
        <f t="shared" si="416"/>
        <v>0</v>
      </c>
      <c r="AR284" s="123"/>
      <c r="AS284" s="123"/>
      <c r="AT284" s="123"/>
      <c r="AU284" s="123"/>
      <c r="AV284" s="123"/>
      <c r="AW284" s="123"/>
      <c r="AX284" s="123"/>
      <c r="AY284" s="123"/>
      <c r="AZ284" s="123"/>
      <c r="BA284" s="123"/>
      <c r="BB284" s="123"/>
      <c r="BC284" s="123">
        <f t="shared" si="410"/>
        <v>0</v>
      </c>
      <c r="BD284" s="123">
        <f t="shared" si="411"/>
        <v>0</v>
      </c>
      <c r="BE284" s="123"/>
      <c r="BF284" s="123"/>
      <c r="BG284" s="123"/>
      <c r="BH284" s="123"/>
      <c r="BI284" s="123"/>
      <c r="BJ284" s="123"/>
      <c r="BK284" s="123"/>
      <c r="BL284" s="123"/>
      <c r="BM284" s="102">
        <f t="shared" si="421"/>
        <v>0</v>
      </c>
      <c r="BN284" s="102">
        <f t="shared" si="417"/>
        <v>0</v>
      </c>
      <c r="BO284" s="102"/>
      <c r="BP284" s="102"/>
      <c r="BQ284" s="102"/>
      <c r="BR284" s="102"/>
      <c r="BS284" s="102"/>
      <c r="BT284" s="389"/>
      <c r="BU284" s="102"/>
      <c r="BV284" s="102"/>
      <c r="BW284" s="389"/>
      <c r="BX284" s="103"/>
      <c r="BY284" s="107"/>
      <c r="CA284" s="36"/>
      <c r="CB284" s="36"/>
      <c r="CC284" s="36"/>
      <c r="CD284" s="36"/>
      <c r="CE284" s="36"/>
      <c r="CF284" s="36"/>
      <c r="CG284" s="36"/>
    </row>
    <row r="285" spans="1:85" s="386" customFormat="1" ht="12.75" hidden="1" outlineLevel="1" x14ac:dyDescent="0.2">
      <c r="A285" s="137"/>
      <c r="C285" s="283"/>
      <c r="D285" s="523" t="s">
        <v>772</v>
      </c>
      <c r="E285" s="524"/>
      <c r="F285" s="347">
        <f t="shared" si="418"/>
        <v>0</v>
      </c>
      <c r="G285" s="101">
        <f t="shared" si="419"/>
        <v>0</v>
      </c>
      <c r="H285" s="102"/>
      <c r="I285" s="102">
        <f t="shared" si="424"/>
        <v>0</v>
      </c>
      <c r="J285" s="102">
        <f t="shared" si="413"/>
        <v>0</v>
      </c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102"/>
      <c r="X285" s="445"/>
      <c r="Y285" s="102"/>
      <c r="Z285" s="102"/>
      <c r="AA285" s="102"/>
      <c r="AB285" s="102"/>
      <c r="AC285" s="102"/>
      <c r="AD285" s="102">
        <f t="shared" si="414"/>
        <v>0</v>
      </c>
      <c r="AE285" s="102">
        <f t="shared" si="420"/>
        <v>0</v>
      </c>
      <c r="AF285" s="102">
        <v>2788</v>
      </c>
      <c r="AG285" s="102"/>
      <c r="AH285" s="102">
        <f>-403-2385</f>
        <v>-2788</v>
      </c>
      <c r="AI285" s="102"/>
      <c r="AJ285" s="102"/>
      <c r="AK285" s="102"/>
      <c r="AL285" s="445"/>
      <c r="AM285" s="102"/>
      <c r="AN285" s="102"/>
      <c r="AO285" s="102"/>
      <c r="AP285" s="123">
        <f t="shared" si="415"/>
        <v>0</v>
      </c>
      <c r="AQ285" s="123">
        <f t="shared" si="416"/>
        <v>0</v>
      </c>
      <c r="AR285" s="123"/>
      <c r="AS285" s="123"/>
      <c r="AT285" s="123"/>
      <c r="AU285" s="123"/>
      <c r="AV285" s="123"/>
      <c r="AW285" s="123"/>
      <c r="AX285" s="123"/>
      <c r="AY285" s="123"/>
      <c r="AZ285" s="123"/>
      <c r="BA285" s="123"/>
      <c r="BB285" s="123"/>
      <c r="BC285" s="123">
        <f t="shared" si="410"/>
        <v>0</v>
      </c>
      <c r="BD285" s="123">
        <f t="shared" si="411"/>
        <v>0</v>
      </c>
      <c r="BE285" s="123"/>
      <c r="BF285" s="123"/>
      <c r="BG285" s="123"/>
      <c r="BH285" s="123"/>
      <c r="BI285" s="123"/>
      <c r="BJ285" s="123"/>
      <c r="BK285" s="123"/>
      <c r="BL285" s="123"/>
      <c r="BM285" s="102">
        <f t="shared" si="421"/>
        <v>0</v>
      </c>
      <c r="BN285" s="102">
        <f t="shared" si="417"/>
        <v>0</v>
      </c>
      <c r="BO285" s="102"/>
      <c r="BP285" s="102"/>
      <c r="BQ285" s="102"/>
      <c r="BR285" s="102"/>
      <c r="BS285" s="102"/>
      <c r="BT285" s="389"/>
      <c r="BU285" s="102"/>
      <c r="BV285" s="102"/>
      <c r="BW285" s="389"/>
      <c r="BX285" s="103"/>
      <c r="BY285" s="107"/>
      <c r="CA285" s="36"/>
      <c r="CB285" s="36"/>
      <c r="CC285" s="36"/>
      <c r="CD285" s="36"/>
      <c r="CE285" s="36"/>
      <c r="CF285" s="36"/>
      <c r="CG285" s="36"/>
    </row>
    <row r="286" spans="1:85" s="386" customFormat="1" ht="12.75" hidden="1" outlineLevel="1" x14ac:dyDescent="0.2">
      <c r="A286" s="137"/>
      <c r="C286" s="283"/>
      <c r="D286" s="523" t="s">
        <v>773</v>
      </c>
      <c r="E286" s="524"/>
      <c r="F286" s="347">
        <f t="shared" si="418"/>
        <v>0</v>
      </c>
      <c r="G286" s="101">
        <f t="shared" si="419"/>
        <v>0</v>
      </c>
      <c r="H286" s="102"/>
      <c r="I286" s="102">
        <f t="shared" si="424"/>
        <v>0</v>
      </c>
      <c r="J286" s="102">
        <f t="shared" si="413"/>
        <v>0</v>
      </c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  <c r="V286" s="102"/>
      <c r="W286" s="102"/>
      <c r="X286" s="445"/>
      <c r="Y286" s="102"/>
      <c r="Z286" s="102"/>
      <c r="AA286" s="102"/>
      <c r="AB286" s="102"/>
      <c r="AC286" s="102"/>
      <c r="AD286" s="102">
        <f t="shared" si="414"/>
        <v>0</v>
      </c>
      <c r="AE286" s="102">
        <f t="shared" si="420"/>
        <v>0</v>
      </c>
      <c r="AF286" s="102"/>
      <c r="AG286" s="102"/>
      <c r="AH286" s="102"/>
      <c r="AI286" s="102"/>
      <c r="AJ286" s="102"/>
      <c r="AK286" s="102"/>
      <c r="AL286" s="445"/>
      <c r="AM286" s="102"/>
      <c r="AN286" s="102"/>
      <c r="AO286" s="102"/>
      <c r="AP286" s="123">
        <f t="shared" si="415"/>
        <v>0</v>
      </c>
      <c r="AQ286" s="123">
        <f t="shared" si="416"/>
        <v>0</v>
      </c>
      <c r="AR286" s="123"/>
      <c r="AS286" s="123"/>
      <c r="AT286" s="123"/>
      <c r="AU286" s="123"/>
      <c r="AV286" s="123"/>
      <c r="AW286" s="123"/>
      <c r="AX286" s="123"/>
      <c r="AY286" s="123"/>
      <c r="AZ286" s="123"/>
      <c r="BA286" s="123"/>
      <c r="BB286" s="123"/>
      <c r="BC286" s="123">
        <f t="shared" si="410"/>
        <v>0</v>
      </c>
      <c r="BD286" s="123">
        <f t="shared" si="411"/>
        <v>0</v>
      </c>
      <c r="BE286" s="123"/>
      <c r="BF286" s="123"/>
      <c r="BG286" s="123"/>
      <c r="BH286" s="123"/>
      <c r="BI286" s="123"/>
      <c r="BJ286" s="123"/>
      <c r="BK286" s="123"/>
      <c r="BL286" s="123"/>
      <c r="BM286" s="102">
        <f t="shared" si="421"/>
        <v>0</v>
      </c>
      <c r="BN286" s="102">
        <f t="shared" si="417"/>
        <v>0</v>
      </c>
      <c r="BO286" s="102"/>
      <c r="BP286" s="102"/>
      <c r="BQ286" s="102"/>
      <c r="BR286" s="102"/>
      <c r="BS286" s="102"/>
      <c r="BT286" s="389"/>
      <c r="BU286" s="102"/>
      <c r="BV286" s="102"/>
      <c r="BW286" s="389"/>
      <c r="BX286" s="103"/>
      <c r="BY286" s="107"/>
      <c r="CA286" s="36"/>
      <c r="CB286" s="36"/>
      <c r="CC286" s="36"/>
      <c r="CD286" s="36"/>
      <c r="CE286" s="36"/>
      <c r="CF286" s="36"/>
      <c r="CG286" s="36"/>
    </row>
    <row r="287" spans="1:85" s="386" customFormat="1" ht="12.75" hidden="1" outlineLevel="1" x14ac:dyDescent="0.2">
      <c r="A287" s="137"/>
      <c r="C287" s="283"/>
      <c r="D287" s="523" t="s">
        <v>774</v>
      </c>
      <c r="E287" s="524"/>
      <c r="F287" s="347">
        <f t="shared" si="418"/>
        <v>0</v>
      </c>
      <c r="G287" s="101">
        <f t="shared" si="419"/>
        <v>0</v>
      </c>
      <c r="H287" s="102"/>
      <c r="I287" s="102">
        <f t="shared" si="424"/>
        <v>0</v>
      </c>
      <c r="J287" s="102">
        <f t="shared" si="413"/>
        <v>0</v>
      </c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102"/>
      <c r="X287" s="445"/>
      <c r="Y287" s="102"/>
      <c r="Z287" s="102"/>
      <c r="AA287" s="102"/>
      <c r="AB287" s="102"/>
      <c r="AC287" s="102"/>
      <c r="AD287" s="102">
        <f t="shared" si="414"/>
        <v>0</v>
      </c>
      <c r="AE287" s="102">
        <f t="shared" si="420"/>
        <v>0</v>
      </c>
      <c r="AF287" s="102"/>
      <c r="AG287" s="102"/>
      <c r="AH287" s="102"/>
      <c r="AI287" s="102"/>
      <c r="AJ287" s="102"/>
      <c r="AK287" s="102"/>
      <c r="AL287" s="445"/>
      <c r="AM287" s="102"/>
      <c r="AN287" s="102"/>
      <c r="AO287" s="102"/>
      <c r="AP287" s="123">
        <f t="shared" si="415"/>
        <v>0</v>
      </c>
      <c r="AQ287" s="123">
        <f t="shared" si="416"/>
        <v>0</v>
      </c>
      <c r="AR287" s="123"/>
      <c r="AS287" s="123"/>
      <c r="AT287" s="123"/>
      <c r="AU287" s="123"/>
      <c r="AV287" s="123"/>
      <c r="AW287" s="123"/>
      <c r="AX287" s="123"/>
      <c r="AY287" s="123"/>
      <c r="AZ287" s="123"/>
      <c r="BA287" s="123"/>
      <c r="BB287" s="123"/>
      <c r="BC287" s="123">
        <f t="shared" si="410"/>
        <v>0</v>
      </c>
      <c r="BD287" s="123">
        <f t="shared" si="411"/>
        <v>0</v>
      </c>
      <c r="BE287" s="123"/>
      <c r="BF287" s="123"/>
      <c r="BG287" s="123"/>
      <c r="BH287" s="123"/>
      <c r="BI287" s="123"/>
      <c r="BJ287" s="123"/>
      <c r="BK287" s="123"/>
      <c r="BL287" s="123"/>
      <c r="BM287" s="102">
        <f t="shared" si="421"/>
        <v>0</v>
      </c>
      <c r="BN287" s="102">
        <f t="shared" si="417"/>
        <v>0</v>
      </c>
      <c r="BO287" s="102"/>
      <c r="BP287" s="102"/>
      <c r="BQ287" s="102"/>
      <c r="BR287" s="102"/>
      <c r="BS287" s="102"/>
      <c r="BT287" s="389"/>
      <c r="BU287" s="102"/>
      <c r="BV287" s="102"/>
      <c r="BW287" s="389"/>
      <c r="BX287" s="103"/>
      <c r="BY287" s="107"/>
      <c r="CA287" s="36"/>
      <c r="CB287" s="36"/>
      <c r="CC287" s="36"/>
      <c r="CD287" s="36"/>
      <c r="CE287" s="36"/>
      <c r="CF287" s="36"/>
      <c r="CG287" s="36"/>
    </row>
    <row r="288" spans="1:85" s="386" customFormat="1" ht="12.75" hidden="1" outlineLevel="1" x14ac:dyDescent="0.2">
      <c r="A288" s="137"/>
      <c r="C288" s="283"/>
      <c r="D288" s="523" t="s">
        <v>775</v>
      </c>
      <c r="E288" s="524"/>
      <c r="F288" s="347">
        <f t="shared" si="418"/>
        <v>0</v>
      </c>
      <c r="G288" s="101">
        <f t="shared" si="419"/>
        <v>0</v>
      </c>
      <c r="H288" s="102"/>
      <c r="I288" s="102">
        <f t="shared" si="424"/>
        <v>0</v>
      </c>
      <c r="J288" s="102">
        <f t="shared" si="413"/>
        <v>0</v>
      </c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102"/>
      <c r="X288" s="445"/>
      <c r="Y288" s="102"/>
      <c r="Z288" s="102"/>
      <c r="AA288" s="102"/>
      <c r="AB288" s="102"/>
      <c r="AC288" s="102"/>
      <c r="AD288" s="102">
        <f t="shared" si="414"/>
        <v>0</v>
      </c>
      <c r="AE288" s="102">
        <f t="shared" si="420"/>
        <v>0</v>
      </c>
      <c r="AF288" s="102">
        <v>13021</v>
      </c>
      <c r="AG288" s="102"/>
      <c r="AH288" s="102">
        <f>-1556-11465</f>
        <v>-13021</v>
      </c>
      <c r="AI288" s="102"/>
      <c r="AJ288" s="102"/>
      <c r="AK288" s="102"/>
      <c r="AL288" s="445"/>
      <c r="AM288" s="102"/>
      <c r="AN288" s="102"/>
      <c r="AO288" s="102"/>
      <c r="AP288" s="123">
        <f t="shared" si="415"/>
        <v>0</v>
      </c>
      <c r="AQ288" s="123">
        <f t="shared" si="416"/>
        <v>0</v>
      </c>
      <c r="AR288" s="123"/>
      <c r="AS288" s="123"/>
      <c r="AT288" s="123"/>
      <c r="AU288" s="123"/>
      <c r="AV288" s="123"/>
      <c r="AW288" s="123"/>
      <c r="AX288" s="123"/>
      <c r="AY288" s="123"/>
      <c r="AZ288" s="123"/>
      <c r="BA288" s="123"/>
      <c r="BB288" s="123"/>
      <c r="BC288" s="123">
        <f t="shared" si="410"/>
        <v>0</v>
      </c>
      <c r="BD288" s="123">
        <f t="shared" si="411"/>
        <v>0</v>
      </c>
      <c r="BE288" s="123"/>
      <c r="BF288" s="123"/>
      <c r="BG288" s="123"/>
      <c r="BH288" s="123"/>
      <c r="BI288" s="123"/>
      <c r="BJ288" s="123"/>
      <c r="BK288" s="123"/>
      <c r="BL288" s="123"/>
      <c r="BM288" s="102">
        <f t="shared" si="421"/>
        <v>0</v>
      </c>
      <c r="BN288" s="102">
        <f t="shared" si="417"/>
        <v>0</v>
      </c>
      <c r="BO288" s="102"/>
      <c r="BP288" s="102"/>
      <c r="BQ288" s="102"/>
      <c r="BR288" s="102"/>
      <c r="BS288" s="102"/>
      <c r="BT288" s="389"/>
      <c r="BU288" s="102"/>
      <c r="BV288" s="102"/>
      <c r="BW288" s="389"/>
      <c r="BX288" s="103"/>
      <c r="BY288" s="107"/>
      <c r="CA288" s="36"/>
      <c r="CB288" s="36"/>
      <c r="CC288" s="36"/>
      <c r="CD288" s="36"/>
      <c r="CE288" s="36"/>
      <c r="CF288" s="36"/>
      <c r="CG288" s="36"/>
    </row>
    <row r="289" spans="1:85" s="386" customFormat="1" ht="12.75" hidden="1" outlineLevel="1" x14ac:dyDescent="0.2">
      <c r="A289" s="137"/>
      <c r="C289" s="283"/>
      <c r="D289" s="523" t="s">
        <v>562</v>
      </c>
      <c r="E289" s="524"/>
      <c r="F289" s="347">
        <f t="shared" si="418"/>
        <v>0</v>
      </c>
      <c r="G289" s="101">
        <f t="shared" si="419"/>
        <v>0</v>
      </c>
      <c r="H289" s="102"/>
      <c r="I289" s="102">
        <f t="shared" si="424"/>
        <v>0</v>
      </c>
      <c r="J289" s="102">
        <f t="shared" si="413"/>
        <v>0</v>
      </c>
      <c r="K289" s="102"/>
      <c r="L289" s="102"/>
      <c r="M289" s="102"/>
      <c r="N289" s="102"/>
      <c r="O289" s="102"/>
      <c r="P289" s="102"/>
      <c r="Q289" s="102"/>
      <c r="R289" s="102"/>
      <c r="S289" s="102"/>
      <c r="T289" s="102"/>
      <c r="U289" s="102"/>
      <c r="V289" s="102"/>
      <c r="W289" s="102"/>
      <c r="X289" s="445"/>
      <c r="Y289" s="102"/>
      <c r="Z289" s="102"/>
      <c r="AA289" s="102"/>
      <c r="AB289" s="102"/>
      <c r="AC289" s="102"/>
      <c r="AD289" s="102">
        <f t="shared" si="414"/>
        <v>0</v>
      </c>
      <c r="AE289" s="102">
        <f t="shared" si="420"/>
        <v>0</v>
      </c>
      <c r="AF289" s="102"/>
      <c r="AG289" s="102"/>
      <c r="AH289" s="102"/>
      <c r="AI289" s="102"/>
      <c r="AJ289" s="102"/>
      <c r="AK289" s="102"/>
      <c r="AL289" s="445"/>
      <c r="AM289" s="102"/>
      <c r="AN289" s="102"/>
      <c r="AO289" s="102"/>
      <c r="AP289" s="123">
        <f t="shared" si="415"/>
        <v>0</v>
      </c>
      <c r="AQ289" s="123">
        <f t="shared" si="416"/>
        <v>0</v>
      </c>
      <c r="AR289" s="123"/>
      <c r="AS289" s="123"/>
      <c r="AT289" s="123"/>
      <c r="AU289" s="123"/>
      <c r="AV289" s="123"/>
      <c r="AW289" s="123"/>
      <c r="AX289" s="123"/>
      <c r="AY289" s="123"/>
      <c r="AZ289" s="123"/>
      <c r="BA289" s="123"/>
      <c r="BB289" s="123"/>
      <c r="BC289" s="123">
        <f t="shared" si="410"/>
        <v>0</v>
      </c>
      <c r="BD289" s="123">
        <f t="shared" si="411"/>
        <v>0</v>
      </c>
      <c r="BE289" s="123"/>
      <c r="BF289" s="123"/>
      <c r="BG289" s="123"/>
      <c r="BH289" s="123"/>
      <c r="BI289" s="123"/>
      <c r="BJ289" s="123"/>
      <c r="BK289" s="123"/>
      <c r="BL289" s="123"/>
      <c r="BM289" s="102">
        <f t="shared" si="421"/>
        <v>0</v>
      </c>
      <c r="BN289" s="102">
        <f t="shared" si="417"/>
        <v>0</v>
      </c>
      <c r="BO289" s="102"/>
      <c r="BP289" s="102"/>
      <c r="BQ289" s="102"/>
      <c r="BR289" s="102"/>
      <c r="BS289" s="102"/>
      <c r="BT289" s="389"/>
      <c r="BU289" s="102"/>
      <c r="BV289" s="102"/>
      <c r="BW289" s="389"/>
      <c r="BX289" s="103"/>
      <c r="BY289" s="107"/>
      <c r="CA289" s="36"/>
      <c r="CB289" s="36"/>
      <c r="CC289" s="36"/>
      <c r="CD289" s="36"/>
      <c r="CE289" s="36"/>
      <c r="CF289" s="36"/>
      <c r="CG289" s="36"/>
    </row>
    <row r="290" spans="1:85" s="386" customFormat="1" ht="12.75" hidden="1" outlineLevel="1" x14ac:dyDescent="0.2">
      <c r="A290" s="137"/>
      <c r="C290" s="283"/>
      <c r="D290" s="523" t="s">
        <v>776</v>
      </c>
      <c r="E290" s="524"/>
      <c r="F290" s="347">
        <f t="shared" si="418"/>
        <v>0</v>
      </c>
      <c r="G290" s="101">
        <f t="shared" si="419"/>
        <v>64932</v>
      </c>
      <c r="H290" s="102"/>
      <c r="I290" s="102">
        <f t="shared" si="424"/>
        <v>0</v>
      </c>
      <c r="J290" s="102">
        <f t="shared" si="413"/>
        <v>0</v>
      </c>
      <c r="K290" s="102"/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  <c r="V290" s="102"/>
      <c r="W290" s="102"/>
      <c r="X290" s="445"/>
      <c r="Y290" s="102"/>
      <c r="Z290" s="102"/>
      <c r="AA290" s="102"/>
      <c r="AB290" s="102"/>
      <c r="AC290" s="102"/>
      <c r="AD290" s="102">
        <f t="shared" si="414"/>
        <v>64932</v>
      </c>
      <c r="AE290" s="102">
        <f t="shared" si="420"/>
        <v>64932</v>
      </c>
      <c r="AF290" s="102">
        <v>64932</v>
      </c>
      <c r="AG290" s="102"/>
      <c r="AH290" s="102"/>
      <c r="AI290" s="102"/>
      <c r="AJ290" s="102"/>
      <c r="AK290" s="102"/>
      <c r="AL290" s="445"/>
      <c r="AM290" s="102"/>
      <c r="AN290" s="102"/>
      <c r="AO290" s="102"/>
      <c r="AP290" s="123">
        <f t="shared" si="415"/>
        <v>0</v>
      </c>
      <c r="AQ290" s="123">
        <f t="shared" si="416"/>
        <v>0</v>
      </c>
      <c r="AR290" s="123"/>
      <c r="AS290" s="123"/>
      <c r="AT290" s="123"/>
      <c r="AU290" s="123"/>
      <c r="AV290" s="123"/>
      <c r="AW290" s="123"/>
      <c r="AX290" s="123"/>
      <c r="AY290" s="123"/>
      <c r="AZ290" s="123"/>
      <c r="BA290" s="123"/>
      <c r="BB290" s="123"/>
      <c r="BC290" s="123">
        <f t="shared" si="410"/>
        <v>0</v>
      </c>
      <c r="BD290" s="123">
        <f t="shared" si="411"/>
        <v>0</v>
      </c>
      <c r="BE290" s="123"/>
      <c r="BF290" s="123"/>
      <c r="BG290" s="123"/>
      <c r="BH290" s="123"/>
      <c r="BI290" s="123"/>
      <c r="BJ290" s="123"/>
      <c r="BK290" s="123"/>
      <c r="BL290" s="123"/>
      <c r="BM290" s="102">
        <f t="shared" si="421"/>
        <v>0</v>
      </c>
      <c r="BN290" s="102">
        <f t="shared" si="417"/>
        <v>0</v>
      </c>
      <c r="BO290" s="102"/>
      <c r="BP290" s="102"/>
      <c r="BQ290" s="102"/>
      <c r="BR290" s="102"/>
      <c r="BS290" s="102"/>
      <c r="BT290" s="389"/>
      <c r="BU290" s="102"/>
      <c r="BV290" s="102"/>
      <c r="BW290" s="389"/>
      <c r="BX290" s="103"/>
      <c r="BY290" s="107"/>
      <c r="CA290" s="36"/>
      <c r="CB290" s="36"/>
      <c r="CC290" s="36"/>
      <c r="CD290" s="36"/>
      <c r="CE290" s="36"/>
      <c r="CF290" s="36"/>
      <c r="CG290" s="36"/>
    </row>
    <row r="291" spans="1:85" s="386" customFormat="1" ht="12.75" hidden="1" outlineLevel="1" x14ac:dyDescent="0.2">
      <c r="A291" s="137"/>
      <c r="C291" s="283"/>
      <c r="D291" s="523" t="s">
        <v>159</v>
      </c>
      <c r="E291" s="524"/>
      <c r="F291" s="347">
        <f t="shared" si="418"/>
        <v>0</v>
      </c>
      <c r="G291" s="101">
        <f t="shared" si="419"/>
        <v>0</v>
      </c>
      <c r="H291" s="102"/>
      <c r="I291" s="102">
        <f t="shared" si="424"/>
        <v>0</v>
      </c>
      <c r="J291" s="102">
        <f t="shared" si="413"/>
        <v>0</v>
      </c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  <c r="V291" s="102"/>
      <c r="W291" s="102"/>
      <c r="X291" s="445"/>
      <c r="Y291" s="102"/>
      <c r="Z291" s="102"/>
      <c r="AA291" s="102"/>
      <c r="AB291" s="102"/>
      <c r="AC291" s="102"/>
      <c r="AD291" s="102">
        <f t="shared" si="414"/>
        <v>0</v>
      </c>
      <c r="AE291" s="102">
        <f t="shared" si="420"/>
        <v>0</v>
      </c>
      <c r="AF291" s="102">
        <v>8321</v>
      </c>
      <c r="AG291" s="102"/>
      <c r="AH291" s="102">
        <f>10599-5091-12-530-1-10647-2296-343</f>
        <v>-8321</v>
      </c>
      <c r="AI291" s="102"/>
      <c r="AJ291" s="102"/>
      <c r="AK291" s="102"/>
      <c r="AL291" s="445"/>
      <c r="AM291" s="102"/>
      <c r="AN291" s="102"/>
      <c r="AO291" s="102"/>
      <c r="AP291" s="123">
        <f t="shared" si="415"/>
        <v>0</v>
      </c>
      <c r="AQ291" s="123">
        <f t="shared" si="416"/>
        <v>0</v>
      </c>
      <c r="AR291" s="123"/>
      <c r="AS291" s="123"/>
      <c r="AT291" s="123"/>
      <c r="AU291" s="123"/>
      <c r="AV291" s="123"/>
      <c r="AW291" s="123"/>
      <c r="AX291" s="123"/>
      <c r="AY291" s="123"/>
      <c r="AZ291" s="123"/>
      <c r="BA291" s="123"/>
      <c r="BB291" s="123"/>
      <c r="BC291" s="123">
        <f t="shared" si="410"/>
        <v>0</v>
      </c>
      <c r="BD291" s="123">
        <f t="shared" si="411"/>
        <v>0</v>
      </c>
      <c r="BE291" s="123"/>
      <c r="BF291" s="123"/>
      <c r="BG291" s="123"/>
      <c r="BH291" s="123"/>
      <c r="BI291" s="123"/>
      <c r="BJ291" s="123"/>
      <c r="BK291" s="123"/>
      <c r="BL291" s="123"/>
      <c r="BM291" s="102">
        <f t="shared" si="421"/>
        <v>0</v>
      </c>
      <c r="BN291" s="102">
        <f t="shared" si="417"/>
        <v>0</v>
      </c>
      <c r="BO291" s="102"/>
      <c r="BP291" s="102"/>
      <c r="BQ291" s="102"/>
      <c r="BR291" s="102"/>
      <c r="BS291" s="102"/>
      <c r="BT291" s="389"/>
      <c r="BU291" s="102"/>
      <c r="BV291" s="102"/>
      <c r="BW291" s="389"/>
      <c r="BX291" s="103"/>
      <c r="BY291" s="107"/>
      <c r="CA291" s="36"/>
      <c r="CB291" s="36"/>
      <c r="CC291" s="36"/>
      <c r="CD291" s="36"/>
      <c r="CE291" s="36"/>
      <c r="CF291" s="36"/>
      <c r="CG291" s="36"/>
    </row>
    <row r="292" spans="1:85" s="386" customFormat="1" ht="12.75" hidden="1" outlineLevel="1" x14ac:dyDescent="0.2">
      <c r="A292" s="137"/>
      <c r="C292" s="283"/>
      <c r="D292" s="523" t="s">
        <v>155</v>
      </c>
      <c r="E292" s="524"/>
      <c r="F292" s="347">
        <f t="shared" si="418"/>
        <v>0</v>
      </c>
      <c r="G292" s="101">
        <f t="shared" si="419"/>
        <v>0</v>
      </c>
      <c r="H292" s="102"/>
      <c r="I292" s="102">
        <f t="shared" si="424"/>
        <v>0</v>
      </c>
      <c r="J292" s="102">
        <f t="shared" si="413"/>
        <v>0</v>
      </c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  <c r="V292" s="102"/>
      <c r="W292" s="102"/>
      <c r="X292" s="445"/>
      <c r="Y292" s="102"/>
      <c r="Z292" s="102"/>
      <c r="AA292" s="102"/>
      <c r="AB292" s="102"/>
      <c r="AC292" s="102"/>
      <c r="AD292" s="102">
        <f t="shared" si="414"/>
        <v>0</v>
      </c>
      <c r="AE292" s="102">
        <f t="shared" si="420"/>
        <v>0</v>
      </c>
      <c r="AF292" s="102"/>
      <c r="AG292" s="102"/>
      <c r="AH292" s="102"/>
      <c r="AI292" s="102"/>
      <c r="AJ292" s="102"/>
      <c r="AK292" s="102"/>
      <c r="AL292" s="445"/>
      <c r="AM292" s="102"/>
      <c r="AN292" s="102"/>
      <c r="AO292" s="102"/>
      <c r="AP292" s="123">
        <f t="shared" si="415"/>
        <v>0</v>
      </c>
      <c r="AQ292" s="123">
        <f t="shared" si="416"/>
        <v>0</v>
      </c>
      <c r="AR292" s="123"/>
      <c r="AS292" s="123"/>
      <c r="AT292" s="123"/>
      <c r="AU292" s="123"/>
      <c r="AV292" s="123"/>
      <c r="AW292" s="123"/>
      <c r="AX292" s="123"/>
      <c r="AY292" s="123"/>
      <c r="AZ292" s="123"/>
      <c r="BA292" s="123"/>
      <c r="BB292" s="123"/>
      <c r="BC292" s="123">
        <f t="shared" si="410"/>
        <v>0</v>
      </c>
      <c r="BD292" s="123">
        <f t="shared" si="411"/>
        <v>0</v>
      </c>
      <c r="BE292" s="123"/>
      <c r="BF292" s="123"/>
      <c r="BG292" s="123"/>
      <c r="BH292" s="123"/>
      <c r="BI292" s="123"/>
      <c r="BJ292" s="123"/>
      <c r="BK292" s="123"/>
      <c r="BL292" s="123"/>
      <c r="BM292" s="102">
        <f t="shared" si="421"/>
        <v>0</v>
      </c>
      <c r="BN292" s="102">
        <f t="shared" si="417"/>
        <v>0</v>
      </c>
      <c r="BO292" s="102"/>
      <c r="BP292" s="102"/>
      <c r="BQ292" s="102"/>
      <c r="BR292" s="102"/>
      <c r="BS292" s="102"/>
      <c r="BT292" s="389"/>
      <c r="BU292" s="102"/>
      <c r="BV292" s="102"/>
      <c r="BW292" s="389"/>
      <c r="BX292" s="103"/>
      <c r="BY292" s="107"/>
      <c r="CA292" s="36"/>
      <c r="CB292" s="36"/>
      <c r="CC292" s="36"/>
      <c r="CD292" s="36"/>
      <c r="CE292" s="36"/>
      <c r="CF292" s="36"/>
      <c r="CG292" s="36"/>
    </row>
    <row r="293" spans="1:85" s="386" customFormat="1" ht="12.75" hidden="1" outlineLevel="1" x14ac:dyDescent="0.2">
      <c r="A293" s="137"/>
      <c r="C293" s="283"/>
      <c r="D293" s="523" t="s">
        <v>183</v>
      </c>
      <c r="E293" s="524"/>
      <c r="F293" s="347">
        <f t="shared" si="418"/>
        <v>0</v>
      </c>
      <c r="G293" s="101">
        <f t="shared" si="419"/>
        <v>0</v>
      </c>
      <c r="H293" s="102"/>
      <c r="I293" s="102">
        <f t="shared" si="424"/>
        <v>0</v>
      </c>
      <c r="J293" s="102">
        <f t="shared" si="413"/>
        <v>0</v>
      </c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  <c r="X293" s="445"/>
      <c r="Y293" s="102"/>
      <c r="Z293" s="102"/>
      <c r="AA293" s="102"/>
      <c r="AB293" s="102"/>
      <c r="AC293" s="102"/>
      <c r="AD293" s="102">
        <f t="shared" si="414"/>
        <v>0</v>
      </c>
      <c r="AE293" s="102">
        <f t="shared" si="420"/>
        <v>0</v>
      </c>
      <c r="AF293" s="102"/>
      <c r="AG293" s="102"/>
      <c r="AH293" s="102"/>
      <c r="AI293" s="102"/>
      <c r="AJ293" s="102"/>
      <c r="AK293" s="102"/>
      <c r="AL293" s="445"/>
      <c r="AM293" s="102"/>
      <c r="AN293" s="102"/>
      <c r="AO293" s="102"/>
      <c r="AP293" s="123">
        <f t="shared" si="415"/>
        <v>0</v>
      </c>
      <c r="AQ293" s="123">
        <f t="shared" si="416"/>
        <v>0</v>
      </c>
      <c r="AR293" s="123"/>
      <c r="AS293" s="123"/>
      <c r="AT293" s="123"/>
      <c r="AU293" s="123"/>
      <c r="AV293" s="123"/>
      <c r="AW293" s="123"/>
      <c r="AX293" s="123"/>
      <c r="AY293" s="123"/>
      <c r="AZ293" s="123"/>
      <c r="BA293" s="123"/>
      <c r="BB293" s="123"/>
      <c r="BC293" s="123">
        <f t="shared" si="410"/>
        <v>0</v>
      </c>
      <c r="BD293" s="123">
        <f t="shared" si="411"/>
        <v>0</v>
      </c>
      <c r="BE293" s="123"/>
      <c r="BF293" s="123"/>
      <c r="BG293" s="123"/>
      <c r="BH293" s="123"/>
      <c r="BI293" s="123"/>
      <c r="BJ293" s="123"/>
      <c r="BK293" s="123"/>
      <c r="BL293" s="123"/>
      <c r="BM293" s="102">
        <f t="shared" si="421"/>
        <v>0</v>
      </c>
      <c r="BN293" s="102">
        <f t="shared" si="417"/>
        <v>0</v>
      </c>
      <c r="BO293" s="102"/>
      <c r="BP293" s="102"/>
      <c r="BQ293" s="102"/>
      <c r="BR293" s="102"/>
      <c r="BS293" s="102"/>
      <c r="BT293" s="389"/>
      <c r="BU293" s="102"/>
      <c r="BV293" s="102"/>
      <c r="BW293" s="389"/>
      <c r="BX293" s="103"/>
      <c r="BY293" s="107"/>
      <c r="CA293" s="36"/>
      <c r="CB293" s="36"/>
      <c r="CC293" s="36"/>
      <c r="CD293" s="36"/>
      <c r="CE293" s="36"/>
      <c r="CF293" s="36"/>
      <c r="CG293" s="36"/>
    </row>
    <row r="294" spans="1:85" s="386" customFormat="1" ht="12.75" hidden="1" outlineLevel="1" x14ac:dyDescent="0.2">
      <c r="A294" s="137"/>
      <c r="C294" s="283"/>
      <c r="D294" s="523" t="s">
        <v>740</v>
      </c>
      <c r="E294" s="524"/>
      <c r="F294" s="347">
        <f t="shared" si="418"/>
        <v>0</v>
      </c>
      <c r="G294" s="101">
        <f t="shared" si="419"/>
        <v>0</v>
      </c>
      <c r="H294" s="102"/>
      <c r="I294" s="102">
        <f t="shared" si="424"/>
        <v>0</v>
      </c>
      <c r="J294" s="102">
        <f t="shared" si="413"/>
        <v>0</v>
      </c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  <c r="X294" s="445"/>
      <c r="Y294" s="102"/>
      <c r="Z294" s="102"/>
      <c r="AA294" s="102"/>
      <c r="AB294" s="102"/>
      <c r="AC294" s="102"/>
      <c r="AD294" s="102">
        <f t="shared" si="414"/>
        <v>0</v>
      </c>
      <c r="AE294" s="102">
        <f t="shared" si="420"/>
        <v>0</v>
      </c>
      <c r="AF294" s="102">
        <v>3167</v>
      </c>
      <c r="AG294" s="102"/>
      <c r="AH294" s="102">
        <v>-3167</v>
      </c>
      <c r="AI294" s="102"/>
      <c r="AJ294" s="102"/>
      <c r="AK294" s="102"/>
      <c r="AL294" s="445"/>
      <c r="AM294" s="102"/>
      <c r="AN294" s="102"/>
      <c r="AO294" s="102"/>
      <c r="AP294" s="123">
        <f t="shared" si="415"/>
        <v>0</v>
      </c>
      <c r="AQ294" s="123">
        <f t="shared" si="416"/>
        <v>0</v>
      </c>
      <c r="AR294" s="123"/>
      <c r="AS294" s="123"/>
      <c r="AT294" s="123"/>
      <c r="AU294" s="123"/>
      <c r="AV294" s="123"/>
      <c r="AW294" s="123"/>
      <c r="AX294" s="123"/>
      <c r="AY294" s="123"/>
      <c r="AZ294" s="123"/>
      <c r="BA294" s="123"/>
      <c r="BB294" s="123"/>
      <c r="BC294" s="123">
        <f t="shared" si="410"/>
        <v>0</v>
      </c>
      <c r="BD294" s="123">
        <f t="shared" si="411"/>
        <v>0</v>
      </c>
      <c r="BE294" s="123"/>
      <c r="BF294" s="123"/>
      <c r="BG294" s="123"/>
      <c r="BH294" s="123"/>
      <c r="BI294" s="123"/>
      <c r="BJ294" s="123"/>
      <c r="BK294" s="123"/>
      <c r="BL294" s="123"/>
      <c r="BM294" s="102">
        <f t="shared" si="421"/>
        <v>0</v>
      </c>
      <c r="BN294" s="102">
        <f t="shared" si="417"/>
        <v>0</v>
      </c>
      <c r="BO294" s="102"/>
      <c r="BP294" s="102"/>
      <c r="BQ294" s="102"/>
      <c r="BR294" s="102"/>
      <c r="BS294" s="102"/>
      <c r="BT294" s="389"/>
      <c r="BU294" s="102"/>
      <c r="BV294" s="102"/>
      <c r="BW294" s="389"/>
      <c r="BX294" s="103"/>
      <c r="BY294" s="107"/>
      <c r="CA294" s="36"/>
      <c r="CB294" s="36"/>
      <c r="CC294" s="36"/>
      <c r="CD294" s="36"/>
      <c r="CE294" s="36"/>
      <c r="CF294" s="36"/>
      <c r="CG294" s="36"/>
    </row>
    <row r="295" spans="1:85" s="429" customFormat="1" ht="12.75" hidden="1" outlineLevel="1" x14ac:dyDescent="0.2">
      <c r="A295" s="137"/>
      <c r="C295" s="283"/>
      <c r="D295" s="523" t="s">
        <v>805</v>
      </c>
      <c r="E295" s="524"/>
      <c r="F295" s="347">
        <f t="shared" ref="F295" si="441">H295+AC295+AO295+BA295+BB295+BL295</f>
        <v>0</v>
      </c>
      <c r="G295" s="101">
        <f t="shared" ref="G295" si="442">I295+AD295+AP295+BA295+BC295+BM295</f>
        <v>0</v>
      </c>
      <c r="H295" s="102"/>
      <c r="I295" s="102">
        <f t="shared" ref="I295" si="443">J295+H295</f>
        <v>0</v>
      </c>
      <c r="J295" s="102">
        <f t="shared" ref="J295" si="444">SUM(K295:AB295)</f>
        <v>0</v>
      </c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102"/>
      <c r="X295" s="445"/>
      <c r="Y295" s="102"/>
      <c r="Z295" s="102"/>
      <c r="AA295" s="102"/>
      <c r="AB295" s="102"/>
      <c r="AC295" s="102"/>
      <c r="AD295" s="102">
        <f t="shared" ref="AD295" si="445">AC295+AE295</f>
        <v>0</v>
      </c>
      <c r="AE295" s="102">
        <f t="shared" ref="AE295" si="446">SUM(AF295:AN295)</f>
        <v>0</v>
      </c>
      <c r="AF295" s="102"/>
      <c r="AG295" s="102"/>
      <c r="AH295" s="102"/>
      <c r="AI295" s="102"/>
      <c r="AJ295" s="102"/>
      <c r="AK295" s="102">
        <v>30856</v>
      </c>
      <c r="AL295" s="445">
        <v>-30856</v>
      </c>
      <c r="AM295" s="102"/>
      <c r="AN295" s="102"/>
      <c r="AO295" s="102"/>
      <c r="AP295" s="123">
        <f t="shared" ref="AP295" si="447">AQ295+AO295</f>
        <v>0</v>
      </c>
      <c r="AQ295" s="123">
        <f t="shared" ref="AQ295" si="448">SUM(AR295:AZ295)</f>
        <v>0</v>
      </c>
      <c r="AR295" s="123"/>
      <c r="AS295" s="123"/>
      <c r="AT295" s="123"/>
      <c r="AU295" s="123"/>
      <c r="AV295" s="123"/>
      <c r="AW295" s="123"/>
      <c r="AX295" s="123"/>
      <c r="AY295" s="123"/>
      <c r="AZ295" s="123"/>
      <c r="BA295" s="123"/>
      <c r="BB295" s="123"/>
      <c r="BC295" s="123">
        <f t="shared" ref="BC295" si="449">BB295+BD295</f>
        <v>0</v>
      </c>
      <c r="BD295" s="123">
        <f t="shared" ref="BD295" si="450">SUM(BE295:BK295)</f>
        <v>0</v>
      </c>
      <c r="BE295" s="123"/>
      <c r="BF295" s="123"/>
      <c r="BG295" s="123"/>
      <c r="BH295" s="123"/>
      <c r="BI295" s="123"/>
      <c r="BJ295" s="123"/>
      <c r="BK295" s="123"/>
      <c r="BL295" s="123"/>
      <c r="BM295" s="102">
        <f t="shared" ref="BM295" si="451">BN295+BL295</f>
        <v>0</v>
      </c>
      <c r="BN295" s="102">
        <f t="shared" ref="BN295" si="452">SUM(BO295:BW295)</f>
        <v>0</v>
      </c>
      <c r="BO295" s="102"/>
      <c r="BP295" s="102"/>
      <c r="BQ295" s="102"/>
      <c r="BR295" s="102"/>
      <c r="BS295" s="102"/>
      <c r="BT295" s="389"/>
      <c r="BU295" s="102"/>
      <c r="BV295" s="102"/>
      <c r="BW295" s="389"/>
      <c r="BX295" s="103"/>
      <c r="BY295" s="107"/>
      <c r="CA295" s="36"/>
      <c r="CB295" s="36"/>
      <c r="CC295" s="36"/>
      <c r="CD295" s="36"/>
      <c r="CE295" s="36"/>
      <c r="CF295" s="36"/>
      <c r="CG295" s="36"/>
    </row>
    <row r="296" spans="1:85" s="386" customFormat="1" ht="13.5" hidden="1" outlineLevel="1" thickBot="1" x14ac:dyDescent="0.25">
      <c r="A296" s="137"/>
      <c r="C296" s="283"/>
      <c r="D296" s="525"/>
      <c r="E296" s="526"/>
      <c r="F296" s="348"/>
      <c r="G296" s="89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446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90"/>
      <c r="AK296" s="90"/>
      <c r="AL296" s="446"/>
      <c r="AM296" s="90"/>
      <c r="AN296" s="90"/>
      <c r="AO296" s="90"/>
      <c r="AP296" s="122"/>
      <c r="AQ296" s="122"/>
      <c r="AR296" s="122"/>
      <c r="AS296" s="122"/>
      <c r="AT296" s="122"/>
      <c r="AU296" s="122"/>
      <c r="AV296" s="122"/>
      <c r="AW296" s="122"/>
      <c r="AX296" s="122"/>
      <c r="AY296" s="122"/>
      <c r="AZ296" s="122"/>
      <c r="BA296" s="122"/>
      <c r="BB296" s="122"/>
      <c r="BC296" s="122"/>
      <c r="BD296" s="122"/>
      <c r="BE296" s="122"/>
      <c r="BF296" s="122"/>
      <c r="BG296" s="122"/>
      <c r="BH296" s="122"/>
      <c r="BI296" s="122"/>
      <c r="BJ296" s="122"/>
      <c r="BK296" s="122"/>
      <c r="BL296" s="122"/>
      <c r="BM296" s="90"/>
      <c r="BN296" s="90"/>
      <c r="BO296" s="90"/>
      <c r="BP296" s="90"/>
      <c r="BQ296" s="90"/>
      <c r="BR296" s="90"/>
      <c r="BS296" s="90"/>
      <c r="BT296" s="387"/>
      <c r="BU296" s="90"/>
      <c r="BV296" s="90"/>
      <c r="BW296" s="387"/>
      <c r="BX296" s="91"/>
      <c r="BY296" s="112"/>
      <c r="CA296" s="36"/>
      <c r="CB296" s="36"/>
      <c r="CC296" s="36"/>
      <c r="CD296" s="36"/>
      <c r="CE296" s="36"/>
      <c r="CF296" s="36"/>
      <c r="CG296" s="36"/>
    </row>
    <row r="297" spans="1:85" ht="28.5" customHeight="1" collapsed="1" thickTop="1" thickBot="1" x14ac:dyDescent="0.25">
      <c r="A297" s="136"/>
      <c r="B297" s="504" t="s">
        <v>132</v>
      </c>
      <c r="C297" s="504"/>
      <c r="D297" s="505"/>
      <c r="E297" s="20"/>
      <c r="F297" s="354">
        <f>H297+AC297+AO297+BA297+BB297+BL297</f>
        <v>90447780.920000002</v>
      </c>
      <c r="G297" s="21">
        <f t="shared" si="404"/>
        <v>96310567.920000002</v>
      </c>
      <c r="H297" s="22">
        <f t="shared" ref="H297:AZ297" si="453">H11+H26+H34-SUM(H58:H61)+H64+H74-SUM(H86:H89)+H91+H98-SUM(H133:H134)+H137-SUM(H236:H238)+H240-SUM(H264:H265)</f>
        <v>78330443.920000002</v>
      </c>
      <c r="I297" s="22">
        <f t="shared" si="453"/>
        <v>83705126.920000002</v>
      </c>
      <c r="J297" s="22">
        <f t="shared" si="453"/>
        <v>5374683</v>
      </c>
      <c r="K297" s="22">
        <f t="shared" si="453"/>
        <v>8760</v>
      </c>
      <c r="L297" s="22">
        <f t="shared" si="453"/>
        <v>39138</v>
      </c>
      <c r="M297" s="22">
        <f t="shared" si="453"/>
        <v>2640075</v>
      </c>
      <c r="N297" s="22">
        <f t="shared" si="453"/>
        <v>624191</v>
      </c>
      <c r="O297" s="22">
        <f t="shared" si="453"/>
        <v>0</v>
      </c>
      <c r="P297" s="22">
        <f t="shared" si="453"/>
        <v>487853</v>
      </c>
      <c r="Q297" s="22">
        <f t="shared" si="453"/>
        <v>0</v>
      </c>
      <c r="R297" s="22">
        <f t="shared" si="453"/>
        <v>-203179</v>
      </c>
      <c r="S297" s="22">
        <f t="shared" si="453"/>
        <v>0</v>
      </c>
      <c r="T297" s="22">
        <f t="shared" si="453"/>
        <v>317725</v>
      </c>
      <c r="U297" s="22">
        <f t="shared" si="453"/>
        <v>0</v>
      </c>
      <c r="V297" s="22">
        <f t="shared" si="453"/>
        <v>40157</v>
      </c>
      <c r="W297" s="22">
        <f t="shared" si="453"/>
        <v>1419963</v>
      </c>
      <c r="X297" s="452">
        <f t="shared" ref="X297:AA297" si="454">X11+X26+X34-SUM(X58:X61)+X64+X74-SUM(X86:X89)+X91+X98-SUM(X133:X134)+X137-SUM(X236:X238)+X240-SUM(X264:X265)</f>
        <v>0</v>
      </c>
      <c r="Y297" s="22">
        <f t="shared" si="454"/>
        <v>0</v>
      </c>
      <c r="Z297" s="22">
        <f t="shared" si="454"/>
        <v>0</v>
      </c>
      <c r="AA297" s="22">
        <f t="shared" si="454"/>
        <v>0</v>
      </c>
      <c r="AB297" s="22">
        <f t="shared" si="453"/>
        <v>0</v>
      </c>
      <c r="AC297" s="22">
        <f t="shared" si="453"/>
        <v>10379537</v>
      </c>
      <c r="AD297" s="22">
        <f t="shared" si="453"/>
        <v>10670535</v>
      </c>
      <c r="AE297" s="22">
        <f t="shared" si="453"/>
        <v>290998</v>
      </c>
      <c r="AF297" s="22">
        <f t="shared" si="453"/>
        <v>27726</v>
      </c>
      <c r="AG297" s="22">
        <f t="shared" si="453"/>
        <v>12743</v>
      </c>
      <c r="AH297" s="22">
        <f t="shared" si="453"/>
        <v>155231</v>
      </c>
      <c r="AI297" s="22">
        <f t="shared" si="453"/>
        <v>1343</v>
      </c>
      <c r="AJ297" s="22">
        <f t="shared" si="453"/>
        <v>15070</v>
      </c>
      <c r="AK297" s="22">
        <f t="shared" si="453"/>
        <v>0</v>
      </c>
      <c r="AL297" s="452">
        <f t="shared" si="453"/>
        <v>78885</v>
      </c>
      <c r="AM297" s="22">
        <f t="shared" si="453"/>
        <v>0</v>
      </c>
      <c r="AN297" s="22">
        <f t="shared" si="453"/>
        <v>0</v>
      </c>
      <c r="AO297" s="22">
        <f t="shared" si="453"/>
        <v>1762416</v>
      </c>
      <c r="AP297" s="22">
        <f t="shared" si="453"/>
        <v>1988771</v>
      </c>
      <c r="AQ297" s="22">
        <f t="shared" si="453"/>
        <v>226355</v>
      </c>
      <c r="AR297" s="22">
        <f t="shared" si="453"/>
        <v>21992</v>
      </c>
      <c r="AS297" s="22">
        <f t="shared" si="453"/>
        <v>172038</v>
      </c>
      <c r="AT297" s="22">
        <f t="shared" si="453"/>
        <v>26612</v>
      </c>
      <c r="AU297" s="22">
        <f t="shared" si="453"/>
        <v>1187</v>
      </c>
      <c r="AV297" s="22">
        <f t="shared" si="453"/>
        <v>371</v>
      </c>
      <c r="AW297" s="22">
        <f t="shared" si="453"/>
        <v>4155</v>
      </c>
      <c r="AX297" s="22">
        <f t="shared" si="453"/>
        <v>0</v>
      </c>
      <c r="AY297" s="22">
        <f t="shared" si="453"/>
        <v>0</v>
      </c>
      <c r="AZ297" s="22">
        <f t="shared" si="453"/>
        <v>0</v>
      </c>
      <c r="BA297" s="22">
        <f>BA11+BA26+BA34-SUM(BA58:BA61)+BA64+BA74-SUM(BA86:BA89)+BA91+BA98-SUM(BA133:BA135)+BA137-SUM(BA236:BA238)+BA240-SUM(BA264:BA265)</f>
        <v>0</v>
      </c>
      <c r="BB297" s="22">
        <f t="shared" ref="BB297:BW297" si="455">BB11+BB26+BB34-SUM(BB58:BB61)+BB64+BB74-SUM(BB86:BB89)+BB91+BB98-SUM(BB133:BB134)+BB137-SUM(BB236:BB238)+BB240-SUM(BB264:BB265)</f>
        <v>625</v>
      </c>
      <c r="BC297" s="22">
        <f t="shared" si="455"/>
        <v>1836</v>
      </c>
      <c r="BD297" s="22">
        <f t="shared" si="455"/>
        <v>1211</v>
      </c>
      <c r="BE297" s="22">
        <f t="shared" si="455"/>
        <v>1181</v>
      </c>
      <c r="BF297" s="22">
        <f t="shared" si="455"/>
        <v>30</v>
      </c>
      <c r="BG297" s="22">
        <f t="shared" si="455"/>
        <v>0</v>
      </c>
      <c r="BH297" s="22">
        <f t="shared" si="455"/>
        <v>0</v>
      </c>
      <c r="BI297" s="22">
        <f t="shared" si="455"/>
        <v>0</v>
      </c>
      <c r="BJ297" s="22">
        <f t="shared" si="455"/>
        <v>0</v>
      </c>
      <c r="BK297" s="22">
        <f t="shared" si="455"/>
        <v>0</v>
      </c>
      <c r="BL297" s="22">
        <f t="shared" si="455"/>
        <v>-25241</v>
      </c>
      <c r="BM297" s="22">
        <f t="shared" si="455"/>
        <v>-55701</v>
      </c>
      <c r="BN297" s="22">
        <f t="shared" si="455"/>
        <v>-30460</v>
      </c>
      <c r="BO297" s="22">
        <f t="shared" si="455"/>
        <v>0</v>
      </c>
      <c r="BP297" s="22">
        <f t="shared" si="455"/>
        <v>-900</v>
      </c>
      <c r="BQ297" s="22">
        <f t="shared" si="455"/>
        <v>-2652</v>
      </c>
      <c r="BR297" s="22">
        <f t="shared" si="455"/>
        <v>55</v>
      </c>
      <c r="BS297" s="22">
        <f t="shared" si="455"/>
        <v>-15945</v>
      </c>
      <c r="BT297" s="419">
        <f t="shared" si="455"/>
        <v>0</v>
      </c>
      <c r="BU297" s="22">
        <f t="shared" si="455"/>
        <v>-11018</v>
      </c>
      <c r="BV297" s="22">
        <f t="shared" si="455"/>
        <v>0</v>
      </c>
      <c r="BW297" s="406">
        <f t="shared" si="455"/>
        <v>0</v>
      </c>
      <c r="BX297" s="23"/>
      <c r="BY297" s="111"/>
      <c r="CA297" s="36"/>
      <c r="CB297" s="36"/>
      <c r="CC297" s="36"/>
      <c r="CD297" s="36"/>
      <c r="CE297" s="36"/>
      <c r="CF297" s="36"/>
      <c r="CG297" s="36"/>
    </row>
    <row r="298" spans="1:85" ht="36" customHeight="1" thickTop="1" thickBot="1" x14ac:dyDescent="0.25">
      <c r="A298" s="136"/>
      <c r="B298" s="504" t="s">
        <v>133</v>
      </c>
      <c r="C298" s="504"/>
      <c r="D298" s="505"/>
      <c r="E298" s="8"/>
      <c r="F298" s="349">
        <f>H298+AC298+AO298+BA298+BB298+BL298</f>
        <v>95847503.920000002</v>
      </c>
      <c r="G298" s="17">
        <f t="shared" si="404"/>
        <v>102434389.92</v>
      </c>
      <c r="H298" s="10">
        <f t="shared" ref="H298:AQ298" si="456">SUM(H11,H26,H34,H64,H74,H91,H98,H137,H240,H267)</f>
        <v>79091176.920000002</v>
      </c>
      <c r="I298" s="10">
        <f t="shared" si="456"/>
        <v>84950017.920000002</v>
      </c>
      <c r="J298" s="10">
        <f t="shared" si="456"/>
        <v>5858841</v>
      </c>
      <c r="K298" s="10">
        <f t="shared" si="456"/>
        <v>8760</v>
      </c>
      <c r="L298" s="10">
        <f t="shared" si="456"/>
        <v>54323</v>
      </c>
      <c r="M298" s="10">
        <f t="shared" si="456"/>
        <v>5039126</v>
      </c>
      <c r="N298" s="10">
        <f t="shared" si="456"/>
        <v>761</v>
      </c>
      <c r="O298" s="10">
        <f t="shared" si="456"/>
        <v>-41825</v>
      </c>
      <c r="P298" s="10">
        <f t="shared" si="456"/>
        <v>21768</v>
      </c>
      <c r="Q298" s="10">
        <f t="shared" si="456"/>
        <v>0</v>
      </c>
      <c r="R298" s="10">
        <f t="shared" si="456"/>
        <v>-262853</v>
      </c>
      <c r="S298" s="10">
        <f t="shared" si="456"/>
        <v>0</v>
      </c>
      <c r="T298" s="10">
        <f t="shared" si="456"/>
        <v>40993</v>
      </c>
      <c r="U298" s="10">
        <f t="shared" si="456"/>
        <v>0</v>
      </c>
      <c r="V298" s="10">
        <f t="shared" si="456"/>
        <v>371</v>
      </c>
      <c r="W298" s="10">
        <f t="shared" si="456"/>
        <v>997417</v>
      </c>
      <c r="X298" s="444">
        <f t="shared" ref="X298:AA298" si="457">SUM(X11,X26,X34,X64,X74,X91,X98,X137,X240,X267)</f>
        <v>0</v>
      </c>
      <c r="Y298" s="10">
        <f t="shared" si="457"/>
        <v>0</v>
      </c>
      <c r="Z298" s="10">
        <f t="shared" si="457"/>
        <v>0</v>
      </c>
      <c r="AA298" s="10">
        <f t="shared" si="457"/>
        <v>0</v>
      </c>
      <c r="AB298" s="10">
        <f t="shared" si="456"/>
        <v>0</v>
      </c>
      <c r="AC298" s="10">
        <f t="shared" si="456"/>
        <v>10465730</v>
      </c>
      <c r="AD298" s="10">
        <f t="shared" si="456"/>
        <v>10971091</v>
      </c>
      <c r="AE298" s="10">
        <f t="shared" si="456"/>
        <v>505361</v>
      </c>
      <c r="AF298" s="10">
        <f t="shared" si="456"/>
        <v>286420</v>
      </c>
      <c r="AG298" s="10">
        <f t="shared" si="456"/>
        <v>12743</v>
      </c>
      <c r="AH298" s="10">
        <f t="shared" si="456"/>
        <v>110900</v>
      </c>
      <c r="AI298" s="10">
        <f t="shared" si="456"/>
        <v>1343</v>
      </c>
      <c r="AJ298" s="10">
        <f t="shared" si="456"/>
        <v>15070</v>
      </c>
      <c r="AK298" s="10">
        <f t="shared" si="456"/>
        <v>30856</v>
      </c>
      <c r="AL298" s="444">
        <f t="shared" si="456"/>
        <v>48029</v>
      </c>
      <c r="AM298" s="10">
        <f t="shared" si="456"/>
        <v>0</v>
      </c>
      <c r="AN298" s="10">
        <f t="shared" si="456"/>
        <v>0</v>
      </c>
      <c r="AO298" s="10">
        <f t="shared" si="456"/>
        <v>1766687</v>
      </c>
      <c r="AP298" s="10">
        <f t="shared" si="456"/>
        <v>2056407</v>
      </c>
      <c r="AQ298" s="10">
        <f t="shared" si="456"/>
        <v>289720</v>
      </c>
      <c r="AR298" s="10">
        <f t="shared" ref="AR298:BW298" si="458">SUM(AR11,AR26,AR34,AR64,AR74,AR91,AR98,AR137,AR240,AR267)</f>
        <v>130266</v>
      </c>
      <c r="AS298" s="10">
        <f t="shared" si="458"/>
        <v>150891</v>
      </c>
      <c r="AT298" s="10">
        <f t="shared" si="458"/>
        <v>3892</v>
      </c>
      <c r="AU298" s="10">
        <f t="shared" si="458"/>
        <v>145</v>
      </c>
      <c r="AV298" s="10">
        <f t="shared" si="458"/>
        <v>371</v>
      </c>
      <c r="AW298" s="10">
        <f t="shared" si="458"/>
        <v>4155</v>
      </c>
      <c r="AX298" s="10">
        <f t="shared" si="458"/>
        <v>0</v>
      </c>
      <c r="AY298" s="10">
        <f t="shared" si="458"/>
        <v>0</v>
      </c>
      <c r="AZ298" s="10">
        <f t="shared" si="458"/>
        <v>0</v>
      </c>
      <c r="BA298" s="10">
        <f t="shared" si="458"/>
        <v>4887787</v>
      </c>
      <c r="BB298" s="10">
        <f t="shared" si="458"/>
        <v>625</v>
      </c>
      <c r="BC298" s="10">
        <f t="shared" si="458"/>
        <v>1836</v>
      </c>
      <c r="BD298" s="10">
        <f t="shared" si="458"/>
        <v>1211</v>
      </c>
      <c r="BE298" s="10">
        <f t="shared" si="458"/>
        <v>1181</v>
      </c>
      <c r="BF298" s="10">
        <f t="shared" si="458"/>
        <v>30</v>
      </c>
      <c r="BG298" s="10">
        <f t="shared" si="458"/>
        <v>0</v>
      </c>
      <c r="BH298" s="10">
        <f t="shared" si="458"/>
        <v>0</v>
      </c>
      <c r="BI298" s="10">
        <f t="shared" si="458"/>
        <v>0</v>
      </c>
      <c r="BJ298" s="10">
        <f t="shared" si="458"/>
        <v>0</v>
      </c>
      <c r="BK298" s="10">
        <f t="shared" si="458"/>
        <v>0</v>
      </c>
      <c r="BL298" s="10">
        <f t="shared" si="458"/>
        <v>-364502</v>
      </c>
      <c r="BM298" s="10">
        <f t="shared" si="458"/>
        <v>-432749</v>
      </c>
      <c r="BN298" s="10">
        <f t="shared" si="458"/>
        <v>-68247</v>
      </c>
      <c r="BO298" s="10">
        <f t="shared" si="458"/>
        <v>-7210</v>
      </c>
      <c r="BP298" s="10">
        <f t="shared" si="458"/>
        <v>-900</v>
      </c>
      <c r="BQ298" s="10">
        <f t="shared" si="458"/>
        <v>-2753</v>
      </c>
      <c r="BR298" s="10">
        <f t="shared" si="458"/>
        <v>-5896</v>
      </c>
      <c r="BS298" s="10">
        <f t="shared" si="458"/>
        <v>-31731</v>
      </c>
      <c r="BT298" s="121">
        <f t="shared" si="458"/>
        <v>-8739</v>
      </c>
      <c r="BU298" s="10">
        <f t="shared" si="458"/>
        <v>-11018</v>
      </c>
      <c r="BV298" s="10">
        <f t="shared" si="458"/>
        <v>0</v>
      </c>
      <c r="BW298" s="404">
        <f t="shared" si="458"/>
        <v>0</v>
      </c>
      <c r="BX298" s="24"/>
      <c r="BY298" s="112"/>
      <c r="CA298" s="36"/>
      <c r="CB298" s="36"/>
      <c r="CC298" s="36"/>
      <c r="CD298" s="36"/>
      <c r="CE298" s="36"/>
      <c r="CF298" s="36"/>
      <c r="CG298" s="36"/>
    </row>
    <row r="299" spans="1:85" ht="12.75" hidden="1" outlineLevel="1" thickTop="1" x14ac:dyDescent="0.2">
      <c r="C299" s="25"/>
      <c r="D299" s="26" t="s">
        <v>23</v>
      </c>
      <c r="E299" s="26"/>
      <c r="F299" s="27">
        <f t="shared" ref="F299:AO299" si="459">SUM(F12:F25,F27:F33,F35:F63,F65:F73,F75:F85,F92:F97,F99:F136,F138:F235,F241:F266,F267,F86:F90,F236:F239)</f>
        <v>95847503.920000002</v>
      </c>
      <c r="G299" s="27">
        <f t="shared" si="459"/>
        <v>102434389.92</v>
      </c>
      <c r="H299" s="27">
        <f t="shared" si="459"/>
        <v>79091176.920000002</v>
      </c>
      <c r="I299" s="27">
        <f t="shared" si="459"/>
        <v>84950017.920000002</v>
      </c>
      <c r="J299" s="27">
        <f t="shared" si="459"/>
        <v>5858841</v>
      </c>
      <c r="K299" s="27">
        <f t="shared" si="459"/>
        <v>8760</v>
      </c>
      <c r="L299" s="27">
        <f t="shared" si="459"/>
        <v>54323</v>
      </c>
      <c r="M299" s="27">
        <f t="shared" si="459"/>
        <v>5039126</v>
      </c>
      <c r="N299" s="27">
        <f t="shared" si="459"/>
        <v>761</v>
      </c>
      <c r="O299" s="27">
        <f t="shared" si="459"/>
        <v>-41825</v>
      </c>
      <c r="P299" s="27">
        <f t="shared" si="459"/>
        <v>21768</v>
      </c>
      <c r="Q299" s="27">
        <f t="shared" si="459"/>
        <v>0</v>
      </c>
      <c r="R299" s="27">
        <f t="shared" si="459"/>
        <v>-262853</v>
      </c>
      <c r="S299" s="27">
        <f t="shared" si="459"/>
        <v>0</v>
      </c>
      <c r="T299" s="27">
        <f t="shared" si="459"/>
        <v>40993</v>
      </c>
      <c r="U299" s="27">
        <f t="shared" si="459"/>
        <v>0</v>
      </c>
      <c r="V299" s="27">
        <f t="shared" si="459"/>
        <v>371</v>
      </c>
      <c r="W299" s="27">
        <f t="shared" si="459"/>
        <v>997417</v>
      </c>
      <c r="X299" s="454">
        <f t="shared" ref="X299:AA299" si="460">SUM(X12:X25,X27:X33,X35:X63,X65:X73,X75:X85,X92:X97,X99:X136,X138:X235,X241:X266,X267,X86:X90,X236:X239)</f>
        <v>0</v>
      </c>
      <c r="Y299" s="27">
        <f t="shared" si="460"/>
        <v>0</v>
      </c>
      <c r="Z299" s="27">
        <f t="shared" si="460"/>
        <v>0</v>
      </c>
      <c r="AA299" s="27">
        <f t="shared" si="460"/>
        <v>0</v>
      </c>
      <c r="AB299" s="27">
        <f t="shared" si="459"/>
        <v>0</v>
      </c>
      <c r="AC299" s="27">
        <f t="shared" si="459"/>
        <v>10465730</v>
      </c>
      <c r="AD299" s="27">
        <f t="shared" si="459"/>
        <v>10971091</v>
      </c>
      <c r="AE299" s="27">
        <f t="shared" si="459"/>
        <v>505361</v>
      </c>
      <c r="AF299" s="27">
        <f t="shared" si="459"/>
        <v>286420</v>
      </c>
      <c r="AG299" s="27">
        <f t="shared" si="459"/>
        <v>12743</v>
      </c>
      <c r="AH299" s="27">
        <f t="shared" si="459"/>
        <v>110900</v>
      </c>
      <c r="AI299" s="27">
        <f t="shared" si="459"/>
        <v>1343</v>
      </c>
      <c r="AJ299" s="27">
        <f t="shared" si="459"/>
        <v>15070</v>
      </c>
      <c r="AK299" s="27">
        <f t="shared" si="459"/>
        <v>30856</v>
      </c>
      <c r="AL299" s="454">
        <f t="shared" si="459"/>
        <v>48029</v>
      </c>
      <c r="AM299" s="27">
        <f t="shared" si="459"/>
        <v>0</v>
      </c>
      <c r="AN299" s="27">
        <f t="shared" si="459"/>
        <v>0</v>
      </c>
      <c r="AO299" s="27">
        <f t="shared" si="459"/>
        <v>1766687</v>
      </c>
      <c r="AP299" s="27">
        <f t="shared" ref="AP299:BW299" si="461">SUM(AP12:AP25,AP27:AP33,AP35:AP63,AP65:AP73,AP75:AP85,AP92:AP97,AP99:AP136,AP138:AP235,AP241:AP266,AP267,AP86:AP90,AP236:AP239)</f>
        <v>2056407</v>
      </c>
      <c r="AQ299" s="27">
        <f t="shared" si="461"/>
        <v>289720</v>
      </c>
      <c r="AR299" s="27">
        <f t="shared" si="461"/>
        <v>130266</v>
      </c>
      <c r="AS299" s="27">
        <f t="shared" si="461"/>
        <v>150891</v>
      </c>
      <c r="AT299" s="27">
        <f t="shared" si="461"/>
        <v>3892</v>
      </c>
      <c r="AU299" s="27">
        <f t="shared" si="461"/>
        <v>145</v>
      </c>
      <c r="AV299" s="27">
        <f t="shared" si="461"/>
        <v>371</v>
      </c>
      <c r="AW299" s="27">
        <f t="shared" si="461"/>
        <v>4155</v>
      </c>
      <c r="AX299" s="27">
        <f t="shared" si="461"/>
        <v>0</v>
      </c>
      <c r="AY299" s="27">
        <f t="shared" si="461"/>
        <v>0</v>
      </c>
      <c r="AZ299" s="27">
        <f t="shared" si="461"/>
        <v>0</v>
      </c>
      <c r="BA299" s="27">
        <f t="shared" si="461"/>
        <v>4887787</v>
      </c>
      <c r="BB299" s="27">
        <f t="shared" si="461"/>
        <v>625</v>
      </c>
      <c r="BC299" s="27">
        <f t="shared" si="461"/>
        <v>1836</v>
      </c>
      <c r="BD299" s="27">
        <f t="shared" si="461"/>
        <v>1211</v>
      </c>
      <c r="BE299" s="27">
        <f t="shared" si="461"/>
        <v>1181</v>
      </c>
      <c r="BF299" s="27">
        <f t="shared" si="461"/>
        <v>30</v>
      </c>
      <c r="BG299" s="27">
        <f t="shared" si="461"/>
        <v>0</v>
      </c>
      <c r="BH299" s="27">
        <f t="shared" si="461"/>
        <v>0</v>
      </c>
      <c r="BI299" s="27">
        <f t="shared" si="461"/>
        <v>0</v>
      </c>
      <c r="BJ299" s="27">
        <f t="shared" si="461"/>
        <v>0</v>
      </c>
      <c r="BK299" s="27">
        <f t="shared" si="461"/>
        <v>0</v>
      </c>
      <c r="BL299" s="27">
        <f t="shared" si="461"/>
        <v>-364502</v>
      </c>
      <c r="BM299" s="27">
        <f t="shared" si="461"/>
        <v>-432749</v>
      </c>
      <c r="BN299" s="27">
        <f t="shared" si="461"/>
        <v>-68247</v>
      </c>
      <c r="BO299" s="27">
        <f t="shared" si="461"/>
        <v>-7210</v>
      </c>
      <c r="BP299" s="27">
        <f t="shared" si="461"/>
        <v>-900</v>
      </c>
      <c r="BQ299" s="27">
        <f t="shared" si="461"/>
        <v>-2753</v>
      </c>
      <c r="BR299" s="27">
        <f t="shared" si="461"/>
        <v>-5896</v>
      </c>
      <c r="BS299" s="27">
        <f t="shared" si="461"/>
        <v>-31731</v>
      </c>
      <c r="BT299" s="27">
        <f t="shared" si="461"/>
        <v>-8739</v>
      </c>
      <c r="BU299" s="27">
        <f t="shared" si="461"/>
        <v>-11018</v>
      </c>
      <c r="BV299" s="27">
        <f t="shared" si="461"/>
        <v>0</v>
      </c>
      <c r="BW299" s="27">
        <f t="shared" si="461"/>
        <v>0</v>
      </c>
      <c r="BX299" s="28"/>
    </row>
    <row r="300" spans="1:85" hidden="1" outlineLevel="1" x14ac:dyDescent="0.2">
      <c r="C300" s="25"/>
      <c r="D300" s="26" t="s">
        <v>24</v>
      </c>
      <c r="E300" s="26"/>
      <c r="F300" s="27">
        <f t="shared" ref="F300:AO300" si="462">SUM(F11,F26,F34,F64,F74,F91,F98,F137,F240,F267)</f>
        <v>95847503.920000002</v>
      </c>
      <c r="G300" s="27">
        <f t="shared" si="462"/>
        <v>102434389.92</v>
      </c>
      <c r="H300" s="27">
        <f t="shared" si="462"/>
        <v>79091176.920000002</v>
      </c>
      <c r="I300" s="27">
        <f t="shared" si="462"/>
        <v>84950017.920000002</v>
      </c>
      <c r="J300" s="27">
        <f t="shared" si="462"/>
        <v>5858841</v>
      </c>
      <c r="K300" s="27">
        <f t="shared" si="462"/>
        <v>8760</v>
      </c>
      <c r="L300" s="27">
        <f t="shared" si="462"/>
        <v>54323</v>
      </c>
      <c r="M300" s="27">
        <f t="shared" si="462"/>
        <v>5039126</v>
      </c>
      <c r="N300" s="27">
        <f t="shared" si="462"/>
        <v>761</v>
      </c>
      <c r="O300" s="27">
        <f t="shared" si="462"/>
        <v>-41825</v>
      </c>
      <c r="P300" s="27">
        <f t="shared" si="462"/>
        <v>21768</v>
      </c>
      <c r="Q300" s="27">
        <f t="shared" si="462"/>
        <v>0</v>
      </c>
      <c r="R300" s="27">
        <f t="shared" si="462"/>
        <v>-262853</v>
      </c>
      <c r="S300" s="27">
        <f t="shared" si="462"/>
        <v>0</v>
      </c>
      <c r="T300" s="27">
        <f t="shared" si="462"/>
        <v>40993</v>
      </c>
      <c r="U300" s="27">
        <f t="shared" si="462"/>
        <v>0</v>
      </c>
      <c r="V300" s="27">
        <f t="shared" si="462"/>
        <v>371</v>
      </c>
      <c r="W300" s="27">
        <f t="shared" si="462"/>
        <v>997417</v>
      </c>
      <c r="X300" s="454">
        <f t="shared" ref="X300:AA300" si="463">SUM(X11,X26,X34,X64,X74,X91,X98,X137,X240,X267)</f>
        <v>0</v>
      </c>
      <c r="Y300" s="27">
        <f t="shared" si="463"/>
        <v>0</v>
      </c>
      <c r="Z300" s="27">
        <f t="shared" si="463"/>
        <v>0</v>
      </c>
      <c r="AA300" s="27">
        <f t="shared" si="463"/>
        <v>0</v>
      </c>
      <c r="AB300" s="27">
        <f t="shared" si="462"/>
        <v>0</v>
      </c>
      <c r="AC300" s="27">
        <f t="shared" si="462"/>
        <v>10465730</v>
      </c>
      <c r="AD300" s="27">
        <f t="shared" si="462"/>
        <v>10971091</v>
      </c>
      <c r="AE300" s="27">
        <f t="shared" si="462"/>
        <v>505361</v>
      </c>
      <c r="AF300" s="27">
        <f t="shared" si="462"/>
        <v>286420</v>
      </c>
      <c r="AG300" s="27">
        <f t="shared" si="462"/>
        <v>12743</v>
      </c>
      <c r="AH300" s="27">
        <f t="shared" si="462"/>
        <v>110900</v>
      </c>
      <c r="AI300" s="27">
        <f t="shared" si="462"/>
        <v>1343</v>
      </c>
      <c r="AJ300" s="27">
        <f t="shared" si="462"/>
        <v>15070</v>
      </c>
      <c r="AK300" s="27">
        <f t="shared" si="462"/>
        <v>30856</v>
      </c>
      <c r="AL300" s="454">
        <f t="shared" si="462"/>
        <v>48029</v>
      </c>
      <c r="AM300" s="27">
        <f t="shared" si="462"/>
        <v>0</v>
      </c>
      <c r="AN300" s="27">
        <f t="shared" si="462"/>
        <v>0</v>
      </c>
      <c r="AO300" s="27">
        <f t="shared" si="462"/>
        <v>1766687</v>
      </c>
      <c r="AP300" s="27">
        <f t="shared" ref="AP300:BW300" si="464">SUM(AP11,AP26,AP34,AP64,AP74,AP91,AP98,AP137,AP240,AP267)</f>
        <v>2056407</v>
      </c>
      <c r="AQ300" s="27">
        <f t="shared" si="464"/>
        <v>289720</v>
      </c>
      <c r="AR300" s="27">
        <f t="shared" si="464"/>
        <v>130266</v>
      </c>
      <c r="AS300" s="27">
        <f t="shared" si="464"/>
        <v>150891</v>
      </c>
      <c r="AT300" s="27">
        <f t="shared" si="464"/>
        <v>3892</v>
      </c>
      <c r="AU300" s="27">
        <f t="shared" si="464"/>
        <v>145</v>
      </c>
      <c r="AV300" s="27">
        <f t="shared" si="464"/>
        <v>371</v>
      </c>
      <c r="AW300" s="27">
        <f t="shared" si="464"/>
        <v>4155</v>
      </c>
      <c r="AX300" s="27">
        <f t="shared" si="464"/>
        <v>0</v>
      </c>
      <c r="AY300" s="27">
        <f t="shared" si="464"/>
        <v>0</v>
      </c>
      <c r="AZ300" s="27">
        <f t="shared" si="464"/>
        <v>0</v>
      </c>
      <c r="BA300" s="27">
        <f t="shared" si="464"/>
        <v>4887787</v>
      </c>
      <c r="BB300" s="27">
        <f t="shared" si="464"/>
        <v>625</v>
      </c>
      <c r="BC300" s="27">
        <f t="shared" si="464"/>
        <v>1836</v>
      </c>
      <c r="BD300" s="27">
        <f t="shared" si="464"/>
        <v>1211</v>
      </c>
      <c r="BE300" s="27">
        <f t="shared" si="464"/>
        <v>1181</v>
      </c>
      <c r="BF300" s="27">
        <f t="shared" si="464"/>
        <v>30</v>
      </c>
      <c r="BG300" s="27">
        <f t="shared" si="464"/>
        <v>0</v>
      </c>
      <c r="BH300" s="27">
        <f t="shared" si="464"/>
        <v>0</v>
      </c>
      <c r="BI300" s="27">
        <f t="shared" si="464"/>
        <v>0</v>
      </c>
      <c r="BJ300" s="27">
        <f t="shared" si="464"/>
        <v>0</v>
      </c>
      <c r="BK300" s="27">
        <f t="shared" si="464"/>
        <v>0</v>
      </c>
      <c r="BL300" s="27">
        <f t="shared" si="464"/>
        <v>-364502</v>
      </c>
      <c r="BM300" s="27">
        <f t="shared" si="464"/>
        <v>-432749</v>
      </c>
      <c r="BN300" s="27">
        <f t="shared" si="464"/>
        <v>-68247</v>
      </c>
      <c r="BO300" s="27">
        <f t="shared" si="464"/>
        <v>-7210</v>
      </c>
      <c r="BP300" s="27">
        <f t="shared" si="464"/>
        <v>-900</v>
      </c>
      <c r="BQ300" s="27">
        <f t="shared" si="464"/>
        <v>-2753</v>
      </c>
      <c r="BR300" s="27">
        <f t="shared" si="464"/>
        <v>-5896</v>
      </c>
      <c r="BS300" s="27">
        <f t="shared" si="464"/>
        <v>-31731</v>
      </c>
      <c r="BT300" s="27">
        <f t="shared" si="464"/>
        <v>-8739</v>
      </c>
      <c r="BU300" s="27">
        <f t="shared" si="464"/>
        <v>-11018</v>
      </c>
      <c r="BV300" s="27">
        <f t="shared" si="464"/>
        <v>0</v>
      </c>
      <c r="BW300" s="27">
        <f t="shared" si="464"/>
        <v>0</v>
      </c>
      <c r="BX300" s="28"/>
    </row>
    <row r="301" spans="1:85" hidden="1" outlineLevel="1" x14ac:dyDescent="0.2">
      <c r="C301" s="25"/>
      <c r="D301" s="26" t="s">
        <v>25</v>
      </c>
      <c r="E301" s="26"/>
      <c r="F301" s="29" t="str">
        <f t="shared" ref="F301:BX301" si="465">IF(F298=F299=F300,"PROBLEM","")</f>
        <v/>
      </c>
      <c r="G301" s="29"/>
      <c r="H301" s="29" t="str">
        <f t="shared" si="465"/>
        <v/>
      </c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455"/>
      <c r="Y301" s="29"/>
      <c r="Z301" s="29"/>
      <c r="AA301" s="29"/>
      <c r="AB301" s="29"/>
      <c r="AC301" s="29" t="str">
        <f t="shared" si="465"/>
        <v/>
      </c>
      <c r="AD301" s="29"/>
      <c r="AE301" s="29"/>
      <c r="AF301" s="29"/>
      <c r="AG301" s="29"/>
      <c r="AH301" s="29"/>
      <c r="AI301" s="29"/>
      <c r="AJ301" s="29"/>
      <c r="AK301" s="29"/>
      <c r="AL301" s="455"/>
      <c r="AM301" s="29"/>
      <c r="AN301" s="29"/>
      <c r="AO301" s="29" t="str">
        <f t="shared" si="465"/>
        <v/>
      </c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 t="str">
        <f t="shared" si="465"/>
        <v/>
      </c>
      <c r="BB301" s="29" t="str">
        <f t="shared" si="465"/>
        <v/>
      </c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30" t="str">
        <f t="shared" si="465"/>
        <v/>
      </c>
    </row>
    <row r="302" spans="1:85" hidden="1" outlineLevel="1" x14ac:dyDescent="0.2">
      <c r="C302" s="25"/>
      <c r="D302" s="19"/>
      <c r="E302" s="19"/>
    </row>
    <row r="303" spans="1:85" s="33" customFormat="1" hidden="1" outlineLevel="1" x14ac:dyDescent="0.2">
      <c r="C303" s="31"/>
      <c r="D303" s="32"/>
      <c r="E303" s="32" t="s">
        <v>317</v>
      </c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456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456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  <c r="BU303" s="34"/>
      <c r="BV303" s="34"/>
      <c r="BW303" s="34"/>
      <c r="BX303" s="35"/>
    </row>
    <row r="304" spans="1:85" hidden="1" outlineLevel="1" x14ac:dyDescent="0.2">
      <c r="C304" s="25"/>
      <c r="D304" s="19"/>
      <c r="E304" s="19"/>
      <c r="F304" s="174">
        <f>Ienemumi!AJ162-G298</f>
        <v>7.9999998211860657E-2</v>
      </c>
      <c r="G304" s="174"/>
      <c r="BB304" s="36"/>
      <c r="BC304" s="36"/>
      <c r="BD304" s="36"/>
      <c r="BE304" s="36"/>
      <c r="BF304" s="36"/>
      <c r="BG304" s="36"/>
      <c r="BH304" s="36"/>
      <c r="BI304" s="36"/>
      <c r="BJ304" s="36"/>
      <c r="BK304" s="36"/>
      <c r="BL304" s="36"/>
      <c r="BM304" s="36"/>
      <c r="BN304" s="36"/>
      <c r="BO304" s="36"/>
      <c r="BP304" s="36"/>
      <c r="BQ304" s="36"/>
      <c r="BR304" s="36"/>
      <c r="BS304" s="36"/>
      <c r="BT304" s="36"/>
      <c r="BU304" s="36"/>
      <c r="BV304" s="36"/>
      <c r="BW304" s="36"/>
    </row>
    <row r="305" spans="3:75" ht="12.75" collapsed="1" thickTop="1" x14ac:dyDescent="0.2">
      <c r="C305" s="25"/>
      <c r="D305" s="19"/>
      <c r="E305" s="19"/>
      <c r="F305" s="174"/>
      <c r="G305" s="174"/>
      <c r="H305" s="202"/>
      <c r="I305" s="202"/>
      <c r="J305" s="202"/>
      <c r="K305" s="202"/>
      <c r="L305" s="202"/>
      <c r="M305" s="202"/>
      <c r="N305" s="202"/>
      <c r="O305" s="202"/>
      <c r="P305" s="202"/>
      <c r="Q305" s="202"/>
      <c r="R305" s="202"/>
      <c r="S305" s="202"/>
      <c r="T305" s="202"/>
      <c r="U305" s="202"/>
      <c r="V305" s="202"/>
      <c r="W305" s="202"/>
      <c r="X305" s="461"/>
      <c r="Y305" s="202"/>
      <c r="Z305" s="202"/>
      <c r="AA305" s="202"/>
      <c r="AB305" s="202"/>
      <c r="BB305" s="36"/>
      <c r="BC305" s="36"/>
      <c r="BD305" s="36"/>
      <c r="BE305" s="36"/>
      <c r="BF305" s="36"/>
      <c r="BG305" s="36"/>
      <c r="BH305" s="36"/>
      <c r="BI305" s="36"/>
      <c r="BJ305" s="36"/>
      <c r="BK305" s="36"/>
      <c r="BL305" s="36"/>
      <c r="BM305" s="36"/>
      <c r="BN305" s="36"/>
      <c r="BO305" s="36"/>
      <c r="BP305" s="36"/>
      <c r="BQ305" s="36"/>
      <c r="BR305" s="36"/>
      <c r="BS305" s="36"/>
      <c r="BT305" s="36"/>
      <c r="BU305" s="36"/>
      <c r="BV305" s="36"/>
      <c r="BW305" s="36"/>
    </row>
    <row r="306" spans="3:75" x14ac:dyDescent="0.2">
      <c r="C306" s="25"/>
      <c r="D306" s="19"/>
      <c r="E306" s="19"/>
    </row>
    <row r="307" spans="3:75" x14ac:dyDescent="0.2">
      <c r="C307" s="25"/>
      <c r="D307" s="19"/>
      <c r="E307" s="19"/>
      <c r="F307" s="174"/>
      <c r="G307" s="174"/>
    </row>
    <row r="308" spans="3:75" x14ac:dyDescent="0.2">
      <c r="C308" s="25"/>
      <c r="D308" s="19"/>
      <c r="E308" s="19"/>
    </row>
    <row r="309" spans="3:75" x14ac:dyDescent="0.2">
      <c r="C309" s="25"/>
      <c r="D309" s="19"/>
      <c r="E309" s="19"/>
    </row>
    <row r="310" spans="3:75" x14ac:dyDescent="0.2">
      <c r="C310" s="25"/>
      <c r="D310" s="19"/>
      <c r="E310" s="19"/>
    </row>
    <row r="311" spans="3:75" x14ac:dyDescent="0.2">
      <c r="C311" s="25"/>
      <c r="D311" s="19"/>
      <c r="E311" s="19"/>
    </row>
    <row r="312" spans="3:75" x14ac:dyDescent="0.2">
      <c r="C312" s="25"/>
      <c r="D312" s="19"/>
      <c r="E312" s="19"/>
    </row>
    <row r="313" spans="3:75" x14ac:dyDescent="0.2">
      <c r="C313" s="25"/>
      <c r="D313" s="19"/>
      <c r="E313" s="19"/>
    </row>
    <row r="314" spans="3:75" x14ac:dyDescent="0.2">
      <c r="C314" s="25"/>
      <c r="D314" s="19"/>
      <c r="E314" s="19"/>
    </row>
    <row r="315" spans="3:75" x14ac:dyDescent="0.2">
      <c r="C315" s="25"/>
      <c r="D315" s="19"/>
      <c r="E315" s="19"/>
    </row>
    <row r="316" spans="3:75" x14ac:dyDescent="0.2">
      <c r="C316" s="25"/>
      <c r="D316" s="19"/>
      <c r="E316" s="19"/>
    </row>
    <row r="317" spans="3:75" x14ac:dyDescent="0.2">
      <c r="C317" s="25"/>
      <c r="D317" s="19"/>
      <c r="E317" s="19"/>
    </row>
    <row r="318" spans="3:75" x14ac:dyDescent="0.2">
      <c r="C318" s="25"/>
      <c r="D318" s="19"/>
      <c r="E318" s="19"/>
    </row>
    <row r="319" spans="3:75" x14ac:dyDescent="0.2">
      <c r="C319" s="25"/>
      <c r="D319" s="19"/>
      <c r="E319" s="19"/>
    </row>
    <row r="320" spans="3:75" x14ac:dyDescent="0.2">
      <c r="C320" s="25"/>
      <c r="D320" s="19"/>
      <c r="E320" s="19"/>
    </row>
    <row r="321" spans="3:5" x14ac:dyDescent="0.2">
      <c r="C321" s="25"/>
      <c r="D321" s="19"/>
      <c r="E321" s="19"/>
    </row>
    <row r="322" spans="3:5" x14ac:dyDescent="0.2">
      <c r="C322" s="25"/>
      <c r="D322" s="19"/>
      <c r="E322" s="19"/>
    </row>
    <row r="323" spans="3:5" x14ac:dyDescent="0.2">
      <c r="C323" s="25"/>
      <c r="D323" s="19"/>
      <c r="E323" s="19"/>
    </row>
    <row r="324" spans="3:5" x14ac:dyDescent="0.2">
      <c r="C324" s="25"/>
      <c r="D324" s="19"/>
      <c r="E324" s="19"/>
    </row>
    <row r="325" spans="3:5" x14ac:dyDescent="0.2">
      <c r="C325" s="25"/>
      <c r="D325" s="19"/>
      <c r="E325" s="19"/>
    </row>
    <row r="326" spans="3:5" x14ac:dyDescent="0.2">
      <c r="C326" s="25"/>
      <c r="D326" s="19"/>
      <c r="E326" s="19"/>
    </row>
    <row r="327" spans="3:5" x14ac:dyDescent="0.2">
      <c r="C327" s="25"/>
      <c r="D327" s="19"/>
      <c r="E327" s="19"/>
    </row>
    <row r="328" spans="3:5" x14ac:dyDescent="0.2">
      <c r="C328" s="25"/>
      <c r="D328" s="19"/>
      <c r="E328" s="19"/>
    </row>
    <row r="329" spans="3:5" x14ac:dyDescent="0.2">
      <c r="C329" s="25"/>
      <c r="D329" s="19"/>
      <c r="E329" s="19"/>
    </row>
    <row r="330" spans="3:5" x14ac:dyDescent="0.2">
      <c r="C330" s="25"/>
      <c r="D330" s="19"/>
      <c r="E330" s="19"/>
    </row>
    <row r="331" spans="3:5" x14ac:dyDescent="0.2">
      <c r="C331" s="25"/>
      <c r="D331" s="19"/>
      <c r="E331" s="19"/>
    </row>
    <row r="332" spans="3:5" x14ac:dyDescent="0.2">
      <c r="C332" s="25"/>
      <c r="D332" s="19"/>
      <c r="E332" s="19"/>
    </row>
    <row r="333" spans="3:5" x14ac:dyDescent="0.2">
      <c r="C333" s="25"/>
      <c r="D333" s="19"/>
      <c r="E333" s="19"/>
    </row>
    <row r="334" spans="3:5" x14ac:dyDescent="0.2">
      <c r="C334" s="25"/>
      <c r="D334" s="19"/>
      <c r="E334" s="19"/>
    </row>
    <row r="335" spans="3:5" x14ac:dyDescent="0.2">
      <c r="C335" s="25"/>
      <c r="D335" s="19"/>
      <c r="E335" s="19"/>
    </row>
    <row r="336" spans="3:5" x14ac:dyDescent="0.2">
      <c r="C336" s="25"/>
      <c r="D336" s="19"/>
      <c r="E336" s="19"/>
    </row>
    <row r="337" spans="3:5" x14ac:dyDescent="0.2">
      <c r="C337" s="25"/>
      <c r="D337" s="19"/>
      <c r="E337" s="19"/>
    </row>
    <row r="338" spans="3:5" x14ac:dyDescent="0.2">
      <c r="C338" s="25"/>
      <c r="D338" s="19"/>
      <c r="E338" s="19"/>
    </row>
    <row r="339" spans="3:5" x14ac:dyDescent="0.2">
      <c r="C339" s="25"/>
      <c r="D339" s="19"/>
      <c r="E339" s="19"/>
    </row>
    <row r="340" spans="3:5" x14ac:dyDescent="0.2">
      <c r="C340" s="25"/>
      <c r="D340" s="19"/>
      <c r="E340" s="19"/>
    </row>
    <row r="341" spans="3:5" x14ac:dyDescent="0.2">
      <c r="C341" s="25"/>
      <c r="D341" s="19"/>
      <c r="E341" s="19"/>
    </row>
    <row r="342" spans="3:5" x14ac:dyDescent="0.2">
      <c r="C342" s="25"/>
      <c r="D342" s="19"/>
      <c r="E342" s="19"/>
    </row>
    <row r="343" spans="3:5" x14ac:dyDescent="0.2">
      <c r="C343" s="25"/>
      <c r="D343" s="19"/>
      <c r="E343" s="19"/>
    </row>
    <row r="344" spans="3:5" x14ac:dyDescent="0.2">
      <c r="C344" s="25"/>
      <c r="D344" s="19"/>
      <c r="E344" s="19"/>
    </row>
    <row r="345" spans="3:5" x14ac:dyDescent="0.2">
      <c r="C345" s="25"/>
      <c r="D345" s="19"/>
      <c r="E345" s="19"/>
    </row>
    <row r="346" spans="3:5" x14ac:dyDescent="0.2">
      <c r="C346" s="25"/>
      <c r="D346" s="19"/>
      <c r="E346" s="19"/>
    </row>
    <row r="347" spans="3:5" x14ac:dyDescent="0.2">
      <c r="C347" s="25"/>
      <c r="D347" s="19"/>
      <c r="E347" s="19"/>
    </row>
    <row r="348" spans="3:5" x14ac:dyDescent="0.2">
      <c r="C348" s="25"/>
      <c r="D348" s="19"/>
      <c r="E348" s="19"/>
    </row>
    <row r="349" spans="3:5" x14ac:dyDescent="0.2">
      <c r="C349" s="25"/>
      <c r="D349" s="19"/>
      <c r="E349" s="19"/>
    </row>
    <row r="350" spans="3:5" x14ac:dyDescent="0.2">
      <c r="C350" s="25"/>
      <c r="D350" s="19"/>
      <c r="E350" s="19"/>
    </row>
    <row r="351" spans="3:5" x14ac:dyDescent="0.2">
      <c r="C351" s="25"/>
      <c r="D351" s="19"/>
      <c r="E351" s="19"/>
    </row>
    <row r="352" spans="3:5" x14ac:dyDescent="0.2">
      <c r="C352" s="25"/>
      <c r="D352" s="19"/>
      <c r="E352" s="19"/>
    </row>
    <row r="353" spans="3:5" x14ac:dyDescent="0.2">
      <c r="C353" s="25"/>
      <c r="D353" s="19"/>
      <c r="E353" s="19"/>
    </row>
    <row r="354" spans="3:5" x14ac:dyDescent="0.2">
      <c r="C354" s="25"/>
      <c r="D354" s="19"/>
      <c r="E354" s="19"/>
    </row>
    <row r="355" spans="3:5" x14ac:dyDescent="0.2">
      <c r="C355" s="25"/>
      <c r="D355" s="19"/>
      <c r="E355" s="19"/>
    </row>
    <row r="356" spans="3:5" x14ac:dyDescent="0.2">
      <c r="C356" s="25"/>
      <c r="D356" s="19"/>
      <c r="E356" s="19"/>
    </row>
    <row r="357" spans="3:5" x14ac:dyDescent="0.2">
      <c r="C357" s="25"/>
      <c r="D357" s="19"/>
      <c r="E357" s="19"/>
    </row>
    <row r="358" spans="3:5" x14ac:dyDescent="0.2">
      <c r="C358" s="25"/>
      <c r="D358" s="19"/>
      <c r="E358" s="19"/>
    </row>
    <row r="359" spans="3:5" x14ac:dyDescent="0.2">
      <c r="C359" s="25"/>
      <c r="D359" s="19"/>
      <c r="E359" s="19"/>
    </row>
    <row r="360" spans="3:5" x14ac:dyDescent="0.2">
      <c r="C360" s="25"/>
      <c r="D360" s="19"/>
      <c r="E360" s="19"/>
    </row>
    <row r="361" spans="3:5" x14ac:dyDescent="0.2">
      <c r="C361" s="25"/>
      <c r="D361" s="19"/>
      <c r="E361" s="19"/>
    </row>
    <row r="362" spans="3:5" x14ac:dyDescent="0.2">
      <c r="C362" s="25"/>
      <c r="D362" s="19"/>
      <c r="E362" s="19"/>
    </row>
    <row r="363" spans="3:5" x14ac:dyDescent="0.2">
      <c r="C363" s="25"/>
      <c r="D363" s="19"/>
      <c r="E363" s="19"/>
    </row>
    <row r="364" spans="3:5" x14ac:dyDescent="0.2">
      <c r="C364" s="25"/>
      <c r="D364" s="19"/>
      <c r="E364" s="19"/>
    </row>
    <row r="365" spans="3:5" x14ac:dyDescent="0.2">
      <c r="C365" s="25"/>
      <c r="D365" s="19"/>
      <c r="E365" s="19"/>
    </row>
    <row r="366" spans="3:5" x14ac:dyDescent="0.2">
      <c r="C366" s="25"/>
      <c r="D366" s="19"/>
      <c r="E366" s="19"/>
    </row>
    <row r="367" spans="3:5" x14ac:dyDescent="0.2">
      <c r="C367" s="25"/>
      <c r="D367" s="19"/>
      <c r="E367" s="19"/>
    </row>
    <row r="368" spans="3:5" x14ac:dyDescent="0.2">
      <c r="C368" s="25"/>
      <c r="D368" s="19"/>
      <c r="E368" s="19"/>
    </row>
    <row r="369" spans="3:5" x14ac:dyDescent="0.2">
      <c r="C369" s="25"/>
      <c r="D369" s="19"/>
      <c r="E369" s="19"/>
    </row>
    <row r="370" spans="3:5" x14ac:dyDescent="0.2">
      <c r="C370" s="25"/>
      <c r="D370" s="19"/>
      <c r="E370" s="19"/>
    </row>
    <row r="371" spans="3:5" x14ac:dyDescent="0.2">
      <c r="C371" s="25"/>
      <c r="D371" s="19"/>
      <c r="E371" s="19"/>
    </row>
    <row r="372" spans="3:5" x14ac:dyDescent="0.2">
      <c r="C372" s="25"/>
      <c r="D372" s="19"/>
      <c r="E372" s="19"/>
    </row>
    <row r="373" spans="3:5" x14ac:dyDescent="0.2">
      <c r="C373" s="25"/>
      <c r="D373" s="19"/>
      <c r="E373" s="19"/>
    </row>
    <row r="374" spans="3:5" x14ac:dyDescent="0.2">
      <c r="C374" s="25"/>
      <c r="D374" s="19"/>
      <c r="E374" s="19"/>
    </row>
    <row r="375" spans="3:5" x14ac:dyDescent="0.2">
      <c r="C375" s="25"/>
      <c r="D375" s="19"/>
      <c r="E375" s="19"/>
    </row>
    <row r="376" spans="3:5" x14ac:dyDescent="0.2">
      <c r="C376" s="25"/>
      <c r="D376" s="19"/>
      <c r="E376" s="19"/>
    </row>
    <row r="377" spans="3:5" x14ac:dyDescent="0.2">
      <c r="C377" s="25"/>
      <c r="D377" s="19"/>
      <c r="E377" s="19"/>
    </row>
    <row r="378" spans="3:5" x14ac:dyDescent="0.2">
      <c r="C378" s="25"/>
      <c r="D378" s="19"/>
      <c r="E378" s="19"/>
    </row>
    <row r="379" spans="3:5" x14ac:dyDescent="0.2">
      <c r="C379" s="25"/>
      <c r="D379" s="19"/>
      <c r="E379" s="19"/>
    </row>
    <row r="380" spans="3:5" x14ac:dyDescent="0.2">
      <c r="C380" s="25"/>
      <c r="D380" s="19"/>
      <c r="E380" s="19"/>
    </row>
    <row r="381" spans="3:5" x14ac:dyDescent="0.2">
      <c r="C381" s="25"/>
      <c r="D381" s="19"/>
      <c r="E381" s="19"/>
    </row>
    <row r="382" spans="3:5" x14ac:dyDescent="0.2">
      <c r="C382" s="25"/>
      <c r="D382" s="19"/>
      <c r="E382" s="19"/>
    </row>
    <row r="383" spans="3:5" x14ac:dyDescent="0.2">
      <c r="C383" s="25"/>
      <c r="D383" s="19"/>
      <c r="E383" s="19"/>
    </row>
    <row r="384" spans="3:5" x14ac:dyDescent="0.2">
      <c r="C384" s="25"/>
      <c r="D384" s="19"/>
      <c r="E384" s="19"/>
    </row>
    <row r="385" spans="3:5" x14ac:dyDescent="0.2">
      <c r="C385" s="25"/>
      <c r="D385" s="19"/>
      <c r="E385" s="19"/>
    </row>
    <row r="386" spans="3:5" x14ac:dyDescent="0.2">
      <c r="C386" s="25"/>
      <c r="D386" s="19"/>
      <c r="E386" s="19"/>
    </row>
    <row r="387" spans="3:5" x14ac:dyDescent="0.2">
      <c r="C387" s="25"/>
      <c r="D387" s="19"/>
      <c r="E387" s="19"/>
    </row>
    <row r="388" spans="3:5" x14ac:dyDescent="0.2">
      <c r="C388" s="25"/>
      <c r="D388" s="19"/>
      <c r="E388" s="19"/>
    </row>
    <row r="389" spans="3:5" x14ac:dyDescent="0.2">
      <c r="C389" s="25"/>
      <c r="D389" s="19"/>
      <c r="E389" s="19"/>
    </row>
    <row r="390" spans="3:5" x14ac:dyDescent="0.2">
      <c r="C390" s="25"/>
      <c r="D390" s="19"/>
      <c r="E390" s="19"/>
    </row>
    <row r="391" spans="3:5" x14ac:dyDescent="0.2">
      <c r="C391" s="25"/>
      <c r="D391" s="19"/>
      <c r="E391" s="19"/>
    </row>
    <row r="392" spans="3:5" x14ac:dyDescent="0.2">
      <c r="C392" s="25"/>
      <c r="D392" s="19"/>
      <c r="E392" s="19"/>
    </row>
    <row r="393" spans="3:5" x14ac:dyDescent="0.2">
      <c r="C393" s="25"/>
      <c r="D393" s="19"/>
      <c r="E393" s="19"/>
    </row>
    <row r="394" spans="3:5" x14ac:dyDescent="0.2">
      <c r="C394" s="25"/>
      <c r="D394" s="19"/>
      <c r="E394" s="19"/>
    </row>
    <row r="395" spans="3:5" x14ac:dyDescent="0.2">
      <c r="C395" s="25"/>
      <c r="D395" s="19"/>
      <c r="E395" s="19"/>
    </row>
    <row r="396" spans="3:5" x14ac:dyDescent="0.2">
      <c r="C396" s="25"/>
      <c r="D396" s="19"/>
      <c r="E396" s="19"/>
    </row>
    <row r="397" spans="3:5" x14ac:dyDescent="0.2">
      <c r="C397" s="25"/>
      <c r="D397" s="19"/>
      <c r="E397" s="19"/>
    </row>
    <row r="398" spans="3:5" x14ac:dyDescent="0.2">
      <c r="C398" s="25"/>
      <c r="D398" s="19"/>
      <c r="E398" s="19"/>
    </row>
    <row r="399" spans="3:5" x14ac:dyDescent="0.2">
      <c r="C399" s="25"/>
      <c r="D399" s="19"/>
      <c r="E399" s="19"/>
    </row>
    <row r="400" spans="3:5" x14ac:dyDescent="0.2">
      <c r="C400" s="25"/>
      <c r="D400" s="19"/>
      <c r="E400" s="19"/>
    </row>
    <row r="401" spans="3:5" x14ac:dyDescent="0.2">
      <c r="C401" s="25"/>
      <c r="D401" s="19"/>
      <c r="E401" s="19"/>
    </row>
    <row r="402" spans="3:5" x14ac:dyDescent="0.2">
      <c r="C402" s="25"/>
      <c r="D402" s="19"/>
      <c r="E402" s="19"/>
    </row>
    <row r="403" spans="3:5" x14ac:dyDescent="0.2">
      <c r="C403" s="25"/>
      <c r="D403" s="19"/>
      <c r="E403" s="19"/>
    </row>
    <row r="404" spans="3:5" x14ac:dyDescent="0.2">
      <c r="C404" s="25"/>
      <c r="D404" s="19"/>
      <c r="E404" s="19"/>
    </row>
    <row r="405" spans="3:5" x14ac:dyDescent="0.2">
      <c r="C405" s="25"/>
      <c r="D405" s="19"/>
      <c r="E405" s="19"/>
    </row>
    <row r="406" spans="3:5" x14ac:dyDescent="0.2">
      <c r="C406" s="25"/>
      <c r="D406" s="19"/>
      <c r="E406" s="19"/>
    </row>
    <row r="407" spans="3:5" x14ac:dyDescent="0.2">
      <c r="C407" s="25"/>
      <c r="D407" s="19"/>
      <c r="E407" s="19"/>
    </row>
    <row r="408" spans="3:5" x14ac:dyDescent="0.2">
      <c r="C408" s="25"/>
      <c r="D408" s="19"/>
      <c r="E408" s="19"/>
    </row>
    <row r="409" spans="3:5" x14ac:dyDescent="0.2">
      <c r="C409" s="25"/>
      <c r="D409" s="19"/>
      <c r="E409" s="19"/>
    </row>
    <row r="410" spans="3:5" x14ac:dyDescent="0.2">
      <c r="C410" s="25"/>
      <c r="D410" s="19"/>
      <c r="E410" s="19"/>
    </row>
    <row r="411" spans="3:5" x14ac:dyDescent="0.2">
      <c r="C411" s="25"/>
      <c r="D411" s="19"/>
      <c r="E411" s="19"/>
    </row>
    <row r="412" spans="3:5" x14ac:dyDescent="0.2">
      <c r="C412" s="25"/>
      <c r="D412" s="19"/>
      <c r="E412" s="19"/>
    </row>
    <row r="413" spans="3:5" x14ac:dyDescent="0.2">
      <c r="C413" s="25"/>
      <c r="D413" s="19"/>
      <c r="E413" s="19"/>
    </row>
    <row r="414" spans="3:5" x14ac:dyDescent="0.2">
      <c r="C414" s="25"/>
      <c r="D414" s="19"/>
      <c r="E414" s="19"/>
    </row>
    <row r="415" spans="3:5" x14ac:dyDescent="0.2">
      <c r="C415" s="25"/>
      <c r="D415" s="19"/>
      <c r="E415" s="19"/>
    </row>
    <row r="416" spans="3:5" x14ac:dyDescent="0.2">
      <c r="C416" s="25"/>
      <c r="D416" s="19"/>
      <c r="E416" s="19"/>
    </row>
    <row r="417" spans="3:5" x14ac:dyDescent="0.2">
      <c r="C417" s="25"/>
      <c r="D417" s="19"/>
      <c r="E417" s="19"/>
    </row>
    <row r="418" spans="3:5" x14ac:dyDescent="0.2">
      <c r="C418" s="25"/>
      <c r="D418" s="19"/>
      <c r="E418" s="19"/>
    </row>
    <row r="419" spans="3:5" x14ac:dyDescent="0.2">
      <c r="C419" s="25"/>
      <c r="D419" s="19"/>
      <c r="E419" s="19"/>
    </row>
    <row r="420" spans="3:5" x14ac:dyDescent="0.2">
      <c r="C420" s="25"/>
      <c r="D420" s="19"/>
      <c r="E420" s="19"/>
    </row>
    <row r="421" spans="3:5" x14ac:dyDescent="0.2">
      <c r="C421" s="25"/>
      <c r="D421" s="19"/>
      <c r="E421" s="19"/>
    </row>
    <row r="422" spans="3:5" x14ac:dyDescent="0.2">
      <c r="C422" s="25"/>
      <c r="D422" s="19"/>
      <c r="E422" s="19"/>
    </row>
    <row r="423" spans="3:5" x14ac:dyDescent="0.2">
      <c r="C423" s="25"/>
      <c r="D423" s="19"/>
      <c r="E423" s="19"/>
    </row>
    <row r="424" spans="3:5" x14ac:dyDescent="0.2">
      <c r="C424" s="25"/>
      <c r="D424" s="19"/>
      <c r="E424" s="19"/>
    </row>
    <row r="425" spans="3:5" x14ac:dyDescent="0.2">
      <c r="C425" s="25"/>
      <c r="D425" s="19"/>
      <c r="E425" s="19"/>
    </row>
    <row r="426" spans="3:5" x14ac:dyDescent="0.2">
      <c r="C426" s="25"/>
      <c r="D426" s="19"/>
      <c r="E426" s="19"/>
    </row>
    <row r="427" spans="3:5" x14ac:dyDescent="0.2">
      <c r="C427" s="25"/>
      <c r="D427" s="19"/>
      <c r="E427" s="19"/>
    </row>
    <row r="428" spans="3:5" x14ac:dyDescent="0.2">
      <c r="C428" s="25"/>
      <c r="D428" s="19"/>
      <c r="E428" s="19"/>
    </row>
    <row r="429" spans="3:5" x14ac:dyDescent="0.2">
      <c r="C429" s="25"/>
      <c r="D429" s="19"/>
      <c r="E429" s="19"/>
    </row>
    <row r="430" spans="3:5" x14ac:dyDescent="0.2">
      <c r="C430" s="25"/>
      <c r="D430" s="19"/>
      <c r="E430" s="19"/>
    </row>
    <row r="431" spans="3:5" x14ac:dyDescent="0.2">
      <c r="C431" s="25"/>
      <c r="D431" s="19"/>
      <c r="E431" s="19"/>
    </row>
    <row r="432" spans="3:5" x14ac:dyDescent="0.2">
      <c r="C432" s="25"/>
      <c r="D432" s="19"/>
      <c r="E432" s="19"/>
    </row>
    <row r="433" spans="3:5" x14ac:dyDescent="0.2">
      <c r="C433" s="25"/>
      <c r="D433" s="19"/>
      <c r="E433" s="19"/>
    </row>
    <row r="434" spans="3:5" x14ac:dyDescent="0.2">
      <c r="C434" s="25"/>
      <c r="D434" s="19"/>
      <c r="E434" s="19"/>
    </row>
    <row r="435" spans="3:5" x14ac:dyDescent="0.2">
      <c r="C435" s="25"/>
      <c r="D435" s="19"/>
      <c r="E435" s="19"/>
    </row>
    <row r="436" spans="3:5" x14ac:dyDescent="0.2">
      <c r="C436" s="25"/>
      <c r="D436" s="19"/>
      <c r="E436" s="19"/>
    </row>
    <row r="437" spans="3:5" x14ac:dyDescent="0.2">
      <c r="C437" s="25"/>
      <c r="D437" s="19"/>
      <c r="E437" s="19"/>
    </row>
    <row r="438" spans="3:5" x14ac:dyDescent="0.2">
      <c r="C438" s="25"/>
      <c r="D438" s="19"/>
      <c r="E438" s="19"/>
    </row>
    <row r="439" spans="3:5" x14ac:dyDescent="0.2">
      <c r="C439" s="25"/>
      <c r="D439" s="19"/>
      <c r="E439" s="19"/>
    </row>
    <row r="440" spans="3:5" x14ac:dyDescent="0.2">
      <c r="C440" s="25"/>
      <c r="D440" s="19"/>
      <c r="E440" s="19"/>
    </row>
    <row r="441" spans="3:5" x14ac:dyDescent="0.2">
      <c r="C441" s="25"/>
      <c r="D441" s="19"/>
      <c r="E441" s="19"/>
    </row>
    <row r="442" spans="3:5" x14ac:dyDescent="0.2">
      <c r="C442" s="25"/>
      <c r="D442" s="19"/>
      <c r="E442" s="19"/>
    </row>
    <row r="443" spans="3:5" x14ac:dyDescent="0.2">
      <c r="C443" s="25"/>
      <c r="D443" s="19"/>
      <c r="E443" s="19"/>
    </row>
    <row r="444" spans="3:5" x14ac:dyDescent="0.2">
      <c r="C444" s="25"/>
      <c r="D444" s="19"/>
      <c r="E444" s="19"/>
    </row>
    <row r="445" spans="3:5" x14ac:dyDescent="0.2">
      <c r="C445" s="25"/>
      <c r="D445" s="19"/>
      <c r="E445" s="19"/>
    </row>
    <row r="446" spans="3:5" x14ac:dyDescent="0.2">
      <c r="C446" s="25"/>
      <c r="D446" s="19"/>
      <c r="E446" s="19"/>
    </row>
    <row r="447" spans="3:5" x14ac:dyDescent="0.2">
      <c r="C447" s="25"/>
      <c r="D447" s="19"/>
      <c r="E447" s="19"/>
    </row>
    <row r="448" spans="3:5" x14ac:dyDescent="0.2">
      <c r="C448" s="25"/>
      <c r="D448" s="19"/>
      <c r="E448" s="19"/>
    </row>
    <row r="449" spans="3:5" x14ac:dyDescent="0.2">
      <c r="C449" s="25"/>
      <c r="D449" s="19"/>
      <c r="E449" s="19"/>
    </row>
    <row r="450" spans="3:5" x14ac:dyDescent="0.2">
      <c r="C450" s="25"/>
      <c r="D450" s="19"/>
      <c r="E450" s="19"/>
    </row>
    <row r="451" spans="3:5" x14ac:dyDescent="0.2">
      <c r="C451" s="25"/>
      <c r="D451" s="19"/>
      <c r="E451" s="19"/>
    </row>
    <row r="452" spans="3:5" x14ac:dyDescent="0.2">
      <c r="C452" s="25"/>
      <c r="D452" s="19"/>
      <c r="E452" s="19"/>
    </row>
    <row r="453" spans="3:5" x14ac:dyDescent="0.2">
      <c r="C453" s="25"/>
      <c r="D453" s="19"/>
      <c r="E453" s="19"/>
    </row>
    <row r="454" spans="3:5" x14ac:dyDescent="0.2">
      <c r="C454" s="25"/>
      <c r="D454" s="19"/>
      <c r="E454" s="19"/>
    </row>
    <row r="455" spans="3:5" x14ac:dyDescent="0.2">
      <c r="C455" s="25"/>
      <c r="D455" s="19"/>
      <c r="E455" s="19"/>
    </row>
    <row r="456" spans="3:5" x14ac:dyDescent="0.2">
      <c r="C456" s="25"/>
      <c r="D456" s="19"/>
      <c r="E456" s="19"/>
    </row>
    <row r="457" spans="3:5" x14ac:dyDescent="0.2">
      <c r="C457" s="25"/>
      <c r="D457" s="19"/>
      <c r="E457" s="19"/>
    </row>
    <row r="458" spans="3:5" x14ac:dyDescent="0.2">
      <c r="C458" s="25"/>
      <c r="D458" s="19"/>
      <c r="E458" s="19"/>
    </row>
    <row r="459" spans="3:5" x14ac:dyDescent="0.2">
      <c r="C459" s="25"/>
      <c r="D459" s="19"/>
      <c r="E459" s="19"/>
    </row>
    <row r="460" spans="3:5" x14ac:dyDescent="0.2">
      <c r="C460" s="25"/>
      <c r="D460" s="19"/>
      <c r="E460" s="19"/>
    </row>
    <row r="461" spans="3:5" x14ac:dyDescent="0.2">
      <c r="C461" s="25"/>
      <c r="D461" s="19"/>
      <c r="E461" s="19"/>
    </row>
    <row r="462" spans="3:5" x14ac:dyDescent="0.2">
      <c r="C462" s="25"/>
      <c r="D462" s="19"/>
      <c r="E462" s="19"/>
    </row>
    <row r="463" spans="3:5" x14ac:dyDescent="0.2">
      <c r="C463" s="25"/>
      <c r="D463" s="19"/>
      <c r="E463" s="19"/>
    </row>
    <row r="464" spans="3:5" x14ac:dyDescent="0.2">
      <c r="C464" s="25"/>
      <c r="D464" s="19"/>
      <c r="E464" s="19"/>
    </row>
    <row r="465" spans="3:5" x14ac:dyDescent="0.2">
      <c r="C465" s="25"/>
      <c r="D465" s="19"/>
      <c r="E465" s="19"/>
    </row>
    <row r="466" spans="3:5" x14ac:dyDescent="0.2">
      <c r="C466" s="25"/>
      <c r="D466" s="19"/>
      <c r="E466" s="19"/>
    </row>
    <row r="467" spans="3:5" x14ac:dyDescent="0.2">
      <c r="C467" s="25"/>
      <c r="D467" s="19"/>
      <c r="E467" s="19"/>
    </row>
    <row r="468" spans="3:5" x14ac:dyDescent="0.2">
      <c r="C468" s="25"/>
      <c r="D468" s="19"/>
      <c r="E468" s="19"/>
    </row>
    <row r="469" spans="3:5" x14ac:dyDescent="0.2">
      <c r="C469" s="25"/>
      <c r="D469" s="19"/>
      <c r="E469" s="19"/>
    </row>
    <row r="470" spans="3:5" x14ac:dyDescent="0.2">
      <c r="C470" s="25"/>
      <c r="D470" s="19"/>
      <c r="E470" s="19"/>
    </row>
    <row r="471" spans="3:5" x14ac:dyDescent="0.2">
      <c r="C471" s="25"/>
      <c r="D471" s="19"/>
      <c r="E471" s="19"/>
    </row>
    <row r="472" spans="3:5" x14ac:dyDescent="0.2">
      <c r="C472" s="25"/>
      <c r="D472" s="19"/>
      <c r="E472" s="19"/>
    </row>
    <row r="473" spans="3:5" x14ac:dyDescent="0.2">
      <c r="C473" s="25"/>
      <c r="D473" s="19"/>
      <c r="E473" s="19"/>
    </row>
    <row r="474" spans="3:5" x14ac:dyDescent="0.2">
      <c r="C474" s="25"/>
      <c r="D474" s="19"/>
      <c r="E474" s="19"/>
    </row>
    <row r="475" spans="3:5" x14ac:dyDescent="0.2">
      <c r="C475" s="25"/>
      <c r="D475" s="19"/>
      <c r="E475" s="19"/>
    </row>
    <row r="476" spans="3:5" x14ac:dyDescent="0.2">
      <c r="C476" s="25"/>
      <c r="D476" s="19"/>
      <c r="E476" s="19"/>
    </row>
    <row r="477" spans="3:5" x14ac:dyDescent="0.2">
      <c r="C477" s="25"/>
      <c r="D477" s="19"/>
      <c r="E477" s="19"/>
    </row>
    <row r="478" spans="3:5" x14ac:dyDescent="0.2">
      <c r="C478" s="25"/>
      <c r="D478" s="19"/>
      <c r="E478" s="19"/>
    </row>
    <row r="479" spans="3:5" x14ac:dyDescent="0.2">
      <c r="C479" s="25"/>
      <c r="D479" s="19"/>
      <c r="E479" s="19"/>
    </row>
    <row r="480" spans="3:5" x14ac:dyDescent="0.2">
      <c r="C480" s="25"/>
      <c r="D480" s="19"/>
      <c r="E480" s="19"/>
    </row>
    <row r="481" spans="3:5" x14ac:dyDescent="0.2">
      <c r="C481" s="25"/>
      <c r="D481" s="19"/>
      <c r="E481" s="19"/>
    </row>
    <row r="482" spans="3:5" x14ac:dyDescent="0.2">
      <c r="C482" s="25"/>
      <c r="D482" s="19"/>
      <c r="E482" s="19"/>
    </row>
    <row r="483" spans="3:5" x14ac:dyDescent="0.2">
      <c r="C483" s="25"/>
      <c r="D483" s="19"/>
      <c r="E483" s="19"/>
    </row>
    <row r="484" spans="3:5" x14ac:dyDescent="0.2">
      <c r="C484" s="25"/>
      <c r="D484" s="19"/>
      <c r="E484" s="19"/>
    </row>
    <row r="485" spans="3:5" x14ac:dyDescent="0.2">
      <c r="C485" s="25"/>
      <c r="D485" s="19"/>
      <c r="E485" s="19"/>
    </row>
    <row r="486" spans="3:5" x14ac:dyDescent="0.2">
      <c r="C486" s="25"/>
      <c r="D486" s="19"/>
      <c r="E486" s="19"/>
    </row>
    <row r="487" spans="3:5" x14ac:dyDescent="0.2">
      <c r="C487" s="25"/>
      <c r="D487" s="19"/>
      <c r="E487" s="19"/>
    </row>
    <row r="488" spans="3:5" x14ac:dyDescent="0.2">
      <c r="C488" s="25"/>
      <c r="D488" s="19"/>
      <c r="E488" s="19"/>
    </row>
    <row r="489" spans="3:5" x14ac:dyDescent="0.2">
      <c r="C489" s="25"/>
      <c r="D489" s="19"/>
      <c r="E489" s="19"/>
    </row>
    <row r="490" spans="3:5" x14ac:dyDescent="0.2">
      <c r="C490" s="25"/>
      <c r="D490" s="19"/>
      <c r="E490" s="19"/>
    </row>
    <row r="491" spans="3:5" x14ac:dyDescent="0.2">
      <c r="C491" s="25"/>
      <c r="D491" s="19"/>
      <c r="E491" s="19"/>
    </row>
    <row r="492" spans="3:5" x14ac:dyDescent="0.2">
      <c r="C492" s="25"/>
      <c r="D492" s="19"/>
      <c r="E492" s="19"/>
    </row>
    <row r="493" spans="3:5" x14ac:dyDescent="0.2">
      <c r="C493" s="25"/>
      <c r="D493" s="19"/>
      <c r="E493" s="19"/>
    </row>
    <row r="494" spans="3:5" x14ac:dyDescent="0.2">
      <c r="C494" s="25"/>
      <c r="D494" s="19"/>
      <c r="E494" s="19"/>
    </row>
    <row r="495" spans="3:5" x14ac:dyDescent="0.2">
      <c r="C495" s="25"/>
      <c r="D495" s="19"/>
      <c r="E495" s="19"/>
    </row>
    <row r="496" spans="3:5" x14ac:dyDescent="0.2">
      <c r="C496" s="25"/>
      <c r="D496" s="19"/>
      <c r="E496" s="19"/>
    </row>
    <row r="497" spans="3:5" x14ac:dyDescent="0.2">
      <c r="C497" s="25"/>
      <c r="D497" s="19"/>
      <c r="E497" s="19"/>
    </row>
    <row r="498" spans="3:5" x14ac:dyDescent="0.2">
      <c r="C498" s="25"/>
      <c r="D498" s="19"/>
      <c r="E498" s="19"/>
    </row>
    <row r="499" spans="3:5" x14ac:dyDescent="0.2">
      <c r="C499" s="25"/>
      <c r="D499" s="19"/>
      <c r="E499" s="19"/>
    </row>
    <row r="500" spans="3:5" x14ac:dyDescent="0.2">
      <c r="C500" s="25"/>
      <c r="D500" s="19"/>
      <c r="E500" s="19"/>
    </row>
    <row r="501" spans="3:5" x14ac:dyDescent="0.2">
      <c r="C501" s="25"/>
      <c r="D501" s="19"/>
      <c r="E501" s="19"/>
    </row>
    <row r="502" spans="3:5" x14ac:dyDescent="0.2">
      <c r="C502" s="25"/>
      <c r="D502" s="19"/>
      <c r="E502" s="19"/>
    </row>
    <row r="503" spans="3:5" x14ac:dyDescent="0.2">
      <c r="C503" s="25"/>
      <c r="D503" s="19"/>
      <c r="E503" s="19"/>
    </row>
    <row r="504" spans="3:5" x14ac:dyDescent="0.2">
      <c r="C504" s="25"/>
      <c r="D504" s="19"/>
      <c r="E504" s="19"/>
    </row>
    <row r="505" spans="3:5" x14ac:dyDescent="0.2">
      <c r="C505" s="25"/>
      <c r="D505" s="19"/>
      <c r="E505" s="19"/>
    </row>
    <row r="506" spans="3:5" x14ac:dyDescent="0.2">
      <c r="C506" s="25"/>
      <c r="D506" s="19"/>
      <c r="E506" s="19"/>
    </row>
    <row r="507" spans="3:5" x14ac:dyDescent="0.2">
      <c r="C507" s="25"/>
      <c r="D507" s="19"/>
      <c r="E507" s="19"/>
    </row>
    <row r="508" spans="3:5" x14ac:dyDescent="0.2">
      <c r="C508" s="25"/>
      <c r="D508" s="19"/>
      <c r="E508" s="19"/>
    </row>
    <row r="509" spans="3:5" x14ac:dyDescent="0.2">
      <c r="C509" s="25"/>
      <c r="D509" s="19"/>
      <c r="E509" s="19"/>
    </row>
    <row r="510" spans="3:5" x14ac:dyDescent="0.2">
      <c r="C510" s="25"/>
      <c r="D510" s="19"/>
      <c r="E510" s="19"/>
    </row>
    <row r="511" spans="3:5" x14ac:dyDescent="0.2">
      <c r="C511" s="25"/>
      <c r="D511" s="19"/>
      <c r="E511" s="19"/>
    </row>
    <row r="512" spans="3:5" x14ac:dyDescent="0.2">
      <c r="C512" s="25"/>
      <c r="D512" s="19"/>
      <c r="E512" s="19"/>
    </row>
    <row r="513" spans="3:5" x14ac:dyDescent="0.2">
      <c r="C513" s="25"/>
      <c r="D513" s="19"/>
      <c r="E513" s="19"/>
    </row>
    <row r="514" spans="3:5" x14ac:dyDescent="0.2">
      <c r="C514" s="25"/>
      <c r="D514" s="19"/>
      <c r="E514" s="19"/>
    </row>
    <row r="515" spans="3:5" x14ac:dyDescent="0.2">
      <c r="C515" s="25"/>
      <c r="D515" s="19"/>
      <c r="E515" s="19"/>
    </row>
    <row r="516" spans="3:5" x14ac:dyDescent="0.2">
      <c r="C516" s="25"/>
      <c r="D516" s="19"/>
      <c r="E516" s="19"/>
    </row>
    <row r="517" spans="3:5" x14ac:dyDescent="0.2">
      <c r="C517" s="25"/>
      <c r="D517" s="19"/>
      <c r="E517" s="19"/>
    </row>
    <row r="518" spans="3:5" x14ac:dyDescent="0.2">
      <c r="C518" s="25"/>
      <c r="D518" s="19"/>
      <c r="E518" s="19"/>
    </row>
    <row r="519" spans="3:5" x14ac:dyDescent="0.2">
      <c r="C519" s="25"/>
      <c r="D519" s="19"/>
      <c r="E519" s="19"/>
    </row>
    <row r="520" spans="3:5" x14ac:dyDescent="0.2">
      <c r="C520" s="25"/>
      <c r="D520" s="19"/>
      <c r="E520" s="19"/>
    </row>
    <row r="521" spans="3:5" x14ac:dyDescent="0.2">
      <c r="C521" s="25"/>
      <c r="D521" s="19"/>
      <c r="E521" s="19"/>
    </row>
    <row r="522" spans="3:5" x14ac:dyDescent="0.2">
      <c r="C522" s="25"/>
      <c r="D522" s="19"/>
      <c r="E522" s="19"/>
    </row>
    <row r="523" spans="3:5" x14ac:dyDescent="0.2">
      <c r="C523" s="25"/>
      <c r="D523" s="19"/>
      <c r="E523" s="19"/>
    </row>
    <row r="524" spans="3:5" x14ac:dyDescent="0.2">
      <c r="C524" s="25"/>
      <c r="D524" s="19"/>
      <c r="E524" s="19"/>
    </row>
    <row r="525" spans="3:5" x14ac:dyDescent="0.2">
      <c r="C525" s="25"/>
      <c r="D525" s="19"/>
      <c r="E525" s="19"/>
    </row>
    <row r="526" spans="3:5" x14ac:dyDescent="0.2">
      <c r="C526" s="25"/>
      <c r="D526" s="19"/>
      <c r="E526" s="19"/>
    </row>
    <row r="527" spans="3:5" x14ac:dyDescent="0.2">
      <c r="C527" s="25"/>
      <c r="D527" s="19"/>
      <c r="E527" s="19"/>
    </row>
    <row r="528" spans="3:5" x14ac:dyDescent="0.2">
      <c r="C528" s="25"/>
      <c r="D528" s="19"/>
      <c r="E528" s="19"/>
    </row>
    <row r="529" spans="3:5" x14ac:dyDescent="0.2">
      <c r="C529" s="25"/>
      <c r="D529" s="19"/>
      <c r="E529" s="19"/>
    </row>
    <row r="530" spans="3:5" x14ac:dyDescent="0.2">
      <c r="C530" s="25"/>
      <c r="D530" s="19"/>
      <c r="E530" s="19"/>
    </row>
    <row r="531" spans="3:5" x14ac:dyDescent="0.2">
      <c r="C531" s="25"/>
      <c r="D531" s="19"/>
      <c r="E531" s="19"/>
    </row>
    <row r="532" spans="3:5" x14ac:dyDescent="0.2">
      <c r="C532" s="25"/>
      <c r="D532" s="19"/>
      <c r="E532" s="19"/>
    </row>
    <row r="533" spans="3:5" x14ac:dyDescent="0.2">
      <c r="C533" s="25"/>
      <c r="D533" s="19"/>
      <c r="E533" s="19"/>
    </row>
    <row r="534" spans="3:5" x14ac:dyDescent="0.2">
      <c r="C534" s="25"/>
      <c r="D534" s="19"/>
      <c r="E534" s="19"/>
    </row>
    <row r="535" spans="3:5" x14ac:dyDescent="0.2">
      <c r="C535" s="25"/>
      <c r="D535" s="19"/>
      <c r="E535" s="19"/>
    </row>
    <row r="536" spans="3:5" x14ac:dyDescent="0.2">
      <c r="C536" s="25"/>
      <c r="D536" s="19"/>
      <c r="E536" s="19"/>
    </row>
    <row r="537" spans="3:5" x14ac:dyDescent="0.2">
      <c r="C537" s="25"/>
      <c r="D537" s="19"/>
      <c r="E537" s="19"/>
    </row>
    <row r="538" spans="3:5" x14ac:dyDescent="0.2">
      <c r="C538" s="25"/>
      <c r="D538" s="19"/>
      <c r="E538" s="19"/>
    </row>
    <row r="539" spans="3:5" x14ac:dyDescent="0.2">
      <c r="C539" s="25"/>
      <c r="D539" s="19"/>
      <c r="E539" s="19"/>
    </row>
    <row r="540" spans="3:5" x14ac:dyDescent="0.2">
      <c r="C540" s="25"/>
      <c r="D540" s="19"/>
      <c r="E540" s="19"/>
    </row>
    <row r="541" spans="3:5" x14ac:dyDescent="0.2">
      <c r="C541" s="25"/>
      <c r="D541" s="19"/>
      <c r="E541" s="19"/>
    </row>
    <row r="542" spans="3:5" x14ac:dyDescent="0.2">
      <c r="C542" s="25"/>
      <c r="D542" s="19"/>
      <c r="E542" s="19"/>
    </row>
    <row r="543" spans="3:5" x14ac:dyDescent="0.2">
      <c r="C543" s="25"/>
      <c r="D543" s="19"/>
      <c r="E543" s="19"/>
    </row>
    <row r="544" spans="3:5" x14ac:dyDescent="0.2">
      <c r="C544" s="25"/>
      <c r="D544" s="19"/>
      <c r="E544" s="19"/>
    </row>
    <row r="545" spans="3:5" x14ac:dyDescent="0.2">
      <c r="C545" s="25"/>
      <c r="D545" s="19"/>
      <c r="E545" s="19"/>
    </row>
    <row r="546" spans="3:5" x14ac:dyDescent="0.2">
      <c r="C546" s="25"/>
      <c r="D546" s="19"/>
      <c r="E546" s="19"/>
    </row>
    <row r="547" spans="3:5" x14ac:dyDescent="0.2">
      <c r="C547" s="25"/>
      <c r="D547" s="19"/>
      <c r="E547" s="19"/>
    </row>
    <row r="548" spans="3:5" x14ac:dyDescent="0.2">
      <c r="C548" s="25"/>
      <c r="D548" s="19"/>
      <c r="E548" s="19"/>
    </row>
    <row r="549" spans="3:5" x14ac:dyDescent="0.2">
      <c r="C549" s="25"/>
      <c r="D549" s="19"/>
      <c r="E549" s="19"/>
    </row>
    <row r="550" spans="3:5" x14ac:dyDescent="0.2">
      <c r="C550" s="25"/>
      <c r="D550" s="19"/>
      <c r="E550" s="19"/>
    </row>
    <row r="551" spans="3:5" x14ac:dyDescent="0.2">
      <c r="C551" s="25"/>
      <c r="D551" s="19"/>
      <c r="E551" s="19"/>
    </row>
    <row r="552" spans="3:5" x14ac:dyDescent="0.2">
      <c r="C552" s="25"/>
      <c r="D552" s="19"/>
      <c r="E552" s="19"/>
    </row>
    <row r="553" spans="3:5" x14ac:dyDescent="0.2">
      <c r="C553" s="25"/>
      <c r="D553" s="19"/>
      <c r="E553" s="19"/>
    </row>
    <row r="554" spans="3:5" x14ac:dyDescent="0.2">
      <c r="C554" s="25"/>
      <c r="D554" s="19"/>
      <c r="E554" s="19"/>
    </row>
    <row r="555" spans="3:5" x14ac:dyDescent="0.2">
      <c r="C555" s="25"/>
      <c r="D555" s="19"/>
      <c r="E555" s="19"/>
    </row>
    <row r="556" spans="3:5" x14ac:dyDescent="0.2">
      <c r="C556" s="25"/>
      <c r="D556" s="19"/>
      <c r="E556" s="19"/>
    </row>
    <row r="557" spans="3:5" x14ac:dyDescent="0.2">
      <c r="C557" s="25"/>
      <c r="D557" s="19"/>
      <c r="E557" s="19"/>
    </row>
    <row r="558" spans="3:5" x14ac:dyDescent="0.2">
      <c r="C558" s="25"/>
      <c r="D558" s="19"/>
      <c r="E558" s="19"/>
    </row>
    <row r="559" spans="3:5" x14ac:dyDescent="0.2">
      <c r="C559" s="25"/>
      <c r="D559" s="19"/>
      <c r="E559" s="19"/>
    </row>
    <row r="560" spans="3:5" x14ac:dyDescent="0.2">
      <c r="C560" s="25"/>
      <c r="D560" s="19"/>
      <c r="E560" s="19"/>
    </row>
    <row r="561" spans="3:5" x14ac:dyDescent="0.2">
      <c r="C561" s="25"/>
      <c r="D561" s="19"/>
      <c r="E561" s="19"/>
    </row>
    <row r="562" spans="3:5" x14ac:dyDescent="0.2">
      <c r="C562" s="25"/>
      <c r="D562" s="19"/>
      <c r="E562" s="19"/>
    </row>
    <row r="563" spans="3:5" x14ac:dyDescent="0.2">
      <c r="C563" s="25"/>
      <c r="D563" s="19"/>
      <c r="E563" s="19"/>
    </row>
    <row r="564" spans="3:5" x14ac:dyDescent="0.2">
      <c r="C564" s="25"/>
      <c r="D564" s="19"/>
      <c r="E564" s="19"/>
    </row>
    <row r="565" spans="3:5" x14ac:dyDescent="0.2">
      <c r="C565" s="25"/>
      <c r="D565" s="19"/>
      <c r="E565" s="19"/>
    </row>
    <row r="566" spans="3:5" x14ac:dyDescent="0.2">
      <c r="C566" s="25"/>
      <c r="D566" s="19"/>
      <c r="E566" s="19"/>
    </row>
    <row r="567" spans="3:5" x14ac:dyDescent="0.2">
      <c r="C567" s="25"/>
      <c r="D567" s="19"/>
      <c r="E567" s="19"/>
    </row>
    <row r="568" spans="3:5" x14ac:dyDescent="0.2">
      <c r="C568" s="25"/>
      <c r="D568" s="19"/>
      <c r="E568" s="19"/>
    </row>
    <row r="569" spans="3:5" x14ac:dyDescent="0.2">
      <c r="C569" s="25"/>
      <c r="D569" s="19"/>
      <c r="E569" s="19"/>
    </row>
    <row r="570" spans="3:5" x14ac:dyDescent="0.2">
      <c r="C570" s="25"/>
      <c r="D570" s="19"/>
      <c r="E570" s="19"/>
    </row>
    <row r="571" spans="3:5" x14ac:dyDescent="0.2">
      <c r="C571" s="25"/>
      <c r="D571" s="19"/>
      <c r="E571" s="19"/>
    </row>
    <row r="572" spans="3:5" x14ac:dyDescent="0.2">
      <c r="C572" s="25"/>
      <c r="D572" s="19"/>
      <c r="E572" s="19"/>
    </row>
    <row r="573" spans="3:5" x14ac:dyDescent="0.2">
      <c r="C573" s="25"/>
      <c r="D573" s="19"/>
      <c r="E573" s="19"/>
    </row>
    <row r="574" spans="3:5" x14ac:dyDescent="0.2">
      <c r="C574" s="25"/>
      <c r="D574" s="19"/>
      <c r="E574" s="19"/>
    </row>
    <row r="575" spans="3:5" x14ac:dyDescent="0.2">
      <c r="C575" s="25"/>
      <c r="D575" s="19"/>
      <c r="E575" s="19"/>
    </row>
    <row r="576" spans="3:5" x14ac:dyDescent="0.2">
      <c r="C576" s="25"/>
      <c r="D576" s="19"/>
      <c r="E576" s="19"/>
    </row>
    <row r="577" spans="3:5" x14ac:dyDescent="0.2">
      <c r="C577" s="25"/>
      <c r="D577" s="19"/>
      <c r="E577" s="19"/>
    </row>
    <row r="578" spans="3:5" x14ac:dyDescent="0.2">
      <c r="C578" s="25"/>
      <c r="D578" s="19"/>
      <c r="E578" s="19"/>
    </row>
    <row r="579" spans="3:5" x14ac:dyDescent="0.2">
      <c r="C579" s="25"/>
      <c r="D579" s="19"/>
      <c r="E579" s="19"/>
    </row>
    <row r="580" spans="3:5" x14ac:dyDescent="0.2">
      <c r="C580" s="25"/>
      <c r="D580" s="19"/>
      <c r="E580" s="19"/>
    </row>
    <row r="581" spans="3:5" x14ac:dyDescent="0.2">
      <c r="C581" s="25"/>
      <c r="D581" s="19"/>
      <c r="E581" s="19"/>
    </row>
    <row r="582" spans="3:5" x14ac:dyDescent="0.2">
      <c r="C582" s="25"/>
      <c r="D582" s="19"/>
      <c r="E582" s="19"/>
    </row>
    <row r="583" spans="3:5" x14ac:dyDescent="0.2">
      <c r="C583" s="25"/>
      <c r="D583" s="19"/>
      <c r="E583" s="19"/>
    </row>
    <row r="584" spans="3:5" x14ac:dyDescent="0.2">
      <c r="C584" s="25"/>
      <c r="D584" s="19"/>
      <c r="E584" s="19"/>
    </row>
    <row r="585" spans="3:5" x14ac:dyDescent="0.2">
      <c r="C585" s="25"/>
      <c r="D585" s="19"/>
      <c r="E585" s="19"/>
    </row>
    <row r="586" spans="3:5" x14ac:dyDescent="0.2">
      <c r="C586" s="25"/>
      <c r="D586" s="19"/>
      <c r="E586" s="19"/>
    </row>
    <row r="587" spans="3:5" x14ac:dyDescent="0.2">
      <c r="C587" s="25"/>
      <c r="D587" s="19"/>
      <c r="E587" s="19"/>
    </row>
    <row r="588" spans="3:5" x14ac:dyDescent="0.2">
      <c r="C588" s="25"/>
      <c r="D588" s="19"/>
      <c r="E588" s="19"/>
    </row>
    <row r="589" spans="3:5" x14ac:dyDescent="0.2">
      <c r="C589" s="25"/>
      <c r="D589" s="19"/>
      <c r="E589" s="19"/>
    </row>
    <row r="590" spans="3:5" x14ac:dyDescent="0.2">
      <c r="C590" s="25"/>
      <c r="D590" s="19"/>
      <c r="E590" s="19"/>
    </row>
    <row r="591" spans="3:5" x14ac:dyDescent="0.2">
      <c r="C591" s="25"/>
      <c r="D591" s="19"/>
      <c r="E591" s="19"/>
    </row>
    <row r="592" spans="3:5" x14ac:dyDescent="0.2">
      <c r="C592" s="25"/>
      <c r="D592" s="19"/>
      <c r="E592" s="19"/>
    </row>
    <row r="593" spans="3:5" x14ac:dyDescent="0.2">
      <c r="C593" s="25"/>
      <c r="D593" s="19"/>
      <c r="E593" s="19"/>
    </row>
    <row r="594" spans="3:5" x14ac:dyDescent="0.2">
      <c r="C594" s="25"/>
      <c r="D594" s="19"/>
      <c r="E594" s="19"/>
    </row>
    <row r="595" spans="3:5" x14ac:dyDescent="0.2">
      <c r="C595" s="25"/>
      <c r="D595" s="19"/>
      <c r="E595" s="19"/>
    </row>
    <row r="596" spans="3:5" x14ac:dyDescent="0.2">
      <c r="C596" s="25"/>
      <c r="D596" s="19"/>
      <c r="E596" s="19"/>
    </row>
    <row r="597" spans="3:5" x14ac:dyDescent="0.2">
      <c r="C597" s="25"/>
      <c r="D597" s="19"/>
      <c r="E597" s="19"/>
    </row>
    <row r="598" spans="3:5" x14ac:dyDescent="0.2">
      <c r="C598" s="25"/>
      <c r="D598" s="19"/>
      <c r="E598" s="19"/>
    </row>
    <row r="599" spans="3:5" x14ac:dyDescent="0.2">
      <c r="C599" s="25"/>
      <c r="D599" s="19"/>
      <c r="E599" s="19"/>
    </row>
    <row r="600" spans="3:5" x14ac:dyDescent="0.2">
      <c r="C600" s="25"/>
      <c r="D600" s="19"/>
      <c r="E600" s="19"/>
    </row>
    <row r="601" spans="3:5" x14ac:dyDescent="0.2">
      <c r="C601" s="25"/>
      <c r="D601" s="19"/>
      <c r="E601" s="19"/>
    </row>
    <row r="602" spans="3:5" x14ac:dyDescent="0.2">
      <c r="C602" s="25"/>
      <c r="D602" s="19"/>
      <c r="E602" s="19"/>
    </row>
    <row r="603" spans="3:5" x14ac:dyDescent="0.2">
      <c r="C603" s="25"/>
      <c r="D603" s="19"/>
      <c r="E603" s="19"/>
    </row>
    <row r="604" spans="3:5" x14ac:dyDescent="0.2">
      <c r="C604" s="25"/>
      <c r="D604" s="19"/>
      <c r="E604" s="19"/>
    </row>
    <row r="605" spans="3:5" x14ac:dyDescent="0.2">
      <c r="C605" s="25"/>
      <c r="D605" s="19"/>
      <c r="E605" s="19"/>
    </row>
    <row r="606" spans="3:5" x14ac:dyDescent="0.2">
      <c r="C606" s="25"/>
      <c r="D606" s="19"/>
      <c r="E606" s="19"/>
    </row>
    <row r="607" spans="3:5" x14ac:dyDescent="0.2">
      <c r="C607" s="25"/>
      <c r="D607" s="19"/>
      <c r="E607" s="19"/>
    </row>
    <row r="608" spans="3:5" x14ac:dyDescent="0.2">
      <c r="C608" s="25"/>
      <c r="D608" s="19"/>
      <c r="E608" s="19"/>
    </row>
    <row r="609" spans="3:5" x14ac:dyDescent="0.2">
      <c r="C609" s="25"/>
      <c r="D609" s="19"/>
      <c r="E609" s="19"/>
    </row>
    <row r="610" spans="3:5" x14ac:dyDescent="0.2">
      <c r="C610" s="25"/>
      <c r="D610" s="19"/>
      <c r="E610" s="19"/>
    </row>
    <row r="611" spans="3:5" x14ac:dyDescent="0.2">
      <c r="C611" s="25"/>
      <c r="D611" s="19"/>
      <c r="E611" s="19"/>
    </row>
    <row r="612" spans="3:5" x14ac:dyDescent="0.2">
      <c r="C612" s="25"/>
      <c r="D612" s="19"/>
      <c r="E612" s="19"/>
    </row>
    <row r="613" spans="3:5" x14ac:dyDescent="0.2">
      <c r="C613" s="25"/>
      <c r="D613" s="19"/>
      <c r="E613" s="19"/>
    </row>
    <row r="614" spans="3:5" x14ac:dyDescent="0.2">
      <c r="C614" s="25"/>
      <c r="D614" s="19"/>
      <c r="E614" s="19"/>
    </row>
    <row r="615" spans="3:5" x14ac:dyDescent="0.2">
      <c r="C615" s="25"/>
      <c r="D615" s="19"/>
      <c r="E615" s="19"/>
    </row>
    <row r="616" spans="3:5" x14ac:dyDescent="0.2">
      <c r="C616" s="25"/>
      <c r="D616" s="19"/>
      <c r="E616" s="19"/>
    </row>
    <row r="617" spans="3:5" x14ac:dyDescent="0.2">
      <c r="C617" s="25"/>
      <c r="D617" s="19"/>
      <c r="E617" s="19"/>
    </row>
    <row r="618" spans="3:5" x14ac:dyDescent="0.2">
      <c r="C618" s="25"/>
      <c r="D618" s="19"/>
      <c r="E618" s="19"/>
    </row>
    <row r="619" spans="3:5" x14ac:dyDescent="0.2">
      <c r="C619" s="25"/>
      <c r="D619" s="19"/>
      <c r="E619" s="19"/>
    </row>
    <row r="620" spans="3:5" x14ac:dyDescent="0.2">
      <c r="C620" s="25"/>
      <c r="D620" s="19"/>
      <c r="E620" s="19"/>
    </row>
    <row r="621" spans="3:5" x14ac:dyDescent="0.2">
      <c r="C621" s="25"/>
      <c r="D621" s="19"/>
      <c r="E621" s="19"/>
    </row>
    <row r="622" spans="3:5" x14ac:dyDescent="0.2">
      <c r="C622" s="25"/>
      <c r="D622" s="19"/>
      <c r="E622" s="19"/>
    </row>
    <row r="623" spans="3:5" x14ac:dyDescent="0.2">
      <c r="C623" s="25"/>
      <c r="D623" s="19"/>
      <c r="E623" s="19"/>
    </row>
    <row r="624" spans="3:5" x14ac:dyDescent="0.2">
      <c r="C624" s="25"/>
      <c r="D624" s="19"/>
      <c r="E624" s="19"/>
    </row>
    <row r="625" spans="3:5" x14ac:dyDescent="0.2">
      <c r="C625" s="25"/>
      <c r="D625" s="19"/>
      <c r="E625" s="19"/>
    </row>
    <row r="626" spans="3:5" x14ac:dyDescent="0.2">
      <c r="C626" s="25"/>
      <c r="D626" s="19"/>
      <c r="E626" s="19"/>
    </row>
    <row r="627" spans="3:5" x14ac:dyDescent="0.2">
      <c r="C627" s="25"/>
      <c r="D627" s="19"/>
      <c r="E627" s="19"/>
    </row>
    <row r="628" spans="3:5" x14ac:dyDescent="0.2">
      <c r="C628" s="25"/>
      <c r="D628" s="19"/>
      <c r="E628" s="19"/>
    </row>
    <row r="629" spans="3:5" x14ac:dyDescent="0.2">
      <c r="C629" s="25"/>
      <c r="D629" s="19"/>
      <c r="E629" s="19"/>
    </row>
    <row r="630" spans="3:5" x14ac:dyDescent="0.2">
      <c r="C630" s="25"/>
      <c r="D630" s="19"/>
      <c r="E630" s="19"/>
    </row>
    <row r="631" spans="3:5" x14ac:dyDescent="0.2">
      <c r="C631" s="25"/>
      <c r="D631" s="19"/>
      <c r="E631" s="19"/>
    </row>
    <row r="632" spans="3:5" x14ac:dyDescent="0.2">
      <c r="C632" s="25"/>
      <c r="D632" s="19"/>
      <c r="E632" s="19"/>
    </row>
    <row r="633" spans="3:5" x14ac:dyDescent="0.2">
      <c r="C633" s="25"/>
      <c r="D633" s="19"/>
      <c r="E633" s="19"/>
    </row>
    <row r="634" spans="3:5" x14ac:dyDescent="0.2">
      <c r="C634" s="25"/>
      <c r="D634" s="19"/>
      <c r="E634" s="19"/>
    </row>
    <row r="635" spans="3:5" x14ac:dyDescent="0.2">
      <c r="C635" s="25"/>
      <c r="D635" s="19"/>
      <c r="E635" s="19"/>
    </row>
    <row r="636" spans="3:5" x14ac:dyDescent="0.2">
      <c r="C636" s="25"/>
      <c r="D636" s="19"/>
      <c r="E636" s="19"/>
    </row>
    <row r="637" spans="3:5" x14ac:dyDescent="0.2">
      <c r="C637" s="25"/>
      <c r="D637" s="19"/>
      <c r="E637" s="19"/>
    </row>
    <row r="638" spans="3:5" x14ac:dyDescent="0.2">
      <c r="C638" s="25"/>
      <c r="D638" s="19"/>
      <c r="E638" s="19"/>
    </row>
    <row r="639" spans="3:5" x14ac:dyDescent="0.2">
      <c r="C639" s="25"/>
      <c r="D639" s="19"/>
      <c r="E639" s="19"/>
    </row>
    <row r="640" spans="3:5" x14ac:dyDescent="0.2">
      <c r="C640" s="25"/>
      <c r="D640" s="19"/>
      <c r="E640" s="19"/>
    </row>
    <row r="641" spans="3:5" x14ac:dyDescent="0.2">
      <c r="C641" s="25"/>
      <c r="D641" s="19"/>
      <c r="E641" s="19"/>
    </row>
    <row r="642" spans="3:5" x14ac:dyDescent="0.2">
      <c r="C642" s="25"/>
      <c r="D642" s="19"/>
      <c r="E642" s="19"/>
    </row>
    <row r="643" spans="3:5" x14ac:dyDescent="0.2">
      <c r="C643" s="25"/>
      <c r="D643" s="19"/>
      <c r="E643" s="19"/>
    </row>
    <row r="644" spans="3:5" x14ac:dyDescent="0.2">
      <c r="C644" s="25"/>
      <c r="D644" s="19"/>
      <c r="E644" s="19"/>
    </row>
    <row r="645" spans="3:5" x14ac:dyDescent="0.2">
      <c r="C645" s="25"/>
      <c r="D645" s="19"/>
      <c r="E645" s="19"/>
    </row>
    <row r="646" spans="3:5" x14ac:dyDescent="0.2">
      <c r="C646" s="25"/>
      <c r="D646" s="19"/>
      <c r="E646" s="19"/>
    </row>
    <row r="647" spans="3:5" x14ac:dyDescent="0.2">
      <c r="C647" s="25"/>
      <c r="D647" s="19"/>
      <c r="E647" s="19"/>
    </row>
    <row r="648" spans="3:5" x14ac:dyDescent="0.2">
      <c r="C648" s="25"/>
      <c r="D648" s="19"/>
      <c r="E648" s="19"/>
    </row>
    <row r="649" spans="3:5" x14ac:dyDescent="0.2">
      <c r="C649" s="25"/>
      <c r="D649" s="19"/>
      <c r="E649" s="19"/>
    </row>
    <row r="650" spans="3:5" x14ac:dyDescent="0.2">
      <c r="C650" s="25"/>
      <c r="D650" s="19"/>
      <c r="E650" s="19"/>
    </row>
    <row r="651" spans="3:5" x14ac:dyDescent="0.2">
      <c r="C651" s="25"/>
      <c r="D651" s="19"/>
      <c r="E651" s="19"/>
    </row>
    <row r="652" spans="3:5" x14ac:dyDescent="0.2">
      <c r="C652" s="25"/>
      <c r="D652" s="19"/>
      <c r="E652" s="19"/>
    </row>
    <row r="653" spans="3:5" x14ac:dyDescent="0.2">
      <c r="C653" s="25"/>
      <c r="D653" s="19"/>
      <c r="E653" s="19"/>
    </row>
    <row r="654" spans="3:5" x14ac:dyDescent="0.2">
      <c r="C654" s="25"/>
      <c r="D654" s="19"/>
      <c r="E654" s="19"/>
    </row>
    <row r="655" spans="3:5" x14ac:dyDescent="0.2">
      <c r="C655" s="25"/>
      <c r="D655" s="19"/>
      <c r="E655" s="19"/>
    </row>
    <row r="656" spans="3:5" x14ac:dyDescent="0.2">
      <c r="C656" s="25"/>
      <c r="D656" s="19"/>
      <c r="E656" s="19"/>
    </row>
    <row r="657" spans="3:5" x14ac:dyDescent="0.2">
      <c r="C657" s="25"/>
      <c r="D657" s="19"/>
      <c r="E657" s="19"/>
    </row>
    <row r="658" spans="3:5" x14ac:dyDescent="0.2">
      <c r="C658" s="25"/>
      <c r="D658" s="19"/>
      <c r="E658" s="19"/>
    </row>
    <row r="659" spans="3:5" x14ac:dyDescent="0.2">
      <c r="C659" s="25"/>
      <c r="D659" s="19"/>
      <c r="E659" s="19"/>
    </row>
    <row r="660" spans="3:5" x14ac:dyDescent="0.2">
      <c r="C660" s="25"/>
      <c r="D660" s="19"/>
      <c r="E660" s="19"/>
    </row>
    <row r="661" spans="3:5" x14ac:dyDescent="0.2">
      <c r="C661" s="25"/>
      <c r="D661" s="19"/>
      <c r="E661" s="19"/>
    </row>
    <row r="662" spans="3:5" x14ac:dyDescent="0.2">
      <c r="C662" s="25"/>
      <c r="D662" s="19"/>
      <c r="E662" s="19"/>
    </row>
    <row r="663" spans="3:5" x14ac:dyDescent="0.2">
      <c r="C663" s="25"/>
      <c r="D663" s="19"/>
      <c r="E663" s="19"/>
    </row>
    <row r="664" spans="3:5" x14ac:dyDescent="0.2">
      <c r="C664" s="25"/>
      <c r="D664" s="19"/>
      <c r="E664" s="19"/>
    </row>
    <row r="665" spans="3:5" x14ac:dyDescent="0.2">
      <c r="C665" s="25"/>
      <c r="D665" s="19"/>
      <c r="E665" s="19"/>
    </row>
    <row r="666" spans="3:5" x14ac:dyDescent="0.2">
      <c r="C666" s="25"/>
      <c r="D666" s="19"/>
      <c r="E666" s="19"/>
    </row>
    <row r="667" spans="3:5" x14ac:dyDescent="0.2">
      <c r="C667" s="25"/>
      <c r="D667" s="19"/>
      <c r="E667" s="19"/>
    </row>
    <row r="668" spans="3:5" x14ac:dyDescent="0.2">
      <c r="C668" s="25"/>
      <c r="D668" s="19"/>
      <c r="E668" s="19"/>
    </row>
    <row r="669" spans="3:5" x14ac:dyDescent="0.2">
      <c r="C669" s="25"/>
      <c r="D669" s="19"/>
      <c r="E669" s="19"/>
    </row>
    <row r="670" spans="3:5" x14ac:dyDescent="0.2">
      <c r="C670" s="25"/>
      <c r="D670" s="19"/>
      <c r="E670" s="19"/>
    </row>
    <row r="671" spans="3:5" x14ac:dyDescent="0.2">
      <c r="C671" s="25"/>
      <c r="D671" s="19"/>
      <c r="E671" s="19"/>
    </row>
    <row r="672" spans="3:5" x14ac:dyDescent="0.2">
      <c r="C672" s="25"/>
      <c r="D672" s="19"/>
      <c r="E672" s="19"/>
    </row>
    <row r="673" spans="3:5" x14ac:dyDescent="0.2">
      <c r="C673" s="25"/>
      <c r="D673" s="19"/>
      <c r="E673" s="19"/>
    </row>
    <row r="674" spans="3:5" x14ac:dyDescent="0.2">
      <c r="C674" s="25"/>
      <c r="D674" s="19"/>
      <c r="E674" s="19"/>
    </row>
    <row r="675" spans="3:5" x14ac:dyDescent="0.2">
      <c r="C675" s="25"/>
      <c r="D675" s="19"/>
      <c r="E675" s="19"/>
    </row>
    <row r="676" spans="3:5" x14ac:dyDescent="0.2">
      <c r="C676" s="25"/>
      <c r="D676" s="19"/>
      <c r="E676" s="19"/>
    </row>
    <row r="677" spans="3:5" x14ac:dyDescent="0.2">
      <c r="C677" s="25"/>
      <c r="D677" s="19"/>
      <c r="E677" s="19"/>
    </row>
    <row r="678" spans="3:5" x14ac:dyDescent="0.2">
      <c r="C678" s="25"/>
      <c r="D678" s="19"/>
      <c r="E678" s="19"/>
    </row>
    <row r="679" spans="3:5" x14ac:dyDescent="0.2">
      <c r="C679" s="25"/>
      <c r="D679" s="19"/>
      <c r="E679" s="19"/>
    </row>
    <row r="680" spans="3:5" x14ac:dyDescent="0.2">
      <c r="C680" s="25"/>
      <c r="D680" s="19"/>
      <c r="E680" s="19"/>
    </row>
    <row r="681" spans="3:5" x14ac:dyDescent="0.2">
      <c r="C681" s="25"/>
      <c r="D681" s="19"/>
      <c r="E681" s="19"/>
    </row>
    <row r="682" spans="3:5" x14ac:dyDescent="0.2">
      <c r="C682" s="25"/>
      <c r="D682" s="19"/>
      <c r="E682" s="19"/>
    </row>
    <row r="683" spans="3:5" x14ac:dyDescent="0.2">
      <c r="C683" s="25"/>
      <c r="D683" s="19"/>
      <c r="E683" s="19"/>
    </row>
    <row r="684" spans="3:5" x14ac:dyDescent="0.2">
      <c r="C684" s="25"/>
      <c r="D684" s="19"/>
      <c r="E684" s="19"/>
    </row>
    <row r="685" spans="3:5" x14ac:dyDescent="0.2">
      <c r="C685" s="25"/>
      <c r="D685" s="19"/>
      <c r="E685" s="19"/>
    </row>
    <row r="686" spans="3:5" x14ac:dyDescent="0.2">
      <c r="C686" s="25"/>
      <c r="D686" s="19"/>
      <c r="E686" s="19"/>
    </row>
    <row r="687" spans="3:5" x14ac:dyDescent="0.2">
      <c r="C687" s="25"/>
      <c r="D687" s="19"/>
      <c r="E687" s="19"/>
    </row>
    <row r="688" spans="3:5" x14ac:dyDescent="0.2">
      <c r="C688" s="25"/>
      <c r="D688" s="19"/>
      <c r="E688" s="19"/>
    </row>
    <row r="689" spans="3:5" x14ac:dyDescent="0.2">
      <c r="C689" s="25"/>
      <c r="D689" s="19"/>
      <c r="E689" s="19"/>
    </row>
    <row r="690" spans="3:5" x14ac:dyDescent="0.2">
      <c r="C690" s="25"/>
      <c r="D690" s="19"/>
      <c r="E690" s="19"/>
    </row>
    <row r="691" spans="3:5" x14ac:dyDescent="0.2">
      <c r="C691" s="25"/>
      <c r="D691" s="19"/>
      <c r="E691" s="19"/>
    </row>
    <row r="692" spans="3:5" x14ac:dyDescent="0.2">
      <c r="C692" s="25"/>
      <c r="D692" s="19"/>
      <c r="E692" s="19"/>
    </row>
    <row r="693" spans="3:5" x14ac:dyDescent="0.2">
      <c r="C693" s="25"/>
      <c r="D693" s="19"/>
      <c r="E693" s="19"/>
    </row>
    <row r="694" spans="3:5" x14ac:dyDescent="0.2">
      <c r="C694" s="25"/>
      <c r="D694" s="19"/>
      <c r="E694" s="19"/>
    </row>
    <row r="695" spans="3:5" x14ac:dyDescent="0.2">
      <c r="C695" s="25"/>
      <c r="D695" s="19"/>
      <c r="E695" s="19"/>
    </row>
    <row r="696" spans="3:5" x14ac:dyDescent="0.2">
      <c r="C696" s="25"/>
      <c r="D696" s="19"/>
      <c r="E696" s="19"/>
    </row>
    <row r="697" spans="3:5" x14ac:dyDescent="0.2">
      <c r="C697" s="25"/>
      <c r="D697" s="19"/>
      <c r="E697" s="19"/>
    </row>
    <row r="698" spans="3:5" x14ac:dyDescent="0.2">
      <c r="C698" s="25"/>
      <c r="D698" s="19"/>
      <c r="E698" s="19"/>
    </row>
    <row r="699" spans="3:5" x14ac:dyDescent="0.2">
      <c r="C699" s="25"/>
      <c r="D699" s="19"/>
      <c r="E699" s="19"/>
    </row>
    <row r="700" spans="3:5" x14ac:dyDescent="0.2">
      <c r="C700" s="25"/>
      <c r="D700" s="19"/>
      <c r="E700" s="19"/>
    </row>
    <row r="701" spans="3:5" x14ac:dyDescent="0.2">
      <c r="C701" s="25"/>
      <c r="D701" s="19"/>
      <c r="E701" s="19"/>
    </row>
    <row r="702" spans="3:5" x14ac:dyDescent="0.2">
      <c r="C702" s="25"/>
      <c r="D702" s="19"/>
      <c r="E702" s="19"/>
    </row>
    <row r="703" spans="3:5" x14ac:dyDescent="0.2">
      <c r="C703" s="25"/>
      <c r="D703" s="19"/>
      <c r="E703" s="19"/>
    </row>
    <row r="704" spans="3:5" x14ac:dyDescent="0.2">
      <c r="C704" s="25"/>
      <c r="D704" s="19"/>
      <c r="E704" s="19"/>
    </row>
    <row r="705" spans="3:5" x14ac:dyDescent="0.2">
      <c r="C705" s="25"/>
      <c r="D705" s="19"/>
      <c r="E705" s="19"/>
    </row>
    <row r="706" spans="3:5" x14ac:dyDescent="0.2">
      <c r="C706" s="25"/>
      <c r="D706" s="19"/>
      <c r="E706" s="19"/>
    </row>
    <row r="707" spans="3:5" x14ac:dyDescent="0.2">
      <c r="C707" s="25"/>
      <c r="D707" s="19"/>
      <c r="E707" s="19"/>
    </row>
    <row r="708" spans="3:5" x14ac:dyDescent="0.2">
      <c r="C708" s="25"/>
      <c r="D708" s="19"/>
      <c r="E708" s="19"/>
    </row>
    <row r="709" spans="3:5" x14ac:dyDescent="0.2">
      <c r="C709" s="25"/>
      <c r="D709" s="19"/>
      <c r="E709" s="19"/>
    </row>
    <row r="710" spans="3:5" x14ac:dyDescent="0.2">
      <c r="C710" s="25"/>
      <c r="D710" s="19"/>
      <c r="E710" s="19"/>
    </row>
    <row r="711" spans="3:5" x14ac:dyDescent="0.2">
      <c r="C711" s="25"/>
      <c r="D711" s="19"/>
      <c r="E711" s="19"/>
    </row>
    <row r="712" spans="3:5" x14ac:dyDescent="0.2">
      <c r="C712" s="25"/>
      <c r="D712" s="19"/>
      <c r="E712" s="19"/>
    </row>
    <row r="713" spans="3:5" x14ac:dyDescent="0.2">
      <c r="C713" s="25"/>
      <c r="D713" s="19"/>
      <c r="E713" s="19"/>
    </row>
    <row r="714" spans="3:5" x14ac:dyDescent="0.2">
      <c r="C714" s="25"/>
      <c r="D714" s="19"/>
      <c r="E714" s="19"/>
    </row>
    <row r="715" spans="3:5" x14ac:dyDescent="0.2">
      <c r="C715" s="25"/>
      <c r="D715" s="19"/>
      <c r="E715" s="19"/>
    </row>
    <row r="716" spans="3:5" x14ac:dyDescent="0.2">
      <c r="C716" s="25"/>
      <c r="D716" s="19"/>
      <c r="E716" s="19"/>
    </row>
    <row r="717" spans="3:5" x14ac:dyDescent="0.2">
      <c r="C717" s="25"/>
      <c r="D717" s="19"/>
      <c r="E717" s="19"/>
    </row>
    <row r="718" spans="3:5" x14ac:dyDescent="0.2">
      <c r="C718" s="25"/>
      <c r="D718" s="19"/>
      <c r="E718" s="19"/>
    </row>
    <row r="719" spans="3:5" x14ac:dyDescent="0.2">
      <c r="C719" s="25"/>
      <c r="D719" s="19"/>
      <c r="E719" s="19"/>
    </row>
    <row r="720" spans="3:5" x14ac:dyDescent="0.2">
      <c r="C720" s="25"/>
      <c r="D720" s="19"/>
      <c r="E720" s="19"/>
    </row>
    <row r="721" spans="3:5" x14ac:dyDescent="0.2">
      <c r="C721" s="25"/>
      <c r="D721" s="19"/>
      <c r="E721" s="19"/>
    </row>
    <row r="722" spans="3:5" x14ac:dyDescent="0.2">
      <c r="C722" s="25"/>
      <c r="D722" s="19"/>
      <c r="E722" s="19"/>
    </row>
    <row r="723" spans="3:5" x14ac:dyDescent="0.2">
      <c r="C723" s="25"/>
      <c r="D723" s="19"/>
      <c r="E723" s="19"/>
    </row>
    <row r="724" spans="3:5" x14ac:dyDescent="0.2">
      <c r="C724" s="25"/>
      <c r="D724" s="19"/>
      <c r="E724" s="19"/>
    </row>
    <row r="725" spans="3:5" x14ac:dyDescent="0.2">
      <c r="C725" s="25"/>
      <c r="D725" s="19"/>
      <c r="E725" s="19"/>
    </row>
    <row r="726" spans="3:5" x14ac:dyDescent="0.2">
      <c r="C726" s="25"/>
      <c r="D726" s="19"/>
      <c r="E726" s="19"/>
    </row>
    <row r="727" spans="3:5" x14ac:dyDescent="0.2">
      <c r="C727" s="25"/>
      <c r="D727" s="19"/>
      <c r="E727" s="19"/>
    </row>
    <row r="728" spans="3:5" x14ac:dyDescent="0.2">
      <c r="C728" s="25"/>
      <c r="D728" s="19"/>
      <c r="E728" s="19"/>
    </row>
    <row r="729" spans="3:5" x14ac:dyDescent="0.2">
      <c r="C729" s="25"/>
      <c r="D729" s="19"/>
      <c r="E729" s="19"/>
    </row>
    <row r="730" spans="3:5" x14ac:dyDescent="0.2">
      <c r="C730" s="25"/>
      <c r="D730" s="19"/>
      <c r="E730" s="19"/>
    </row>
    <row r="731" spans="3:5" x14ac:dyDescent="0.2">
      <c r="C731" s="25"/>
      <c r="D731" s="19"/>
      <c r="E731" s="19"/>
    </row>
    <row r="732" spans="3:5" x14ac:dyDescent="0.2">
      <c r="C732" s="25"/>
      <c r="D732" s="19"/>
      <c r="E732" s="19"/>
    </row>
    <row r="733" spans="3:5" x14ac:dyDescent="0.2">
      <c r="C733" s="25"/>
      <c r="D733" s="19"/>
      <c r="E733" s="19"/>
    </row>
    <row r="734" spans="3:5" x14ac:dyDescent="0.2">
      <c r="C734" s="25"/>
      <c r="D734" s="19"/>
      <c r="E734" s="19"/>
    </row>
    <row r="735" spans="3:5" x14ac:dyDescent="0.2">
      <c r="C735" s="25"/>
      <c r="D735" s="19"/>
      <c r="E735" s="19"/>
    </row>
    <row r="736" spans="3:5" x14ac:dyDescent="0.2">
      <c r="C736" s="25"/>
      <c r="D736" s="19"/>
      <c r="E736" s="19"/>
    </row>
    <row r="737" spans="3:5" x14ac:dyDescent="0.2">
      <c r="C737" s="25"/>
      <c r="D737" s="19"/>
      <c r="E737" s="19"/>
    </row>
    <row r="738" spans="3:5" x14ac:dyDescent="0.2">
      <c r="C738" s="25"/>
      <c r="D738" s="19"/>
      <c r="E738" s="19"/>
    </row>
    <row r="739" spans="3:5" x14ac:dyDescent="0.2">
      <c r="C739" s="25"/>
      <c r="D739" s="19"/>
      <c r="E739" s="19"/>
    </row>
    <row r="740" spans="3:5" x14ac:dyDescent="0.2">
      <c r="C740" s="25"/>
      <c r="D740" s="19"/>
      <c r="E740" s="19"/>
    </row>
    <row r="741" spans="3:5" x14ac:dyDescent="0.2">
      <c r="C741" s="25"/>
      <c r="D741" s="19"/>
      <c r="E741" s="19"/>
    </row>
    <row r="742" spans="3:5" x14ac:dyDescent="0.2">
      <c r="C742" s="25"/>
      <c r="D742" s="19"/>
      <c r="E742" s="19"/>
    </row>
    <row r="743" spans="3:5" x14ac:dyDescent="0.2">
      <c r="C743" s="25"/>
      <c r="D743" s="19"/>
      <c r="E743" s="19"/>
    </row>
    <row r="744" spans="3:5" x14ac:dyDescent="0.2">
      <c r="C744" s="25"/>
      <c r="D744" s="19"/>
      <c r="E744" s="19"/>
    </row>
    <row r="745" spans="3:5" x14ac:dyDescent="0.2">
      <c r="C745" s="25"/>
      <c r="D745" s="19"/>
      <c r="E745" s="19"/>
    </row>
    <row r="746" spans="3:5" x14ac:dyDescent="0.2">
      <c r="C746" s="25"/>
      <c r="D746" s="19"/>
      <c r="E746" s="19"/>
    </row>
    <row r="747" spans="3:5" x14ac:dyDescent="0.2">
      <c r="C747" s="25"/>
      <c r="D747" s="19"/>
      <c r="E747" s="19"/>
    </row>
    <row r="748" spans="3:5" x14ac:dyDescent="0.2">
      <c r="C748" s="25"/>
      <c r="D748" s="19"/>
      <c r="E748" s="19"/>
    </row>
    <row r="749" spans="3:5" x14ac:dyDescent="0.2">
      <c r="C749" s="25"/>
      <c r="D749" s="19"/>
      <c r="E749" s="19"/>
    </row>
    <row r="750" spans="3:5" x14ac:dyDescent="0.2">
      <c r="C750" s="25"/>
      <c r="D750" s="19"/>
      <c r="E750" s="19"/>
    </row>
    <row r="751" spans="3:5" x14ac:dyDescent="0.2">
      <c r="C751" s="25"/>
      <c r="D751" s="19"/>
      <c r="E751" s="19"/>
    </row>
    <row r="752" spans="3:5" x14ac:dyDescent="0.2">
      <c r="C752" s="25"/>
      <c r="D752" s="19"/>
      <c r="E752" s="19"/>
    </row>
    <row r="753" spans="3:5" x14ac:dyDescent="0.2">
      <c r="C753" s="25"/>
      <c r="D753" s="19"/>
      <c r="E753" s="19"/>
    </row>
    <row r="754" spans="3:5" x14ac:dyDescent="0.2">
      <c r="C754" s="25"/>
      <c r="D754" s="19"/>
      <c r="E754" s="19"/>
    </row>
    <row r="755" spans="3:5" x14ac:dyDescent="0.2">
      <c r="C755" s="25"/>
      <c r="D755" s="19"/>
      <c r="E755" s="19"/>
    </row>
    <row r="756" spans="3:5" x14ac:dyDescent="0.2">
      <c r="C756" s="25"/>
      <c r="D756" s="19"/>
      <c r="E756" s="19"/>
    </row>
    <row r="757" spans="3:5" x14ac:dyDescent="0.2">
      <c r="C757" s="25"/>
      <c r="D757" s="19"/>
      <c r="E757" s="19"/>
    </row>
    <row r="758" spans="3:5" x14ac:dyDescent="0.2">
      <c r="C758" s="25"/>
      <c r="D758" s="19"/>
      <c r="E758" s="19"/>
    </row>
    <row r="759" spans="3:5" x14ac:dyDescent="0.2">
      <c r="C759" s="25"/>
      <c r="D759" s="19"/>
      <c r="E759" s="19"/>
    </row>
    <row r="760" spans="3:5" x14ac:dyDescent="0.2">
      <c r="C760" s="25"/>
      <c r="D760" s="19"/>
      <c r="E760" s="19"/>
    </row>
    <row r="761" spans="3:5" x14ac:dyDescent="0.2">
      <c r="C761" s="25"/>
      <c r="D761" s="19"/>
      <c r="E761" s="19"/>
    </row>
    <row r="762" spans="3:5" x14ac:dyDescent="0.2">
      <c r="C762" s="25"/>
      <c r="D762" s="19"/>
      <c r="E762" s="19"/>
    </row>
    <row r="763" spans="3:5" x14ac:dyDescent="0.2">
      <c r="C763" s="25"/>
      <c r="D763" s="19"/>
      <c r="E763" s="19"/>
    </row>
    <row r="764" spans="3:5" x14ac:dyDescent="0.2">
      <c r="C764" s="25"/>
      <c r="D764" s="19"/>
      <c r="E764" s="19"/>
    </row>
    <row r="765" spans="3:5" x14ac:dyDescent="0.2">
      <c r="C765" s="25"/>
      <c r="D765" s="19"/>
      <c r="E765" s="19"/>
    </row>
    <row r="766" spans="3:5" x14ac:dyDescent="0.2">
      <c r="C766" s="25"/>
      <c r="D766" s="19"/>
      <c r="E766" s="19"/>
    </row>
    <row r="767" spans="3:5" x14ac:dyDescent="0.2">
      <c r="C767" s="25"/>
      <c r="D767" s="19"/>
      <c r="E767" s="19"/>
    </row>
    <row r="768" spans="3:5" x14ac:dyDescent="0.2">
      <c r="C768" s="25"/>
      <c r="D768" s="19"/>
      <c r="E768" s="19"/>
    </row>
    <row r="769" spans="3:5" x14ac:dyDescent="0.2">
      <c r="C769" s="25"/>
      <c r="D769" s="19"/>
      <c r="E769" s="19"/>
    </row>
    <row r="770" spans="3:5" x14ac:dyDescent="0.2">
      <c r="C770" s="25"/>
      <c r="D770" s="19"/>
      <c r="E770" s="19"/>
    </row>
    <row r="771" spans="3:5" x14ac:dyDescent="0.2">
      <c r="C771" s="25"/>
      <c r="D771" s="19"/>
      <c r="E771" s="19"/>
    </row>
    <row r="772" spans="3:5" x14ac:dyDescent="0.2">
      <c r="C772" s="25"/>
      <c r="D772" s="19"/>
      <c r="E772" s="19"/>
    </row>
    <row r="773" spans="3:5" x14ac:dyDescent="0.2">
      <c r="C773" s="25"/>
      <c r="D773" s="19"/>
      <c r="E773" s="19"/>
    </row>
    <row r="774" spans="3:5" x14ac:dyDescent="0.2">
      <c r="C774" s="25"/>
      <c r="D774" s="19"/>
      <c r="E774" s="19"/>
    </row>
    <row r="775" spans="3:5" x14ac:dyDescent="0.2">
      <c r="C775" s="25"/>
      <c r="D775" s="19"/>
      <c r="E775" s="19"/>
    </row>
    <row r="776" spans="3:5" x14ac:dyDescent="0.2">
      <c r="C776" s="25"/>
      <c r="D776" s="19"/>
      <c r="E776" s="19"/>
    </row>
    <row r="777" spans="3:5" x14ac:dyDescent="0.2">
      <c r="C777" s="25"/>
      <c r="D777" s="19"/>
      <c r="E777" s="19"/>
    </row>
    <row r="778" spans="3:5" x14ac:dyDescent="0.2">
      <c r="C778" s="25"/>
      <c r="D778" s="19"/>
      <c r="E778" s="19"/>
    </row>
    <row r="779" spans="3:5" x14ac:dyDescent="0.2">
      <c r="C779" s="25"/>
      <c r="D779" s="19"/>
      <c r="E779" s="19"/>
    </row>
    <row r="780" spans="3:5" x14ac:dyDescent="0.2">
      <c r="C780" s="25"/>
      <c r="D780" s="19"/>
      <c r="E780" s="19"/>
    </row>
    <row r="781" spans="3:5" x14ac:dyDescent="0.2">
      <c r="C781" s="25"/>
      <c r="D781" s="19"/>
      <c r="E781" s="19"/>
    </row>
    <row r="782" spans="3:5" x14ac:dyDescent="0.2">
      <c r="C782" s="25"/>
      <c r="D782" s="19"/>
      <c r="E782" s="19"/>
    </row>
    <row r="783" spans="3:5" x14ac:dyDescent="0.2">
      <c r="C783" s="25"/>
      <c r="D783" s="19"/>
      <c r="E783" s="19"/>
    </row>
    <row r="784" spans="3:5" x14ac:dyDescent="0.2">
      <c r="C784" s="25"/>
      <c r="D784" s="19"/>
      <c r="E784" s="19"/>
    </row>
    <row r="785" spans="3:5" x14ac:dyDescent="0.2">
      <c r="C785" s="25"/>
      <c r="D785" s="19"/>
      <c r="E785" s="19"/>
    </row>
    <row r="786" spans="3:5" x14ac:dyDescent="0.2">
      <c r="C786" s="25"/>
      <c r="D786" s="19"/>
      <c r="E786" s="19"/>
    </row>
    <row r="787" spans="3:5" x14ac:dyDescent="0.2">
      <c r="C787" s="25"/>
      <c r="D787" s="19"/>
      <c r="E787" s="19"/>
    </row>
    <row r="788" spans="3:5" x14ac:dyDescent="0.2">
      <c r="C788" s="25"/>
      <c r="D788" s="19"/>
      <c r="E788" s="19"/>
    </row>
    <row r="789" spans="3:5" x14ac:dyDescent="0.2">
      <c r="C789" s="25"/>
      <c r="D789" s="19"/>
      <c r="E789" s="19"/>
    </row>
    <row r="790" spans="3:5" x14ac:dyDescent="0.2">
      <c r="C790" s="25"/>
      <c r="D790" s="19"/>
      <c r="E790" s="19"/>
    </row>
    <row r="791" spans="3:5" x14ac:dyDescent="0.2">
      <c r="C791" s="25"/>
      <c r="D791" s="19"/>
      <c r="E791" s="19"/>
    </row>
    <row r="792" spans="3:5" x14ac:dyDescent="0.2">
      <c r="C792" s="25"/>
      <c r="D792" s="19"/>
      <c r="E792" s="19"/>
    </row>
    <row r="793" spans="3:5" x14ac:dyDescent="0.2">
      <c r="C793" s="25"/>
      <c r="D793" s="19"/>
      <c r="E793" s="19"/>
    </row>
    <row r="794" spans="3:5" x14ac:dyDescent="0.2">
      <c r="C794" s="25"/>
      <c r="D794" s="19"/>
      <c r="E794" s="19"/>
    </row>
    <row r="795" spans="3:5" x14ac:dyDescent="0.2">
      <c r="C795" s="25"/>
      <c r="D795" s="19"/>
      <c r="E795" s="19"/>
    </row>
    <row r="796" spans="3:5" x14ac:dyDescent="0.2">
      <c r="C796" s="25"/>
      <c r="D796" s="19"/>
      <c r="E796" s="19"/>
    </row>
    <row r="797" spans="3:5" x14ac:dyDescent="0.2">
      <c r="C797" s="25"/>
      <c r="D797" s="19"/>
      <c r="E797" s="19"/>
    </row>
    <row r="798" spans="3:5" x14ac:dyDescent="0.2">
      <c r="C798" s="25"/>
      <c r="D798" s="19"/>
      <c r="E798" s="19"/>
    </row>
    <row r="799" spans="3:5" x14ac:dyDescent="0.2">
      <c r="C799" s="25"/>
      <c r="D799" s="19"/>
      <c r="E799" s="19"/>
    </row>
    <row r="800" spans="3:5" x14ac:dyDescent="0.2">
      <c r="C800" s="25"/>
      <c r="D800" s="19"/>
      <c r="E800" s="19"/>
    </row>
    <row r="801" spans="3:5" x14ac:dyDescent="0.2">
      <c r="C801" s="25"/>
      <c r="D801" s="19"/>
      <c r="E801" s="19"/>
    </row>
    <row r="802" spans="3:5" x14ac:dyDescent="0.2">
      <c r="C802" s="25"/>
      <c r="D802" s="19"/>
      <c r="E802" s="19"/>
    </row>
    <row r="803" spans="3:5" x14ac:dyDescent="0.2">
      <c r="C803" s="25"/>
      <c r="D803" s="19"/>
      <c r="E803" s="19"/>
    </row>
    <row r="804" spans="3:5" x14ac:dyDescent="0.2">
      <c r="C804" s="25"/>
      <c r="D804" s="19"/>
      <c r="E804" s="19"/>
    </row>
    <row r="805" spans="3:5" x14ac:dyDescent="0.2">
      <c r="C805" s="25"/>
      <c r="D805" s="19"/>
      <c r="E805" s="19"/>
    </row>
    <row r="806" spans="3:5" x14ac:dyDescent="0.2">
      <c r="C806" s="25"/>
      <c r="D806" s="19"/>
      <c r="E806" s="19"/>
    </row>
    <row r="807" spans="3:5" x14ac:dyDescent="0.2">
      <c r="C807" s="25"/>
      <c r="D807" s="19"/>
      <c r="E807" s="19"/>
    </row>
    <row r="808" spans="3:5" x14ac:dyDescent="0.2">
      <c r="C808" s="25"/>
      <c r="D808" s="19"/>
      <c r="E808" s="19"/>
    </row>
    <row r="809" spans="3:5" x14ac:dyDescent="0.2">
      <c r="C809" s="25"/>
      <c r="D809" s="19"/>
      <c r="E809" s="19"/>
    </row>
    <row r="810" spans="3:5" x14ac:dyDescent="0.2">
      <c r="C810" s="25"/>
      <c r="D810" s="19"/>
      <c r="E810" s="19"/>
    </row>
    <row r="811" spans="3:5" x14ac:dyDescent="0.2">
      <c r="C811" s="25"/>
      <c r="D811" s="19"/>
      <c r="E811" s="19"/>
    </row>
    <row r="812" spans="3:5" x14ac:dyDescent="0.2">
      <c r="C812" s="25"/>
      <c r="D812" s="19"/>
      <c r="E812" s="19"/>
    </row>
    <row r="813" spans="3:5" x14ac:dyDescent="0.2">
      <c r="C813" s="25"/>
      <c r="D813" s="19"/>
      <c r="E813" s="19"/>
    </row>
    <row r="814" spans="3:5" x14ac:dyDescent="0.2">
      <c r="C814" s="25"/>
      <c r="D814" s="19"/>
      <c r="E814" s="19"/>
    </row>
    <row r="815" spans="3:5" x14ac:dyDescent="0.2">
      <c r="C815" s="25"/>
      <c r="D815" s="19"/>
      <c r="E815" s="19"/>
    </row>
    <row r="816" spans="3:5" x14ac:dyDescent="0.2">
      <c r="C816" s="25"/>
      <c r="D816" s="19"/>
      <c r="E816" s="19"/>
    </row>
    <row r="817" spans="3:5" x14ac:dyDescent="0.2">
      <c r="C817" s="25"/>
      <c r="D817" s="19"/>
      <c r="E817" s="19"/>
    </row>
    <row r="818" spans="3:5" x14ac:dyDescent="0.2">
      <c r="C818" s="25"/>
      <c r="D818" s="19"/>
      <c r="E818" s="19"/>
    </row>
    <row r="819" spans="3:5" x14ac:dyDescent="0.2">
      <c r="C819" s="25"/>
      <c r="D819" s="19"/>
      <c r="E819" s="19"/>
    </row>
    <row r="820" spans="3:5" x14ac:dyDescent="0.2">
      <c r="C820" s="25"/>
      <c r="D820" s="19"/>
      <c r="E820" s="19"/>
    </row>
    <row r="821" spans="3:5" x14ac:dyDescent="0.2">
      <c r="C821" s="25"/>
      <c r="D821" s="19"/>
      <c r="E821" s="19"/>
    </row>
    <row r="822" spans="3:5" x14ac:dyDescent="0.2">
      <c r="C822" s="25"/>
      <c r="D822" s="19"/>
      <c r="E822" s="19"/>
    </row>
    <row r="823" spans="3:5" x14ac:dyDescent="0.2">
      <c r="C823" s="25"/>
      <c r="D823" s="19"/>
      <c r="E823" s="19"/>
    </row>
    <row r="824" spans="3:5" x14ac:dyDescent="0.2">
      <c r="C824" s="25"/>
      <c r="D824" s="19"/>
      <c r="E824" s="19"/>
    </row>
    <row r="825" spans="3:5" x14ac:dyDescent="0.2">
      <c r="C825" s="25"/>
      <c r="D825" s="19"/>
      <c r="E825" s="19"/>
    </row>
    <row r="826" spans="3:5" x14ac:dyDescent="0.2">
      <c r="C826" s="25"/>
      <c r="D826" s="19"/>
      <c r="E826" s="19"/>
    </row>
    <row r="827" spans="3:5" x14ac:dyDescent="0.2">
      <c r="C827" s="25"/>
      <c r="D827" s="19"/>
      <c r="E827" s="19"/>
    </row>
    <row r="828" spans="3:5" x14ac:dyDescent="0.2">
      <c r="C828" s="25"/>
      <c r="D828" s="19"/>
      <c r="E828" s="19"/>
    </row>
    <row r="829" spans="3:5" x14ac:dyDescent="0.2">
      <c r="C829" s="25"/>
      <c r="D829" s="19"/>
      <c r="E829" s="19"/>
    </row>
    <row r="830" spans="3:5" x14ac:dyDescent="0.2">
      <c r="C830" s="25"/>
      <c r="D830" s="19"/>
      <c r="E830" s="19"/>
    </row>
    <row r="831" spans="3:5" x14ac:dyDescent="0.2">
      <c r="C831" s="25"/>
      <c r="D831" s="19"/>
      <c r="E831" s="19"/>
    </row>
    <row r="832" spans="3:5" x14ac:dyDescent="0.2">
      <c r="C832" s="25"/>
      <c r="D832" s="19"/>
      <c r="E832" s="19"/>
    </row>
    <row r="833" spans="3:5" x14ac:dyDescent="0.2">
      <c r="C833" s="25"/>
      <c r="D833" s="19"/>
      <c r="E833" s="19"/>
    </row>
    <row r="834" spans="3:5" x14ac:dyDescent="0.2">
      <c r="C834" s="25"/>
      <c r="D834" s="19"/>
      <c r="E834" s="19"/>
    </row>
    <row r="835" spans="3:5" x14ac:dyDescent="0.2">
      <c r="C835" s="25"/>
      <c r="D835" s="19"/>
      <c r="E835" s="19"/>
    </row>
    <row r="836" spans="3:5" x14ac:dyDescent="0.2">
      <c r="C836" s="25"/>
      <c r="D836" s="19"/>
      <c r="E836" s="19"/>
    </row>
    <row r="837" spans="3:5" x14ac:dyDescent="0.2">
      <c r="C837" s="25"/>
      <c r="D837" s="19"/>
      <c r="E837" s="19"/>
    </row>
    <row r="838" spans="3:5" x14ac:dyDescent="0.2">
      <c r="C838" s="25"/>
      <c r="D838" s="19"/>
      <c r="E838" s="19"/>
    </row>
    <row r="839" spans="3:5" x14ac:dyDescent="0.2">
      <c r="C839" s="25"/>
      <c r="D839" s="19"/>
      <c r="E839" s="19"/>
    </row>
    <row r="840" spans="3:5" x14ac:dyDescent="0.2">
      <c r="C840" s="25"/>
      <c r="D840" s="19"/>
      <c r="E840" s="19"/>
    </row>
    <row r="841" spans="3:5" x14ac:dyDescent="0.2">
      <c r="C841" s="25"/>
      <c r="D841" s="19"/>
      <c r="E841" s="19"/>
    </row>
    <row r="842" spans="3:5" x14ac:dyDescent="0.2">
      <c r="C842" s="25"/>
      <c r="D842" s="19"/>
      <c r="E842" s="19"/>
    </row>
    <row r="843" spans="3:5" x14ac:dyDescent="0.2">
      <c r="C843" s="25"/>
      <c r="D843" s="19"/>
      <c r="E843" s="19"/>
    </row>
    <row r="844" spans="3:5" x14ac:dyDescent="0.2">
      <c r="C844" s="25"/>
      <c r="D844" s="19"/>
      <c r="E844" s="19"/>
    </row>
    <row r="845" spans="3:5" x14ac:dyDescent="0.2">
      <c r="C845" s="25"/>
      <c r="D845" s="19"/>
      <c r="E845" s="19"/>
    </row>
    <row r="846" spans="3:5" x14ac:dyDescent="0.2">
      <c r="C846" s="25"/>
      <c r="D846" s="19"/>
      <c r="E846" s="19"/>
    </row>
    <row r="847" spans="3:5" x14ac:dyDescent="0.2">
      <c r="C847" s="25"/>
      <c r="D847" s="19"/>
      <c r="E847" s="19"/>
    </row>
    <row r="848" spans="3:5" x14ac:dyDescent="0.2">
      <c r="C848" s="25"/>
      <c r="D848" s="19"/>
      <c r="E848" s="19"/>
    </row>
    <row r="849" spans="3:5" x14ac:dyDescent="0.2">
      <c r="C849" s="25"/>
      <c r="D849" s="19"/>
      <c r="E849" s="19"/>
    </row>
    <row r="850" spans="3:5" x14ac:dyDescent="0.2">
      <c r="C850" s="25"/>
      <c r="D850" s="19"/>
      <c r="E850" s="19"/>
    </row>
    <row r="851" spans="3:5" x14ac:dyDescent="0.2">
      <c r="C851" s="25"/>
      <c r="D851" s="19"/>
      <c r="E851" s="19"/>
    </row>
    <row r="852" spans="3:5" x14ac:dyDescent="0.2">
      <c r="C852" s="25"/>
      <c r="D852" s="19"/>
      <c r="E852" s="19"/>
    </row>
    <row r="853" spans="3:5" x14ac:dyDescent="0.2">
      <c r="C853" s="25"/>
      <c r="D853" s="19"/>
      <c r="E853" s="19"/>
    </row>
    <row r="854" spans="3:5" x14ac:dyDescent="0.2">
      <c r="C854" s="25"/>
      <c r="D854" s="19"/>
      <c r="E854" s="19"/>
    </row>
    <row r="855" spans="3:5" x14ac:dyDescent="0.2">
      <c r="C855" s="25"/>
      <c r="D855" s="19"/>
      <c r="E855" s="19"/>
    </row>
    <row r="856" spans="3:5" x14ac:dyDescent="0.2">
      <c r="C856" s="25"/>
      <c r="D856" s="19"/>
      <c r="E856" s="19"/>
    </row>
    <row r="857" spans="3:5" x14ac:dyDescent="0.2">
      <c r="C857" s="25"/>
      <c r="D857" s="19"/>
      <c r="E857" s="19"/>
    </row>
    <row r="858" spans="3:5" x14ac:dyDescent="0.2">
      <c r="C858" s="25"/>
      <c r="D858" s="19"/>
      <c r="E858" s="19"/>
    </row>
    <row r="859" spans="3:5" x14ac:dyDescent="0.2">
      <c r="C859" s="25"/>
      <c r="D859" s="19"/>
      <c r="E859" s="19"/>
    </row>
    <row r="860" spans="3:5" x14ac:dyDescent="0.2">
      <c r="C860" s="25"/>
      <c r="D860" s="19"/>
      <c r="E860" s="19"/>
    </row>
    <row r="861" spans="3:5" x14ac:dyDescent="0.2">
      <c r="C861" s="25"/>
      <c r="D861" s="19"/>
      <c r="E861" s="19"/>
    </row>
    <row r="862" spans="3:5" x14ac:dyDescent="0.2">
      <c r="C862" s="25"/>
      <c r="D862" s="19"/>
      <c r="E862" s="19"/>
    </row>
    <row r="863" spans="3:5" x14ac:dyDescent="0.2">
      <c r="C863" s="25"/>
      <c r="D863" s="19"/>
      <c r="E863" s="19"/>
    </row>
    <row r="864" spans="3:5" x14ac:dyDescent="0.2">
      <c r="C864" s="25"/>
      <c r="D864" s="19"/>
      <c r="E864" s="19"/>
    </row>
    <row r="865" spans="3:5" x14ac:dyDescent="0.2">
      <c r="C865" s="25"/>
      <c r="D865" s="19"/>
      <c r="E865" s="19"/>
    </row>
    <row r="866" spans="3:5" x14ac:dyDescent="0.2">
      <c r="C866" s="25"/>
      <c r="D866" s="19"/>
      <c r="E866" s="19"/>
    </row>
    <row r="867" spans="3:5" x14ac:dyDescent="0.2">
      <c r="C867" s="25"/>
      <c r="D867" s="19"/>
      <c r="E867" s="19"/>
    </row>
    <row r="868" spans="3:5" x14ac:dyDescent="0.2">
      <c r="C868" s="25"/>
      <c r="D868" s="19"/>
      <c r="E868" s="19"/>
    </row>
    <row r="869" spans="3:5" x14ac:dyDescent="0.2">
      <c r="C869" s="25"/>
      <c r="D869" s="19"/>
      <c r="E869" s="19"/>
    </row>
    <row r="870" spans="3:5" x14ac:dyDescent="0.2">
      <c r="C870" s="25"/>
      <c r="D870" s="19"/>
      <c r="E870" s="19"/>
    </row>
    <row r="871" spans="3:5" x14ac:dyDescent="0.2">
      <c r="C871" s="25"/>
      <c r="D871" s="19"/>
      <c r="E871" s="19"/>
    </row>
    <row r="872" spans="3:5" x14ac:dyDescent="0.2">
      <c r="C872" s="25"/>
      <c r="D872" s="19"/>
      <c r="E872" s="19"/>
    </row>
    <row r="873" spans="3:5" x14ac:dyDescent="0.2">
      <c r="C873" s="25"/>
      <c r="D873" s="19"/>
      <c r="E873" s="19"/>
    </row>
    <row r="874" spans="3:5" x14ac:dyDescent="0.2">
      <c r="C874" s="25"/>
      <c r="D874" s="19"/>
      <c r="E874" s="19"/>
    </row>
    <row r="875" spans="3:5" x14ac:dyDescent="0.2">
      <c r="C875" s="25"/>
      <c r="D875" s="19"/>
      <c r="E875" s="19"/>
    </row>
    <row r="876" spans="3:5" x14ac:dyDescent="0.2">
      <c r="C876" s="25"/>
      <c r="D876" s="19"/>
      <c r="E876" s="19"/>
    </row>
    <row r="877" spans="3:5" x14ac:dyDescent="0.2">
      <c r="C877" s="25"/>
      <c r="D877" s="19"/>
      <c r="E877" s="19"/>
    </row>
    <row r="878" spans="3:5" x14ac:dyDescent="0.2">
      <c r="C878" s="25"/>
      <c r="D878" s="19"/>
      <c r="E878" s="19"/>
    </row>
    <row r="879" spans="3:5" x14ac:dyDescent="0.2">
      <c r="C879" s="25"/>
      <c r="D879" s="19"/>
      <c r="E879" s="19"/>
    </row>
    <row r="880" spans="3:5" x14ac:dyDescent="0.2">
      <c r="C880" s="25"/>
      <c r="D880" s="19"/>
      <c r="E880" s="19"/>
    </row>
    <row r="881" spans="3:5" x14ac:dyDescent="0.2">
      <c r="C881" s="25"/>
      <c r="D881" s="19"/>
      <c r="E881" s="19"/>
    </row>
    <row r="882" spans="3:5" x14ac:dyDescent="0.2">
      <c r="C882" s="25"/>
      <c r="D882" s="19"/>
      <c r="E882" s="19"/>
    </row>
    <row r="883" spans="3:5" x14ac:dyDescent="0.2">
      <c r="C883" s="25"/>
      <c r="D883" s="19"/>
      <c r="E883" s="19"/>
    </row>
    <row r="884" spans="3:5" x14ac:dyDescent="0.2">
      <c r="C884" s="25"/>
      <c r="D884" s="19"/>
      <c r="E884" s="19"/>
    </row>
    <row r="885" spans="3:5" x14ac:dyDescent="0.2">
      <c r="C885" s="25"/>
      <c r="D885" s="19"/>
      <c r="E885" s="19"/>
    </row>
    <row r="886" spans="3:5" x14ac:dyDescent="0.2">
      <c r="C886" s="25"/>
      <c r="D886" s="19"/>
      <c r="E886" s="19"/>
    </row>
    <row r="887" spans="3:5" x14ac:dyDescent="0.2">
      <c r="C887" s="25"/>
      <c r="D887" s="19"/>
      <c r="E887" s="19"/>
    </row>
    <row r="888" spans="3:5" x14ac:dyDescent="0.2">
      <c r="C888" s="25"/>
      <c r="D888" s="19"/>
      <c r="E888" s="19"/>
    </row>
    <row r="889" spans="3:5" x14ac:dyDescent="0.2">
      <c r="C889" s="25"/>
      <c r="D889" s="19"/>
      <c r="E889" s="19"/>
    </row>
    <row r="890" spans="3:5" x14ac:dyDescent="0.2">
      <c r="C890" s="25"/>
      <c r="D890" s="19"/>
      <c r="E890" s="19"/>
    </row>
    <row r="891" spans="3:5" x14ac:dyDescent="0.2">
      <c r="C891" s="25"/>
      <c r="D891" s="19"/>
      <c r="E891" s="19"/>
    </row>
    <row r="892" spans="3:5" x14ac:dyDescent="0.2">
      <c r="C892" s="25"/>
      <c r="D892" s="19"/>
      <c r="E892" s="19"/>
    </row>
    <row r="893" spans="3:5" x14ac:dyDescent="0.2">
      <c r="C893" s="25"/>
      <c r="D893" s="19"/>
      <c r="E893" s="19"/>
    </row>
    <row r="894" spans="3:5" x14ac:dyDescent="0.2">
      <c r="C894" s="25"/>
      <c r="D894" s="19"/>
      <c r="E894" s="19"/>
    </row>
    <row r="895" spans="3:5" x14ac:dyDescent="0.2">
      <c r="C895" s="25"/>
      <c r="D895" s="19"/>
      <c r="E895" s="19"/>
    </row>
    <row r="896" spans="3:5" x14ac:dyDescent="0.2">
      <c r="C896" s="25"/>
      <c r="D896" s="19"/>
      <c r="E896" s="19"/>
    </row>
    <row r="897" spans="3:5" x14ac:dyDescent="0.2">
      <c r="C897" s="25"/>
      <c r="D897" s="19"/>
      <c r="E897" s="19"/>
    </row>
    <row r="898" spans="3:5" x14ac:dyDescent="0.2">
      <c r="C898" s="25"/>
      <c r="D898" s="19"/>
      <c r="E898" s="19"/>
    </row>
    <row r="899" spans="3:5" x14ac:dyDescent="0.2">
      <c r="C899" s="25"/>
      <c r="D899" s="19"/>
      <c r="E899" s="19"/>
    </row>
    <row r="900" spans="3:5" x14ac:dyDescent="0.2">
      <c r="C900" s="25"/>
      <c r="D900" s="19"/>
      <c r="E900" s="19"/>
    </row>
    <row r="901" spans="3:5" x14ac:dyDescent="0.2">
      <c r="C901" s="25"/>
      <c r="D901" s="19"/>
      <c r="E901" s="19"/>
    </row>
    <row r="902" spans="3:5" x14ac:dyDescent="0.2">
      <c r="C902" s="25"/>
      <c r="D902" s="19"/>
      <c r="E902" s="19"/>
    </row>
    <row r="903" spans="3:5" x14ac:dyDescent="0.2">
      <c r="C903" s="25"/>
      <c r="D903" s="19"/>
      <c r="E903" s="19"/>
    </row>
    <row r="904" spans="3:5" x14ac:dyDescent="0.2">
      <c r="C904" s="25"/>
      <c r="D904" s="19"/>
      <c r="E904" s="19"/>
    </row>
    <row r="905" spans="3:5" x14ac:dyDescent="0.2">
      <c r="C905" s="25"/>
      <c r="D905" s="19"/>
      <c r="E905" s="19"/>
    </row>
    <row r="906" spans="3:5" x14ac:dyDescent="0.2">
      <c r="C906" s="25"/>
      <c r="D906" s="19"/>
      <c r="E906" s="19"/>
    </row>
    <row r="907" spans="3:5" x14ac:dyDescent="0.2">
      <c r="C907" s="25"/>
      <c r="D907" s="19"/>
      <c r="E907" s="19"/>
    </row>
    <row r="908" spans="3:5" x14ac:dyDescent="0.2">
      <c r="C908" s="25"/>
      <c r="D908" s="19"/>
      <c r="E908" s="19"/>
    </row>
    <row r="909" spans="3:5" x14ac:dyDescent="0.2">
      <c r="C909" s="25"/>
      <c r="D909" s="19"/>
      <c r="E909" s="19"/>
    </row>
    <row r="910" spans="3:5" x14ac:dyDescent="0.2">
      <c r="C910" s="25"/>
      <c r="D910" s="19"/>
      <c r="E910" s="19"/>
    </row>
    <row r="911" spans="3:5" x14ac:dyDescent="0.2">
      <c r="C911" s="25"/>
      <c r="D911" s="19"/>
      <c r="E911" s="19"/>
    </row>
    <row r="912" spans="3:5" x14ac:dyDescent="0.2">
      <c r="C912" s="25"/>
      <c r="D912" s="19"/>
      <c r="E912" s="19"/>
    </row>
    <row r="913" spans="3:5" x14ac:dyDescent="0.2">
      <c r="C913" s="25"/>
      <c r="D913" s="19"/>
      <c r="E913" s="19"/>
    </row>
    <row r="914" spans="3:5" x14ac:dyDescent="0.2">
      <c r="C914" s="25"/>
      <c r="D914" s="19"/>
      <c r="E914" s="19"/>
    </row>
    <row r="915" spans="3:5" x14ac:dyDescent="0.2">
      <c r="C915" s="25"/>
      <c r="D915" s="19"/>
      <c r="E915" s="19"/>
    </row>
    <row r="916" spans="3:5" x14ac:dyDescent="0.2">
      <c r="C916" s="25"/>
      <c r="D916" s="19"/>
      <c r="E916" s="19"/>
    </row>
    <row r="917" spans="3:5" x14ac:dyDescent="0.2">
      <c r="C917" s="25"/>
      <c r="D917" s="19"/>
      <c r="E917" s="19"/>
    </row>
    <row r="918" spans="3:5" x14ac:dyDescent="0.2">
      <c r="C918" s="25"/>
      <c r="D918" s="19"/>
      <c r="E918" s="19"/>
    </row>
    <row r="919" spans="3:5" x14ac:dyDescent="0.2">
      <c r="C919" s="25"/>
      <c r="D919" s="19"/>
      <c r="E919" s="19"/>
    </row>
    <row r="920" spans="3:5" x14ac:dyDescent="0.2">
      <c r="C920" s="25"/>
      <c r="D920" s="19"/>
      <c r="E920" s="19"/>
    </row>
    <row r="921" spans="3:5" x14ac:dyDescent="0.2">
      <c r="C921" s="25"/>
      <c r="D921" s="19"/>
      <c r="E921" s="19"/>
    </row>
    <row r="922" spans="3:5" x14ac:dyDescent="0.2">
      <c r="C922" s="25"/>
      <c r="D922" s="19"/>
      <c r="E922" s="19"/>
    </row>
    <row r="923" spans="3:5" x14ac:dyDescent="0.2">
      <c r="C923" s="25"/>
      <c r="D923" s="19"/>
      <c r="E923" s="19"/>
    </row>
    <row r="924" spans="3:5" x14ac:dyDescent="0.2">
      <c r="C924" s="25"/>
      <c r="D924" s="19"/>
      <c r="E924" s="19"/>
    </row>
    <row r="925" spans="3:5" x14ac:dyDescent="0.2">
      <c r="C925" s="25"/>
      <c r="D925" s="19"/>
      <c r="E925" s="19"/>
    </row>
    <row r="926" spans="3:5" x14ac:dyDescent="0.2">
      <c r="C926" s="25"/>
      <c r="D926" s="19"/>
      <c r="E926" s="19"/>
    </row>
    <row r="927" spans="3:5" x14ac:dyDescent="0.2">
      <c r="C927" s="25"/>
      <c r="D927" s="19"/>
      <c r="E927" s="19"/>
    </row>
    <row r="928" spans="3:5" x14ac:dyDescent="0.2">
      <c r="C928" s="25"/>
      <c r="D928" s="19"/>
      <c r="E928" s="19"/>
    </row>
    <row r="929" spans="3:5" x14ac:dyDescent="0.2">
      <c r="C929" s="25"/>
      <c r="D929" s="19"/>
      <c r="E929" s="19"/>
    </row>
    <row r="930" spans="3:5" x14ac:dyDescent="0.2">
      <c r="C930" s="25"/>
      <c r="D930" s="19"/>
      <c r="E930" s="19"/>
    </row>
    <row r="931" spans="3:5" x14ac:dyDescent="0.2">
      <c r="C931" s="25"/>
      <c r="D931" s="19"/>
      <c r="E931" s="19"/>
    </row>
    <row r="932" spans="3:5" x14ac:dyDescent="0.2">
      <c r="C932" s="25"/>
      <c r="D932" s="19"/>
      <c r="E932" s="19"/>
    </row>
    <row r="933" spans="3:5" x14ac:dyDescent="0.2">
      <c r="C933" s="25"/>
      <c r="D933" s="19"/>
      <c r="E933" s="19"/>
    </row>
    <row r="934" spans="3:5" x14ac:dyDescent="0.2">
      <c r="C934" s="25"/>
      <c r="D934" s="19"/>
      <c r="E934" s="19"/>
    </row>
    <row r="935" spans="3:5" x14ac:dyDescent="0.2">
      <c r="C935" s="25"/>
      <c r="D935" s="19"/>
      <c r="E935" s="19"/>
    </row>
    <row r="936" spans="3:5" x14ac:dyDescent="0.2">
      <c r="C936" s="25"/>
      <c r="D936" s="19"/>
      <c r="E936" s="19"/>
    </row>
    <row r="937" spans="3:5" x14ac:dyDescent="0.2">
      <c r="C937" s="25"/>
      <c r="D937" s="19"/>
      <c r="E937" s="19"/>
    </row>
    <row r="938" spans="3:5" x14ac:dyDescent="0.2">
      <c r="C938" s="25"/>
      <c r="D938" s="19"/>
      <c r="E938" s="19"/>
    </row>
    <row r="939" spans="3:5" x14ac:dyDescent="0.2">
      <c r="C939" s="25"/>
      <c r="D939" s="19"/>
      <c r="E939" s="19"/>
    </row>
    <row r="940" spans="3:5" x14ac:dyDescent="0.2">
      <c r="C940" s="25"/>
      <c r="D940" s="19"/>
      <c r="E940" s="19"/>
    </row>
    <row r="941" spans="3:5" x14ac:dyDescent="0.2">
      <c r="C941" s="25"/>
      <c r="D941" s="19"/>
      <c r="E941" s="19"/>
    </row>
    <row r="942" spans="3:5" x14ac:dyDescent="0.2">
      <c r="C942" s="25"/>
      <c r="D942" s="19"/>
      <c r="E942" s="19"/>
    </row>
    <row r="943" spans="3:5" x14ac:dyDescent="0.2">
      <c r="C943" s="25"/>
      <c r="D943" s="19"/>
      <c r="E943" s="19"/>
    </row>
    <row r="944" spans="3:5" x14ac:dyDescent="0.2">
      <c r="C944" s="25"/>
      <c r="D944" s="19"/>
      <c r="E944" s="19"/>
    </row>
    <row r="945" spans="3:5" x14ac:dyDescent="0.2">
      <c r="C945" s="25"/>
      <c r="D945" s="19"/>
      <c r="E945" s="19"/>
    </row>
    <row r="946" spans="3:5" x14ac:dyDescent="0.2">
      <c r="C946" s="25"/>
      <c r="D946" s="19"/>
      <c r="E946" s="19"/>
    </row>
    <row r="947" spans="3:5" x14ac:dyDescent="0.2">
      <c r="C947" s="25"/>
      <c r="D947" s="19"/>
      <c r="E947" s="19"/>
    </row>
    <row r="948" spans="3:5" x14ac:dyDescent="0.2">
      <c r="C948" s="25"/>
      <c r="D948" s="19"/>
      <c r="E948" s="19"/>
    </row>
    <row r="949" spans="3:5" x14ac:dyDescent="0.2">
      <c r="C949" s="25"/>
      <c r="D949" s="19"/>
      <c r="E949" s="19"/>
    </row>
    <row r="950" spans="3:5" x14ac:dyDescent="0.2">
      <c r="C950" s="25"/>
      <c r="D950" s="19"/>
      <c r="E950" s="19"/>
    </row>
    <row r="951" spans="3:5" x14ac:dyDescent="0.2">
      <c r="C951" s="25"/>
      <c r="D951" s="19"/>
      <c r="E951" s="19"/>
    </row>
    <row r="952" spans="3:5" x14ac:dyDescent="0.2">
      <c r="C952" s="25"/>
      <c r="D952" s="19"/>
      <c r="E952" s="19"/>
    </row>
    <row r="953" spans="3:5" x14ac:dyDescent="0.2">
      <c r="C953" s="25"/>
      <c r="D953" s="19"/>
      <c r="E953" s="19"/>
    </row>
    <row r="954" spans="3:5" x14ac:dyDescent="0.2">
      <c r="C954" s="25"/>
      <c r="D954" s="19"/>
      <c r="E954" s="19"/>
    </row>
    <row r="955" spans="3:5" x14ac:dyDescent="0.2">
      <c r="C955" s="25"/>
      <c r="D955" s="19"/>
      <c r="E955" s="19"/>
    </row>
    <row r="956" spans="3:5" x14ac:dyDescent="0.2">
      <c r="C956" s="25"/>
      <c r="D956" s="19"/>
      <c r="E956" s="19"/>
    </row>
    <row r="957" spans="3:5" x14ac:dyDescent="0.2">
      <c r="C957" s="25"/>
      <c r="D957" s="19"/>
      <c r="E957" s="19"/>
    </row>
    <row r="958" spans="3:5" x14ac:dyDescent="0.2">
      <c r="C958" s="25"/>
      <c r="D958" s="19"/>
      <c r="E958" s="19"/>
    </row>
    <row r="959" spans="3:5" x14ac:dyDescent="0.2">
      <c r="C959" s="25"/>
      <c r="D959" s="19"/>
      <c r="E959" s="19"/>
    </row>
    <row r="960" spans="3:5" x14ac:dyDescent="0.2">
      <c r="C960" s="25"/>
      <c r="D960" s="19"/>
      <c r="E960" s="19"/>
    </row>
    <row r="961" spans="3:5" x14ac:dyDescent="0.2">
      <c r="C961" s="25"/>
      <c r="D961" s="19"/>
      <c r="E961" s="19"/>
    </row>
    <row r="962" spans="3:5" x14ac:dyDescent="0.2">
      <c r="C962" s="25"/>
      <c r="D962" s="19"/>
      <c r="E962" s="19"/>
    </row>
    <row r="963" spans="3:5" x14ac:dyDescent="0.2">
      <c r="C963" s="25"/>
      <c r="D963" s="19"/>
      <c r="E963" s="19"/>
    </row>
    <row r="964" spans="3:5" x14ac:dyDescent="0.2">
      <c r="C964" s="25"/>
      <c r="D964" s="19"/>
      <c r="E964" s="19"/>
    </row>
    <row r="965" spans="3:5" x14ac:dyDescent="0.2">
      <c r="C965" s="25"/>
      <c r="D965" s="19"/>
      <c r="E965" s="19"/>
    </row>
    <row r="966" spans="3:5" x14ac:dyDescent="0.2">
      <c r="C966" s="25"/>
      <c r="D966" s="19"/>
      <c r="E966" s="19"/>
    </row>
    <row r="967" spans="3:5" x14ac:dyDescent="0.2">
      <c r="C967" s="25"/>
      <c r="D967" s="19"/>
      <c r="E967" s="19"/>
    </row>
    <row r="968" spans="3:5" x14ac:dyDescent="0.2">
      <c r="C968" s="25"/>
      <c r="D968" s="19"/>
      <c r="E968" s="19"/>
    </row>
    <row r="969" spans="3:5" x14ac:dyDescent="0.2">
      <c r="C969" s="25"/>
      <c r="D969" s="19"/>
      <c r="E969" s="19"/>
    </row>
    <row r="970" spans="3:5" x14ac:dyDescent="0.2">
      <c r="C970" s="25"/>
      <c r="D970" s="19"/>
      <c r="E970" s="19"/>
    </row>
    <row r="971" spans="3:5" x14ac:dyDescent="0.2">
      <c r="C971" s="25"/>
      <c r="D971" s="19"/>
      <c r="E971" s="19"/>
    </row>
    <row r="972" spans="3:5" x14ac:dyDescent="0.2">
      <c r="C972" s="25"/>
      <c r="D972" s="19"/>
      <c r="E972" s="19"/>
    </row>
    <row r="973" spans="3:5" x14ac:dyDescent="0.2">
      <c r="C973" s="25"/>
      <c r="D973" s="19"/>
      <c r="E973" s="19"/>
    </row>
    <row r="974" spans="3:5" x14ac:dyDescent="0.2">
      <c r="C974" s="25"/>
      <c r="D974" s="19"/>
      <c r="E974" s="19"/>
    </row>
    <row r="975" spans="3:5" x14ac:dyDescent="0.2">
      <c r="C975" s="25"/>
      <c r="D975" s="19"/>
      <c r="E975" s="19"/>
    </row>
    <row r="976" spans="3:5" x14ac:dyDescent="0.2">
      <c r="C976" s="25"/>
      <c r="D976" s="19"/>
      <c r="E976" s="19"/>
    </row>
    <row r="977" spans="3:5" x14ac:dyDescent="0.2">
      <c r="C977" s="25"/>
      <c r="D977" s="19"/>
      <c r="E977" s="19"/>
    </row>
    <row r="978" spans="3:5" x14ac:dyDescent="0.2">
      <c r="C978" s="25"/>
      <c r="D978" s="19"/>
      <c r="E978" s="19"/>
    </row>
    <row r="979" spans="3:5" x14ac:dyDescent="0.2">
      <c r="C979" s="25"/>
      <c r="D979" s="19"/>
      <c r="E979" s="19"/>
    </row>
    <row r="980" spans="3:5" x14ac:dyDescent="0.2">
      <c r="C980" s="25"/>
      <c r="D980" s="19"/>
      <c r="E980" s="19"/>
    </row>
    <row r="981" spans="3:5" x14ac:dyDescent="0.2">
      <c r="C981" s="25"/>
      <c r="D981" s="19"/>
      <c r="E981" s="19"/>
    </row>
    <row r="982" spans="3:5" x14ac:dyDescent="0.2">
      <c r="C982" s="25"/>
      <c r="D982" s="19"/>
      <c r="E982" s="19"/>
    </row>
    <row r="983" spans="3:5" x14ac:dyDescent="0.2">
      <c r="C983" s="25"/>
      <c r="D983" s="19"/>
      <c r="E983" s="19"/>
    </row>
    <row r="984" spans="3:5" x14ac:dyDescent="0.2">
      <c r="C984" s="25"/>
      <c r="D984" s="19"/>
      <c r="E984" s="19"/>
    </row>
    <row r="985" spans="3:5" x14ac:dyDescent="0.2">
      <c r="C985" s="25"/>
      <c r="D985" s="19"/>
      <c r="E985" s="19"/>
    </row>
    <row r="986" spans="3:5" x14ac:dyDescent="0.2">
      <c r="C986" s="25"/>
      <c r="D986" s="19"/>
      <c r="E986" s="19"/>
    </row>
    <row r="987" spans="3:5" x14ac:dyDescent="0.2">
      <c r="C987" s="25"/>
      <c r="D987" s="19"/>
      <c r="E987" s="19"/>
    </row>
    <row r="988" spans="3:5" x14ac:dyDescent="0.2">
      <c r="C988" s="25"/>
      <c r="D988" s="19"/>
      <c r="E988" s="19"/>
    </row>
    <row r="989" spans="3:5" x14ac:dyDescent="0.2">
      <c r="C989" s="25"/>
      <c r="D989" s="19"/>
      <c r="E989" s="19"/>
    </row>
    <row r="990" spans="3:5" x14ac:dyDescent="0.2">
      <c r="C990" s="25"/>
      <c r="D990" s="19"/>
      <c r="E990" s="19"/>
    </row>
    <row r="991" spans="3:5" x14ac:dyDescent="0.2">
      <c r="C991" s="25"/>
      <c r="D991" s="19"/>
      <c r="E991" s="19"/>
    </row>
    <row r="992" spans="3:5" x14ac:dyDescent="0.2">
      <c r="C992" s="25"/>
      <c r="D992" s="19"/>
      <c r="E992" s="19"/>
    </row>
    <row r="993" spans="3:5" x14ac:dyDescent="0.2">
      <c r="C993" s="25"/>
      <c r="D993" s="19"/>
      <c r="E993" s="19"/>
    </row>
    <row r="994" spans="3:5" x14ac:dyDescent="0.2">
      <c r="C994" s="25"/>
      <c r="D994" s="19"/>
      <c r="E994" s="19"/>
    </row>
    <row r="995" spans="3:5" x14ac:dyDescent="0.2">
      <c r="C995" s="25"/>
      <c r="D995" s="19"/>
      <c r="E995" s="19"/>
    </row>
    <row r="996" spans="3:5" x14ac:dyDescent="0.2">
      <c r="C996" s="25"/>
      <c r="D996" s="19"/>
      <c r="E996" s="19"/>
    </row>
    <row r="997" spans="3:5" x14ac:dyDescent="0.2">
      <c r="C997" s="25"/>
      <c r="D997" s="19"/>
      <c r="E997" s="19"/>
    </row>
    <row r="998" spans="3:5" x14ac:dyDescent="0.2">
      <c r="C998" s="25"/>
      <c r="D998" s="19"/>
      <c r="E998" s="19"/>
    </row>
    <row r="999" spans="3:5" x14ac:dyDescent="0.2">
      <c r="C999" s="25"/>
      <c r="D999" s="19"/>
      <c r="E999" s="19"/>
    </row>
    <row r="1000" spans="3:5" x14ac:dyDescent="0.2">
      <c r="C1000" s="25"/>
      <c r="D1000" s="19"/>
      <c r="E1000" s="19"/>
    </row>
    <row r="1001" spans="3:5" x14ac:dyDescent="0.2">
      <c r="C1001" s="25"/>
      <c r="D1001" s="19"/>
      <c r="E1001" s="19"/>
    </row>
    <row r="1002" spans="3:5" x14ac:dyDescent="0.2">
      <c r="C1002" s="25"/>
      <c r="D1002" s="19"/>
      <c r="E1002" s="19"/>
    </row>
    <row r="1003" spans="3:5" x14ac:dyDescent="0.2">
      <c r="C1003" s="25"/>
      <c r="D1003" s="19"/>
      <c r="E1003" s="19"/>
    </row>
    <row r="1004" spans="3:5" x14ac:dyDescent="0.2">
      <c r="C1004" s="25"/>
      <c r="D1004" s="19"/>
      <c r="E1004" s="19"/>
    </row>
    <row r="1005" spans="3:5" x14ac:dyDescent="0.2">
      <c r="C1005" s="25"/>
      <c r="D1005" s="19"/>
      <c r="E1005" s="19"/>
    </row>
    <row r="1006" spans="3:5" x14ac:dyDescent="0.2">
      <c r="C1006" s="25"/>
      <c r="D1006" s="19"/>
      <c r="E1006" s="19"/>
    </row>
    <row r="1007" spans="3:5" x14ac:dyDescent="0.2">
      <c r="C1007" s="25"/>
      <c r="D1007" s="19"/>
      <c r="E1007" s="19"/>
    </row>
    <row r="1008" spans="3:5" x14ac:dyDescent="0.2">
      <c r="C1008" s="25"/>
      <c r="D1008" s="19"/>
      <c r="E1008" s="19"/>
    </row>
    <row r="1009" spans="3:5" x14ac:dyDescent="0.2">
      <c r="C1009" s="25"/>
      <c r="D1009" s="19"/>
      <c r="E1009" s="19"/>
    </row>
    <row r="1010" spans="3:5" x14ac:dyDescent="0.2">
      <c r="C1010" s="25"/>
      <c r="D1010" s="19"/>
      <c r="E1010" s="19"/>
    </row>
    <row r="1011" spans="3:5" x14ac:dyDescent="0.2">
      <c r="C1011" s="25"/>
      <c r="D1011" s="19"/>
      <c r="E1011" s="19"/>
    </row>
    <row r="1012" spans="3:5" x14ac:dyDescent="0.2">
      <c r="C1012" s="25"/>
      <c r="D1012" s="19"/>
      <c r="E1012" s="19"/>
    </row>
    <row r="1013" spans="3:5" x14ac:dyDescent="0.2">
      <c r="C1013" s="25"/>
      <c r="D1013" s="19"/>
      <c r="E1013" s="19"/>
    </row>
    <row r="1014" spans="3:5" x14ac:dyDescent="0.2">
      <c r="C1014" s="25"/>
      <c r="D1014" s="19"/>
      <c r="E1014" s="19"/>
    </row>
    <row r="1015" spans="3:5" x14ac:dyDescent="0.2">
      <c r="C1015" s="25"/>
      <c r="D1015" s="19"/>
      <c r="E1015" s="19"/>
    </row>
    <row r="1016" spans="3:5" x14ac:dyDescent="0.2">
      <c r="C1016" s="25"/>
      <c r="D1016" s="19"/>
      <c r="E1016" s="19"/>
    </row>
    <row r="1017" spans="3:5" x14ac:dyDescent="0.2">
      <c r="C1017" s="25"/>
      <c r="D1017" s="19"/>
      <c r="E1017" s="19"/>
    </row>
    <row r="1018" spans="3:5" x14ac:dyDescent="0.2">
      <c r="C1018" s="25"/>
      <c r="D1018" s="19"/>
      <c r="E1018" s="19"/>
    </row>
    <row r="1019" spans="3:5" x14ac:dyDescent="0.2">
      <c r="C1019" s="25"/>
      <c r="D1019" s="19"/>
      <c r="E1019" s="19"/>
    </row>
    <row r="1020" spans="3:5" x14ac:dyDescent="0.2">
      <c r="C1020" s="25"/>
      <c r="D1020" s="19"/>
      <c r="E1020" s="19"/>
    </row>
    <row r="1021" spans="3:5" x14ac:dyDescent="0.2">
      <c r="C1021" s="25"/>
      <c r="D1021" s="19"/>
      <c r="E1021" s="19"/>
    </row>
    <row r="1022" spans="3:5" x14ac:dyDescent="0.2">
      <c r="C1022" s="25"/>
      <c r="D1022" s="19"/>
      <c r="E1022" s="19"/>
    </row>
    <row r="1023" spans="3:5" x14ac:dyDescent="0.2">
      <c r="C1023" s="25"/>
      <c r="D1023" s="19"/>
      <c r="E1023" s="19"/>
    </row>
    <row r="1024" spans="3:5" x14ac:dyDescent="0.2">
      <c r="C1024" s="25"/>
      <c r="D1024" s="19"/>
      <c r="E1024" s="19"/>
    </row>
    <row r="1025" spans="3:5" x14ac:dyDescent="0.2">
      <c r="C1025" s="25"/>
      <c r="D1025" s="19"/>
      <c r="E1025" s="19"/>
    </row>
    <row r="1026" spans="3:5" x14ac:dyDescent="0.2">
      <c r="C1026" s="25"/>
      <c r="D1026" s="19"/>
      <c r="E1026" s="19"/>
    </row>
    <row r="1027" spans="3:5" x14ac:dyDescent="0.2">
      <c r="C1027" s="25"/>
      <c r="D1027" s="19"/>
      <c r="E1027" s="19"/>
    </row>
    <row r="1028" spans="3:5" x14ac:dyDescent="0.2">
      <c r="C1028" s="25"/>
      <c r="D1028" s="19"/>
      <c r="E1028" s="19"/>
    </row>
    <row r="1029" spans="3:5" x14ac:dyDescent="0.2">
      <c r="C1029" s="25"/>
      <c r="D1029" s="19"/>
      <c r="E1029" s="19"/>
    </row>
    <row r="1030" spans="3:5" x14ac:dyDescent="0.2">
      <c r="C1030" s="25"/>
      <c r="D1030" s="19"/>
      <c r="E1030" s="19"/>
    </row>
    <row r="1031" spans="3:5" x14ac:dyDescent="0.2">
      <c r="C1031" s="25"/>
      <c r="D1031" s="19"/>
      <c r="E1031" s="19"/>
    </row>
    <row r="1032" spans="3:5" x14ac:dyDescent="0.2">
      <c r="C1032" s="25"/>
      <c r="D1032" s="19"/>
      <c r="E1032" s="19"/>
    </row>
    <row r="1033" spans="3:5" x14ac:dyDescent="0.2">
      <c r="C1033" s="25"/>
      <c r="D1033" s="19"/>
      <c r="E1033" s="19"/>
    </row>
    <row r="1034" spans="3:5" x14ac:dyDescent="0.2">
      <c r="C1034" s="25"/>
      <c r="D1034" s="19"/>
      <c r="E1034" s="19"/>
    </row>
    <row r="1035" spans="3:5" x14ac:dyDescent="0.2">
      <c r="C1035" s="25"/>
      <c r="D1035" s="19"/>
      <c r="E1035" s="19"/>
    </row>
    <row r="1036" spans="3:5" x14ac:dyDescent="0.2">
      <c r="C1036" s="25"/>
      <c r="D1036" s="19"/>
      <c r="E1036" s="19"/>
    </row>
    <row r="1037" spans="3:5" x14ac:dyDescent="0.2">
      <c r="C1037" s="25"/>
      <c r="D1037" s="19"/>
      <c r="E1037" s="19"/>
    </row>
    <row r="1038" spans="3:5" x14ac:dyDescent="0.2">
      <c r="C1038" s="25"/>
      <c r="D1038" s="19"/>
      <c r="E1038" s="19"/>
    </row>
    <row r="1039" spans="3:5" x14ac:dyDescent="0.2">
      <c r="C1039" s="25"/>
      <c r="D1039" s="19"/>
      <c r="E1039" s="19"/>
    </row>
    <row r="1040" spans="3:5" x14ac:dyDescent="0.2">
      <c r="C1040" s="25"/>
      <c r="D1040" s="19"/>
      <c r="E1040" s="19"/>
    </row>
    <row r="1041" spans="3:5" x14ac:dyDescent="0.2">
      <c r="C1041" s="25"/>
      <c r="D1041" s="19"/>
      <c r="E1041" s="19"/>
    </row>
    <row r="1042" spans="3:5" x14ac:dyDescent="0.2">
      <c r="C1042" s="25"/>
      <c r="D1042" s="19"/>
      <c r="E1042" s="19"/>
    </row>
    <row r="1043" spans="3:5" x14ac:dyDescent="0.2">
      <c r="C1043" s="25"/>
      <c r="D1043" s="19"/>
      <c r="E1043" s="19"/>
    </row>
    <row r="1044" spans="3:5" x14ac:dyDescent="0.2">
      <c r="C1044" s="25"/>
      <c r="D1044" s="19"/>
      <c r="E1044" s="19"/>
    </row>
    <row r="1045" spans="3:5" x14ac:dyDescent="0.2">
      <c r="C1045" s="25"/>
      <c r="D1045" s="19"/>
      <c r="E1045" s="19"/>
    </row>
    <row r="1046" spans="3:5" x14ac:dyDescent="0.2">
      <c r="C1046" s="25"/>
      <c r="D1046" s="19"/>
      <c r="E1046" s="19"/>
    </row>
    <row r="1047" spans="3:5" x14ac:dyDescent="0.2">
      <c r="C1047" s="25"/>
      <c r="D1047" s="19"/>
      <c r="E1047" s="19"/>
    </row>
    <row r="1048" spans="3:5" x14ac:dyDescent="0.2">
      <c r="C1048" s="25"/>
      <c r="D1048" s="19"/>
      <c r="E1048" s="19"/>
    </row>
    <row r="1049" spans="3:5" x14ac:dyDescent="0.2">
      <c r="C1049" s="25"/>
      <c r="D1049" s="19"/>
      <c r="E1049" s="19"/>
    </row>
    <row r="1050" spans="3:5" x14ac:dyDescent="0.2">
      <c r="C1050" s="25"/>
      <c r="D1050" s="19"/>
      <c r="E1050" s="19"/>
    </row>
    <row r="1051" spans="3:5" x14ac:dyDescent="0.2">
      <c r="C1051" s="25"/>
      <c r="D1051" s="19"/>
      <c r="E1051" s="19"/>
    </row>
    <row r="1052" spans="3:5" x14ac:dyDescent="0.2">
      <c r="C1052" s="25"/>
      <c r="D1052" s="19"/>
      <c r="E1052" s="19"/>
    </row>
    <row r="1053" spans="3:5" x14ac:dyDescent="0.2">
      <c r="C1053" s="25"/>
      <c r="D1053" s="19"/>
      <c r="E1053" s="19"/>
    </row>
    <row r="1054" spans="3:5" x14ac:dyDescent="0.2">
      <c r="C1054" s="25"/>
      <c r="D1054" s="19"/>
      <c r="E1054" s="19"/>
    </row>
    <row r="1055" spans="3:5" x14ac:dyDescent="0.2">
      <c r="C1055" s="25"/>
      <c r="D1055" s="19"/>
      <c r="E1055" s="19"/>
    </row>
    <row r="1056" spans="3:5" x14ac:dyDescent="0.2">
      <c r="C1056" s="25"/>
      <c r="D1056" s="19"/>
      <c r="E1056" s="19"/>
    </row>
    <row r="1057" spans="3:5" x14ac:dyDescent="0.2">
      <c r="C1057" s="25"/>
      <c r="D1057" s="19"/>
      <c r="E1057" s="19"/>
    </row>
    <row r="1058" spans="3:5" x14ac:dyDescent="0.2">
      <c r="C1058" s="25"/>
      <c r="D1058" s="19"/>
      <c r="E1058" s="19"/>
    </row>
    <row r="1059" spans="3:5" x14ac:dyDescent="0.2">
      <c r="C1059" s="25"/>
      <c r="D1059" s="19"/>
      <c r="E1059" s="19"/>
    </row>
    <row r="1060" spans="3:5" x14ac:dyDescent="0.2">
      <c r="C1060" s="25"/>
      <c r="D1060" s="19"/>
      <c r="E1060" s="19"/>
    </row>
    <row r="1061" spans="3:5" x14ac:dyDescent="0.2">
      <c r="C1061" s="25"/>
      <c r="D1061" s="19"/>
      <c r="E1061" s="19"/>
    </row>
    <row r="1062" spans="3:5" x14ac:dyDescent="0.2">
      <c r="C1062" s="25"/>
      <c r="D1062" s="19"/>
      <c r="E1062" s="19"/>
    </row>
    <row r="1063" spans="3:5" x14ac:dyDescent="0.2">
      <c r="C1063" s="25"/>
      <c r="D1063" s="19"/>
      <c r="E1063" s="19"/>
    </row>
    <row r="1064" spans="3:5" x14ac:dyDescent="0.2">
      <c r="C1064" s="25"/>
      <c r="D1064" s="19"/>
      <c r="E1064" s="19"/>
    </row>
    <row r="1065" spans="3:5" x14ac:dyDescent="0.2">
      <c r="C1065" s="25"/>
      <c r="D1065" s="19"/>
      <c r="E1065" s="19"/>
    </row>
    <row r="1066" spans="3:5" x14ac:dyDescent="0.2">
      <c r="C1066" s="25"/>
      <c r="D1066" s="19"/>
      <c r="E1066" s="19"/>
    </row>
    <row r="1067" spans="3:5" x14ac:dyDescent="0.2">
      <c r="C1067" s="25"/>
      <c r="D1067" s="19"/>
      <c r="E1067" s="19"/>
    </row>
    <row r="1068" spans="3:5" x14ac:dyDescent="0.2">
      <c r="C1068" s="25"/>
      <c r="D1068" s="19"/>
      <c r="E1068" s="19"/>
    </row>
    <row r="1069" spans="3:5" x14ac:dyDescent="0.2">
      <c r="C1069" s="25"/>
      <c r="D1069" s="19"/>
      <c r="E1069" s="19"/>
    </row>
    <row r="1070" spans="3:5" x14ac:dyDescent="0.2">
      <c r="C1070" s="25"/>
      <c r="D1070" s="19"/>
      <c r="E1070" s="19"/>
    </row>
    <row r="1071" spans="3:5" x14ac:dyDescent="0.2">
      <c r="C1071" s="25"/>
      <c r="D1071" s="19"/>
      <c r="E1071" s="19"/>
    </row>
    <row r="1072" spans="3:5" x14ac:dyDescent="0.2">
      <c r="C1072" s="25"/>
      <c r="D1072" s="19"/>
      <c r="E1072" s="19"/>
    </row>
    <row r="1073" spans="3:5" x14ac:dyDescent="0.2">
      <c r="C1073" s="25"/>
      <c r="D1073" s="19"/>
      <c r="E1073" s="19"/>
    </row>
    <row r="1074" spans="3:5" x14ac:dyDescent="0.2">
      <c r="C1074" s="25"/>
      <c r="D1074" s="19"/>
      <c r="E1074" s="19"/>
    </row>
    <row r="1075" spans="3:5" x14ac:dyDescent="0.2">
      <c r="C1075" s="25"/>
      <c r="D1075" s="19"/>
      <c r="E1075" s="19"/>
    </row>
    <row r="1076" spans="3:5" x14ac:dyDescent="0.2">
      <c r="C1076" s="25"/>
      <c r="D1076" s="19"/>
      <c r="E1076" s="19"/>
    </row>
    <row r="1077" spans="3:5" x14ac:dyDescent="0.2">
      <c r="C1077" s="25"/>
      <c r="D1077" s="19"/>
      <c r="E1077" s="19"/>
    </row>
    <row r="1078" spans="3:5" x14ac:dyDescent="0.2">
      <c r="C1078" s="25"/>
      <c r="D1078" s="19"/>
      <c r="E1078" s="19"/>
    </row>
    <row r="1079" spans="3:5" x14ac:dyDescent="0.2">
      <c r="C1079" s="25"/>
      <c r="D1079" s="19"/>
      <c r="E1079" s="19"/>
    </row>
    <row r="1080" spans="3:5" x14ac:dyDescent="0.2">
      <c r="C1080" s="25"/>
      <c r="D1080" s="19"/>
      <c r="E1080" s="19"/>
    </row>
    <row r="1081" spans="3:5" x14ac:dyDescent="0.2">
      <c r="C1081" s="25"/>
      <c r="D1081" s="19"/>
      <c r="E1081" s="19"/>
    </row>
    <row r="1082" spans="3:5" x14ac:dyDescent="0.2">
      <c r="C1082" s="25"/>
      <c r="D1082" s="19"/>
      <c r="E1082" s="19"/>
    </row>
    <row r="1083" spans="3:5" x14ac:dyDescent="0.2">
      <c r="C1083" s="25"/>
      <c r="D1083" s="19"/>
      <c r="E1083" s="19"/>
    </row>
    <row r="1084" spans="3:5" x14ac:dyDescent="0.2">
      <c r="C1084" s="25"/>
      <c r="D1084" s="19"/>
      <c r="E1084" s="19"/>
    </row>
    <row r="1085" spans="3:5" x14ac:dyDescent="0.2">
      <c r="C1085" s="25"/>
      <c r="D1085" s="19"/>
      <c r="E1085" s="19"/>
    </row>
    <row r="1086" spans="3:5" x14ac:dyDescent="0.2">
      <c r="C1086" s="25"/>
      <c r="D1086" s="19"/>
      <c r="E1086" s="19"/>
    </row>
    <row r="1087" spans="3:5" x14ac:dyDescent="0.2">
      <c r="C1087" s="25"/>
      <c r="D1087" s="19"/>
      <c r="E1087" s="19"/>
    </row>
    <row r="1088" spans="3:5" x14ac:dyDescent="0.2">
      <c r="C1088" s="25"/>
      <c r="D1088" s="19"/>
      <c r="E1088" s="19"/>
    </row>
    <row r="1089" spans="3:5" x14ac:dyDescent="0.2">
      <c r="C1089" s="25"/>
      <c r="D1089" s="19"/>
      <c r="E1089" s="19"/>
    </row>
    <row r="1090" spans="3:5" x14ac:dyDescent="0.2">
      <c r="C1090" s="25"/>
      <c r="D1090" s="19"/>
      <c r="E1090" s="19"/>
    </row>
    <row r="1091" spans="3:5" x14ac:dyDescent="0.2">
      <c r="C1091" s="25"/>
      <c r="D1091" s="19"/>
      <c r="E1091" s="19"/>
    </row>
    <row r="1092" spans="3:5" x14ac:dyDescent="0.2">
      <c r="C1092" s="25"/>
      <c r="D1092" s="19"/>
      <c r="E1092" s="19"/>
    </row>
    <row r="1093" spans="3:5" x14ac:dyDescent="0.2">
      <c r="C1093" s="25"/>
      <c r="D1093" s="19"/>
      <c r="E1093" s="19"/>
    </row>
    <row r="1094" spans="3:5" x14ac:dyDescent="0.2">
      <c r="C1094" s="25"/>
      <c r="D1094" s="19"/>
      <c r="E1094" s="19"/>
    </row>
    <row r="1095" spans="3:5" x14ac:dyDescent="0.2">
      <c r="C1095" s="25"/>
      <c r="D1095" s="19"/>
      <c r="E1095" s="19"/>
    </row>
    <row r="1096" spans="3:5" x14ac:dyDescent="0.2">
      <c r="C1096" s="25"/>
      <c r="D1096" s="19"/>
      <c r="E1096" s="19"/>
    </row>
    <row r="1097" spans="3:5" x14ac:dyDescent="0.2">
      <c r="C1097" s="25"/>
      <c r="D1097" s="19"/>
      <c r="E1097" s="19"/>
    </row>
    <row r="1098" spans="3:5" x14ac:dyDescent="0.2">
      <c r="C1098" s="25"/>
      <c r="D1098" s="19"/>
      <c r="E1098" s="19"/>
    </row>
    <row r="1099" spans="3:5" x14ac:dyDescent="0.2">
      <c r="C1099" s="25"/>
      <c r="D1099" s="19"/>
      <c r="E1099" s="19"/>
    </row>
    <row r="1100" spans="3:5" x14ac:dyDescent="0.2">
      <c r="C1100" s="25"/>
      <c r="D1100" s="19"/>
      <c r="E1100" s="19"/>
    </row>
    <row r="1101" spans="3:5" x14ac:dyDescent="0.2">
      <c r="C1101" s="25"/>
      <c r="D1101" s="19"/>
      <c r="E1101" s="19"/>
    </row>
    <row r="1102" spans="3:5" x14ac:dyDescent="0.2">
      <c r="C1102" s="25"/>
      <c r="D1102" s="19"/>
      <c r="E1102" s="19"/>
    </row>
    <row r="1103" spans="3:5" x14ac:dyDescent="0.2">
      <c r="C1103" s="25"/>
      <c r="D1103" s="19"/>
      <c r="E1103" s="19"/>
    </row>
    <row r="1104" spans="3:5" x14ac:dyDescent="0.2">
      <c r="C1104" s="25"/>
      <c r="D1104" s="19"/>
      <c r="E1104" s="19"/>
    </row>
    <row r="1105" spans="3:5" x14ac:dyDescent="0.2">
      <c r="C1105" s="25"/>
      <c r="D1105" s="19"/>
      <c r="E1105" s="19"/>
    </row>
    <row r="1106" spans="3:5" x14ac:dyDescent="0.2">
      <c r="C1106" s="25"/>
      <c r="D1106" s="19"/>
      <c r="E1106" s="19"/>
    </row>
    <row r="1107" spans="3:5" x14ac:dyDescent="0.2">
      <c r="C1107" s="25"/>
      <c r="D1107" s="19"/>
      <c r="E1107" s="19"/>
    </row>
    <row r="1108" spans="3:5" x14ac:dyDescent="0.2">
      <c r="C1108" s="25"/>
      <c r="D1108" s="19"/>
      <c r="E1108" s="19"/>
    </row>
    <row r="1109" spans="3:5" x14ac:dyDescent="0.2">
      <c r="C1109" s="25"/>
      <c r="D1109" s="19"/>
      <c r="E1109" s="19"/>
    </row>
    <row r="1110" spans="3:5" x14ac:dyDescent="0.2">
      <c r="C1110" s="25"/>
      <c r="D1110" s="19"/>
      <c r="E1110" s="19"/>
    </row>
    <row r="1111" spans="3:5" x14ac:dyDescent="0.2">
      <c r="C1111" s="25"/>
      <c r="D1111" s="19"/>
      <c r="E1111" s="19"/>
    </row>
    <row r="1112" spans="3:5" x14ac:dyDescent="0.2">
      <c r="C1112" s="25"/>
      <c r="D1112" s="19"/>
      <c r="E1112" s="19"/>
    </row>
    <row r="1113" spans="3:5" x14ac:dyDescent="0.2">
      <c r="C1113" s="25"/>
      <c r="D1113" s="19"/>
      <c r="E1113" s="19"/>
    </row>
    <row r="1114" spans="3:5" x14ac:dyDescent="0.2">
      <c r="C1114" s="25"/>
      <c r="D1114" s="19"/>
      <c r="E1114" s="19"/>
    </row>
    <row r="1115" spans="3:5" x14ac:dyDescent="0.2">
      <c r="C1115" s="25"/>
      <c r="D1115" s="19"/>
      <c r="E1115" s="19"/>
    </row>
    <row r="1116" spans="3:5" x14ac:dyDescent="0.2">
      <c r="C1116" s="25"/>
      <c r="D1116" s="19"/>
      <c r="E1116" s="19"/>
    </row>
    <row r="1117" spans="3:5" x14ac:dyDescent="0.2">
      <c r="C1117" s="25"/>
      <c r="D1117" s="19"/>
      <c r="E1117" s="19"/>
    </row>
    <row r="1118" spans="3:5" x14ac:dyDescent="0.2">
      <c r="C1118" s="25"/>
      <c r="D1118" s="19"/>
      <c r="E1118" s="19"/>
    </row>
    <row r="1119" spans="3:5" x14ac:dyDescent="0.2">
      <c r="C1119" s="25"/>
      <c r="D1119" s="19"/>
      <c r="E1119" s="19"/>
    </row>
    <row r="1120" spans="3:5" x14ac:dyDescent="0.2">
      <c r="C1120" s="25"/>
      <c r="D1120" s="19"/>
      <c r="E1120" s="19"/>
    </row>
    <row r="1121" spans="3:5" x14ac:dyDescent="0.2">
      <c r="C1121" s="25"/>
      <c r="D1121" s="19"/>
      <c r="E1121" s="19"/>
    </row>
    <row r="1122" spans="3:5" x14ac:dyDescent="0.2">
      <c r="C1122" s="25"/>
      <c r="D1122" s="19"/>
      <c r="E1122" s="19"/>
    </row>
    <row r="1123" spans="3:5" x14ac:dyDescent="0.2">
      <c r="C1123" s="25"/>
      <c r="D1123" s="19"/>
      <c r="E1123" s="19"/>
    </row>
    <row r="1124" spans="3:5" x14ac:dyDescent="0.2">
      <c r="C1124" s="25"/>
      <c r="D1124" s="19"/>
      <c r="E1124" s="19"/>
    </row>
    <row r="1125" spans="3:5" x14ac:dyDescent="0.2">
      <c r="C1125" s="25"/>
      <c r="D1125" s="19"/>
      <c r="E1125" s="19"/>
    </row>
    <row r="1126" spans="3:5" x14ac:dyDescent="0.2">
      <c r="C1126" s="25"/>
      <c r="D1126" s="19"/>
      <c r="E1126" s="19"/>
    </row>
    <row r="1127" spans="3:5" x14ac:dyDescent="0.2">
      <c r="C1127" s="25"/>
      <c r="D1127" s="19"/>
      <c r="E1127" s="19"/>
    </row>
    <row r="1128" spans="3:5" x14ac:dyDescent="0.2">
      <c r="C1128" s="25"/>
      <c r="D1128" s="19"/>
      <c r="E1128" s="19"/>
    </row>
    <row r="1129" spans="3:5" x14ac:dyDescent="0.2">
      <c r="C1129" s="25"/>
      <c r="D1129" s="19"/>
      <c r="E1129" s="19"/>
    </row>
    <row r="1130" spans="3:5" x14ac:dyDescent="0.2">
      <c r="C1130" s="25"/>
      <c r="D1130" s="19"/>
      <c r="E1130" s="19"/>
    </row>
    <row r="1131" spans="3:5" x14ac:dyDescent="0.2">
      <c r="C1131" s="25"/>
      <c r="D1131" s="19"/>
      <c r="E1131" s="19"/>
    </row>
    <row r="1132" spans="3:5" x14ac:dyDescent="0.2">
      <c r="C1132" s="25"/>
      <c r="D1132" s="19"/>
      <c r="E1132" s="19"/>
    </row>
    <row r="1133" spans="3:5" x14ac:dyDescent="0.2">
      <c r="C1133" s="25"/>
      <c r="D1133" s="19"/>
      <c r="E1133" s="19"/>
    </row>
    <row r="1134" spans="3:5" x14ac:dyDescent="0.2">
      <c r="C1134" s="25"/>
      <c r="D1134" s="19"/>
      <c r="E1134" s="19"/>
    </row>
    <row r="1135" spans="3:5" x14ac:dyDescent="0.2">
      <c r="C1135" s="25"/>
      <c r="D1135" s="19"/>
      <c r="E1135" s="19"/>
    </row>
    <row r="1136" spans="3:5" x14ac:dyDescent="0.2">
      <c r="C1136" s="25"/>
      <c r="D1136" s="19"/>
      <c r="E1136" s="19"/>
    </row>
    <row r="1137" spans="3:5" x14ac:dyDescent="0.2">
      <c r="C1137" s="25"/>
      <c r="D1137" s="19"/>
      <c r="E1137" s="19"/>
    </row>
    <row r="1138" spans="3:5" x14ac:dyDescent="0.2">
      <c r="C1138" s="25"/>
      <c r="D1138" s="19"/>
      <c r="E1138" s="19"/>
    </row>
    <row r="1139" spans="3:5" x14ac:dyDescent="0.2">
      <c r="C1139" s="25"/>
      <c r="D1139" s="19"/>
      <c r="E1139" s="19"/>
    </row>
    <row r="1140" spans="3:5" x14ac:dyDescent="0.2">
      <c r="C1140" s="25"/>
      <c r="D1140" s="19"/>
      <c r="E1140" s="19"/>
    </row>
    <row r="1141" spans="3:5" x14ac:dyDescent="0.2">
      <c r="C1141" s="25"/>
      <c r="D1141" s="19"/>
      <c r="E1141" s="19"/>
    </row>
    <row r="1142" spans="3:5" x14ac:dyDescent="0.2">
      <c r="C1142" s="25"/>
      <c r="D1142" s="19"/>
      <c r="E1142" s="19"/>
    </row>
    <row r="1143" spans="3:5" x14ac:dyDescent="0.2">
      <c r="C1143" s="25"/>
      <c r="D1143" s="19"/>
      <c r="E1143" s="19"/>
    </row>
    <row r="1144" spans="3:5" x14ac:dyDescent="0.2">
      <c r="C1144" s="25"/>
      <c r="D1144" s="19"/>
      <c r="E1144" s="19"/>
    </row>
    <row r="1145" spans="3:5" x14ac:dyDescent="0.2">
      <c r="C1145" s="25"/>
      <c r="D1145" s="19"/>
      <c r="E1145" s="19"/>
    </row>
    <row r="1146" spans="3:5" x14ac:dyDescent="0.2">
      <c r="C1146" s="25"/>
      <c r="D1146" s="19"/>
      <c r="E1146" s="19"/>
    </row>
    <row r="1147" spans="3:5" x14ac:dyDescent="0.2">
      <c r="C1147" s="25"/>
      <c r="D1147" s="19"/>
      <c r="E1147" s="19"/>
    </row>
    <row r="1148" spans="3:5" x14ac:dyDescent="0.2">
      <c r="C1148" s="25"/>
      <c r="D1148" s="19"/>
      <c r="E1148" s="19"/>
    </row>
    <row r="1149" spans="3:5" x14ac:dyDescent="0.2">
      <c r="C1149" s="25"/>
      <c r="D1149" s="19"/>
      <c r="E1149" s="19"/>
    </row>
    <row r="1150" spans="3:5" x14ac:dyDescent="0.2">
      <c r="C1150" s="25"/>
      <c r="D1150" s="19"/>
      <c r="E1150" s="19"/>
    </row>
    <row r="1151" spans="3:5" x14ac:dyDescent="0.2">
      <c r="C1151" s="25"/>
      <c r="D1151" s="19"/>
      <c r="E1151" s="19"/>
    </row>
    <row r="1152" spans="3:5" x14ac:dyDescent="0.2">
      <c r="C1152" s="25"/>
      <c r="D1152" s="19"/>
      <c r="E1152" s="19"/>
    </row>
    <row r="1153" spans="3:5" x14ac:dyDescent="0.2">
      <c r="C1153" s="25"/>
      <c r="D1153" s="19"/>
      <c r="E1153" s="19"/>
    </row>
    <row r="1154" spans="3:5" x14ac:dyDescent="0.2">
      <c r="C1154" s="25"/>
      <c r="D1154" s="19"/>
      <c r="E1154" s="19"/>
    </row>
    <row r="1155" spans="3:5" x14ac:dyDescent="0.2">
      <c r="C1155" s="25"/>
      <c r="D1155" s="19"/>
      <c r="E1155" s="19"/>
    </row>
    <row r="1156" spans="3:5" x14ac:dyDescent="0.2">
      <c r="C1156" s="25"/>
      <c r="D1156" s="19"/>
      <c r="E1156" s="19"/>
    </row>
    <row r="1157" spans="3:5" x14ac:dyDescent="0.2">
      <c r="C1157" s="25"/>
      <c r="D1157" s="19"/>
      <c r="E1157" s="19"/>
    </row>
    <row r="1158" spans="3:5" x14ac:dyDescent="0.2">
      <c r="C1158" s="25"/>
      <c r="D1158" s="19"/>
      <c r="E1158" s="19"/>
    </row>
    <row r="1159" spans="3:5" x14ac:dyDescent="0.2">
      <c r="C1159" s="25"/>
      <c r="D1159" s="19"/>
      <c r="E1159" s="19"/>
    </row>
    <row r="1160" spans="3:5" x14ac:dyDescent="0.2">
      <c r="C1160" s="25"/>
      <c r="D1160" s="19"/>
      <c r="E1160" s="19"/>
    </row>
    <row r="1161" spans="3:5" x14ac:dyDescent="0.2">
      <c r="C1161" s="25"/>
      <c r="D1161" s="19"/>
      <c r="E1161" s="19"/>
    </row>
    <row r="1162" spans="3:5" x14ac:dyDescent="0.2">
      <c r="C1162" s="25"/>
      <c r="D1162" s="19"/>
      <c r="E1162" s="19"/>
    </row>
    <row r="1163" spans="3:5" x14ac:dyDescent="0.2">
      <c r="C1163" s="25"/>
      <c r="D1163" s="19"/>
      <c r="E1163" s="19"/>
    </row>
    <row r="1164" spans="3:5" x14ac:dyDescent="0.2">
      <c r="C1164" s="25"/>
      <c r="D1164" s="19"/>
      <c r="E1164" s="19"/>
    </row>
    <row r="1165" spans="3:5" x14ac:dyDescent="0.2">
      <c r="C1165" s="25"/>
      <c r="D1165" s="19"/>
      <c r="E1165" s="19"/>
    </row>
    <row r="1166" spans="3:5" x14ac:dyDescent="0.2">
      <c r="C1166" s="25"/>
      <c r="D1166" s="19"/>
      <c r="E1166" s="19"/>
    </row>
    <row r="1167" spans="3:5" x14ac:dyDescent="0.2">
      <c r="C1167" s="25"/>
      <c r="D1167" s="19"/>
      <c r="E1167" s="19"/>
    </row>
    <row r="1168" spans="3:5" x14ac:dyDescent="0.2">
      <c r="C1168" s="25"/>
      <c r="D1168" s="19"/>
      <c r="E1168" s="19"/>
    </row>
    <row r="1169" spans="3:5" x14ac:dyDescent="0.2">
      <c r="C1169" s="25"/>
      <c r="D1169" s="19"/>
      <c r="E1169" s="19"/>
    </row>
    <row r="1170" spans="3:5" x14ac:dyDescent="0.2">
      <c r="C1170" s="25"/>
      <c r="D1170" s="19"/>
      <c r="E1170" s="19"/>
    </row>
    <row r="1171" spans="3:5" x14ac:dyDescent="0.2">
      <c r="C1171" s="25"/>
      <c r="D1171" s="19"/>
      <c r="E1171" s="19"/>
    </row>
    <row r="1172" spans="3:5" x14ac:dyDescent="0.2">
      <c r="C1172" s="25"/>
      <c r="D1172" s="19"/>
      <c r="E1172" s="19"/>
    </row>
    <row r="1173" spans="3:5" x14ac:dyDescent="0.2">
      <c r="C1173" s="25"/>
      <c r="D1173" s="19"/>
      <c r="E1173" s="19"/>
    </row>
    <row r="1174" spans="3:5" x14ac:dyDescent="0.2">
      <c r="C1174" s="25"/>
      <c r="D1174" s="19"/>
      <c r="E1174" s="19"/>
    </row>
    <row r="1175" spans="3:5" x14ac:dyDescent="0.2">
      <c r="C1175" s="25"/>
      <c r="D1175" s="19"/>
      <c r="E1175" s="19"/>
    </row>
    <row r="1176" spans="3:5" x14ac:dyDescent="0.2">
      <c r="C1176" s="25"/>
      <c r="D1176" s="19"/>
      <c r="E1176" s="19"/>
    </row>
    <row r="1177" spans="3:5" x14ac:dyDescent="0.2">
      <c r="C1177" s="25"/>
      <c r="D1177" s="19"/>
      <c r="E1177" s="19"/>
    </row>
    <row r="1178" spans="3:5" x14ac:dyDescent="0.2">
      <c r="C1178" s="25"/>
      <c r="D1178" s="19"/>
      <c r="E1178" s="19"/>
    </row>
    <row r="1179" spans="3:5" x14ac:dyDescent="0.2">
      <c r="C1179" s="25"/>
      <c r="D1179" s="19"/>
      <c r="E1179" s="19"/>
    </row>
    <row r="1180" spans="3:5" x14ac:dyDescent="0.2">
      <c r="C1180" s="25"/>
      <c r="D1180" s="19"/>
      <c r="E1180" s="19"/>
    </row>
    <row r="1181" spans="3:5" x14ac:dyDescent="0.2">
      <c r="C1181" s="25"/>
      <c r="D1181" s="19"/>
      <c r="E1181" s="19"/>
    </row>
    <row r="1182" spans="3:5" x14ac:dyDescent="0.2">
      <c r="C1182" s="25"/>
      <c r="D1182" s="19"/>
      <c r="E1182" s="19"/>
    </row>
    <row r="1183" spans="3:5" x14ac:dyDescent="0.2">
      <c r="C1183" s="25"/>
      <c r="D1183" s="19"/>
      <c r="E1183" s="19"/>
    </row>
    <row r="1184" spans="3:5" x14ac:dyDescent="0.2">
      <c r="C1184" s="25"/>
      <c r="D1184" s="19"/>
      <c r="E1184" s="19"/>
    </row>
    <row r="1185" spans="3:5" x14ac:dyDescent="0.2">
      <c r="C1185" s="25"/>
      <c r="D1185" s="19"/>
      <c r="E1185" s="19"/>
    </row>
    <row r="1186" spans="3:5" x14ac:dyDescent="0.2">
      <c r="C1186" s="25"/>
      <c r="D1186" s="19"/>
      <c r="E1186" s="19"/>
    </row>
    <row r="1187" spans="3:5" x14ac:dyDescent="0.2">
      <c r="C1187" s="25"/>
      <c r="D1187" s="19"/>
      <c r="E1187" s="19"/>
    </row>
    <row r="1188" spans="3:5" x14ac:dyDescent="0.2">
      <c r="C1188" s="25"/>
      <c r="D1188" s="19"/>
      <c r="E1188" s="19"/>
    </row>
    <row r="1189" spans="3:5" x14ac:dyDescent="0.2">
      <c r="C1189" s="25"/>
      <c r="D1189" s="19"/>
      <c r="E1189" s="19"/>
    </row>
    <row r="1190" spans="3:5" x14ac:dyDescent="0.2">
      <c r="C1190" s="25"/>
      <c r="D1190" s="19"/>
      <c r="E1190" s="19"/>
    </row>
    <row r="1191" spans="3:5" x14ac:dyDescent="0.2">
      <c r="C1191" s="25"/>
      <c r="D1191" s="19"/>
      <c r="E1191" s="19"/>
    </row>
    <row r="1192" spans="3:5" x14ac:dyDescent="0.2">
      <c r="C1192" s="25"/>
      <c r="D1192" s="19"/>
      <c r="E1192" s="19"/>
    </row>
    <row r="1193" spans="3:5" x14ac:dyDescent="0.2">
      <c r="C1193" s="25"/>
      <c r="D1193" s="19"/>
      <c r="E1193" s="19"/>
    </row>
    <row r="1194" spans="3:5" x14ac:dyDescent="0.2">
      <c r="C1194" s="25"/>
      <c r="D1194" s="19"/>
      <c r="E1194" s="19"/>
    </row>
    <row r="1195" spans="3:5" x14ac:dyDescent="0.2">
      <c r="C1195" s="25"/>
      <c r="D1195" s="19"/>
      <c r="E1195" s="19"/>
    </row>
    <row r="1196" spans="3:5" x14ac:dyDescent="0.2">
      <c r="C1196" s="25"/>
      <c r="D1196" s="19"/>
      <c r="E1196" s="19"/>
    </row>
    <row r="1197" spans="3:5" x14ac:dyDescent="0.2">
      <c r="C1197" s="25"/>
      <c r="D1197" s="19"/>
      <c r="E1197" s="19"/>
    </row>
    <row r="1198" spans="3:5" x14ac:dyDescent="0.2">
      <c r="C1198" s="25"/>
      <c r="D1198" s="19"/>
      <c r="E1198" s="19"/>
    </row>
    <row r="1199" spans="3:5" x14ac:dyDescent="0.2">
      <c r="C1199" s="25"/>
      <c r="D1199" s="19"/>
      <c r="E1199" s="19"/>
    </row>
    <row r="1200" spans="3:5" x14ac:dyDescent="0.2">
      <c r="C1200" s="25"/>
      <c r="D1200" s="19"/>
      <c r="E1200" s="19"/>
    </row>
    <row r="1201" spans="3:5" x14ac:dyDescent="0.2">
      <c r="C1201" s="25"/>
      <c r="D1201" s="19"/>
      <c r="E1201" s="19"/>
    </row>
    <row r="1202" spans="3:5" x14ac:dyDescent="0.2">
      <c r="C1202" s="25"/>
      <c r="D1202" s="19"/>
      <c r="E1202" s="19"/>
    </row>
    <row r="1203" spans="3:5" x14ac:dyDescent="0.2">
      <c r="C1203" s="25"/>
      <c r="D1203" s="19"/>
      <c r="E1203" s="19"/>
    </row>
    <row r="1204" spans="3:5" x14ac:dyDescent="0.2">
      <c r="C1204" s="25"/>
      <c r="D1204" s="19"/>
      <c r="E1204" s="19"/>
    </row>
    <row r="1205" spans="3:5" x14ac:dyDescent="0.2">
      <c r="C1205" s="25"/>
      <c r="D1205" s="19"/>
      <c r="E1205" s="19"/>
    </row>
    <row r="1206" spans="3:5" x14ac:dyDescent="0.2">
      <c r="C1206" s="25"/>
      <c r="D1206" s="19"/>
      <c r="E1206" s="19"/>
    </row>
    <row r="1207" spans="3:5" x14ac:dyDescent="0.2">
      <c r="C1207" s="25"/>
      <c r="D1207" s="19"/>
      <c r="E1207" s="19"/>
    </row>
    <row r="1208" spans="3:5" x14ac:dyDescent="0.2">
      <c r="C1208" s="25"/>
      <c r="D1208" s="19"/>
      <c r="E1208" s="19"/>
    </row>
    <row r="1209" spans="3:5" x14ac:dyDescent="0.2">
      <c r="C1209" s="25"/>
      <c r="D1209" s="19"/>
      <c r="E1209" s="19"/>
    </row>
    <row r="1210" spans="3:5" x14ac:dyDescent="0.2">
      <c r="C1210" s="25"/>
      <c r="D1210" s="19"/>
      <c r="E1210" s="19"/>
    </row>
    <row r="1211" spans="3:5" x14ac:dyDescent="0.2">
      <c r="C1211" s="25"/>
      <c r="D1211" s="19"/>
      <c r="E1211" s="19"/>
    </row>
    <row r="1212" spans="3:5" x14ac:dyDescent="0.2">
      <c r="C1212" s="25"/>
      <c r="D1212" s="19"/>
      <c r="E1212" s="19"/>
    </row>
    <row r="1213" spans="3:5" x14ac:dyDescent="0.2">
      <c r="C1213" s="25"/>
      <c r="D1213" s="19"/>
      <c r="E1213" s="19"/>
    </row>
    <row r="1214" spans="3:5" x14ac:dyDescent="0.2">
      <c r="C1214" s="25"/>
      <c r="D1214" s="19"/>
      <c r="E1214" s="19"/>
    </row>
    <row r="1215" spans="3:5" x14ac:dyDescent="0.2">
      <c r="C1215" s="25"/>
      <c r="D1215" s="19"/>
      <c r="E1215" s="19"/>
    </row>
    <row r="1216" spans="3:5" x14ac:dyDescent="0.2">
      <c r="C1216" s="25"/>
      <c r="D1216" s="19"/>
      <c r="E1216" s="19"/>
    </row>
    <row r="1217" spans="3:5" x14ac:dyDescent="0.2">
      <c r="C1217" s="25"/>
      <c r="D1217" s="19"/>
      <c r="E1217" s="19"/>
    </row>
    <row r="1218" spans="3:5" x14ac:dyDescent="0.2">
      <c r="C1218" s="25"/>
      <c r="D1218" s="19"/>
      <c r="E1218" s="19"/>
    </row>
    <row r="1219" spans="3:5" x14ac:dyDescent="0.2">
      <c r="C1219" s="25"/>
      <c r="D1219" s="19"/>
      <c r="E1219" s="19"/>
    </row>
    <row r="1220" spans="3:5" x14ac:dyDescent="0.2">
      <c r="C1220" s="25"/>
      <c r="D1220" s="19"/>
      <c r="E1220" s="19"/>
    </row>
    <row r="1221" spans="3:5" x14ac:dyDescent="0.2">
      <c r="C1221" s="25"/>
      <c r="D1221" s="19"/>
      <c r="E1221" s="19"/>
    </row>
    <row r="1222" spans="3:5" x14ac:dyDescent="0.2">
      <c r="C1222" s="25"/>
      <c r="D1222" s="19"/>
      <c r="E1222" s="19"/>
    </row>
    <row r="1223" spans="3:5" x14ac:dyDescent="0.2">
      <c r="C1223" s="25"/>
      <c r="D1223" s="19"/>
      <c r="E1223" s="19"/>
    </row>
    <row r="1224" spans="3:5" x14ac:dyDescent="0.2">
      <c r="C1224" s="25"/>
      <c r="D1224" s="19"/>
      <c r="E1224" s="19"/>
    </row>
    <row r="1225" spans="3:5" x14ac:dyDescent="0.2">
      <c r="C1225" s="25"/>
      <c r="D1225" s="19"/>
      <c r="E1225" s="19"/>
    </row>
    <row r="1226" spans="3:5" x14ac:dyDescent="0.2">
      <c r="C1226" s="25"/>
      <c r="D1226" s="19"/>
      <c r="E1226" s="19"/>
    </row>
    <row r="1227" spans="3:5" x14ac:dyDescent="0.2">
      <c r="C1227" s="25"/>
      <c r="D1227" s="19"/>
      <c r="E1227" s="19"/>
    </row>
    <row r="1228" spans="3:5" x14ac:dyDescent="0.2">
      <c r="C1228" s="25"/>
      <c r="D1228" s="19"/>
      <c r="E1228" s="19"/>
    </row>
    <row r="1229" spans="3:5" x14ac:dyDescent="0.2">
      <c r="C1229" s="25"/>
      <c r="D1229" s="19"/>
      <c r="E1229" s="19"/>
    </row>
    <row r="1230" spans="3:5" x14ac:dyDescent="0.2">
      <c r="C1230" s="25"/>
      <c r="D1230" s="19"/>
      <c r="E1230" s="19"/>
    </row>
    <row r="1231" spans="3:5" x14ac:dyDescent="0.2">
      <c r="C1231" s="25"/>
      <c r="D1231" s="19"/>
      <c r="E1231" s="19"/>
    </row>
    <row r="1232" spans="3:5" x14ac:dyDescent="0.2">
      <c r="C1232" s="25"/>
      <c r="D1232" s="19"/>
      <c r="E1232" s="19"/>
    </row>
    <row r="1233" spans="3:5" x14ac:dyDescent="0.2">
      <c r="C1233" s="25"/>
      <c r="D1233" s="19"/>
      <c r="E1233" s="19"/>
    </row>
    <row r="1234" spans="3:5" x14ac:dyDescent="0.2">
      <c r="C1234" s="25"/>
      <c r="D1234" s="19"/>
      <c r="E1234" s="19"/>
    </row>
    <row r="1235" spans="3:5" x14ac:dyDescent="0.2">
      <c r="C1235" s="25"/>
      <c r="D1235" s="19"/>
      <c r="E1235" s="19"/>
    </row>
    <row r="1236" spans="3:5" x14ac:dyDescent="0.2">
      <c r="C1236" s="25"/>
      <c r="D1236" s="19"/>
      <c r="E1236" s="19"/>
    </row>
    <row r="1237" spans="3:5" x14ac:dyDescent="0.2">
      <c r="C1237" s="25"/>
      <c r="D1237" s="19"/>
      <c r="E1237" s="19"/>
    </row>
    <row r="1238" spans="3:5" x14ac:dyDescent="0.2">
      <c r="C1238" s="25"/>
      <c r="D1238" s="19"/>
      <c r="E1238" s="19"/>
    </row>
    <row r="1239" spans="3:5" x14ac:dyDescent="0.2">
      <c r="C1239" s="25"/>
      <c r="D1239" s="19"/>
      <c r="E1239" s="19"/>
    </row>
    <row r="1240" spans="3:5" x14ac:dyDescent="0.2">
      <c r="C1240" s="25"/>
      <c r="D1240" s="19"/>
      <c r="E1240" s="19"/>
    </row>
    <row r="1241" spans="3:5" x14ac:dyDescent="0.2">
      <c r="C1241" s="25"/>
      <c r="D1241" s="19"/>
      <c r="E1241" s="19"/>
    </row>
    <row r="1242" spans="3:5" x14ac:dyDescent="0.2">
      <c r="C1242" s="25"/>
      <c r="D1242" s="19"/>
      <c r="E1242" s="19"/>
    </row>
    <row r="1243" spans="3:5" x14ac:dyDescent="0.2">
      <c r="C1243" s="25"/>
      <c r="D1243" s="19"/>
      <c r="E1243" s="19"/>
    </row>
    <row r="1244" spans="3:5" x14ac:dyDescent="0.2">
      <c r="C1244" s="25"/>
      <c r="D1244" s="19"/>
      <c r="E1244" s="19"/>
    </row>
    <row r="1245" spans="3:5" x14ac:dyDescent="0.2">
      <c r="C1245" s="25"/>
      <c r="D1245" s="19"/>
      <c r="E1245" s="19"/>
    </row>
    <row r="1246" spans="3:5" x14ac:dyDescent="0.2">
      <c r="C1246" s="25"/>
      <c r="D1246" s="19"/>
      <c r="E1246" s="19"/>
    </row>
    <row r="1247" spans="3:5" x14ac:dyDescent="0.2">
      <c r="C1247" s="25"/>
      <c r="D1247" s="19"/>
      <c r="E1247" s="19"/>
    </row>
    <row r="1248" spans="3:5" x14ac:dyDescent="0.2">
      <c r="C1248" s="25"/>
      <c r="D1248" s="19"/>
      <c r="E1248" s="19"/>
    </row>
    <row r="1249" spans="3:5" x14ac:dyDescent="0.2">
      <c r="C1249" s="25"/>
      <c r="D1249" s="19"/>
      <c r="E1249" s="19"/>
    </row>
    <row r="1250" spans="3:5" x14ac:dyDescent="0.2">
      <c r="C1250" s="25"/>
      <c r="D1250" s="19"/>
      <c r="E1250" s="19"/>
    </row>
    <row r="1251" spans="3:5" x14ac:dyDescent="0.2">
      <c r="C1251" s="25"/>
      <c r="D1251" s="19"/>
      <c r="E1251" s="19"/>
    </row>
    <row r="1252" spans="3:5" x14ac:dyDescent="0.2">
      <c r="C1252" s="25"/>
      <c r="D1252" s="19"/>
      <c r="E1252" s="19"/>
    </row>
    <row r="1253" spans="3:5" x14ac:dyDescent="0.2">
      <c r="C1253" s="25"/>
      <c r="D1253" s="19"/>
      <c r="E1253" s="19"/>
    </row>
    <row r="1254" spans="3:5" x14ac:dyDescent="0.2">
      <c r="C1254" s="25"/>
      <c r="D1254" s="19"/>
      <c r="E1254" s="19"/>
    </row>
    <row r="1255" spans="3:5" x14ac:dyDescent="0.2">
      <c r="C1255" s="25"/>
      <c r="D1255" s="19"/>
      <c r="E1255" s="19"/>
    </row>
    <row r="1256" spans="3:5" x14ac:dyDescent="0.2">
      <c r="C1256" s="25"/>
      <c r="D1256" s="19"/>
      <c r="E1256" s="19"/>
    </row>
    <row r="1257" spans="3:5" x14ac:dyDescent="0.2">
      <c r="C1257" s="25"/>
      <c r="D1257" s="19"/>
      <c r="E1257" s="19"/>
    </row>
    <row r="1258" spans="3:5" x14ac:dyDescent="0.2">
      <c r="C1258" s="25"/>
      <c r="D1258" s="19"/>
      <c r="E1258" s="19"/>
    </row>
    <row r="1259" spans="3:5" x14ac:dyDescent="0.2">
      <c r="C1259" s="25"/>
      <c r="D1259" s="19"/>
      <c r="E1259" s="19"/>
    </row>
    <row r="1260" spans="3:5" x14ac:dyDescent="0.2">
      <c r="C1260" s="25"/>
      <c r="D1260" s="19"/>
      <c r="E1260" s="19"/>
    </row>
    <row r="1261" spans="3:5" x14ac:dyDescent="0.2">
      <c r="C1261" s="25"/>
      <c r="D1261" s="19"/>
      <c r="E1261" s="19"/>
    </row>
    <row r="1262" spans="3:5" x14ac:dyDescent="0.2">
      <c r="C1262" s="25"/>
      <c r="D1262" s="19"/>
      <c r="E1262" s="19"/>
    </row>
    <row r="1263" spans="3:5" x14ac:dyDescent="0.2">
      <c r="C1263" s="25"/>
      <c r="D1263" s="19"/>
      <c r="E1263" s="19"/>
    </row>
    <row r="1264" spans="3:5" x14ac:dyDescent="0.2">
      <c r="C1264" s="25"/>
      <c r="D1264" s="19"/>
      <c r="E1264" s="19"/>
    </row>
    <row r="1265" spans="3:5" x14ac:dyDescent="0.2">
      <c r="C1265" s="25"/>
      <c r="D1265" s="19"/>
      <c r="E1265" s="19"/>
    </row>
    <row r="1266" spans="3:5" x14ac:dyDescent="0.2">
      <c r="C1266" s="25"/>
      <c r="D1266" s="19"/>
      <c r="E1266" s="19"/>
    </row>
    <row r="1267" spans="3:5" x14ac:dyDescent="0.2">
      <c r="C1267" s="25"/>
      <c r="D1267" s="19"/>
      <c r="E1267" s="19"/>
    </row>
    <row r="1268" spans="3:5" x14ac:dyDescent="0.2">
      <c r="C1268" s="25"/>
      <c r="D1268" s="19"/>
      <c r="E1268" s="19"/>
    </row>
    <row r="1269" spans="3:5" x14ac:dyDescent="0.2">
      <c r="C1269" s="25"/>
      <c r="D1269" s="19"/>
      <c r="E1269" s="19"/>
    </row>
    <row r="1270" spans="3:5" x14ac:dyDescent="0.2">
      <c r="C1270" s="25"/>
      <c r="D1270" s="19"/>
      <c r="E1270" s="19"/>
    </row>
    <row r="1271" spans="3:5" x14ac:dyDescent="0.2">
      <c r="C1271" s="25"/>
      <c r="D1271" s="19"/>
      <c r="E1271" s="19"/>
    </row>
    <row r="1272" spans="3:5" x14ac:dyDescent="0.2">
      <c r="C1272" s="25"/>
      <c r="D1272" s="19"/>
      <c r="E1272" s="19"/>
    </row>
    <row r="1273" spans="3:5" x14ac:dyDescent="0.2">
      <c r="C1273" s="25"/>
      <c r="D1273" s="19"/>
      <c r="E1273" s="19"/>
    </row>
    <row r="1274" spans="3:5" x14ac:dyDescent="0.2">
      <c r="C1274" s="25"/>
      <c r="D1274" s="19"/>
      <c r="E1274" s="19"/>
    </row>
    <row r="1275" spans="3:5" x14ac:dyDescent="0.2">
      <c r="C1275" s="25"/>
      <c r="D1275" s="19"/>
      <c r="E1275" s="19"/>
    </row>
    <row r="1276" spans="3:5" x14ac:dyDescent="0.2">
      <c r="C1276" s="25"/>
      <c r="D1276" s="19"/>
      <c r="E1276" s="19"/>
    </row>
    <row r="1277" spans="3:5" x14ac:dyDescent="0.2">
      <c r="C1277" s="25"/>
      <c r="D1277" s="19"/>
      <c r="E1277" s="19"/>
    </row>
    <row r="1278" spans="3:5" x14ac:dyDescent="0.2">
      <c r="C1278" s="25"/>
      <c r="D1278" s="19"/>
      <c r="E1278" s="19"/>
    </row>
    <row r="1279" spans="3:5" x14ac:dyDescent="0.2">
      <c r="C1279" s="25"/>
      <c r="D1279" s="19"/>
      <c r="E1279" s="19"/>
    </row>
    <row r="1280" spans="3:5" x14ac:dyDescent="0.2">
      <c r="C1280" s="25"/>
      <c r="D1280" s="19"/>
      <c r="E1280" s="19"/>
    </row>
    <row r="1281" spans="3:5" x14ac:dyDescent="0.2">
      <c r="C1281" s="25"/>
      <c r="D1281" s="19"/>
      <c r="E1281" s="19"/>
    </row>
    <row r="1282" spans="3:5" x14ac:dyDescent="0.2">
      <c r="C1282" s="25"/>
      <c r="D1282" s="19"/>
      <c r="E1282" s="19"/>
    </row>
    <row r="1283" spans="3:5" x14ac:dyDescent="0.2">
      <c r="C1283" s="25"/>
      <c r="D1283" s="19"/>
      <c r="E1283" s="19"/>
    </row>
    <row r="1284" spans="3:5" x14ac:dyDescent="0.2">
      <c r="C1284" s="25"/>
      <c r="D1284" s="19"/>
      <c r="E1284" s="19"/>
    </row>
    <row r="1285" spans="3:5" x14ac:dyDescent="0.2">
      <c r="C1285" s="25"/>
      <c r="D1285" s="19"/>
      <c r="E1285" s="19"/>
    </row>
    <row r="1286" spans="3:5" x14ac:dyDescent="0.2">
      <c r="C1286" s="25"/>
      <c r="D1286" s="19"/>
      <c r="E1286" s="19"/>
    </row>
    <row r="1287" spans="3:5" x14ac:dyDescent="0.2">
      <c r="C1287" s="25"/>
      <c r="D1287" s="19"/>
      <c r="E1287" s="19"/>
    </row>
    <row r="1288" spans="3:5" x14ac:dyDescent="0.2">
      <c r="C1288" s="25"/>
      <c r="D1288" s="19"/>
      <c r="E1288" s="19"/>
    </row>
    <row r="1289" spans="3:5" x14ac:dyDescent="0.2">
      <c r="C1289" s="25"/>
      <c r="D1289" s="19"/>
      <c r="E1289" s="19"/>
    </row>
    <row r="1290" spans="3:5" x14ac:dyDescent="0.2">
      <c r="C1290" s="25"/>
      <c r="D1290" s="19"/>
      <c r="E1290" s="19"/>
    </row>
    <row r="1291" spans="3:5" x14ac:dyDescent="0.2">
      <c r="C1291" s="25"/>
      <c r="D1291" s="19"/>
      <c r="E1291" s="19"/>
    </row>
    <row r="1292" spans="3:5" x14ac:dyDescent="0.2">
      <c r="C1292" s="25"/>
      <c r="D1292" s="19"/>
      <c r="E1292" s="19"/>
    </row>
    <row r="1293" spans="3:5" x14ac:dyDescent="0.2">
      <c r="C1293" s="25"/>
      <c r="D1293" s="19"/>
      <c r="E1293" s="19"/>
    </row>
    <row r="1294" spans="3:5" x14ac:dyDescent="0.2">
      <c r="C1294" s="25"/>
      <c r="D1294" s="19"/>
      <c r="E1294" s="19"/>
    </row>
    <row r="1295" spans="3:5" x14ac:dyDescent="0.2">
      <c r="C1295" s="25"/>
      <c r="D1295" s="19"/>
      <c r="E1295" s="19"/>
    </row>
    <row r="1296" spans="3:5" x14ac:dyDescent="0.2">
      <c r="C1296" s="25"/>
      <c r="D1296" s="19"/>
      <c r="E1296" s="19"/>
    </row>
    <row r="1297" spans="3:5" x14ac:dyDescent="0.2">
      <c r="C1297" s="25"/>
      <c r="D1297" s="19"/>
      <c r="E1297" s="19"/>
    </row>
    <row r="1298" spans="3:5" x14ac:dyDescent="0.2">
      <c r="C1298" s="25"/>
      <c r="D1298" s="19"/>
      <c r="E1298" s="19"/>
    </row>
    <row r="1299" spans="3:5" x14ac:dyDescent="0.2">
      <c r="C1299" s="25"/>
      <c r="D1299" s="19"/>
      <c r="E1299" s="19"/>
    </row>
    <row r="1300" spans="3:5" x14ac:dyDescent="0.2">
      <c r="C1300" s="25"/>
      <c r="D1300" s="19"/>
      <c r="E1300" s="19"/>
    </row>
    <row r="1301" spans="3:5" x14ac:dyDescent="0.2">
      <c r="C1301" s="25"/>
      <c r="D1301" s="19"/>
      <c r="E1301" s="19"/>
    </row>
    <row r="1302" spans="3:5" x14ac:dyDescent="0.2">
      <c r="C1302" s="25"/>
      <c r="D1302" s="19"/>
      <c r="E1302" s="19"/>
    </row>
    <row r="1303" spans="3:5" x14ac:dyDescent="0.2">
      <c r="C1303" s="25"/>
      <c r="D1303" s="19"/>
      <c r="E1303" s="19"/>
    </row>
    <row r="1304" spans="3:5" x14ac:dyDescent="0.2">
      <c r="C1304" s="25"/>
      <c r="D1304" s="19"/>
      <c r="E1304" s="19"/>
    </row>
    <row r="1305" spans="3:5" x14ac:dyDescent="0.2">
      <c r="C1305" s="25"/>
      <c r="D1305" s="19"/>
      <c r="E1305" s="19"/>
    </row>
    <row r="1306" spans="3:5" x14ac:dyDescent="0.2">
      <c r="C1306" s="25"/>
      <c r="D1306" s="19"/>
      <c r="E1306" s="19"/>
    </row>
    <row r="1307" spans="3:5" x14ac:dyDescent="0.2">
      <c r="C1307" s="25"/>
      <c r="D1307" s="19"/>
      <c r="E1307" s="19"/>
    </row>
    <row r="1308" spans="3:5" x14ac:dyDescent="0.2">
      <c r="C1308" s="25"/>
      <c r="D1308" s="19"/>
      <c r="E1308" s="19"/>
    </row>
    <row r="1309" spans="3:5" x14ac:dyDescent="0.2">
      <c r="C1309" s="25"/>
      <c r="D1309" s="19"/>
      <c r="E1309" s="19"/>
    </row>
    <row r="1310" spans="3:5" x14ac:dyDescent="0.2">
      <c r="C1310" s="25"/>
      <c r="D1310" s="19"/>
      <c r="E1310" s="19"/>
    </row>
    <row r="1311" spans="3:5" x14ac:dyDescent="0.2">
      <c r="C1311" s="25"/>
      <c r="D1311" s="19"/>
      <c r="E1311" s="19"/>
    </row>
    <row r="1312" spans="3:5" x14ac:dyDescent="0.2">
      <c r="C1312" s="25"/>
      <c r="D1312" s="19"/>
      <c r="E1312" s="19"/>
    </row>
    <row r="1313" spans="3:5" x14ac:dyDescent="0.2">
      <c r="C1313" s="25"/>
      <c r="D1313" s="19"/>
      <c r="E1313" s="19"/>
    </row>
    <row r="1314" spans="3:5" x14ac:dyDescent="0.2">
      <c r="C1314" s="25"/>
      <c r="D1314" s="19"/>
      <c r="E1314" s="19"/>
    </row>
    <row r="1315" spans="3:5" x14ac:dyDescent="0.2">
      <c r="C1315" s="25"/>
      <c r="D1315" s="19"/>
      <c r="E1315" s="19"/>
    </row>
    <row r="1316" spans="3:5" x14ac:dyDescent="0.2">
      <c r="C1316" s="25"/>
      <c r="D1316" s="19"/>
      <c r="E1316" s="19"/>
    </row>
    <row r="1317" spans="3:5" x14ac:dyDescent="0.2">
      <c r="C1317" s="25"/>
      <c r="D1317" s="19"/>
      <c r="E1317" s="19"/>
    </row>
    <row r="1318" spans="3:5" x14ac:dyDescent="0.2">
      <c r="C1318" s="25"/>
      <c r="D1318" s="19"/>
      <c r="E1318" s="19"/>
    </row>
    <row r="1319" spans="3:5" x14ac:dyDescent="0.2">
      <c r="C1319" s="25"/>
      <c r="D1319" s="19"/>
      <c r="E1319" s="19"/>
    </row>
    <row r="1320" spans="3:5" x14ac:dyDescent="0.2">
      <c r="C1320" s="25"/>
      <c r="D1320" s="19"/>
      <c r="E1320" s="19"/>
    </row>
    <row r="1321" spans="3:5" x14ac:dyDescent="0.2">
      <c r="C1321" s="25"/>
      <c r="D1321" s="19"/>
      <c r="E1321" s="19"/>
    </row>
    <row r="1322" spans="3:5" x14ac:dyDescent="0.2">
      <c r="C1322" s="25"/>
      <c r="D1322" s="19"/>
      <c r="E1322" s="19"/>
    </row>
    <row r="1323" spans="3:5" x14ac:dyDescent="0.2">
      <c r="C1323" s="25"/>
      <c r="D1323" s="19"/>
      <c r="E1323" s="19"/>
    </row>
    <row r="1324" spans="3:5" x14ac:dyDescent="0.2">
      <c r="C1324" s="25"/>
      <c r="D1324" s="19"/>
      <c r="E1324" s="19"/>
    </row>
    <row r="1325" spans="3:5" x14ac:dyDescent="0.2">
      <c r="C1325" s="25"/>
      <c r="D1325" s="19"/>
      <c r="E1325" s="19"/>
    </row>
    <row r="1326" spans="3:5" x14ac:dyDescent="0.2">
      <c r="C1326" s="25"/>
      <c r="D1326" s="19"/>
      <c r="E1326" s="19"/>
    </row>
    <row r="1327" spans="3:5" x14ac:dyDescent="0.2">
      <c r="C1327" s="25"/>
      <c r="D1327" s="19"/>
      <c r="E1327" s="19"/>
    </row>
    <row r="1328" spans="3:5" x14ac:dyDescent="0.2">
      <c r="C1328" s="25"/>
      <c r="D1328" s="19"/>
      <c r="E1328" s="19"/>
    </row>
    <row r="1329" spans="3:5" x14ac:dyDescent="0.2">
      <c r="C1329" s="25"/>
      <c r="D1329" s="19"/>
      <c r="E1329" s="19"/>
    </row>
    <row r="1330" spans="3:5" x14ac:dyDescent="0.2">
      <c r="C1330" s="25"/>
      <c r="D1330" s="19"/>
      <c r="E1330" s="19"/>
    </row>
    <row r="1331" spans="3:5" x14ac:dyDescent="0.2">
      <c r="C1331" s="25"/>
      <c r="D1331" s="19"/>
      <c r="E1331" s="19"/>
    </row>
    <row r="1332" spans="3:5" x14ac:dyDescent="0.2">
      <c r="C1332" s="25"/>
      <c r="D1332" s="19"/>
      <c r="E1332" s="19"/>
    </row>
    <row r="1333" spans="3:5" x14ac:dyDescent="0.2">
      <c r="C1333" s="25"/>
      <c r="D1333" s="19"/>
      <c r="E1333" s="19"/>
    </row>
    <row r="1334" spans="3:5" x14ac:dyDescent="0.2">
      <c r="C1334" s="25"/>
      <c r="D1334" s="19"/>
      <c r="E1334" s="19"/>
    </row>
    <row r="1335" spans="3:5" x14ac:dyDescent="0.2">
      <c r="C1335" s="25"/>
      <c r="D1335" s="19"/>
      <c r="E1335" s="19"/>
    </row>
    <row r="1336" spans="3:5" x14ac:dyDescent="0.2">
      <c r="C1336" s="25"/>
      <c r="D1336" s="19"/>
      <c r="E1336" s="19"/>
    </row>
    <row r="1337" spans="3:5" x14ac:dyDescent="0.2">
      <c r="C1337" s="25"/>
      <c r="D1337" s="19"/>
      <c r="E1337" s="19"/>
    </row>
    <row r="1338" spans="3:5" x14ac:dyDescent="0.2">
      <c r="C1338" s="25"/>
      <c r="D1338" s="19"/>
      <c r="E1338" s="19"/>
    </row>
    <row r="1339" spans="3:5" x14ac:dyDescent="0.2">
      <c r="C1339" s="25"/>
      <c r="D1339" s="19"/>
      <c r="E1339" s="19"/>
    </row>
    <row r="1340" spans="3:5" x14ac:dyDescent="0.2">
      <c r="C1340" s="25"/>
      <c r="D1340" s="19"/>
      <c r="E1340" s="19"/>
    </row>
    <row r="1341" spans="3:5" x14ac:dyDescent="0.2">
      <c r="C1341" s="25"/>
      <c r="D1341" s="19"/>
      <c r="E1341" s="19"/>
    </row>
    <row r="1342" spans="3:5" x14ac:dyDescent="0.2">
      <c r="C1342" s="25"/>
      <c r="D1342" s="19"/>
      <c r="E1342" s="19"/>
    </row>
    <row r="1343" spans="3:5" x14ac:dyDescent="0.2">
      <c r="C1343" s="25"/>
      <c r="D1343" s="19"/>
      <c r="E1343" s="19"/>
    </row>
    <row r="1344" spans="3:5" x14ac:dyDescent="0.2">
      <c r="C1344" s="25"/>
      <c r="D1344" s="19"/>
      <c r="E1344" s="19"/>
    </row>
    <row r="1345" spans="3:5" x14ac:dyDescent="0.2">
      <c r="C1345" s="25"/>
      <c r="D1345" s="19"/>
      <c r="E1345" s="19"/>
    </row>
    <row r="1346" spans="3:5" x14ac:dyDescent="0.2">
      <c r="C1346" s="25"/>
      <c r="D1346" s="19"/>
      <c r="E1346" s="19"/>
    </row>
    <row r="1347" spans="3:5" x14ac:dyDescent="0.2">
      <c r="C1347" s="25"/>
      <c r="D1347" s="19"/>
      <c r="E1347" s="19"/>
    </row>
    <row r="1348" spans="3:5" x14ac:dyDescent="0.2">
      <c r="C1348" s="25"/>
      <c r="D1348" s="19"/>
      <c r="E1348" s="19"/>
    </row>
    <row r="1349" spans="3:5" x14ac:dyDescent="0.2">
      <c r="C1349" s="25"/>
      <c r="D1349" s="19"/>
      <c r="E1349" s="19"/>
    </row>
    <row r="1350" spans="3:5" x14ac:dyDescent="0.2">
      <c r="C1350" s="25"/>
      <c r="D1350" s="19"/>
      <c r="E1350" s="19"/>
    </row>
    <row r="1351" spans="3:5" x14ac:dyDescent="0.2">
      <c r="C1351" s="25"/>
      <c r="D1351" s="19"/>
      <c r="E1351" s="19"/>
    </row>
    <row r="1352" spans="3:5" x14ac:dyDescent="0.2">
      <c r="C1352" s="25"/>
      <c r="D1352" s="19"/>
      <c r="E1352" s="19"/>
    </row>
    <row r="1353" spans="3:5" x14ac:dyDescent="0.2">
      <c r="C1353" s="25"/>
      <c r="D1353" s="19"/>
      <c r="E1353" s="19"/>
    </row>
    <row r="1354" spans="3:5" x14ac:dyDescent="0.2">
      <c r="C1354" s="25"/>
      <c r="D1354" s="19"/>
      <c r="E1354" s="19"/>
    </row>
    <row r="1355" spans="3:5" x14ac:dyDescent="0.2">
      <c r="C1355" s="25"/>
      <c r="D1355" s="19"/>
      <c r="E1355" s="19"/>
    </row>
    <row r="1356" spans="3:5" x14ac:dyDescent="0.2">
      <c r="C1356" s="25"/>
      <c r="D1356" s="19"/>
      <c r="E1356" s="19"/>
    </row>
    <row r="1357" spans="3:5" x14ac:dyDescent="0.2">
      <c r="C1357" s="25"/>
      <c r="D1357" s="19"/>
      <c r="E1357" s="19"/>
    </row>
    <row r="1358" spans="3:5" x14ac:dyDescent="0.2">
      <c r="C1358" s="25"/>
      <c r="D1358" s="19"/>
      <c r="E1358" s="19"/>
    </row>
    <row r="1359" spans="3:5" x14ac:dyDescent="0.2">
      <c r="C1359" s="25"/>
      <c r="D1359" s="19"/>
      <c r="E1359" s="19"/>
    </row>
    <row r="1360" spans="3:5" x14ac:dyDescent="0.2">
      <c r="C1360" s="25"/>
      <c r="D1360" s="19"/>
      <c r="E1360" s="19"/>
    </row>
    <row r="1361" spans="3:5" x14ac:dyDescent="0.2">
      <c r="C1361" s="25"/>
      <c r="D1361" s="19"/>
      <c r="E1361" s="19"/>
    </row>
    <row r="1362" spans="3:5" x14ac:dyDescent="0.2">
      <c r="C1362" s="25"/>
      <c r="D1362" s="19"/>
      <c r="E1362" s="19"/>
    </row>
    <row r="1363" spans="3:5" x14ac:dyDescent="0.2">
      <c r="C1363" s="25"/>
      <c r="D1363" s="19"/>
      <c r="E1363" s="19"/>
    </row>
    <row r="1364" spans="3:5" x14ac:dyDescent="0.2">
      <c r="C1364" s="25"/>
      <c r="D1364" s="19"/>
      <c r="E1364" s="19"/>
    </row>
    <row r="1365" spans="3:5" x14ac:dyDescent="0.2">
      <c r="C1365" s="25"/>
      <c r="D1365" s="19"/>
      <c r="E1365" s="19"/>
    </row>
    <row r="1366" spans="3:5" x14ac:dyDescent="0.2">
      <c r="C1366" s="25"/>
      <c r="D1366" s="19"/>
      <c r="E1366" s="19"/>
    </row>
    <row r="1367" spans="3:5" x14ac:dyDescent="0.2">
      <c r="C1367" s="25"/>
      <c r="D1367" s="19"/>
      <c r="E1367" s="19"/>
    </row>
    <row r="1368" spans="3:5" x14ac:dyDescent="0.2">
      <c r="C1368" s="25"/>
      <c r="D1368" s="19"/>
      <c r="E1368" s="19"/>
    </row>
    <row r="1369" spans="3:5" x14ac:dyDescent="0.2">
      <c r="C1369" s="25"/>
      <c r="D1369" s="19"/>
      <c r="E1369" s="19"/>
    </row>
    <row r="1370" spans="3:5" x14ac:dyDescent="0.2">
      <c r="C1370" s="25"/>
      <c r="D1370" s="19"/>
      <c r="E1370" s="19"/>
    </row>
    <row r="1371" spans="3:5" x14ac:dyDescent="0.2">
      <c r="C1371" s="25"/>
      <c r="D1371" s="19"/>
      <c r="E1371" s="19"/>
    </row>
    <row r="1372" spans="3:5" x14ac:dyDescent="0.2">
      <c r="C1372" s="25"/>
      <c r="D1372" s="19"/>
      <c r="E1372" s="19"/>
    </row>
    <row r="1373" spans="3:5" x14ac:dyDescent="0.2">
      <c r="C1373" s="25"/>
      <c r="D1373" s="19"/>
      <c r="E1373" s="19"/>
    </row>
    <row r="1374" spans="3:5" x14ac:dyDescent="0.2">
      <c r="C1374" s="25"/>
      <c r="D1374" s="19"/>
      <c r="E1374" s="19"/>
    </row>
    <row r="1375" spans="3:5" x14ac:dyDescent="0.2">
      <c r="C1375" s="25"/>
      <c r="D1375" s="19"/>
      <c r="E1375" s="19"/>
    </row>
    <row r="1376" spans="3:5" x14ac:dyDescent="0.2">
      <c r="C1376" s="25"/>
      <c r="D1376" s="19"/>
      <c r="E1376" s="19"/>
    </row>
    <row r="1377" spans="3:5" x14ac:dyDescent="0.2">
      <c r="C1377" s="25"/>
      <c r="D1377" s="19"/>
      <c r="E1377" s="19"/>
    </row>
    <row r="1378" spans="3:5" x14ac:dyDescent="0.2">
      <c r="C1378" s="25"/>
      <c r="D1378" s="19"/>
      <c r="E1378" s="19"/>
    </row>
    <row r="1379" spans="3:5" x14ac:dyDescent="0.2">
      <c r="C1379" s="25"/>
      <c r="D1379" s="19"/>
      <c r="E1379" s="19"/>
    </row>
    <row r="1380" spans="3:5" x14ac:dyDescent="0.2">
      <c r="C1380" s="25"/>
      <c r="D1380" s="19"/>
      <c r="E1380" s="19"/>
    </row>
    <row r="1381" spans="3:5" x14ac:dyDescent="0.2">
      <c r="C1381" s="25"/>
      <c r="D1381" s="19"/>
      <c r="E1381" s="19"/>
    </row>
    <row r="1382" spans="3:5" x14ac:dyDescent="0.2">
      <c r="C1382" s="25"/>
      <c r="D1382" s="19"/>
      <c r="E1382" s="19"/>
    </row>
    <row r="1383" spans="3:5" x14ac:dyDescent="0.2">
      <c r="C1383" s="25"/>
      <c r="D1383" s="19"/>
      <c r="E1383" s="19"/>
    </row>
    <row r="1384" spans="3:5" x14ac:dyDescent="0.2">
      <c r="C1384" s="25"/>
      <c r="D1384" s="19"/>
      <c r="E1384" s="19"/>
    </row>
    <row r="1385" spans="3:5" x14ac:dyDescent="0.2">
      <c r="C1385" s="25"/>
      <c r="D1385" s="19"/>
      <c r="E1385" s="19"/>
    </row>
    <row r="1386" spans="3:5" x14ac:dyDescent="0.2">
      <c r="C1386" s="25"/>
      <c r="D1386" s="19"/>
      <c r="E1386" s="19"/>
    </row>
    <row r="1387" spans="3:5" x14ac:dyDescent="0.2">
      <c r="C1387" s="25"/>
      <c r="D1387" s="19"/>
      <c r="E1387" s="19"/>
    </row>
    <row r="1388" spans="3:5" x14ac:dyDescent="0.2">
      <c r="C1388" s="25"/>
      <c r="D1388" s="19"/>
      <c r="E1388" s="19"/>
    </row>
    <row r="1389" spans="3:5" x14ac:dyDescent="0.2">
      <c r="C1389" s="25"/>
      <c r="D1389" s="19"/>
      <c r="E1389" s="19"/>
    </row>
    <row r="1390" spans="3:5" x14ac:dyDescent="0.2">
      <c r="C1390" s="25"/>
      <c r="D1390" s="19"/>
      <c r="E1390" s="19"/>
    </row>
    <row r="1391" spans="3:5" x14ac:dyDescent="0.2">
      <c r="C1391" s="25"/>
      <c r="D1391" s="19"/>
      <c r="E1391" s="19"/>
    </row>
    <row r="1392" spans="3:5" x14ac:dyDescent="0.2">
      <c r="C1392" s="25"/>
      <c r="D1392" s="19"/>
      <c r="E1392" s="19"/>
    </row>
    <row r="1393" spans="3:5" x14ac:dyDescent="0.2">
      <c r="C1393" s="25"/>
      <c r="D1393" s="19"/>
      <c r="E1393" s="19"/>
    </row>
    <row r="1394" spans="3:5" x14ac:dyDescent="0.2">
      <c r="C1394" s="25"/>
      <c r="D1394" s="19"/>
      <c r="E1394" s="19"/>
    </row>
    <row r="1395" spans="3:5" x14ac:dyDescent="0.2">
      <c r="C1395" s="25"/>
      <c r="D1395" s="19"/>
      <c r="E1395" s="19"/>
    </row>
    <row r="1396" spans="3:5" x14ac:dyDescent="0.2">
      <c r="C1396" s="25"/>
      <c r="D1396" s="19"/>
      <c r="E1396" s="19"/>
    </row>
    <row r="1397" spans="3:5" x14ac:dyDescent="0.2">
      <c r="C1397" s="25"/>
      <c r="D1397" s="19"/>
      <c r="E1397" s="19"/>
    </row>
    <row r="1398" spans="3:5" x14ac:dyDescent="0.2">
      <c r="C1398" s="25"/>
      <c r="D1398" s="19"/>
      <c r="E1398" s="19"/>
    </row>
    <row r="1399" spans="3:5" x14ac:dyDescent="0.2">
      <c r="C1399" s="25"/>
      <c r="D1399" s="19"/>
      <c r="E1399" s="19"/>
    </row>
    <row r="1400" spans="3:5" x14ac:dyDescent="0.2">
      <c r="C1400" s="25"/>
      <c r="D1400" s="19"/>
      <c r="E1400" s="19"/>
    </row>
    <row r="1401" spans="3:5" x14ac:dyDescent="0.2">
      <c r="C1401" s="25"/>
      <c r="D1401" s="19"/>
      <c r="E1401" s="19"/>
    </row>
    <row r="1402" spans="3:5" x14ac:dyDescent="0.2">
      <c r="C1402" s="25"/>
      <c r="D1402" s="19"/>
      <c r="E1402" s="19"/>
    </row>
    <row r="1403" spans="3:5" x14ac:dyDescent="0.2">
      <c r="C1403" s="25"/>
      <c r="D1403" s="19"/>
      <c r="E1403" s="19"/>
    </row>
    <row r="1404" spans="3:5" x14ac:dyDescent="0.2">
      <c r="C1404" s="25"/>
      <c r="D1404" s="19"/>
      <c r="E1404" s="19"/>
    </row>
    <row r="1405" spans="3:5" x14ac:dyDescent="0.2">
      <c r="C1405" s="25"/>
      <c r="D1405" s="19"/>
      <c r="E1405" s="19"/>
    </row>
    <row r="1406" spans="3:5" x14ac:dyDescent="0.2">
      <c r="C1406" s="25"/>
      <c r="D1406" s="19"/>
      <c r="E1406" s="19"/>
    </row>
    <row r="1407" spans="3:5" x14ac:dyDescent="0.2">
      <c r="C1407" s="25"/>
      <c r="D1407" s="19"/>
      <c r="E1407" s="19"/>
    </row>
    <row r="1408" spans="3:5" x14ac:dyDescent="0.2">
      <c r="C1408" s="25"/>
      <c r="D1408" s="19"/>
      <c r="E1408" s="19"/>
    </row>
    <row r="1409" spans="3:5" x14ac:dyDescent="0.2">
      <c r="C1409" s="25"/>
      <c r="D1409" s="19"/>
      <c r="E1409" s="19"/>
    </row>
    <row r="1410" spans="3:5" x14ac:dyDescent="0.2">
      <c r="C1410" s="25"/>
      <c r="D1410" s="19"/>
      <c r="E1410" s="19"/>
    </row>
    <row r="1411" spans="3:5" x14ac:dyDescent="0.2">
      <c r="C1411" s="25"/>
      <c r="D1411" s="19"/>
      <c r="E1411" s="19"/>
    </row>
    <row r="1412" spans="3:5" x14ac:dyDescent="0.2">
      <c r="C1412" s="25"/>
      <c r="D1412" s="19"/>
      <c r="E1412" s="19"/>
    </row>
    <row r="1413" spans="3:5" x14ac:dyDescent="0.2">
      <c r="C1413" s="25"/>
      <c r="D1413" s="19"/>
      <c r="E1413" s="19"/>
    </row>
    <row r="1414" spans="3:5" x14ac:dyDescent="0.2">
      <c r="C1414" s="25"/>
      <c r="D1414" s="19"/>
      <c r="E1414" s="19"/>
    </row>
    <row r="1415" spans="3:5" x14ac:dyDescent="0.2">
      <c r="C1415" s="25"/>
      <c r="D1415" s="19"/>
      <c r="E1415" s="19"/>
    </row>
    <row r="1416" spans="3:5" x14ac:dyDescent="0.2">
      <c r="C1416" s="25"/>
      <c r="D1416" s="19"/>
      <c r="E1416" s="19"/>
    </row>
    <row r="1417" spans="3:5" x14ac:dyDescent="0.2">
      <c r="C1417" s="25"/>
      <c r="D1417" s="19"/>
      <c r="E1417" s="19"/>
    </row>
    <row r="1418" spans="3:5" x14ac:dyDescent="0.2">
      <c r="C1418" s="25"/>
      <c r="D1418" s="19"/>
      <c r="E1418" s="19"/>
    </row>
    <row r="1419" spans="3:5" x14ac:dyDescent="0.2">
      <c r="C1419" s="25"/>
      <c r="D1419" s="19"/>
      <c r="E1419" s="19"/>
    </row>
    <row r="1420" spans="3:5" x14ac:dyDescent="0.2">
      <c r="C1420" s="25"/>
      <c r="D1420" s="19"/>
      <c r="E1420" s="19"/>
    </row>
    <row r="1421" spans="3:5" x14ac:dyDescent="0.2">
      <c r="C1421" s="25"/>
      <c r="D1421" s="19"/>
      <c r="E1421" s="19"/>
    </row>
    <row r="1422" spans="3:5" x14ac:dyDescent="0.2">
      <c r="C1422" s="25"/>
      <c r="D1422" s="19"/>
      <c r="E1422" s="19"/>
    </row>
    <row r="1423" spans="3:5" x14ac:dyDescent="0.2">
      <c r="C1423" s="25"/>
      <c r="D1423" s="19"/>
      <c r="E1423" s="19"/>
    </row>
    <row r="1424" spans="3:5" x14ac:dyDescent="0.2">
      <c r="C1424" s="25"/>
      <c r="D1424" s="19"/>
      <c r="E1424" s="19"/>
    </row>
    <row r="1425" spans="3:5" x14ac:dyDescent="0.2">
      <c r="C1425" s="25"/>
      <c r="D1425" s="19"/>
      <c r="E1425" s="19"/>
    </row>
    <row r="1426" spans="3:5" x14ac:dyDescent="0.2">
      <c r="C1426" s="25"/>
      <c r="D1426" s="19"/>
      <c r="E1426" s="19"/>
    </row>
    <row r="1427" spans="3:5" x14ac:dyDescent="0.2">
      <c r="C1427" s="25"/>
      <c r="D1427" s="19"/>
      <c r="E1427" s="19"/>
    </row>
    <row r="1428" spans="3:5" x14ac:dyDescent="0.2">
      <c r="C1428" s="25"/>
      <c r="D1428" s="19"/>
      <c r="E1428" s="19"/>
    </row>
    <row r="1429" spans="3:5" x14ac:dyDescent="0.2">
      <c r="C1429" s="25"/>
      <c r="D1429" s="19"/>
      <c r="E1429" s="19"/>
    </row>
    <row r="1430" spans="3:5" x14ac:dyDescent="0.2">
      <c r="C1430" s="25"/>
      <c r="D1430" s="19"/>
      <c r="E1430" s="19"/>
    </row>
    <row r="1431" spans="3:5" x14ac:dyDescent="0.2">
      <c r="C1431" s="25"/>
      <c r="D1431" s="19"/>
      <c r="E1431" s="19"/>
    </row>
    <row r="1432" spans="3:5" x14ac:dyDescent="0.2">
      <c r="C1432" s="25"/>
      <c r="D1432" s="19"/>
      <c r="E1432" s="19"/>
    </row>
    <row r="1433" spans="3:5" x14ac:dyDescent="0.2">
      <c r="C1433" s="25"/>
      <c r="D1433" s="19"/>
      <c r="E1433" s="19"/>
    </row>
    <row r="1434" spans="3:5" x14ac:dyDescent="0.2">
      <c r="C1434" s="25"/>
      <c r="D1434" s="19"/>
      <c r="E1434" s="19"/>
    </row>
    <row r="1435" spans="3:5" x14ac:dyDescent="0.2">
      <c r="C1435" s="25"/>
      <c r="D1435" s="19"/>
      <c r="E1435" s="19"/>
    </row>
  </sheetData>
  <sheetProtection algorithmName="SHA-512" hashValue="rhbCsd/2sj5/JeIJuRwkWK0LOJhVD453ngZgQEUAZpgNEGoUlQ4WqVxdGkKJ6W9en90V9DMTUBwqmkKsqVQAhw==" saltValue="s0+R354GdJCdheGzL745kg==" spinCount="100000" sheet="1" objects="1" scenarios="1"/>
  <autoFilter ref="A9:BY301">
    <filterColumn colId="1" showButton="0"/>
    <filterColumn colId="2" showButton="0"/>
  </autoFilter>
  <customSheetViews>
    <customSheetView guid="{C32C0FCD-AE7D-41A3-975E-D7367DDEA994}" showPageBreaks="1" printArea="1" topLeftCell="A46">
      <selection activeCell="K63" sqref="K63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1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  <customSheetView guid="{8E07C9B9-277B-448A-92DB-DFFDE2869977}" showPageBreaks="1">
      <selection activeCell="A2" sqref="A2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2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</customSheetViews>
  <mergeCells count="149">
    <mergeCell ref="D290:E290"/>
    <mergeCell ref="D291:E291"/>
    <mergeCell ref="D292:E292"/>
    <mergeCell ref="D293:E293"/>
    <mergeCell ref="D294:E294"/>
    <mergeCell ref="D296:E296"/>
    <mergeCell ref="D271:E271"/>
    <mergeCell ref="D272:E272"/>
    <mergeCell ref="D275:E275"/>
    <mergeCell ref="D281:E281"/>
    <mergeCell ref="D282:E282"/>
    <mergeCell ref="D283:E283"/>
    <mergeCell ref="D284:E284"/>
    <mergeCell ref="D285:E285"/>
    <mergeCell ref="D286:E286"/>
    <mergeCell ref="D287:E287"/>
    <mergeCell ref="D288:E288"/>
    <mergeCell ref="D289:E289"/>
    <mergeCell ref="D295:E295"/>
    <mergeCell ref="D269:E269"/>
    <mergeCell ref="D270:E270"/>
    <mergeCell ref="D273:E273"/>
    <mergeCell ref="D274:E274"/>
    <mergeCell ref="D276:E276"/>
    <mergeCell ref="D277:E277"/>
    <mergeCell ref="D278:E278"/>
    <mergeCell ref="D279:E279"/>
    <mergeCell ref="D280:E280"/>
    <mergeCell ref="C19:D19"/>
    <mergeCell ref="B34:C34"/>
    <mergeCell ref="C86:D86"/>
    <mergeCell ref="C33:D33"/>
    <mergeCell ref="F7:F8"/>
    <mergeCell ref="B10:D10"/>
    <mergeCell ref="C12:D12"/>
    <mergeCell ref="C31:D31"/>
    <mergeCell ref="C30:D30"/>
    <mergeCell ref="B11:C11"/>
    <mergeCell ref="B9:D9"/>
    <mergeCell ref="C73:D73"/>
    <mergeCell ref="C25:D25"/>
    <mergeCell ref="B26:C26"/>
    <mergeCell ref="C27:D27"/>
    <mergeCell ref="C71:D71"/>
    <mergeCell ref="C32:D32"/>
    <mergeCell ref="C63:D63"/>
    <mergeCell ref="C51:D51"/>
    <mergeCell ref="C35:D35"/>
    <mergeCell ref="C53:D53"/>
    <mergeCell ref="C62:D62"/>
    <mergeCell ref="C24:D24"/>
    <mergeCell ref="C158:D158"/>
    <mergeCell ref="B137:C137"/>
    <mergeCell ref="C136:D136"/>
    <mergeCell ref="C120:D120"/>
    <mergeCell ref="C97:D97"/>
    <mergeCell ref="C112:D112"/>
    <mergeCell ref="C99:D99"/>
    <mergeCell ref="C133:D133"/>
    <mergeCell ref="C132:D132"/>
    <mergeCell ref="B298:D298"/>
    <mergeCell ref="C268:D268"/>
    <mergeCell ref="C266:D266"/>
    <mergeCell ref="B267:D267"/>
    <mergeCell ref="B297:D297"/>
    <mergeCell ref="C138:D138"/>
    <mergeCell ref="C156:D156"/>
    <mergeCell ref="C212:D212"/>
    <mergeCell ref="B240:C240"/>
    <mergeCell ref="C236:D236"/>
    <mergeCell ref="C174:D174"/>
    <mergeCell ref="C239:D239"/>
    <mergeCell ref="C230:D230"/>
    <mergeCell ref="C176:D176"/>
    <mergeCell ref="C200:D200"/>
    <mergeCell ref="C208:D208"/>
    <mergeCell ref="C178:D178"/>
    <mergeCell ref="C224:D224"/>
    <mergeCell ref="C202:D202"/>
    <mergeCell ref="C228:D228"/>
    <mergeCell ref="C227:D227"/>
    <mergeCell ref="C220:D220"/>
    <mergeCell ref="C242:D242"/>
    <mergeCell ref="C169:D169"/>
    <mergeCell ref="C264:D264"/>
    <mergeCell ref="C262:D262"/>
    <mergeCell ref="C260:D260"/>
    <mergeCell ref="C181:D181"/>
    <mergeCell ref="C186:D186"/>
    <mergeCell ref="C190:D190"/>
    <mergeCell ref="C194:D194"/>
    <mergeCell ref="C206:D206"/>
    <mergeCell ref="C217:D217"/>
    <mergeCell ref="C196:D196"/>
    <mergeCell ref="C184:D184"/>
    <mergeCell ref="C198:D198"/>
    <mergeCell ref="C204:D204"/>
    <mergeCell ref="C192:D192"/>
    <mergeCell ref="C253:D253"/>
    <mergeCell ref="C235:D235"/>
    <mergeCell ref="C263:D263"/>
    <mergeCell ref="AE7:AE8"/>
    <mergeCell ref="AP7:AP8"/>
    <mergeCell ref="AQ7:AQ8"/>
    <mergeCell ref="BC7:BC8"/>
    <mergeCell ref="BD7:BD8"/>
    <mergeCell ref="C222:D222"/>
    <mergeCell ref="C210:D210"/>
    <mergeCell ref="C233:D233"/>
    <mergeCell ref="C241:D241"/>
    <mergeCell ref="B64:C64"/>
    <mergeCell ref="C96:D96"/>
    <mergeCell ref="C129:D129"/>
    <mergeCell ref="C123:D123"/>
    <mergeCell ref="C119:D119"/>
    <mergeCell ref="B91:C91"/>
    <mergeCell ref="C85:D85"/>
    <mergeCell ref="C90:D90"/>
    <mergeCell ref="C92:D92"/>
    <mergeCell ref="C65:D65"/>
    <mergeCell ref="C161:D161"/>
    <mergeCell ref="B98:C98"/>
    <mergeCell ref="B74:C74"/>
    <mergeCell ref="C84:D84"/>
    <mergeCell ref="C75:D75"/>
    <mergeCell ref="BM7:BM8"/>
    <mergeCell ref="BN7:BN8"/>
    <mergeCell ref="AF7:AN7"/>
    <mergeCell ref="AR7:AZ7"/>
    <mergeCell ref="BE7:BK7"/>
    <mergeCell ref="BO7:BW7"/>
    <mergeCell ref="F6:BW6"/>
    <mergeCell ref="A6:A8"/>
    <mergeCell ref="B4:BY4"/>
    <mergeCell ref="AC7:AC8"/>
    <mergeCell ref="H7:H8"/>
    <mergeCell ref="BY6:BY8"/>
    <mergeCell ref="BX6:BX8"/>
    <mergeCell ref="BB7:BB8"/>
    <mergeCell ref="BA7:BA8"/>
    <mergeCell ref="B6:D8"/>
    <mergeCell ref="AO7:AO8"/>
    <mergeCell ref="J7:J8"/>
    <mergeCell ref="G7:G8"/>
    <mergeCell ref="E6:E8"/>
    <mergeCell ref="BL7:BL8"/>
    <mergeCell ref="I7:I8"/>
    <mergeCell ref="K7:AB7"/>
    <mergeCell ref="AD7:AD8"/>
  </mergeCells>
  <phoneticPr fontId="1" type="noConversion"/>
  <printOptions horizontalCentered="1"/>
  <pageMargins left="0.86614173228346458" right="0.31496062992125984" top="0.59055118110236227" bottom="0.39370078740157483" header="0.11811023622047245" footer="0.15748031496062992"/>
  <pageSetup paperSize="9" scale="65" orientation="portrait" horizontalDpi="300" verticalDpi="300" r:id="rId3"/>
  <headerFooter differentFirst="1">
    <oddFooter>&amp;L&amp;"Times New Roman,Regular"&amp;8&amp;D; &amp;T&amp;R&amp;"Times New Roman,Regular"&amp;8&amp;P (&amp;N)</oddFooter>
    <firstHeader>&amp;R&amp;"Times New Roman,Regular"&amp;9 2.pielikums Jūrmalas pilsētas domes
2018.gada 5.septembra saistošajiem noteikumiem Nr.32 
(protokols Nr.12, 1.punkts)</firstHead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5"/>
  </sheetPr>
  <dimension ref="A1:AQ169"/>
  <sheetViews>
    <sheetView view="pageLayout" zoomScaleNormal="100" workbookViewId="0">
      <selection activeCell="AO8" sqref="AO7:AO8"/>
    </sheetView>
  </sheetViews>
  <sheetFormatPr defaultColWidth="9.140625" defaultRowHeight="12" outlineLevelRow="1" outlineLevelCol="1" x14ac:dyDescent="0.2"/>
  <cols>
    <col min="1" max="1" width="1.42578125" style="88" customWidth="1"/>
    <col min="2" max="2" width="3" style="88" customWidth="1"/>
    <col min="3" max="3" width="9.140625" style="88" customWidth="1"/>
    <col min="4" max="4" width="40.7109375" style="88" customWidth="1"/>
    <col min="5" max="5" width="10.140625" style="88" hidden="1" customWidth="1" outlineLevel="1"/>
    <col min="6" max="6" width="10.140625" style="88" customWidth="1" collapsed="1"/>
    <col min="7" max="7" width="10.7109375" style="88" hidden="1" customWidth="1" outlineLevel="1"/>
    <col min="8" max="8" width="7.42578125" style="88" hidden="1" customWidth="1" outlineLevel="1"/>
    <col min="9" max="9" width="10" style="88" hidden="1" customWidth="1" outlineLevel="1"/>
    <col min="10" max="10" width="7.85546875" style="88" hidden="1" customWidth="1" outlineLevel="1"/>
    <col min="11" max="15" width="7.42578125" style="88" hidden="1" customWidth="1" outlineLevel="1"/>
    <col min="16" max="16" width="7.85546875" style="88" hidden="1" customWidth="1" outlineLevel="1"/>
    <col min="17" max="19" width="9.140625" style="88" hidden="1" customWidth="1" outlineLevel="1"/>
    <col min="20" max="20" width="10" style="88" hidden="1" customWidth="1" outlineLevel="1"/>
    <col min="21" max="21" width="7.85546875" style="88" customWidth="1" collapsed="1"/>
    <col min="22" max="22" width="11.28515625" style="88" hidden="1" customWidth="1" outlineLevel="1"/>
    <col min="23" max="23" width="7.42578125" style="88" hidden="1" customWidth="1" outlineLevel="1"/>
    <col min="24" max="24" width="10.7109375" style="88" hidden="1" customWidth="1" outlineLevel="1"/>
    <col min="25" max="30" width="7.42578125" style="88" hidden="1" customWidth="1" outlineLevel="1"/>
    <col min="31" max="34" width="7.85546875" style="88" hidden="1" customWidth="1" outlineLevel="1"/>
    <col min="35" max="35" width="12.5703125" style="88" hidden="1" customWidth="1" outlineLevel="1"/>
    <col min="36" max="36" width="11.7109375" style="37" customWidth="1" collapsed="1"/>
    <col min="37" max="16384" width="9.140625" style="37"/>
  </cols>
  <sheetData>
    <row r="1" spans="1:40" x14ac:dyDescent="0.2">
      <c r="AJ1" s="327" t="s">
        <v>726</v>
      </c>
    </row>
    <row r="2" spans="1:40" x14ac:dyDescent="0.2">
      <c r="AJ2" s="327" t="s">
        <v>706</v>
      </c>
    </row>
    <row r="4" spans="1:40" ht="18" customHeight="1" x14ac:dyDescent="0.35">
      <c r="A4" s="529" t="s">
        <v>607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529"/>
      <c r="V4" s="529"/>
      <c r="W4" s="529"/>
      <c r="X4" s="529"/>
      <c r="Y4" s="529"/>
      <c r="Z4" s="529"/>
      <c r="AA4" s="529"/>
      <c r="AB4" s="529"/>
      <c r="AC4" s="529"/>
      <c r="AD4" s="529"/>
      <c r="AE4" s="529"/>
      <c r="AF4" s="529"/>
      <c r="AG4" s="529"/>
      <c r="AH4" s="529"/>
      <c r="AI4" s="529"/>
      <c r="AJ4" s="529"/>
    </row>
    <row r="5" spans="1:40" ht="12.75" thickBo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</row>
    <row r="6" spans="1:40" ht="49.5" customHeight="1" x14ac:dyDescent="0.2">
      <c r="A6" s="530" t="s">
        <v>26</v>
      </c>
      <c r="B6" s="531"/>
      <c r="C6" s="531"/>
      <c r="D6" s="154" t="s">
        <v>27</v>
      </c>
      <c r="E6" s="162" t="s">
        <v>721</v>
      </c>
      <c r="F6" s="162" t="s">
        <v>703</v>
      </c>
      <c r="G6" s="162" t="s">
        <v>722</v>
      </c>
      <c r="H6" s="197" t="s">
        <v>727</v>
      </c>
      <c r="I6" s="197" t="s">
        <v>743</v>
      </c>
      <c r="J6" s="197" t="s">
        <v>744</v>
      </c>
      <c r="K6" s="197" t="s">
        <v>747</v>
      </c>
      <c r="L6" s="197" t="s">
        <v>758</v>
      </c>
      <c r="M6" s="197" t="s">
        <v>785</v>
      </c>
      <c r="N6" s="197" t="s">
        <v>799</v>
      </c>
      <c r="O6" s="197" t="s">
        <v>802</v>
      </c>
      <c r="P6" s="197" t="s">
        <v>812</v>
      </c>
      <c r="Q6" s="197" t="s">
        <v>813</v>
      </c>
      <c r="R6" s="197"/>
      <c r="S6" s="197"/>
      <c r="T6" s="197" t="s">
        <v>723</v>
      </c>
      <c r="U6" s="197" t="s">
        <v>527</v>
      </c>
      <c r="V6" s="197" t="s">
        <v>724</v>
      </c>
      <c r="W6" s="197" t="s">
        <v>727</v>
      </c>
      <c r="X6" s="197" t="s">
        <v>743</v>
      </c>
      <c r="Y6" s="197" t="s">
        <v>744</v>
      </c>
      <c r="Z6" s="197" t="s">
        <v>747</v>
      </c>
      <c r="AA6" s="197" t="s">
        <v>758</v>
      </c>
      <c r="AB6" s="197" t="s">
        <v>785</v>
      </c>
      <c r="AC6" s="197" t="s">
        <v>799</v>
      </c>
      <c r="AD6" s="197" t="s">
        <v>802</v>
      </c>
      <c r="AE6" s="197"/>
      <c r="AF6" s="197"/>
      <c r="AG6" s="197"/>
      <c r="AH6" s="197"/>
      <c r="AI6" s="326" t="s">
        <v>725</v>
      </c>
      <c r="AJ6" s="326" t="s">
        <v>704</v>
      </c>
    </row>
    <row r="7" spans="1:40" ht="10.5" customHeight="1" thickBot="1" x14ac:dyDescent="0.25">
      <c r="A7" s="532">
        <v>1</v>
      </c>
      <c r="B7" s="533"/>
      <c r="C7" s="534"/>
      <c r="D7" s="93">
        <v>2</v>
      </c>
      <c r="E7" s="161">
        <v>7</v>
      </c>
      <c r="F7" s="161">
        <v>3</v>
      </c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>
        <v>8</v>
      </c>
      <c r="U7" s="161">
        <v>4</v>
      </c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94">
        <v>9</v>
      </c>
      <c r="AJ7" s="94">
        <v>5</v>
      </c>
    </row>
    <row r="8" spans="1:40" s="155" customFormat="1" ht="12.75" customHeight="1" thickTop="1" x14ac:dyDescent="0.2">
      <c r="A8" s="545" t="s">
        <v>119</v>
      </c>
      <c r="B8" s="546"/>
      <c r="C8" s="546"/>
      <c r="D8" s="547"/>
      <c r="E8" s="38">
        <f t="shared" ref="E8:AJ8" si="0">SUM(E103,E105,E122)</f>
        <v>96152777</v>
      </c>
      <c r="F8" s="38">
        <f t="shared" si="0"/>
        <v>102865303</v>
      </c>
      <c r="G8" s="38">
        <f t="shared" si="0"/>
        <v>6712526</v>
      </c>
      <c r="H8" s="38">
        <f t="shared" si="0"/>
        <v>25539</v>
      </c>
      <c r="I8" s="38">
        <f t="shared" si="0"/>
        <v>54323</v>
      </c>
      <c r="J8" s="38">
        <f t="shared" si="0"/>
        <v>5455812</v>
      </c>
      <c r="K8" s="38">
        <f t="shared" si="0"/>
        <v>164395</v>
      </c>
      <c r="L8" s="38">
        <f t="shared" si="0"/>
        <v>136560</v>
      </c>
      <c r="M8" s="38">
        <f t="shared" si="0"/>
        <v>-261365</v>
      </c>
      <c r="N8" s="38">
        <f t="shared" si="0"/>
        <v>40993</v>
      </c>
      <c r="O8" s="38">
        <f t="shared" si="0"/>
        <v>15812</v>
      </c>
      <c r="P8" s="38">
        <f t="shared" si="0"/>
        <v>1032428</v>
      </c>
      <c r="Q8" s="38">
        <f t="shared" si="0"/>
        <v>48029</v>
      </c>
      <c r="R8" s="38">
        <f t="shared" si="0"/>
        <v>0</v>
      </c>
      <c r="S8" s="38">
        <f t="shared" si="0"/>
        <v>0</v>
      </c>
      <c r="T8" s="38">
        <f t="shared" si="0"/>
        <v>-347723</v>
      </c>
      <c r="U8" s="38">
        <f t="shared" si="0"/>
        <v>-432749</v>
      </c>
      <c r="V8" s="38">
        <f t="shared" si="0"/>
        <v>-85026</v>
      </c>
      <c r="W8" s="38">
        <f t="shared" si="0"/>
        <v>-16779</v>
      </c>
      <c r="X8" s="38">
        <f t="shared" si="0"/>
        <v>-7210</v>
      </c>
      <c r="Y8" s="38">
        <f t="shared" si="0"/>
        <v>-900</v>
      </c>
      <c r="Z8" s="38">
        <f t="shared" si="0"/>
        <v>-2753</v>
      </c>
      <c r="AA8" s="38">
        <f t="shared" si="0"/>
        <v>-5896</v>
      </c>
      <c r="AB8" s="38">
        <f t="shared" si="0"/>
        <v>-31731</v>
      </c>
      <c r="AC8" s="38">
        <f t="shared" si="0"/>
        <v>-8739</v>
      </c>
      <c r="AD8" s="38">
        <f t="shared" si="0"/>
        <v>-11018</v>
      </c>
      <c r="AE8" s="38">
        <f t="shared" si="0"/>
        <v>0</v>
      </c>
      <c r="AF8" s="38">
        <f t="shared" si="0"/>
        <v>0</v>
      </c>
      <c r="AG8" s="38">
        <f t="shared" si="0"/>
        <v>0</v>
      </c>
      <c r="AH8" s="38">
        <f t="shared" si="0"/>
        <v>0</v>
      </c>
      <c r="AI8" s="356">
        <f t="shared" si="0"/>
        <v>95805054</v>
      </c>
      <c r="AJ8" s="356">
        <f t="shared" si="0"/>
        <v>102432554</v>
      </c>
      <c r="AL8" s="421"/>
      <c r="AM8" s="421"/>
      <c r="AN8" s="421"/>
    </row>
    <row r="9" spans="1:40" s="155" customFormat="1" x14ac:dyDescent="0.2">
      <c r="A9" s="39"/>
      <c r="B9" s="40"/>
      <c r="C9" s="41"/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L9" s="421"/>
      <c r="AM9" s="421"/>
      <c r="AN9" s="421"/>
    </row>
    <row r="10" spans="1:40" s="156" customFormat="1" x14ac:dyDescent="0.2">
      <c r="A10" s="537" t="s">
        <v>28</v>
      </c>
      <c r="B10" s="538"/>
      <c r="C10" s="538"/>
      <c r="D10" s="44" t="s">
        <v>29</v>
      </c>
      <c r="E10" s="45">
        <f>E11</f>
        <v>51563942</v>
      </c>
      <c r="F10" s="45">
        <f t="shared" ref="F10:S11" si="1">F11</f>
        <v>51563942</v>
      </c>
      <c r="G10" s="45">
        <f t="shared" si="1"/>
        <v>0</v>
      </c>
      <c r="H10" s="45">
        <f t="shared" si="1"/>
        <v>0</v>
      </c>
      <c r="I10" s="45">
        <f t="shared" si="1"/>
        <v>0</v>
      </c>
      <c r="J10" s="45">
        <f t="shared" si="1"/>
        <v>0</v>
      </c>
      <c r="K10" s="45">
        <f t="shared" si="1"/>
        <v>0</v>
      </c>
      <c r="L10" s="45">
        <f t="shared" si="1"/>
        <v>0</v>
      </c>
      <c r="M10" s="45">
        <f t="shared" si="1"/>
        <v>0</v>
      </c>
      <c r="N10" s="45">
        <f t="shared" si="1"/>
        <v>0</v>
      </c>
      <c r="O10" s="45">
        <f t="shared" si="1"/>
        <v>0</v>
      </c>
      <c r="P10" s="45">
        <f t="shared" si="1"/>
        <v>0</v>
      </c>
      <c r="Q10" s="45">
        <f t="shared" si="1"/>
        <v>0</v>
      </c>
      <c r="R10" s="45">
        <f t="shared" si="1"/>
        <v>0</v>
      </c>
      <c r="S10" s="45">
        <f t="shared" si="1"/>
        <v>0</v>
      </c>
      <c r="T10" s="45">
        <f t="shared" ref="T10:AJ11" si="2">T11</f>
        <v>0</v>
      </c>
      <c r="U10" s="45">
        <f t="shared" si="2"/>
        <v>0</v>
      </c>
      <c r="V10" s="45">
        <f t="shared" si="2"/>
        <v>0</v>
      </c>
      <c r="W10" s="45">
        <f t="shared" si="2"/>
        <v>0</v>
      </c>
      <c r="X10" s="45">
        <f t="shared" si="2"/>
        <v>0</v>
      </c>
      <c r="Y10" s="45">
        <f t="shared" si="2"/>
        <v>0</v>
      </c>
      <c r="Z10" s="45">
        <f t="shared" si="2"/>
        <v>0</v>
      </c>
      <c r="AA10" s="45">
        <f t="shared" si="2"/>
        <v>0</v>
      </c>
      <c r="AB10" s="45">
        <f t="shared" si="2"/>
        <v>0</v>
      </c>
      <c r="AC10" s="45">
        <f t="shared" si="2"/>
        <v>0</v>
      </c>
      <c r="AD10" s="45">
        <f t="shared" si="2"/>
        <v>0</v>
      </c>
      <c r="AE10" s="45">
        <f t="shared" si="2"/>
        <v>0</v>
      </c>
      <c r="AF10" s="45">
        <f t="shared" si="2"/>
        <v>0</v>
      </c>
      <c r="AG10" s="45">
        <f t="shared" si="2"/>
        <v>0</v>
      </c>
      <c r="AH10" s="45">
        <f t="shared" si="2"/>
        <v>0</v>
      </c>
      <c r="AI10" s="45">
        <f t="shared" si="2"/>
        <v>51563942</v>
      </c>
      <c r="AJ10" s="45">
        <f t="shared" si="2"/>
        <v>51563942</v>
      </c>
      <c r="AL10" s="421"/>
      <c r="AM10" s="421"/>
      <c r="AN10" s="421"/>
    </row>
    <row r="11" spans="1:40" s="155" customFormat="1" x14ac:dyDescent="0.2">
      <c r="A11" s="46"/>
      <c r="B11" s="539" t="s">
        <v>30</v>
      </c>
      <c r="C11" s="539"/>
      <c r="D11" s="47" t="s">
        <v>31</v>
      </c>
      <c r="E11" s="244">
        <f>E12</f>
        <v>51563942</v>
      </c>
      <c r="F11" s="244">
        <f t="shared" si="1"/>
        <v>51563942</v>
      </c>
      <c r="G11" s="244">
        <f t="shared" si="1"/>
        <v>0</v>
      </c>
      <c r="H11" s="244">
        <f t="shared" si="1"/>
        <v>0</v>
      </c>
      <c r="I11" s="244">
        <f t="shared" si="1"/>
        <v>0</v>
      </c>
      <c r="J11" s="244">
        <f t="shared" si="1"/>
        <v>0</v>
      </c>
      <c r="K11" s="244">
        <f t="shared" si="1"/>
        <v>0</v>
      </c>
      <c r="L11" s="244">
        <f t="shared" si="1"/>
        <v>0</v>
      </c>
      <c r="M11" s="244">
        <f t="shared" si="1"/>
        <v>0</v>
      </c>
      <c r="N11" s="244">
        <f t="shared" si="1"/>
        <v>0</v>
      </c>
      <c r="O11" s="244">
        <f t="shared" si="1"/>
        <v>0</v>
      </c>
      <c r="P11" s="244">
        <f t="shared" si="1"/>
        <v>0</v>
      </c>
      <c r="Q11" s="244">
        <f t="shared" si="1"/>
        <v>0</v>
      </c>
      <c r="R11" s="244">
        <f t="shared" si="1"/>
        <v>0</v>
      </c>
      <c r="S11" s="244">
        <f t="shared" si="1"/>
        <v>0</v>
      </c>
      <c r="T11" s="244">
        <f t="shared" si="2"/>
        <v>0</v>
      </c>
      <c r="U11" s="244">
        <f t="shared" si="2"/>
        <v>0</v>
      </c>
      <c r="V11" s="244">
        <f t="shared" si="2"/>
        <v>0</v>
      </c>
      <c r="W11" s="244">
        <f t="shared" si="2"/>
        <v>0</v>
      </c>
      <c r="X11" s="244">
        <f t="shared" si="2"/>
        <v>0</v>
      </c>
      <c r="Y11" s="244">
        <f t="shared" si="2"/>
        <v>0</v>
      </c>
      <c r="Z11" s="244">
        <f t="shared" si="2"/>
        <v>0</v>
      </c>
      <c r="AA11" s="244">
        <f t="shared" si="2"/>
        <v>0</v>
      </c>
      <c r="AB11" s="244">
        <f t="shared" si="2"/>
        <v>0</v>
      </c>
      <c r="AC11" s="244">
        <f t="shared" si="2"/>
        <v>0</v>
      </c>
      <c r="AD11" s="244">
        <f t="shared" si="2"/>
        <v>0</v>
      </c>
      <c r="AE11" s="244">
        <f t="shared" si="2"/>
        <v>0</v>
      </c>
      <c r="AF11" s="244">
        <f t="shared" si="2"/>
        <v>0</v>
      </c>
      <c r="AG11" s="244">
        <f t="shared" si="2"/>
        <v>0</v>
      </c>
      <c r="AH11" s="244">
        <f t="shared" si="2"/>
        <v>0</v>
      </c>
      <c r="AI11" s="244">
        <f t="shared" si="2"/>
        <v>51563942</v>
      </c>
      <c r="AJ11" s="244">
        <f t="shared" si="2"/>
        <v>51563942</v>
      </c>
      <c r="AL11" s="421"/>
      <c r="AM11" s="421"/>
      <c r="AN11" s="421"/>
    </row>
    <row r="12" spans="1:40" x14ac:dyDescent="0.2">
      <c r="A12" s="48"/>
      <c r="B12" s="548" t="s">
        <v>32</v>
      </c>
      <c r="C12" s="548"/>
      <c r="D12" s="49" t="s">
        <v>33</v>
      </c>
      <c r="E12" s="245">
        <f t="shared" ref="E12:S12" si="3">SUM(E13:E14)</f>
        <v>51563942</v>
      </c>
      <c r="F12" s="245">
        <f t="shared" si="3"/>
        <v>51563942</v>
      </c>
      <c r="G12" s="245">
        <f t="shared" si="3"/>
        <v>0</v>
      </c>
      <c r="H12" s="245">
        <f t="shared" si="3"/>
        <v>0</v>
      </c>
      <c r="I12" s="245">
        <f t="shared" si="3"/>
        <v>0</v>
      </c>
      <c r="J12" s="245">
        <f t="shared" si="3"/>
        <v>0</v>
      </c>
      <c r="K12" s="245">
        <f t="shared" si="3"/>
        <v>0</v>
      </c>
      <c r="L12" s="245">
        <f t="shared" si="3"/>
        <v>0</v>
      </c>
      <c r="M12" s="245">
        <f t="shared" si="3"/>
        <v>0</v>
      </c>
      <c r="N12" s="245">
        <f t="shared" si="3"/>
        <v>0</v>
      </c>
      <c r="O12" s="245">
        <f t="shared" si="3"/>
        <v>0</v>
      </c>
      <c r="P12" s="245">
        <f t="shared" si="3"/>
        <v>0</v>
      </c>
      <c r="Q12" s="245">
        <f t="shared" si="3"/>
        <v>0</v>
      </c>
      <c r="R12" s="245">
        <f t="shared" si="3"/>
        <v>0</v>
      </c>
      <c r="S12" s="245">
        <f t="shared" si="3"/>
        <v>0</v>
      </c>
      <c r="T12" s="245">
        <f t="shared" ref="T12:AH12" si="4">SUM(T13:T14)</f>
        <v>0</v>
      </c>
      <c r="U12" s="245">
        <f t="shared" si="4"/>
        <v>0</v>
      </c>
      <c r="V12" s="245">
        <f t="shared" si="4"/>
        <v>0</v>
      </c>
      <c r="W12" s="245">
        <f t="shared" si="4"/>
        <v>0</v>
      </c>
      <c r="X12" s="245">
        <f t="shared" si="4"/>
        <v>0</v>
      </c>
      <c r="Y12" s="245">
        <f t="shared" si="4"/>
        <v>0</v>
      </c>
      <c r="Z12" s="245">
        <f t="shared" si="4"/>
        <v>0</v>
      </c>
      <c r="AA12" s="245">
        <f t="shared" si="4"/>
        <v>0</v>
      </c>
      <c r="AB12" s="245">
        <f t="shared" si="4"/>
        <v>0</v>
      </c>
      <c r="AC12" s="245">
        <f t="shared" si="4"/>
        <v>0</v>
      </c>
      <c r="AD12" s="245">
        <f t="shared" si="4"/>
        <v>0</v>
      </c>
      <c r="AE12" s="245">
        <f t="shared" si="4"/>
        <v>0</v>
      </c>
      <c r="AF12" s="245">
        <f t="shared" si="4"/>
        <v>0</v>
      </c>
      <c r="AG12" s="245">
        <f t="shared" si="4"/>
        <v>0</v>
      </c>
      <c r="AH12" s="245">
        <f t="shared" si="4"/>
        <v>0</v>
      </c>
      <c r="AI12" s="245">
        <f t="shared" ref="AI12:AJ12" si="5">SUM(AI13:AI14)</f>
        <v>51563942</v>
      </c>
      <c r="AJ12" s="245">
        <f t="shared" si="5"/>
        <v>51563942</v>
      </c>
      <c r="AL12" s="421"/>
      <c r="AM12" s="421"/>
      <c r="AN12" s="421"/>
    </row>
    <row r="13" spans="1:40" ht="24" hidden="1" x14ac:dyDescent="0.2">
      <c r="A13" s="50"/>
      <c r="B13" s="544" t="s">
        <v>34</v>
      </c>
      <c r="C13" s="544"/>
      <c r="D13" s="51" t="s">
        <v>149</v>
      </c>
      <c r="E13" s="246"/>
      <c r="F13" s="246">
        <f>E13+G13</f>
        <v>0</v>
      </c>
      <c r="G13" s="246">
        <f>SUBTOTAL(9,H13:S13)</f>
        <v>0</v>
      </c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>
        <f>T13+V13</f>
        <v>0</v>
      </c>
      <c r="V13" s="246">
        <f>SUBTOTAL(9,W13:AH13)</f>
        <v>0</v>
      </c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>
        <f>E13+T13</f>
        <v>0</v>
      </c>
      <c r="AJ13" s="246">
        <f>F13+U13</f>
        <v>0</v>
      </c>
      <c r="AL13" s="421"/>
      <c r="AM13" s="421"/>
      <c r="AN13" s="421"/>
    </row>
    <row r="14" spans="1:40" ht="24" x14ac:dyDescent="0.2">
      <c r="A14" s="52"/>
      <c r="B14" s="549" t="s">
        <v>35</v>
      </c>
      <c r="C14" s="549"/>
      <c r="D14" s="53" t="s">
        <v>279</v>
      </c>
      <c r="E14" s="247">
        <v>51563942</v>
      </c>
      <c r="F14" s="249">
        <f>E14+G14</f>
        <v>51563942</v>
      </c>
      <c r="G14" s="249">
        <f>SUBTOTAL(9,H14:S14)</f>
        <v>0</v>
      </c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>
        <f>T14+V14</f>
        <v>0</v>
      </c>
      <c r="V14" s="249">
        <f>SUBTOTAL(9,W14:AH14)</f>
        <v>0</v>
      </c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>
        <f>E14+T14</f>
        <v>51563942</v>
      </c>
      <c r="AJ14" s="249">
        <f>F14+U14</f>
        <v>51563942</v>
      </c>
      <c r="AL14" s="421"/>
      <c r="AM14" s="421"/>
      <c r="AN14" s="421"/>
    </row>
    <row r="15" spans="1:40" s="156" customFormat="1" x14ac:dyDescent="0.2">
      <c r="A15" s="537" t="s">
        <v>36</v>
      </c>
      <c r="B15" s="538"/>
      <c r="C15" s="538"/>
      <c r="D15" s="44" t="s">
        <v>37</v>
      </c>
      <c r="E15" s="54">
        <f t="shared" ref="E15:AH15" si="6">SUM(E16)</f>
        <v>8594335</v>
      </c>
      <c r="F15" s="54">
        <f t="shared" si="6"/>
        <v>8594335</v>
      </c>
      <c r="G15" s="54">
        <f t="shared" si="6"/>
        <v>0</v>
      </c>
      <c r="H15" s="54">
        <f t="shared" si="6"/>
        <v>0</v>
      </c>
      <c r="I15" s="54">
        <f t="shared" si="6"/>
        <v>0</v>
      </c>
      <c r="J15" s="54">
        <f t="shared" si="6"/>
        <v>0</v>
      </c>
      <c r="K15" s="54">
        <f t="shared" si="6"/>
        <v>0</v>
      </c>
      <c r="L15" s="54">
        <f t="shared" si="6"/>
        <v>0</v>
      </c>
      <c r="M15" s="54">
        <f t="shared" si="6"/>
        <v>0</v>
      </c>
      <c r="N15" s="54">
        <f t="shared" si="6"/>
        <v>0</v>
      </c>
      <c r="O15" s="54">
        <f t="shared" si="6"/>
        <v>0</v>
      </c>
      <c r="P15" s="54">
        <f t="shared" si="6"/>
        <v>0</v>
      </c>
      <c r="Q15" s="54">
        <f t="shared" si="6"/>
        <v>0</v>
      </c>
      <c r="R15" s="54">
        <f t="shared" si="6"/>
        <v>0</v>
      </c>
      <c r="S15" s="54">
        <f t="shared" si="6"/>
        <v>0</v>
      </c>
      <c r="T15" s="54">
        <f t="shared" si="6"/>
        <v>0</v>
      </c>
      <c r="U15" s="54">
        <f t="shared" si="6"/>
        <v>0</v>
      </c>
      <c r="V15" s="54">
        <f t="shared" si="6"/>
        <v>0</v>
      </c>
      <c r="W15" s="54">
        <f t="shared" si="6"/>
        <v>0</v>
      </c>
      <c r="X15" s="54">
        <f t="shared" si="6"/>
        <v>0</v>
      </c>
      <c r="Y15" s="54">
        <f t="shared" si="6"/>
        <v>0</v>
      </c>
      <c r="Z15" s="54">
        <f t="shared" si="6"/>
        <v>0</v>
      </c>
      <c r="AA15" s="54">
        <f t="shared" si="6"/>
        <v>0</v>
      </c>
      <c r="AB15" s="54">
        <f t="shared" si="6"/>
        <v>0</v>
      </c>
      <c r="AC15" s="54">
        <f t="shared" si="6"/>
        <v>0</v>
      </c>
      <c r="AD15" s="54">
        <f t="shared" si="6"/>
        <v>0</v>
      </c>
      <c r="AE15" s="54">
        <f t="shared" si="6"/>
        <v>0</v>
      </c>
      <c r="AF15" s="54">
        <f t="shared" si="6"/>
        <v>0</v>
      </c>
      <c r="AG15" s="54">
        <f t="shared" si="6"/>
        <v>0</v>
      </c>
      <c r="AH15" s="54">
        <f t="shared" si="6"/>
        <v>0</v>
      </c>
      <c r="AI15" s="54">
        <f>SUM(AI16)</f>
        <v>8594335</v>
      </c>
      <c r="AJ15" s="54">
        <f t="shared" ref="AJ15" si="7">SUM(AJ16)</f>
        <v>8594335</v>
      </c>
      <c r="AL15" s="421"/>
      <c r="AM15" s="421"/>
      <c r="AN15" s="421"/>
    </row>
    <row r="16" spans="1:40" s="155" customFormat="1" x14ac:dyDescent="0.2">
      <c r="A16" s="46"/>
      <c r="B16" s="539" t="s">
        <v>38</v>
      </c>
      <c r="C16" s="539"/>
      <c r="D16" s="47" t="s">
        <v>39</v>
      </c>
      <c r="E16" s="250">
        <f t="shared" ref="E16:AH16" si="8">SUM(E17,E20,E23)</f>
        <v>8594335</v>
      </c>
      <c r="F16" s="250">
        <f t="shared" si="8"/>
        <v>8594335</v>
      </c>
      <c r="G16" s="250">
        <f t="shared" si="8"/>
        <v>0</v>
      </c>
      <c r="H16" s="250">
        <f t="shared" si="8"/>
        <v>0</v>
      </c>
      <c r="I16" s="250">
        <f t="shared" si="8"/>
        <v>0</v>
      </c>
      <c r="J16" s="250">
        <f t="shared" si="8"/>
        <v>0</v>
      </c>
      <c r="K16" s="250">
        <f t="shared" si="8"/>
        <v>0</v>
      </c>
      <c r="L16" s="250">
        <f t="shared" si="8"/>
        <v>0</v>
      </c>
      <c r="M16" s="250">
        <f t="shared" si="8"/>
        <v>0</v>
      </c>
      <c r="N16" s="250">
        <f t="shared" si="8"/>
        <v>0</v>
      </c>
      <c r="O16" s="250">
        <f t="shared" si="8"/>
        <v>0</v>
      </c>
      <c r="P16" s="250">
        <f t="shared" si="8"/>
        <v>0</v>
      </c>
      <c r="Q16" s="250">
        <f t="shared" si="8"/>
        <v>0</v>
      </c>
      <c r="R16" s="250">
        <f t="shared" si="8"/>
        <v>0</v>
      </c>
      <c r="S16" s="250">
        <f t="shared" si="8"/>
        <v>0</v>
      </c>
      <c r="T16" s="250">
        <f t="shared" si="8"/>
        <v>0</v>
      </c>
      <c r="U16" s="250">
        <f t="shared" si="8"/>
        <v>0</v>
      </c>
      <c r="V16" s="250">
        <f t="shared" si="8"/>
        <v>0</v>
      </c>
      <c r="W16" s="250">
        <f t="shared" si="8"/>
        <v>0</v>
      </c>
      <c r="X16" s="250">
        <f t="shared" si="8"/>
        <v>0</v>
      </c>
      <c r="Y16" s="250">
        <f t="shared" si="8"/>
        <v>0</v>
      </c>
      <c r="Z16" s="250">
        <f t="shared" si="8"/>
        <v>0</v>
      </c>
      <c r="AA16" s="250">
        <f t="shared" si="8"/>
        <v>0</v>
      </c>
      <c r="AB16" s="250">
        <f t="shared" si="8"/>
        <v>0</v>
      </c>
      <c r="AC16" s="250">
        <f t="shared" si="8"/>
        <v>0</v>
      </c>
      <c r="AD16" s="250">
        <f t="shared" si="8"/>
        <v>0</v>
      </c>
      <c r="AE16" s="250">
        <f t="shared" si="8"/>
        <v>0</v>
      </c>
      <c r="AF16" s="250">
        <f t="shared" si="8"/>
        <v>0</v>
      </c>
      <c r="AG16" s="250">
        <f t="shared" si="8"/>
        <v>0</v>
      </c>
      <c r="AH16" s="250">
        <f t="shared" si="8"/>
        <v>0</v>
      </c>
      <c r="AI16" s="250">
        <f>SUM(AI17,AI20,AI23)</f>
        <v>8594335</v>
      </c>
      <c r="AJ16" s="250">
        <f t="shared" ref="AJ16" si="9">SUM(AJ17,AJ20,AJ23)</f>
        <v>8594335</v>
      </c>
      <c r="AL16" s="421"/>
      <c r="AM16" s="421"/>
      <c r="AN16" s="421"/>
    </row>
    <row r="17" spans="1:40" x14ac:dyDescent="0.2">
      <c r="A17" s="55"/>
      <c r="B17" s="543" t="s">
        <v>185</v>
      </c>
      <c r="C17" s="543"/>
      <c r="D17" s="56" t="s">
        <v>184</v>
      </c>
      <c r="E17" s="57">
        <f>SUM(E18:E19)</f>
        <v>3829928</v>
      </c>
      <c r="F17" s="57">
        <f t="shared" ref="F17:S17" si="10">SUM(F18:F19)</f>
        <v>3829928</v>
      </c>
      <c r="G17" s="57">
        <f t="shared" si="10"/>
        <v>0</v>
      </c>
      <c r="H17" s="57">
        <f t="shared" si="10"/>
        <v>0</v>
      </c>
      <c r="I17" s="57">
        <f t="shared" si="10"/>
        <v>0</v>
      </c>
      <c r="J17" s="57">
        <f t="shared" si="10"/>
        <v>0</v>
      </c>
      <c r="K17" s="57">
        <f t="shared" si="10"/>
        <v>0</v>
      </c>
      <c r="L17" s="57">
        <f t="shared" si="10"/>
        <v>0</v>
      </c>
      <c r="M17" s="57">
        <f t="shared" si="10"/>
        <v>0</v>
      </c>
      <c r="N17" s="57">
        <f t="shared" si="10"/>
        <v>0</v>
      </c>
      <c r="O17" s="57">
        <f t="shared" si="10"/>
        <v>0</v>
      </c>
      <c r="P17" s="57">
        <f t="shared" si="10"/>
        <v>0</v>
      </c>
      <c r="Q17" s="57">
        <f t="shared" si="10"/>
        <v>0</v>
      </c>
      <c r="R17" s="57">
        <f t="shared" si="10"/>
        <v>0</v>
      </c>
      <c r="S17" s="57">
        <f t="shared" si="10"/>
        <v>0</v>
      </c>
      <c r="T17" s="57">
        <f>SUM(T18:T19)</f>
        <v>0</v>
      </c>
      <c r="U17" s="57">
        <f t="shared" ref="U17:AH17" si="11">SUM(U18:U19)</f>
        <v>0</v>
      </c>
      <c r="V17" s="57">
        <f t="shared" si="11"/>
        <v>0</v>
      </c>
      <c r="W17" s="57">
        <f t="shared" si="11"/>
        <v>0</v>
      </c>
      <c r="X17" s="57">
        <f t="shared" si="11"/>
        <v>0</v>
      </c>
      <c r="Y17" s="57">
        <f t="shared" si="11"/>
        <v>0</v>
      </c>
      <c r="Z17" s="57">
        <f t="shared" si="11"/>
        <v>0</v>
      </c>
      <c r="AA17" s="57">
        <f t="shared" si="11"/>
        <v>0</v>
      </c>
      <c r="AB17" s="57">
        <f t="shared" si="11"/>
        <v>0</v>
      </c>
      <c r="AC17" s="57">
        <f t="shared" si="11"/>
        <v>0</v>
      </c>
      <c r="AD17" s="57">
        <f t="shared" si="11"/>
        <v>0</v>
      </c>
      <c r="AE17" s="57">
        <f t="shared" si="11"/>
        <v>0</v>
      </c>
      <c r="AF17" s="57">
        <f t="shared" si="11"/>
        <v>0</v>
      </c>
      <c r="AG17" s="57">
        <f t="shared" si="11"/>
        <v>0</v>
      </c>
      <c r="AH17" s="57">
        <f t="shared" si="11"/>
        <v>0</v>
      </c>
      <c r="AI17" s="57">
        <f>SUM(AI18:AI19)</f>
        <v>3829928</v>
      </c>
      <c r="AJ17" s="57">
        <f>SUM(AJ18:AJ19)</f>
        <v>3829928</v>
      </c>
      <c r="AL17" s="421"/>
      <c r="AM17" s="421"/>
      <c r="AN17" s="421"/>
    </row>
    <row r="18" spans="1:40" ht="24" x14ac:dyDescent="0.2">
      <c r="A18" s="50"/>
      <c r="B18" s="544" t="s">
        <v>40</v>
      </c>
      <c r="C18" s="544"/>
      <c r="D18" s="51" t="s">
        <v>41</v>
      </c>
      <c r="E18" s="246">
        <v>3416328</v>
      </c>
      <c r="F18" s="246">
        <f t="shared" ref="F18:F19" si="12">E18+G18</f>
        <v>3416328</v>
      </c>
      <c r="G18" s="246">
        <f t="shared" ref="G18:G19" si="13">SUBTOTAL(9,H18:S18)</f>
        <v>0</v>
      </c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>
        <f t="shared" ref="U18:U19" si="14">T18+V18</f>
        <v>0</v>
      </c>
      <c r="V18" s="246">
        <f t="shared" ref="V18:V19" si="15">SUBTOTAL(9,W18:AH18)</f>
        <v>0</v>
      </c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>
        <f t="shared" ref="AI18:AI19" si="16">E18+T18</f>
        <v>3416328</v>
      </c>
      <c r="AJ18" s="246">
        <f t="shared" ref="AJ18:AJ19" si="17">F18+U18</f>
        <v>3416328</v>
      </c>
      <c r="AL18" s="421"/>
      <c r="AM18" s="421"/>
      <c r="AN18" s="421"/>
    </row>
    <row r="19" spans="1:40" ht="24" x14ac:dyDescent="0.2">
      <c r="A19" s="52"/>
      <c r="B19" s="536" t="s">
        <v>42</v>
      </c>
      <c r="C19" s="536"/>
      <c r="D19" s="53" t="s">
        <v>43</v>
      </c>
      <c r="E19" s="247">
        <v>413600</v>
      </c>
      <c r="F19" s="249">
        <f t="shared" si="12"/>
        <v>413600</v>
      </c>
      <c r="G19" s="249">
        <f t="shared" si="13"/>
        <v>0</v>
      </c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>
        <f t="shared" si="14"/>
        <v>0</v>
      </c>
      <c r="V19" s="249">
        <f t="shared" si="15"/>
        <v>0</v>
      </c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>
        <f t="shared" si="16"/>
        <v>413600</v>
      </c>
      <c r="AJ19" s="249">
        <f t="shared" si="17"/>
        <v>413600</v>
      </c>
      <c r="AL19" s="421"/>
      <c r="AM19" s="421"/>
      <c r="AN19" s="421"/>
    </row>
    <row r="20" spans="1:40" x14ac:dyDescent="0.2">
      <c r="A20" s="55"/>
      <c r="B20" s="543" t="s">
        <v>44</v>
      </c>
      <c r="C20" s="543"/>
      <c r="D20" s="56" t="s">
        <v>150</v>
      </c>
      <c r="E20" s="57">
        <f>SUM(E21:E22)</f>
        <v>3173100</v>
      </c>
      <c r="F20" s="57">
        <f t="shared" ref="F20:S20" si="18">SUM(F21:F22)</f>
        <v>3173100</v>
      </c>
      <c r="G20" s="57">
        <f t="shared" si="18"/>
        <v>0</v>
      </c>
      <c r="H20" s="57">
        <f t="shared" si="18"/>
        <v>0</v>
      </c>
      <c r="I20" s="57">
        <f t="shared" si="18"/>
        <v>0</v>
      </c>
      <c r="J20" s="57">
        <f t="shared" si="18"/>
        <v>0</v>
      </c>
      <c r="K20" s="57">
        <f t="shared" si="18"/>
        <v>0</v>
      </c>
      <c r="L20" s="57">
        <f t="shared" si="18"/>
        <v>0</v>
      </c>
      <c r="M20" s="57">
        <f t="shared" si="18"/>
        <v>0</v>
      </c>
      <c r="N20" s="57">
        <f t="shared" si="18"/>
        <v>0</v>
      </c>
      <c r="O20" s="57">
        <f t="shared" si="18"/>
        <v>0</v>
      </c>
      <c r="P20" s="57">
        <f t="shared" si="18"/>
        <v>0</v>
      </c>
      <c r="Q20" s="57">
        <f t="shared" si="18"/>
        <v>0</v>
      </c>
      <c r="R20" s="57">
        <f t="shared" si="18"/>
        <v>0</v>
      </c>
      <c r="S20" s="57">
        <f t="shared" si="18"/>
        <v>0</v>
      </c>
      <c r="T20" s="57">
        <f>SUM(T21:T22)</f>
        <v>0</v>
      </c>
      <c r="U20" s="57">
        <f t="shared" ref="U20:AH20" si="19">SUM(U21:U22)</f>
        <v>0</v>
      </c>
      <c r="V20" s="57">
        <f t="shared" si="19"/>
        <v>0</v>
      </c>
      <c r="W20" s="57">
        <f t="shared" si="19"/>
        <v>0</v>
      </c>
      <c r="X20" s="57">
        <f t="shared" si="19"/>
        <v>0</v>
      </c>
      <c r="Y20" s="57">
        <f t="shared" si="19"/>
        <v>0</v>
      </c>
      <c r="Z20" s="57">
        <f t="shared" si="19"/>
        <v>0</v>
      </c>
      <c r="AA20" s="57">
        <f t="shared" si="19"/>
        <v>0</v>
      </c>
      <c r="AB20" s="57">
        <f t="shared" si="19"/>
        <v>0</v>
      </c>
      <c r="AC20" s="57">
        <f t="shared" si="19"/>
        <v>0</v>
      </c>
      <c r="AD20" s="57">
        <f t="shared" si="19"/>
        <v>0</v>
      </c>
      <c r="AE20" s="57">
        <f t="shared" si="19"/>
        <v>0</v>
      </c>
      <c r="AF20" s="57">
        <f t="shared" si="19"/>
        <v>0</v>
      </c>
      <c r="AG20" s="57">
        <f t="shared" si="19"/>
        <v>0</v>
      </c>
      <c r="AH20" s="57">
        <f t="shared" si="19"/>
        <v>0</v>
      </c>
      <c r="AI20" s="57">
        <f>SUM(AI21:AI22)</f>
        <v>3173100</v>
      </c>
      <c r="AJ20" s="57">
        <f>SUM(AJ21:AJ22)</f>
        <v>3173100</v>
      </c>
      <c r="AL20" s="421"/>
      <c r="AM20" s="421"/>
      <c r="AN20" s="421"/>
    </row>
    <row r="21" spans="1:40" ht="24" x14ac:dyDescent="0.2">
      <c r="A21" s="50"/>
      <c r="B21" s="535" t="s">
        <v>45</v>
      </c>
      <c r="C21" s="535"/>
      <c r="D21" s="51" t="s">
        <v>160</v>
      </c>
      <c r="E21" s="246">
        <v>2731300</v>
      </c>
      <c r="F21" s="246">
        <f t="shared" ref="F21:F22" si="20">E21+G21</f>
        <v>2731300</v>
      </c>
      <c r="G21" s="246">
        <f t="shared" ref="G21:G22" si="21">SUBTOTAL(9,H21:S21)</f>
        <v>0</v>
      </c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>
        <f t="shared" ref="U21:U22" si="22">T21+V21</f>
        <v>0</v>
      </c>
      <c r="V21" s="246">
        <f t="shared" ref="V21:V22" si="23">SUBTOTAL(9,W21:AH21)</f>
        <v>0</v>
      </c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>
        <f t="shared" ref="AI21:AI22" si="24">E21+T21</f>
        <v>2731300</v>
      </c>
      <c r="AJ21" s="246">
        <f t="shared" ref="AJ21:AJ22" si="25">F21+U21</f>
        <v>2731300</v>
      </c>
      <c r="AL21" s="421"/>
      <c r="AM21" s="421"/>
      <c r="AN21" s="421"/>
    </row>
    <row r="22" spans="1:40" ht="24" x14ac:dyDescent="0.2">
      <c r="A22" s="52"/>
      <c r="B22" s="536" t="s">
        <v>46</v>
      </c>
      <c r="C22" s="536"/>
      <c r="D22" s="53" t="s">
        <v>161</v>
      </c>
      <c r="E22" s="247">
        <v>441800</v>
      </c>
      <c r="F22" s="249">
        <f t="shared" si="20"/>
        <v>441800</v>
      </c>
      <c r="G22" s="249">
        <f t="shared" si="21"/>
        <v>0</v>
      </c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>
        <f t="shared" si="22"/>
        <v>0</v>
      </c>
      <c r="V22" s="249">
        <f t="shared" si="23"/>
        <v>0</v>
      </c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52">
        <f t="shared" si="24"/>
        <v>441800</v>
      </c>
      <c r="AJ22" s="252">
        <f t="shared" si="25"/>
        <v>441800</v>
      </c>
      <c r="AL22" s="421"/>
      <c r="AM22" s="421"/>
      <c r="AN22" s="421"/>
    </row>
    <row r="23" spans="1:40" x14ac:dyDescent="0.2">
      <c r="A23" s="59"/>
      <c r="B23" s="543" t="s">
        <v>340</v>
      </c>
      <c r="C23" s="543"/>
      <c r="D23" s="56" t="s">
        <v>343</v>
      </c>
      <c r="E23" s="57">
        <f>SUM(E24:E25)</f>
        <v>1591307</v>
      </c>
      <c r="F23" s="57">
        <f t="shared" ref="F23:S23" si="26">SUM(F24:F25)</f>
        <v>1591307</v>
      </c>
      <c r="G23" s="57">
        <f t="shared" si="26"/>
        <v>0</v>
      </c>
      <c r="H23" s="57">
        <f t="shared" si="26"/>
        <v>0</v>
      </c>
      <c r="I23" s="57">
        <f t="shared" si="26"/>
        <v>0</v>
      </c>
      <c r="J23" s="57">
        <f t="shared" si="26"/>
        <v>0</v>
      </c>
      <c r="K23" s="57">
        <f t="shared" si="26"/>
        <v>0</v>
      </c>
      <c r="L23" s="57">
        <f t="shared" si="26"/>
        <v>0</v>
      </c>
      <c r="M23" s="57">
        <f t="shared" si="26"/>
        <v>0</v>
      </c>
      <c r="N23" s="57">
        <f t="shared" si="26"/>
        <v>0</v>
      </c>
      <c r="O23" s="57">
        <f t="shared" si="26"/>
        <v>0</v>
      </c>
      <c r="P23" s="57">
        <f t="shared" si="26"/>
        <v>0</v>
      </c>
      <c r="Q23" s="57">
        <f t="shared" si="26"/>
        <v>0</v>
      </c>
      <c r="R23" s="57">
        <f t="shared" si="26"/>
        <v>0</v>
      </c>
      <c r="S23" s="57">
        <f t="shared" si="26"/>
        <v>0</v>
      </c>
      <c r="T23" s="57">
        <f>SUM(T24:T25)</f>
        <v>0</v>
      </c>
      <c r="U23" s="57">
        <f t="shared" ref="U23:AH23" si="27">SUM(U24:U25)</f>
        <v>0</v>
      </c>
      <c r="V23" s="57">
        <f t="shared" si="27"/>
        <v>0</v>
      </c>
      <c r="W23" s="57">
        <f t="shared" si="27"/>
        <v>0</v>
      </c>
      <c r="X23" s="57">
        <f t="shared" si="27"/>
        <v>0</v>
      </c>
      <c r="Y23" s="57">
        <f t="shared" si="27"/>
        <v>0</v>
      </c>
      <c r="Z23" s="57">
        <f t="shared" si="27"/>
        <v>0</v>
      </c>
      <c r="AA23" s="57">
        <f t="shared" si="27"/>
        <v>0</v>
      </c>
      <c r="AB23" s="57">
        <f t="shared" si="27"/>
        <v>0</v>
      </c>
      <c r="AC23" s="57">
        <f t="shared" si="27"/>
        <v>0</v>
      </c>
      <c r="AD23" s="57">
        <f t="shared" si="27"/>
        <v>0</v>
      </c>
      <c r="AE23" s="57">
        <f t="shared" si="27"/>
        <v>0</v>
      </c>
      <c r="AF23" s="57">
        <f t="shared" si="27"/>
        <v>0</v>
      </c>
      <c r="AG23" s="57">
        <f t="shared" si="27"/>
        <v>0</v>
      </c>
      <c r="AH23" s="57">
        <f t="shared" si="27"/>
        <v>0</v>
      </c>
      <c r="AI23" s="245">
        <f>SUM(AI24:AI25)</f>
        <v>1591307</v>
      </c>
      <c r="AJ23" s="245">
        <f>SUM(AJ24:AJ25)</f>
        <v>1591307</v>
      </c>
      <c r="AL23" s="421"/>
      <c r="AM23" s="421"/>
      <c r="AN23" s="421"/>
    </row>
    <row r="24" spans="1:40" ht="24" x14ac:dyDescent="0.2">
      <c r="A24" s="59"/>
      <c r="B24" s="535" t="s">
        <v>341</v>
      </c>
      <c r="C24" s="535"/>
      <c r="D24" s="51" t="s">
        <v>344</v>
      </c>
      <c r="E24" s="248">
        <v>1506707</v>
      </c>
      <c r="F24" s="248">
        <f t="shared" ref="F24:F25" si="28">E24+G24</f>
        <v>1506707</v>
      </c>
      <c r="G24" s="248">
        <f t="shared" ref="G24:G25" si="29">SUBTOTAL(9,H24:S24)</f>
        <v>0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>
        <f t="shared" ref="U24:U25" si="30">T24+V24</f>
        <v>0</v>
      </c>
      <c r="V24" s="248">
        <f t="shared" ref="V24:V25" si="31">SUBTOTAL(9,W24:AH24)</f>
        <v>0</v>
      </c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>
        <f t="shared" ref="AI24:AI25" si="32">E24+T24</f>
        <v>1506707</v>
      </c>
      <c r="AJ24" s="248">
        <f t="shared" ref="AJ24:AJ25" si="33">F24+U24</f>
        <v>1506707</v>
      </c>
      <c r="AL24" s="421"/>
      <c r="AM24" s="421"/>
      <c r="AN24" s="421"/>
    </row>
    <row r="25" spans="1:40" ht="24" x14ac:dyDescent="0.2">
      <c r="A25" s="59"/>
      <c r="B25" s="536" t="s">
        <v>342</v>
      </c>
      <c r="C25" s="536"/>
      <c r="D25" s="53" t="s">
        <v>345</v>
      </c>
      <c r="E25" s="249">
        <v>84600</v>
      </c>
      <c r="F25" s="249">
        <f t="shared" si="28"/>
        <v>84600</v>
      </c>
      <c r="G25" s="249">
        <f t="shared" si="29"/>
        <v>0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>
        <f t="shared" si="30"/>
        <v>0</v>
      </c>
      <c r="V25" s="249">
        <f t="shared" si="31"/>
        <v>0</v>
      </c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>
        <f t="shared" si="32"/>
        <v>84600</v>
      </c>
      <c r="AJ25" s="249">
        <f t="shared" si="33"/>
        <v>84600</v>
      </c>
      <c r="AL25" s="421"/>
      <c r="AM25" s="421"/>
      <c r="AN25" s="421"/>
    </row>
    <row r="26" spans="1:40" s="156" customFormat="1" x14ac:dyDescent="0.2">
      <c r="A26" s="537" t="s">
        <v>47</v>
      </c>
      <c r="B26" s="538"/>
      <c r="C26" s="538"/>
      <c r="D26" s="44" t="s">
        <v>48</v>
      </c>
      <c r="E26" s="54">
        <f t="shared" ref="E26:S26" si="34">SUM(E27,E29)</f>
        <v>292000</v>
      </c>
      <c r="F26" s="54">
        <f t="shared" si="34"/>
        <v>292000</v>
      </c>
      <c r="G26" s="54">
        <f t="shared" si="34"/>
        <v>0</v>
      </c>
      <c r="H26" s="54">
        <f t="shared" si="34"/>
        <v>0</v>
      </c>
      <c r="I26" s="54">
        <f t="shared" si="34"/>
        <v>0</v>
      </c>
      <c r="J26" s="54">
        <f t="shared" si="34"/>
        <v>0</v>
      </c>
      <c r="K26" s="54">
        <f t="shared" si="34"/>
        <v>0</v>
      </c>
      <c r="L26" s="54">
        <f t="shared" si="34"/>
        <v>0</v>
      </c>
      <c r="M26" s="54">
        <f t="shared" si="34"/>
        <v>0</v>
      </c>
      <c r="N26" s="54">
        <f t="shared" si="34"/>
        <v>0</v>
      </c>
      <c r="O26" s="54">
        <f t="shared" si="34"/>
        <v>0</v>
      </c>
      <c r="P26" s="54">
        <f t="shared" si="34"/>
        <v>0</v>
      </c>
      <c r="Q26" s="54">
        <f t="shared" si="34"/>
        <v>0</v>
      </c>
      <c r="R26" s="54">
        <f t="shared" si="34"/>
        <v>0</v>
      </c>
      <c r="S26" s="54">
        <f t="shared" si="34"/>
        <v>0</v>
      </c>
      <c r="T26" s="54">
        <f t="shared" ref="T26:AH26" si="35">SUM(T27,T29)</f>
        <v>0</v>
      </c>
      <c r="U26" s="54">
        <f t="shared" si="35"/>
        <v>0</v>
      </c>
      <c r="V26" s="54">
        <f t="shared" si="35"/>
        <v>0</v>
      </c>
      <c r="W26" s="54">
        <f t="shared" si="35"/>
        <v>0</v>
      </c>
      <c r="X26" s="54">
        <f t="shared" si="35"/>
        <v>0</v>
      </c>
      <c r="Y26" s="54">
        <f t="shared" si="35"/>
        <v>0</v>
      </c>
      <c r="Z26" s="54">
        <f t="shared" si="35"/>
        <v>0</v>
      </c>
      <c r="AA26" s="54">
        <f t="shared" si="35"/>
        <v>0</v>
      </c>
      <c r="AB26" s="54">
        <f t="shared" si="35"/>
        <v>0</v>
      </c>
      <c r="AC26" s="54">
        <f t="shared" si="35"/>
        <v>0</v>
      </c>
      <c r="AD26" s="54">
        <f t="shared" si="35"/>
        <v>0</v>
      </c>
      <c r="AE26" s="54">
        <f t="shared" si="35"/>
        <v>0</v>
      </c>
      <c r="AF26" s="54">
        <f t="shared" si="35"/>
        <v>0</v>
      </c>
      <c r="AG26" s="54">
        <f t="shared" si="35"/>
        <v>0</v>
      </c>
      <c r="AH26" s="54">
        <f t="shared" si="35"/>
        <v>0</v>
      </c>
      <c r="AI26" s="54">
        <f t="shared" ref="AI26:AJ26" si="36">SUM(AI27,AI29)</f>
        <v>292000</v>
      </c>
      <c r="AJ26" s="54">
        <f t="shared" si="36"/>
        <v>292000</v>
      </c>
      <c r="AL26" s="421"/>
      <c r="AM26" s="421"/>
      <c r="AN26" s="421"/>
    </row>
    <row r="27" spans="1:40" s="155" customFormat="1" ht="24" x14ac:dyDescent="0.2">
      <c r="A27" s="46"/>
      <c r="B27" s="539" t="s">
        <v>49</v>
      </c>
      <c r="C27" s="539"/>
      <c r="D27" s="58" t="s">
        <v>50</v>
      </c>
      <c r="E27" s="250">
        <f t="shared" ref="E27:AJ27" si="37">E28</f>
        <v>187000</v>
      </c>
      <c r="F27" s="250">
        <f t="shared" si="37"/>
        <v>187000</v>
      </c>
      <c r="G27" s="250">
        <f t="shared" si="37"/>
        <v>0</v>
      </c>
      <c r="H27" s="250">
        <f t="shared" si="37"/>
        <v>0</v>
      </c>
      <c r="I27" s="250">
        <f t="shared" si="37"/>
        <v>0</v>
      </c>
      <c r="J27" s="250">
        <f t="shared" si="37"/>
        <v>0</v>
      </c>
      <c r="K27" s="250">
        <f t="shared" si="37"/>
        <v>0</v>
      </c>
      <c r="L27" s="250">
        <f t="shared" si="37"/>
        <v>0</v>
      </c>
      <c r="M27" s="250">
        <f t="shared" si="37"/>
        <v>0</v>
      </c>
      <c r="N27" s="250">
        <f t="shared" si="37"/>
        <v>0</v>
      </c>
      <c r="O27" s="250">
        <f t="shared" si="37"/>
        <v>0</v>
      </c>
      <c r="P27" s="250">
        <f t="shared" si="37"/>
        <v>0</v>
      </c>
      <c r="Q27" s="250">
        <f t="shared" si="37"/>
        <v>0</v>
      </c>
      <c r="R27" s="250">
        <f t="shared" si="37"/>
        <v>0</v>
      </c>
      <c r="S27" s="250">
        <f t="shared" si="37"/>
        <v>0</v>
      </c>
      <c r="T27" s="250">
        <f t="shared" si="37"/>
        <v>0</v>
      </c>
      <c r="U27" s="250">
        <f t="shared" si="37"/>
        <v>0</v>
      </c>
      <c r="V27" s="250">
        <f t="shared" si="37"/>
        <v>0</v>
      </c>
      <c r="W27" s="250">
        <f t="shared" si="37"/>
        <v>0</v>
      </c>
      <c r="X27" s="250">
        <f t="shared" si="37"/>
        <v>0</v>
      </c>
      <c r="Y27" s="250">
        <f t="shared" si="37"/>
        <v>0</v>
      </c>
      <c r="Z27" s="250">
        <f t="shared" si="37"/>
        <v>0</v>
      </c>
      <c r="AA27" s="250">
        <f t="shared" si="37"/>
        <v>0</v>
      </c>
      <c r="AB27" s="250">
        <f t="shared" si="37"/>
        <v>0</v>
      </c>
      <c r="AC27" s="250">
        <f t="shared" si="37"/>
        <v>0</v>
      </c>
      <c r="AD27" s="250">
        <f t="shared" si="37"/>
        <v>0</v>
      </c>
      <c r="AE27" s="250">
        <f t="shared" si="37"/>
        <v>0</v>
      </c>
      <c r="AF27" s="250">
        <f t="shared" si="37"/>
        <v>0</v>
      </c>
      <c r="AG27" s="250">
        <f t="shared" si="37"/>
        <v>0</v>
      </c>
      <c r="AH27" s="250">
        <f t="shared" si="37"/>
        <v>0</v>
      </c>
      <c r="AI27" s="250">
        <f t="shared" si="37"/>
        <v>187000</v>
      </c>
      <c r="AJ27" s="250">
        <f t="shared" si="37"/>
        <v>187000</v>
      </c>
      <c r="AL27" s="421"/>
      <c r="AM27" s="421"/>
      <c r="AN27" s="421"/>
    </row>
    <row r="28" spans="1:40" x14ac:dyDescent="0.2">
      <c r="A28" s="59"/>
      <c r="B28" s="540" t="s">
        <v>51</v>
      </c>
      <c r="C28" s="540"/>
      <c r="D28" s="60" t="s">
        <v>52</v>
      </c>
      <c r="E28" s="249">
        <v>187000</v>
      </c>
      <c r="F28" s="249">
        <f>E28+G28</f>
        <v>187000</v>
      </c>
      <c r="G28" s="249">
        <f>SUBTOTAL(9,H28:S28)</f>
        <v>0</v>
      </c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>
        <f>T28+V28</f>
        <v>0</v>
      </c>
      <c r="V28" s="249">
        <f>SUBTOTAL(9,W28:AH28)</f>
        <v>0</v>
      </c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249"/>
      <c r="AI28" s="249">
        <f>E28+T28</f>
        <v>187000</v>
      </c>
      <c r="AJ28" s="249">
        <f>F28+U28</f>
        <v>187000</v>
      </c>
      <c r="AL28" s="421"/>
      <c r="AM28" s="421"/>
      <c r="AN28" s="421"/>
    </row>
    <row r="29" spans="1:40" s="155" customFormat="1" ht="24" x14ac:dyDescent="0.2">
      <c r="A29" s="46"/>
      <c r="B29" s="541" t="s">
        <v>53</v>
      </c>
      <c r="C29" s="542"/>
      <c r="D29" s="61" t="s">
        <v>54</v>
      </c>
      <c r="E29" s="250">
        <f t="shared" ref="E29:AJ30" si="38">SUM(E30)</f>
        <v>105000</v>
      </c>
      <c r="F29" s="250">
        <f t="shared" si="38"/>
        <v>105000</v>
      </c>
      <c r="G29" s="250">
        <f t="shared" si="38"/>
        <v>0</v>
      </c>
      <c r="H29" s="250">
        <f t="shared" si="38"/>
        <v>0</v>
      </c>
      <c r="I29" s="250">
        <f t="shared" si="38"/>
        <v>0</v>
      </c>
      <c r="J29" s="250">
        <f t="shared" si="38"/>
        <v>0</v>
      </c>
      <c r="K29" s="250">
        <f t="shared" si="38"/>
        <v>0</v>
      </c>
      <c r="L29" s="250">
        <f t="shared" si="38"/>
        <v>0</v>
      </c>
      <c r="M29" s="250">
        <f t="shared" si="38"/>
        <v>0</v>
      </c>
      <c r="N29" s="250">
        <f t="shared" si="38"/>
        <v>0</v>
      </c>
      <c r="O29" s="250">
        <f t="shared" si="38"/>
        <v>0</v>
      </c>
      <c r="P29" s="250">
        <f t="shared" si="38"/>
        <v>0</v>
      </c>
      <c r="Q29" s="250">
        <f t="shared" si="38"/>
        <v>0</v>
      </c>
      <c r="R29" s="250">
        <f t="shared" si="38"/>
        <v>0</v>
      </c>
      <c r="S29" s="250">
        <f t="shared" si="38"/>
        <v>0</v>
      </c>
      <c r="T29" s="250">
        <f t="shared" si="38"/>
        <v>0</v>
      </c>
      <c r="U29" s="250">
        <f t="shared" si="38"/>
        <v>0</v>
      </c>
      <c r="V29" s="250">
        <f t="shared" si="38"/>
        <v>0</v>
      </c>
      <c r="W29" s="250">
        <f t="shared" si="38"/>
        <v>0</v>
      </c>
      <c r="X29" s="250">
        <f t="shared" si="38"/>
        <v>0</v>
      </c>
      <c r="Y29" s="250">
        <f t="shared" si="38"/>
        <v>0</v>
      </c>
      <c r="Z29" s="250">
        <f t="shared" si="38"/>
        <v>0</v>
      </c>
      <c r="AA29" s="250">
        <f t="shared" si="38"/>
        <v>0</v>
      </c>
      <c r="AB29" s="250">
        <f t="shared" si="38"/>
        <v>0</v>
      </c>
      <c r="AC29" s="250">
        <f t="shared" si="38"/>
        <v>0</v>
      </c>
      <c r="AD29" s="250">
        <f t="shared" si="38"/>
        <v>0</v>
      </c>
      <c r="AE29" s="250">
        <f t="shared" si="38"/>
        <v>0</v>
      </c>
      <c r="AF29" s="250">
        <f t="shared" si="38"/>
        <v>0</v>
      </c>
      <c r="AG29" s="250">
        <f t="shared" si="38"/>
        <v>0</v>
      </c>
      <c r="AH29" s="250">
        <f t="shared" si="38"/>
        <v>0</v>
      </c>
      <c r="AI29" s="250">
        <f t="shared" si="38"/>
        <v>105000</v>
      </c>
      <c r="AJ29" s="250">
        <f t="shared" si="38"/>
        <v>105000</v>
      </c>
      <c r="AL29" s="421"/>
      <c r="AM29" s="421"/>
      <c r="AN29" s="421"/>
    </row>
    <row r="30" spans="1:40" x14ac:dyDescent="0.2">
      <c r="A30" s="59"/>
      <c r="B30" s="552" t="s">
        <v>55</v>
      </c>
      <c r="C30" s="553"/>
      <c r="D30" s="63" t="s">
        <v>56</v>
      </c>
      <c r="E30" s="57">
        <f t="shared" si="38"/>
        <v>105000</v>
      </c>
      <c r="F30" s="57">
        <f t="shared" si="38"/>
        <v>105000</v>
      </c>
      <c r="G30" s="57">
        <f t="shared" si="38"/>
        <v>0</v>
      </c>
      <c r="H30" s="57">
        <f t="shared" si="38"/>
        <v>0</v>
      </c>
      <c r="I30" s="57">
        <f t="shared" si="38"/>
        <v>0</v>
      </c>
      <c r="J30" s="57">
        <f t="shared" si="38"/>
        <v>0</v>
      </c>
      <c r="K30" s="57">
        <f t="shared" si="38"/>
        <v>0</v>
      </c>
      <c r="L30" s="57">
        <f t="shared" si="38"/>
        <v>0</v>
      </c>
      <c r="M30" s="57">
        <f t="shared" si="38"/>
        <v>0</v>
      </c>
      <c r="N30" s="57">
        <f t="shared" si="38"/>
        <v>0</v>
      </c>
      <c r="O30" s="57">
        <f t="shared" si="38"/>
        <v>0</v>
      </c>
      <c r="P30" s="57">
        <f t="shared" si="38"/>
        <v>0</v>
      </c>
      <c r="Q30" s="57">
        <f t="shared" si="38"/>
        <v>0</v>
      </c>
      <c r="R30" s="57">
        <f t="shared" si="38"/>
        <v>0</v>
      </c>
      <c r="S30" s="57">
        <f t="shared" si="38"/>
        <v>0</v>
      </c>
      <c r="T30" s="57">
        <f t="shared" si="38"/>
        <v>0</v>
      </c>
      <c r="U30" s="57">
        <f t="shared" si="38"/>
        <v>0</v>
      </c>
      <c r="V30" s="57">
        <f t="shared" si="38"/>
        <v>0</v>
      </c>
      <c r="W30" s="57">
        <f t="shared" si="38"/>
        <v>0</v>
      </c>
      <c r="X30" s="57">
        <f t="shared" si="38"/>
        <v>0</v>
      </c>
      <c r="Y30" s="57">
        <f t="shared" si="38"/>
        <v>0</v>
      </c>
      <c r="Z30" s="57">
        <f t="shared" si="38"/>
        <v>0</v>
      </c>
      <c r="AA30" s="57">
        <f t="shared" si="38"/>
        <v>0</v>
      </c>
      <c r="AB30" s="57">
        <f t="shared" si="38"/>
        <v>0</v>
      </c>
      <c r="AC30" s="57">
        <f t="shared" si="38"/>
        <v>0</v>
      </c>
      <c r="AD30" s="57">
        <f t="shared" si="38"/>
        <v>0</v>
      </c>
      <c r="AE30" s="57">
        <f t="shared" si="38"/>
        <v>0</v>
      </c>
      <c r="AF30" s="57">
        <f t="shared" si="38"/>
        <v>0</v>
      </c>
      <c r="AG30" s="57">
        <f t="shared" si="38"/>
        <v>0</v>
      </c>
      <c r="AH30" s="57">
        <f t="shared" si="38"/>
        <v>0</v>
      </c>
      <c r="AI30" s="57">
        <f t="shared" si="38"/>
        <v>105000</v>
      </c>
      <c r="AJ30" s="57">
        <f t="shared" si="38"/>
        <v>105000</v>
      </c>
      <c r="AL30" s="421"/>
      <c r="AM30" s="421"/>
      <c r="AN30" s="421"/>
    </row>
    <row r="31" spans="1:40" ht="24" x14ac:dyDescent="0.2">
      <c r="A31" s="59"/>
      <c r="B31" s="165"/>
      <c r="C31" s="239" t="s">
        <v>290</v>
      </c>
      <c r="D31" s="129" t="s">
        <v>291</v>
      </c>
      <c r="E31" s="249">
        <v>105000</v>
      </c>
      <c r="F31" s="249">
        <f>E31+G31</f>
        <v>105000</v>
      </c>
      <c r="G31" s="249">
        <f>SUBTOTAL(9,H31:S31)</f>
        <v>0</v>
      </c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>
        <f>T31+V31</f>
        <v>0</v>
      </c>
      <c r="V31" s="249">
        <f>SUBTOTAL(9,W31:AH31)</f>
        <v>0</v>
      </c>
      <c r="W31" s="249"/>
      <c r="X31" s="249"/>
      <c r="Y31" s="249"/>
      <c r="Z31" s="249"/>
      <c r="AA31" s="249"/>
      <c r="AB31" s="249"/>
      <c r="AC31" s="249"/>
      <c r="AD31" s="249"/>
      <c r="AE31" s="249"/>
      <c r="AF31" s="249"/>
      <c r="AG31" s="249"/>
      <c r="AH31" s="249"/>
      <c r="AI31" s="249">
        <f>E31+T31</f>
        <v>105000</v>
      </c>
      <c r="AJ31" s="249">
        <f>F31+U31</f>
        <v>105000</v>
      </c>
      <c r="AL31" s="421"/>
      <c r="AM31" s="421"/>
      <c r="AN31" s="421"/>
    </row>
    <row r="32" spans="1:40" s="156" customFormat="1" ht="24" x14ac:dyDescent="0.2">
      <c r="A32" s="537" t="s">
        <v>57</v>
      </c>
      <c r="B32" s="538"/>
      <c r="C32" s="538"/>
      <c r="D32" s="64" t="s">
        <v>129</v>
      </c>
      <c r="E32" s="54">
        <f t="shared" ref="E32:AI32" si="39">SUM(,E33,E35)</f>
        <v>6000</v>
      </c>
      <c r="F32" s="54">
        <f t="shared" si="39"/>
        <v>6000</v>
      </c>
      <c r="G32" s="54">
        <f t="shared" si="39"/>
        <v>0</v>
      </c>
      <c r="H32" s="54">
        <f t="shared" si="39"/>
        <v>0</v>
      </c>
      <c r="I32" s="54">
        <f t="shared" si="39"/>
        <v>0</v>
      </c>
      <c r="J32" s="54">
        <f t="shared" si="39"/>
        <v>0</v>
      </c>
      <c r="K32" s="54">
        <f t="shared" si="39"/>
        <v>0</v>
      </c>
      <c r="L32" s="54">
        <f t="shared" si="39"/>
        <v>0</v>
      </c>
      <c r="M32" s="54">
        <f t="shared" si="39"/>
        <v>0</v>
      </c>
      <c r="N32" s="54">
        <f t="shared" si="39"/>
        <v>0</v>
      </c>
      <c r="O32" s="54">
        <f t="shared" si="39"/>
        <v>0</v>
      </c>
      <c r="P32" s="54">
        <f t="shared" si="39"/>
        <v>0</v>
      </c>
      <c r="Q32" s="54">
        <f t="shared" si="39"/>
        <v>0</v>
      </c>
      <c r="R32" s="54">
        <f t="shared" si="39"/>
        <v>0</v>
      </c>
      <c r="S32" s="54">
        <f t="shared" si="39"/>
        <v>0</v>
      </c>
      <c r="T32" s="54">
        <f t="shared" si="39"/>
        <v>0</v>
      </c>
      <c r="U32" s="54">
        <f t="shared" si="39"/>
        <v>0</v>
      </c>
      <c r="V32" s="54">
        <f t="shared" si="39"/>
        <v>0</v>
      </c>
      <c r="W32" s="54">
        <f t="shared" si="39"/>
        <v>0</v>
      </c>
      <c r="X32" s="54">
        <f t="shared" si="39"/>
        <v>0</v>
      </c>
      <c r="Y32" s="54">
        <f t="shared" si="39"/>
        <v>0</v>
      </c>
      <c r="Z32" s="54">
        <f t="shared" si="39"/>
        <v>0</v>
      </c>
      <c r="AA32" s="54">
        <f t="shared" si="39"/>
        <v>0</v>
      </c>
      <c r="AB32" s="54">
        <f t="shared" si="39"/>
        <v>0</v>
      </c>
      <c r="AC32" s="54">
        <f t="shared" si="39"/>
        <v>0</v>
      </c>
      <c r="AD32" s="54">
        <f t="shared" si="39"/>
        <v>0</v>
      </c>
      <c r="AE32" s="54">
        <f t="shared" si="39"/>
        <v>0</v>
      </c>
      <c r="AF32" s="54">
        <f t="shared" si="39"/>
        <v>0</v>
      </c>
      <c r="AG32" s="54">
        <f t="shared" si="39"/>
        <v>0</v>
      </c>
      <c r="AH32" s="54">
        <f t="shared" si="39"/>
        <v>0</v>
      </c>
      <c r="AI32" s="54">
        <f t="shared" si="39"/>
        <v>6000</v>
      </c>
      <c r="AJ32" s="54">
        <f t="shared" ref="AJ32" si="40">SUM(,AJ33,AJ35)</f>
        <v>6000</v>
      </c>
      <c r="AL32" s="421"/>
      <c r="AM32" s="421"/>
      <c r="AN32" s="421"/>
    </row>
    <row r="33" spans="1:43" s="156" customFormat="1" ht="24" hidden="1" x14ac:dyDescent="0.2">
      <c r="A33" s="125"/>
      <c r="B33" s="539" t="s">
        <v>259</v>
      </c>
      <c r="C33" s="554"/>
      <c r="D33" s="47" t="s">
        <v>261</v>
      </c>
      <c r="E33" s="250">
        <f t="shared" ref="E33:AJ33" si="41">E34</f>
        <v>0</v>
      </c>
      <c r="F33" s="250">
        <f t="shared" si="41"/>
        <v>0</v>
      </c>
      <c r="G33" s="250">
        <f t="shared" si="41"/>
        <v>0</v>
      </c>
      <c r="H33" s="250">
        <f t="shared" si="41"/>
        <v>0</v>
      </c>
      <c r="I33" s="250">
        <f t="shared" si="41"/>
        <v>0</v>
      </c>
      <c r="J33" s="250">
        <f t="shared" si="41"/>
        <v>0</v>
      </c>
      <c r="K33" s="250">
        <f t="shared" si="41"/>
        <v>0</v>
      </c>
      <c r="L33" s="250">
        <f t="shared" si="41"/>
        <v>0</v>
      </c>
      <c r="M33" s="250">
        <f t="shared" si="41"/>
        <v>0</v>
      </c>
      <c r="N33" s="250">
        <f t="shared" si="41"/>
        <v>0</v>
      </c>
      <c r="O33" s="250">
        <f t="shared" si="41"/>
        <v>0</v>
      </c>
      <c r="P33" s="250">
        <f t="shared" si="41"/>
        <v>0</v>
      </c>
      <c r="Q33" s="250">
        <f t="shared" si="41"/>
        <v>0</v>
      </c>
      <c r="R33" s="250">
        <f t="shared" si="41"/>
        <v>0</v>
      </c>
      <c r="S33" s="250">
        <f t="shared" si="41"/>
        <v>0</v>
      </c>
      <c r="T33" s="250">
        <f t="shared" si="41"/>
        <v>0</v>
      </c>
      <c r="U33" s="250">
        <f t="shared" si="41"/>
        <v>0</v>
      </c>
      <c r="V33" s="250">
        <f t="shared" si="41"/>
        <v>0</v>
      </c>
      <c r="W33" s="250">
        <f t="shared" si="41"/>
        <v>0</v>
      </c>
      <c r="X33" s="250">
        <f t="shared" si="41"/>
        <v>0</v>
      </c>
      <c r="Y33" s="250">
        <f t="shared" si="41"/>
        <v>0</v>
      </c>
      <c r="Z33" s="250">
        <f t="shared" si="41"/>
        <v>0</v>
      </c>
      <c r="AA33" s="250">
        <f t="shared" si="41"/>
        <v>0</v>
      </c>
      <c r="AB33" s="250">
        <f t="shared" si="41"/>
        <v>0</v>
      </c>
      <c r="AC33" s="250">
        <f t="shared" si="41"/>
        <v>0</v>
      </c>
      <c r="AD33" s="250">
        <f t="shared" si="41"/>
        <v>0</v>
      </c>
      <c r="AE33" s="250">
        <f t="shared" si="41"/>
        <v>0</v>
      </c>
      <c r="AF33" s="250">
        <f t="shared" si="41"/>
        <v>0</v>
      </c>
      <c r="AG33" s="250">
        <f t="shared" si="41"/>
        <v>0</v>
      </c>
      <c r="AH33" s="250">
        <f t="shared" si="41"/>
        <v>0</v>
      </c>
      <c r="AI33" s="250">
        <f t="shared" si="41"/>
        <v>0</v>
      </c>
      <c r="AJ33" s="250">
        <f t="shared" si="41"/>
        <v>0</v>
      </c>
      <c r="AL33" s="421"/>
      <c r="AM33" s="421"/>
      <c r="AN33" s="421"/>
    </row>
    <row r="34" spans="1:43" s="156" customFormat="1" ht="24" hidden="1" x14ac:dyDescent="0.2">
      <c r="A34" s="125"/>
      <c r="B34" s="543" t="s">
        <v>260</v>
      </c>
      <c r="C34" s="555"/>
      <c r="D34" s="56" t="s">
        <v>610</v>
      </c>
      <c r="E34" s="57"/>
      <c r="F34" s="57">
        <f>E34+G34</f>
        <v>0</v>
      </c>
      <c r="G34" s="57">
        <f>SUBTOTAL(9,H34:S34)</f>
        <v>0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>
        <f>T34+V34</f>
        <v>0</v>
      </c>
      <c r="V34" s="57">
        <f>SUBTOTAL(9,W34:AH34)</f>
        <v>0</v>
      </c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>
        <f>E34+T34</f>
        <v>0</v>
      </c>
      <c r="AJ34" s="57">
        <f>F34+U34</f>
        <v>0</v>
      </c>
      <c r="AL34" s="421"/>
      <c r="AM34" s="421"/>
      <c r="AN34" s="421"/>
    </row>
    <row r="35" spans="1:43" s="155" customFormat="1" ht="36" x14ac:dyDescent="0.2">
      <c r="A35" s="46"/>
      <c r="B35" s="539" t="s">
        <v>58</v>
      </c>
      <c r="C35" s="539"/>
      <c r="D35" s="47" t="s">
        <v>335</v>
      </c>
      <c r="E35" s="250">
        <f t="shared" ref="E35:AJ35" si="42">SUM(E36)</f>
        <v>6000</v>
      </c>
      <c r="F35" s="250">
        <f t="shared" si="42"/>
        <v>6000</v>
      </c>
      <c r="G35" s="250">
        <f t="shared" si="42"/>
        <v>0</v>
      </c>
      <c r="H35" s="250">
        <f t="shared" si="42"/>
        <v>0</v>
      </c>
      <c r="I35" s="250">
        <f t="shared" si="42"/>
        <v>0</v>
      </c>
      <c r="J35" s="250">
        <f t="shared" si="42"/>
        <v>0</v>
      </c>
      <c r="K35" s="250">
        <f t="shared" si="42"/>
        <v>0</v>
      </c>
      <c r="L35" s="250">
        <f t="shared" si="42"/>
        <v>0</v>
      </c>
      <c r="M35" s="250">
        <f t="shared" si="42"/>
        <v>0</v>
      </c>
      <c r="N35" s="250">
        <f t="shared" si="42"/>
        <v>0</v>
      </c>
      <c r="O35" s="250">
        <f t="shared" si="42"/>
        <v>0</v>
      </c>
      <c r="P35" s="250">
        <f t="shared" si="42"/>
        <v>0</v>
      </c>
      <c r="Q35" s="250">
        <f t="shared" si="42"/>
        <v>0</v>
      </c>
      <c r="R35" s="250">
        <f t="shared" si="42"/>
        <v>0</v>
      </c>
      <c r="S35" s="250">
        <f t="shared" si="42"/>
        <v>0</v>
      </c>
      <c r="T35" s="250">
        <f t="shared" si="42"/>
        <v>0</v>
      </c>
      <c r="U35" s="250">
        <f t="shared" si="42"/>
        <v>0</v>
      </c>
      <c r="V35" s="250">
        <f t="shared" si="42"/>
        <v>0</v>
      </c>
      <c r="W35" s="250">
        <f t="shared" si="42"/>
        <v>0</v>
      </c>
      <c r="X35" s="250">
        <f t="shared" si="42"/>
        <v>0</v>
      </c>
      <c r="Y35" s="250">
        <f t="shared" si="42"/>
        <v>0</v>
      </c>
      <c r="Z35" s="250">
        <f t="shared" si="42"/>
        <v>0</v>
      </c>
      <c r="AA35" s="250">
        <f t="shared" si="42"/>
        <v>0</v>
      </c>
      <c r="AB35" s="250">
        <f t="shared" si="42"/>
        <v>0</v>
      </c>
      <c r="AC35" s="250">
        <f t="shared" si="42"/>
        <v>0</v>
      </c>
      <c r="AD35" s="250">
        <f t="shared" si="42"/>
        <v>0</v>
      </c>
      <c r="AE35" s="250">
        <f t="shared" si="42"/>
        <v>0</v>
      </c>
      <c r="AF35" s="250">
        <f t="shared" si="42"/>
        <v>0</v>
      </c>
      <c r="AG35" s="250">
        <f t="shared" si="42"/>
        <v>0</v>
      </c>
      <c r="AH35" s="250">
        <f t="shared" si="42"/>
        <v>0</v>
      </c>
      <c r="AI35" s="250">
        <f t="shared" si="42"/>
        <v>6000</v>
      </c>
      <c r="AJ35" s="250">
        <f t="shared" si="42"/>
        <v>6000</v>
      </c>
      <c r="AL35" s="421"/>
      <c r="AM35" s="421"/>
      <c r="AN35" s="421"/>
      <c r="AO35" s="156"/>
      <c r="AP35" s="156"/>
      <c r="AQ35" s="156"/>
    </row>
    <row r="36" spans="1:43" ht="29.25" customHeight="1" x14ac:dyDescent="0.2">
      <c r="A36" s="55"/>
      <c r="B36" s="543" t="s">
        <v>559</v>
      </c>
      <c r="C36" s="543"/>
      <c r="D36" s="56" t="s">
        <v>611</v>
      </c>
      <c r="E36" s="57">
        <v>6000</v>
      </c>
      <c r="F36" s="57">
        <v>6000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>
        <v>0</v>
      </c>
      <c r="Z36" s="57">
        <v>0</v>
      </c>
      <c r="AA36" s="57">
        <v>0</v>
      </c>
      <c r="AB36" s="57">
        <v>0</v>
      </c>
      <c r="AC36" s="57">
        <v>0</v>
      </c>
      <c r="AD36" s="57">
        <v>0</v>
      </c>
      <c r="AE36" s="57">
        <v>0</v>
      </c>
      <c r="AF36" s="57">
        <v>0</v>
      </c>
      <c r="AG36" s="57">
        <v>0</v>
      </c>
      <c r="AH36" s="57">
        <v>0</v>
      </c>
      <c r="AI36" s="57">
        <f>E36+T36</f>
        <v>6000</v>
      </c>
      <c r="AJ36" s="57">
        <f>F36+U36</f>
        <v>6000</v>
      </c>
      <c r="AL36" s="421"/>
      <c r="AM36" s="421"/>
      <c r="AN36" s="421"/>
      <c r="AO36" s="156"/>
      <c r="AP36" s="156"/>
      <c r="AQ36" s="156"/>
    </row>
    <row r="37" spans="1:43" s="156" customFormat="1" ht="24" x14ac:dyDescent="0.2">
      <c r="A37" s="537" t="s">
        <v>59</v>
      </c>
      <c r="B37" s="538"/>
      <c r="C37" s="538"/>
      <c r="D37" s="64" t="s">
        <v>60</v>
      </c>
      <c r="E37" s="54">
        <f t="shared" ref="E37:S37" si="43">SUM(E38,E41)</f>
        <v>3013191</v>
      </c>
      <c r="F37" s="54">
        <f t="shared" si="43"/>
        <v>3013191</v>
      </c>
      <c r="G37" s="54">
        <f t="shared" si="43"/>
        <v>0</v>
      </c>
      <c r="H37" s="54">
        <f t="shared" si="43"/>
        <v>0</v>
      </c>
      <c r="I37" s="54">
        <f t="shared" si="43"/>
        <v>0</v>
      </c>
      <c r="J37" s="54">
        <f t="shared" si="43"/>
        <v>0</v>
      </c>
      <c r="K37" s="54">
        <f t="shared" si="43"/>
        <v>0</v>
      </c>
      <c r="L37" s="54">
        <f t="shared" si="43"/>
        <v>0</v>
      </c>
      <c r="M37" s="54">
        <f t="shared" si="43"/>
        <v>0</v>
      </c>
      <c r="N37" s="54">
        <f t="shared" si="43"/>
        <v>0</v>
      </c>
      <c r="O37" s="54">
        <f t="shared" si="43"/>
        <v>0</v>
      </c>
      <c r="P37" s="54">
        <f t="shared" si="43"/>
        <v>0</v>
      </c>
      <c r="Q37" s="54">
        <f t="shared" si="43"/>
        <v>0</v>
      </c>
      <c r="R37" s="54">
        <f t="shared" si="43"/>
        <v>0</v>
      </c>
      <c r="S37" s="54">
        <f t="shared" si="43"/>
        <v>0</v>
      </c>
      <c r="T37" s="54">
        <f t="shared" ref="T37:AH37" si="44">SUM(T38,T41)</f>
        <v>0</v>
      </c>
      <c r="U37" s="54">
        <f t="shared" si="44"/>
        <v>0</v>
      </c>
      <c r="V37" s="54">
        <f t="shared" si="44"/>
        <v>0</v>
      </c>
      <c r="W37" s="54">
        <f t="shared" si="44"/>
        <v>0</v>
      </c>
      <c r="X37" s="54">
        <f t="shared" si="44"/>
        <v>0</v>
      </c>
      <c r="Y37" s="54">
        <f t="shared" si="44"/>
        <v>0</v>
      </c>
      <c r="Z37" s="54">
        <f t="shared" si="44"/>
        <v>0</v>
      </c>
      <c r="AA37" s="54">
        <f t="shared" si="44"/>
        <v>0</v>
      </c>
      <c r="AB37" s="54">
        <f t="shared" si="44"/>
        <v>0</v>
      </c>
      <c r="AC37" s="54">
        <f t="shared" si="44"/>
        <v>0</v>
      </c>
      <c r="AD37" s="54">
        <f t="shared" si="44"/>
        <v>0</v>
      </c>
      <c r="AE37" s="54">
        <f t="shared" si="44"/>
        <v>0</v>
      </c>
      <c r="AF37" s="54">
        <f t="shared" si="44"/>
        <v>0</v>
      </c>
      <c r="AG37" s="54">
        <f t="shared" si="44"/>
        <v>0</v>
      </c>
      <c r="AH37" s="54">
        <f t="shared" si="44"/>
        <v>0</v>
      </c>
      <c r="AI37" s="54">
        <f t="shared" ref="AI37:AJ37" si="45">SUM(AI38,AI41)</f>
        <v>3013191</v>
      </c>
      <c r="AJ37" s="54">
        <f t="shared" si="45"/>
        <v>3013191</v>
      </c>
      <c r="AL37" s="421"/>
      <c r="AM37" s="421"/>
      <c r="AN37" s="421"/>
      <c r="AO37" s="155"/>
      <c r="AP37" s="155"/>
      <c r="AQ37" s="155"/>
    </row>
    <row r="38" spans="1:43" s="155" customFormat="1" x14ac:dyDescent="0.2">
      <c r="A38" s="46"/>
      <c r="B38" s="539" t="s">
        <v>61</v>
      </c>
      <c r="C38" s="539"/>
      <c r="D38" s="47" t="s">
        <v>62</v>
      </c>
      <c r="E38" s="250">
        <f t="shared" ref="E38:S38" si="46">SUM(E39:E40)</f>
        <v>12836</v>
      </c>
      <c r="F38" s="250">
        <f t="shared" si="46"/>
        <v>12836</v>
      </c>
      <c r="G38" s="250">
        <f t="shared" si="46"/>
        <v>0</v>
      </c>
      <c r="H38" s="250">
        <f t="shared" si="46"/>
        <v>0</v>
      </c>
      <c r="I38" s="250">
        <f t="shared" si="46"/>
        <v>0</v>
      </c>
      <c r="J38" s="250">
        <f t="shared" si="46"/>
        <v>0</v>
      </c>
      <c r="K38" s="250">
        <f t="shared" si="46"/>
        <v>0</v>
      </c>
      <c r="L38" s="250">
        <f t="shared" si="46"/>
        <v>0</v>
      </c>
      <c r="M38" s="250">
        <f t="shared" si="46"/>
        <v>0</v>
      </c>
      <c r="N38" s="250">
        <f t="shared" si="46"/>
        <v>0</v>
      </c>
      <c r="O38" s="250">
        <f t="shared" si="46"/>
        <v>0</v>
      </c>
      <c r="P38" s="250">
        <f t="shared" si="46"/>
        <v>0</v>
      </c>
      <c r="Q38" s="250">
        <f t="shared" si="46"/>
        <v>0</v>
      </c>
      <c r="R38" s="250">
        <f t="shared" si="46"/>
        <v>0</v>
      </c>
      <c r="S38" s="250">
        <f t="shared" si="46"/>
        <v>0</v>
      </c>
      <c r="T38" s="250">
        <f t="shared" ref="T38:AH38" si="47">SUM(T39:T40)</f>
        <v>0</v>
      </c>
      <c r="U38" s="250">
        <f t="shared" si="47"/>
        <v>0</v>
      </c>
      <c r="V38" s="250">
        <f t="shared" si="47"/>
        <v>0</v>
      </c>
      <c r="W38" s="250">
        <f t="shared" si="47"/>
        <v>0</v>
      </c>
      <c r="X38" s="250">
        <f t="shared" si="47"/>
        <v>0</v>
      </c>
      <c r="Y38" s="250">
        <f t="shared" si="47"/>
        <v>0</v>
      </c>
      <c r="Z38" s="250">
        <f t="shared" si="47"/>
        <v>0</v>
      </c>
      <c r="AA38" s="250">
        <f t="shared" si="47"/>
        <v>0</v>
      </c>
      <c r="AB38" s="250">
        <f t="shared" si="47"/>
        <v>0</v>
      </c>
      <c r="AC38" s="250">
        <f t="shared" si="47"/>
        <v>0</v>
      </c>
      <c r="AD38" s="250">
        <f t="shared" si="47"/>
        <v>0</v>
      </c>
      <c r="AE38" s="250">
        <f t="shared" si="47"/>
        <v>0</v>
      </c>
      <c r="AF38" s="250">
        <f t="shared" si="47"/>
        <v>0</v>
      </c>
      <c r="AG38" s="250">
        <f t="shared" si="47"/>
        <v>0</v>
      </c>
      <c r="AH38" s="250">
        <f t="shared" si="47"/>
        <v>0</v>
      </c>
      <c r="AI38" s="250">
        <f t="shared" ref="AI38:AJ38" si="48">SUM(AI39:AI40)</f>
        <v>12836</v>
      </c>
      <c r="AJ38" s="250">
        <f t="shared" si="48"/>
        <v>12836</v>
      </c>
      <c r="AL38" s="421"/>
      <c r="AM38" s="421"/>
      <c r="AN38" s="421"/>
      <c r="AO38" s="37"/>
      <c r="AP38" s="37"/>
      <c r="AQ38" s="37"/>
    </row>
    <row r="39" spans="1:43" ht="48" x14ac:dyDescent="0.2">
      <c r="A39" s="55"/>
      <c r="B39" s="543" t="s">
        <v>63</v>
      </c>
      <c r="C39" s="543"/>
      <c r="D39" s="56" t="s">
        <v>612</v>
      </c>
      <c r="E39" s="57">
        <v>9036</v>
      </c>
      <c r="F39" s="245">
        <f t="shared" ref="F39:F40" si="49">E39+G39</f>
        <v>9036</v>
      </c>
      <c r="G39" s="245">
        <f t="shared" ref="G39:G40" si="50">SUBTOTAL(9,H39:S39)</f>
        <v>0</v>
      </c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>
        <f t="shared" ref="U39:U40" si="51">T39+V39</f>
        <v>0</v>
      </c>
      <c r="V39" s="245">
        <f t="shared" ref="V39:V40" si="52">SUBTOTAL(9,W39:AH39)</f>
        <v>0</v>
      </c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>
        <f t="shared" ref="AI39:AI40" si="53">E39+T39</f>
        <v>9036</v>
      </c>
      <c r="AJ39" s="245">
        <f t="shared" ref="AJ39:AJ40" si="54">F39+U39</f>
        <v>9036</v>
      </c>
      <c r="AL39" s="421"/>
      <c r="AM39" s="421"/>
      <c r="AN39" s="421"/>
      <c r="AO39" s="156"/>
      <c r="AP39" s="156"/>
      <c r="AQ39" s="156"/>
    </row>
    <row r="40" spans="1:43" ht="24" x14ac:dyDescent="0.2">
      <c r="A40" s="65"/>
      <c r="B40" s="550" t="s">
        <v>64</v>
      </c>
      <c r="C40" s="550"/>
      <c r="D40" s="66" t="s">
        <v>209</v>
      </c>
      <c r="E40" s="67">
        <v>3800</v>
      </c>
      <c r="F40" s="249">
        <f t="shared" si="49"/>
        <v>3800</v>
      </c>
      <c r="G40" s="249">
        <f t="shared" si="50"/>
        <v>0</v>
      </c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>
        <f t="shared" si="51"/>
        <v>0</v>
      </c>
      <c r="V40" s="249">
        <f t="shared" si="52"/>
        <v>0</v>
      </c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57">
        <f t="shared" si="53"/>
        <v>3800</v>
      </c>
      <c r="AJ40" s="57">
        <f t="shared" si="54"/>
        <v>3800</v>
      </c>
      <c r="AL40" s="421"/>
      <c r="AM40" s="421"/>
      <c r="AN40" s="421"/>
      <c r="AO40" s="155"/>
      <c r="AP40" s="155"/>
      <c r="AQ40" s="155"/>
    </row>
    <row r="41" spans="1:43" s="155" customFormat="1" x14ac:dyDescent="0.2">
      <c r="A41" s="46"/>
      <c r="B41" s="539" t="s">
        <v>65</v>
      </c>
      <c r="C41" s="539"/>
      <c r="D41" s="47" t="s">
        <v>66</v>
      </c>
      <c r="E41" s="250">
        <f t="shared" ref="E41:AI41" si="55">SUM(E42:E46)</f>
        <v>3000355</v>
      </c>
      <c r="F41" s="250">
        <f t="shared" si="55"/>
        <v>3000355</v>
      </c>
      <c r="G41" s="250">
        <f t="shared" si="55"/>
        <v>0</v>
      </c>
      <c r="H41" s="250">
        <f t="shared" si="55"/>
        <v>0</v>
      </c>
      <c r="I41" s="250">
        <f t="shared" si="55"/>
        <v>0</v>
      </c>
      <c r="J41" s="250">
        <f t="shared" si="55"/>
        <v>0</v>
      </c>
      <c r="K41" s="250">
        <f t="shared" si="55"/>
        <v>0</v>
      </c>
      <c r="L41" s="250">
        <f t="shared" si="55"/>
        <v>0</v>
      </c>
      <c r="M41" s="250">
        <f t="shared" si="55"/>
        <v>0</v>
      </c>
      <c r="N41" s="250">
        <f t="shared" si="55"/>
        <v>0</v>
      </c>
      <c r="O41" s="250">
        <f t="shared" si="55"/>
        <v>0</v>
      </c>
      <c r="P41" s="250">
        <f t="shared" si="55"/>
        <v>0</v>
      </c>
      <c r="Q41" s="250">
        <f t="shared" si="55"/>
        <v>0</v>
      </c>
      <c r="R41" s="250">
        <f t="shared" si="55"/>
        <v>0</v>
      </c>
      <c r="S41" s="250">
        <f t="shared" si="55"/>
        <v>0</v>
      </c>
      <c r="T41" s="250">
        <f t="shared" si="55"/>
        <v>0</v>
      </c>
      <c r="U41" s="250">
        <f t="shared" si="55"/>
        <v>0</v>
      </c>
      <c r="V41" s="250">
        <f t="shared" si="55"/>
        <v>0</v>
      </c>
      <c r="W41" s="250">
        <f t="shared" si="55"/>
        <v>0</v>
      </c>
      <c r="X41" s="250">
        <f t="shared" si="55"/>
        <v>0</v>
      </c>
      <c r="Y41" s="250">
        <f t="shared" si="55"/>
        <v>0</v>
      </c>
      <c r="Z41" s="250">
        <f t="shared" si="55"/>
        <v>0</v>
      </c>
      <c r="AA41" s="250">
        <f t="shared" si="55"/>
        <v>0</v>
      </c>
      <c r="AB41" s="250">
        <f t="shared" si="55"/>
        <v>0</v>
      </c>
      <c r="AC41" s="250">
        <f t="shared" si="55"/>
        <v>0</v>
      </c>
      <c r="AD41" s="250">
        <f t="shared" si="55"/>
        <v>0</v>
      </c>
      <c r="AE41" s="250">
        <f t="shared" si="55"/>
        <v>0</v>
      </c>
      <c r="AF41" s="250">
        <f t="shared" si="55"/>
        <v>0</v>
      </c>
      <c r="AG41" s="250">
        <f t="shared" si="55"/>
        <v>0</v>
      </c>
      <c r="AH41" s="250">
        <f t="shared" si="55"/>
        <v>0</v>
      </c>
      <c r="AI41" s="255">
        <f t="shared" si="55"/>
        <v>3000355</v>
      </c>
      <c r="AJ41" s="255">
        <f t="shared" ref="AJ41" si="56">SUM(AJ42:AJ46)</f>
        <v>3000355</v>
      </c>
      <c r="AL41" s="421"/>
      <c r="AM41" s="421"/>
      <c r="AN41" s="421"/>
      <c r="AO41" s="37"/>
      <c r="AP41" s="37"/>
      <c r="AQ41" s="37"/>
    </row>
    <row r="42" spans="1:43" ht="24" hidden="1" x14ac:dyDescent="0.2">
      <c r="A42" s="68"/>
      <c r="B42" s="551" t="s">
        <v>67</v>
      </c>
      <c r="C42" s="551"/>
      <c r="D42" s="69" t="s">
        <v>151</v>
      </c>
      <c r="E42" s="251"/>
      <c r="F42" s="249">
        <f t="shared" ref="F42:F46" si="57">E42+G42</f>
        <v>0</v>
      </c>
      <c r="G42" s="249">
        <f t="shared" ref="G42:G46" si="58">SUBTOTAL(9,H42:S42)</f>
        <v>0</v>
      </c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>
        <f t="shared" ref="U42:U46" si="59">T42+V42</f>
        <v>0</v>
      </c>
      <c r="V42" s="249">
        <f t="shared" ref="V42:V46" si="60">SUBTOTAL(9,W42:AH42)</f>
        <v>0</v>
      </c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>
        <f t="shared" ref="AI42:AI46" si="61">E42+T42</f>
        <v>0</v>
      </c>
      <c r="AJ42" s="249">
        <f t="shared" ref="AJ42:AJ46" si="62">F42+U42</f>
        <v>0</v>
      </c>
      <c r="AL42" s="421"/>
      <c r="AM42" s="421"/>
      <c r="AN42" s="421"/>
    </row>
    <row r="43" spans="1:43" x14ac:dyDescent="0.2">
      <c r="A43" s="68"/>
      <c r="B43" s="551" t="s">
        <v>68</v>
      </c>
      <c r="C43" s="551"/>
      <c r="D43" s="69" t="s">
        <v>152</v>
      </c>
      <c r="E43" s="251">
        <v>39600</v>
      </c>
      <c r="F43" s="251">
        <f t="shared" si="57"/>
        <v>39600</v>
      </c>
      <c r="G43" s="251">
        <f t="shared" si="58"/>
        <v>0</v>
      </c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>
        <f t="shared" si="59"/>
        <v>0</v>
      </c>
      <c r="V43" s="251">
        <f t="shared" si="60"/>
        <v>0</v>
      </c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>
        <f t="shared" si="61"/>
        <v>39600</v>
      </c>
      <c r="AJ43" s="251">
        <f t="shared" si="62"/>
        <v>39600</v>
      </c>
      <c r="AL43" s="421"/>
      <c r="AM43" s="421"/>
      <c r="AN43" s="421"/>
    </row>
    <row r="44" spans="1:43" ht="24" x14ac:dyDescent="0.2">
      <c r="A44" s="68"/>
      <c r="B44" s="551" t="s">
        <v>69</v>
      </c>
      <c r="C44" s="551"/>
      <c r="D44" s="69" t="s">
        <v>153</v>
      </c>
      <c r="E44" s="251">
        <f>3000000-130000</f>
        <v>2870000</v>
      </c>
      <c r="F44" s="251">
        <f t="shared" si="57"/>
        <v>2870000</v>
      </c>
      <c r="G44" s="251">
        <f t="shared" si="58"/>
        <v>0</v>
      </c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>
        <f t="shared" si="59"/>
        <v>0</v>
      </c>
      <c r="V44" s="251">
        <f t="shared" si="60"/>
        <v>0</v>
      </c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>
        <f t="shared" si="61"/>
        <v>2870000</v>
      </c>
      <c r="AJ44" s="251">
        <f t="shared" si="62"/>
        <v>2870000</v>
      </c>
      <c r="AL44" s="421"/>
      <c r="AM44" s="421"/>
      <c r="AN44" s="421"/>
      <c r="AO44" s="155"/>
      <c r="AP44" s="155"/>
      <c r="AQ44" s="155"/>
    </row>
    <row r="45" spans="1:43" ht="24" x14ac:dyDescent="0.2">
      <c r="A45" s="68"/>
      <c r="B45" s="551" t="s">
        <v>70</v>
      </c>
      <c r="C45" s="551"/>
      <c r="D45" s="69" t="s">
        <v>154</v>
      </c>
      <c r="E45" s="251">
        <v>52755</v>
      </c>
      <c r="F45" s="251">
        <f t="shared" si="57"/>
        <v>52755</v>
      </c>
      <c r="G45" s="251">
        <f t="shared" si="58"/>
        <v>0</v>
      </c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>
        <f t="shared" si="59"/>
        <v>0</v>
      </c>
      <c r="V45" s="251">
        <f t="shared" si="60"/>
        <v>0</v>
      </c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>
        <f t="shared" si="61"/>
        <v>52755</v>
      </c>
      <c r="AJ45" s="251">
        <f t="shared" si="62"/>
        <v>52755</v>
      </c>
      <c r="AL45" s="421"/>
      <c r="AM45" s="421"/>
      <c r="AN45" s="421"/>
    </row>
    <row r="46" spans="1:43" ht="24" x14ac:dyDescent="0.2">
      <c r="A46" s="52"/>
      <c r="B46" s="536" t="s">
        <v>141</v>
      </c>
      <c r="C46" s="536"/>
      <c r="D46" s="53" t="s">
        <v>613</v>
      </c>
      <c r="E46" s="247">
        <v>38000</v>
      </c>
      <c r="F46" s="249">
        <f t="shared" si="57"/>
        <v>38000</v>
      </c>
      <c r="G46" s="249">
        <f t="shared" si="58"/>
        <v>0</v>
      </c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>
        <f t="shared" si="59"/>
        <v>0</v>
      </c>
      <c r="V46" s="249">
        <f t="shared" si="60"/>
        <v>0</v>
      </c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>
        <f t="shared" si="61"/>
        <v>38000</v>
      </c>
      <c r="AJ46" s="249">
        <f t="shared" si="62"/>
        <v>38000</v>
      </c>
      <c r="AL46" s="421"/>
      <c r="AM46" s="421"/>
      <c r="AN46" s="421"/>
    </row>
    <row r="47" spans="1:43" s="156" customFormat="1" x14ac:dyDescent="0.2">
      <c r="A47" s="537" t="s">
        <v>71</v>
      </c>
      <c r="B47" s="538"/>
      <c r="C47" s="538"/>
      <c r="D47" s="64" t="s">
        <v>72</v>
      </c>
      <c r="E47" s="54">
        <f t="shared" ref="E47:AJ47" si="63">SUM(E48)</f>
        <v>1727000</v>
      </c>
      <c r="F47" s="54">
        <f t="shared" si="63"/>
        <v>1727000</v>
      </c>
      <c r="G47" s="54">
        <f t="shared" si="63"/>
        <v>0</v>
      </c>
      <c r="H47" s="54">
        <f t="shared" si="63"/>
        <v>0</v>
      </c>
      <c r="I47" s="54">
        <f t="shared" si="63"/>
        <v>0</v>
      </c>
      <c r="J47" s="54">
        <f t="shared" si="63"/>
        <v>0</v>
      </c>
      <c r="K47" s="54">
        <f t="shared" si="63"/>
        <v>0</v>
      </c>
      <c r="L47" s="54">
        <f t="shared" si="63"/>
        <v>0</v>
      </c>
      <c r="M47" s="54">
        <f t="shared" si="63"/>
        <v>0</v>
      </c>
      <c r="N47" s="54">
        <f t="shared" si="63"/>
        <v>0</v>
      </c>
      <c r="O47" s="54">
        <f t="shared" si="63"/>
        <v>0</v>
      </c>
      <c r="P47" s="54">
        <f t="shared" si="63"/>
        <v>0</v>
      </c>
      <c r="Q47" s="54">
        <f t="shared" si="63"/>
        <v>0</v>
      </c>
      <c r="R47" s="54">
        <f t="shared" si="63"/>
        <v>0</v>
      </c>
      <c r="S47" s="54">
        <f t="shared" si="63"/>
        <v>0</v>
      </c>
      <c r="T47" s="54">
        <f t="shared" si="63"/>
        <v>0</v>
      </c>
      <c r="U47" s="54">
        <f t="shared" si="63"/>
        <v>0</v>
      </c>
      <c r="V47" s="54">
        <f t="shared" si="63"/>
        <v>0</v>
      </c>
      <c r="W47" s="54">
        <f t="shared" si="63"/>
        <v>0</v>
      </c>
      <c r="X47" s="54">
        <f t="shared" si="63"/>
        <v>0</v>
      </c>
      <c r="Y47" s="54">
        <f t="shared" si="63"/>
        <v>0</v>
      </c>
      <c r="Z47" s="54">
        <f t="shared" si="63"/>
        <v>0</v>
      </c>
      <c r="AA47" s="54">
        <f t="shared" si="63"/>
        <v>0</v>
      </c>
      <c r="AB47" s="54">
        <f t="shared" si="63"/>
        <v>0</v>
      </c>
      <c r="AC47" s="54">
        <f t="shared" si="63"/>
        <v>0</v>
      </c>
      <c r="AD47" s="54">
        <f t="shared" si="63"/>
        <v>0</v>
      </c>
      <c r="AE47" s="54">
        <f t="shared" si="63"/>
        <v>0</v>
      </c>
      <c r="AF47" s="54">
        <f t="shared" si="63"/>
        <v>0</v>
      </c>
      <c r="AG47" s="54">
        <f t="shared" si="63"/>
        <v>0</v>
      </c>
      <c r="AH47" s="54">
        <f t="shared" si="63"/>
        <v>0</v>
      </c>
      <c r="AI47" s="54">
        <f t="shared" si="63"/>
        <v>1727000</v>
      </c>
      <c r="AJ47" s="54">
        <f t="shared" si="63"/>
        <v>1727000</v>
      </c>
      <c r="AL47" s="421"/>
      <c r="AM47" s="421"/>
      <c r="AN47" s="421"/>
      <c r="AO47" s="37"/>
      <c r="AP47" s="37"/>
      <c r="AQ47" s="37"/>
    </row>
    <row r="48" spans="1:43" s="155" customFormat="1" x14ac:dyDescent="0.2">
      <c r="A48" s="46"/>
      <c r="B48" s="539" t="s">
        <v>73</v>
      </c>
      <c r="C48" s="539"/>
      <c r="D48" s="47" t="s">
        <v>74</v>
      </c>
      <c r="E48" s="250">
        <f t="shared" ref="E48:AJ48" si="64">E49</f>
        <v>1727000</v>
      </c>
      <c r="F48" s="250">
        <f t="shared" si="64"/>
        <v>1727000</v>
      </c>
      <c r="G48" s="250">
        <f t="shared" si="64"/>
        <v>0</v>
      </c>
      <c r="H48" s="250">
        <f t="shared" si="64"/>
        <v>0</v>
      </c>
      <c r="I48" s="250">
        <f t="shared" si="64"/>
        <v>0</v>
      </c>
      <c r="J48" s="250">
        <f t="shared" si="64"/>
        <v>0</v>
      </c>
      <c r="K48" s="250">
        <f t="shared" si="64"/>
        <v>0</v>
      </c>
      <c r="L48" s="250">
        <f t="shared" si="64"/>
        <v>0</v>
      </c>
      <c r="M48" s="250">
        <f t="shared" si="64"/>
        <v>0</v>
      </c>
      <c r="N48" s="250">
        <f t="shared" si="64"/>
        <v>0</v>
      </c>
      <c r="O48" s="250">
        <f t="shared" si="64"/>
        <v>0</v>
      </c>
      <c r="P48" s="250">
        <f t="shared" si="64"/>
        <v>0</v>
      </c>
      <c r="Q48" s="250">
        <f t="shared" si="64"/>
        <v>0</v>
      </c>
      <c r="R48" s="250">
        <f t="shared" si="64"/>
        <v>0</v>
      </c>
      <c r="S48" s="250">
        <f t="shared" si="64"/>
        <v>0</v>
      </c>
      <c r="T48" s="250">
        <f t="shared" si="64"/>
        <v>0</v>
      </c>
      <c r="U48" s="250">
        <f t="shared" si="64"/>
        <v>0</v>
      </c>
      <c r="V48" s="250">
        <f t="shared" si="64"/>
        <v>0</v>
      </c>
      <c r="W48" s="250">
        <f t="shared" si="64"/>
        <v>0</v>
      </c>
      <c r="X48" s="250">
        <f t="shared" si="64"/>
        <v>0</v>
      </c>
      <c r="Y48" s="250">
        <f t="shared" si="64"/>
        <v>0</v>
      </c>
      <c r="Z48" s="250">
        <f t="shared" si="64"/>
        <v>0</v>
      </c>
      <c r="AA48" s="250">
        <f t="shared" si="64"/>
        <v>0</v>
      </c>
      <c r="AB48" s="250">
        <f t="shared" si="64"/>
        <v>0</v>
      </c>
      <c r="AC48" s="250">
        <f t="shared" si="64"/>
        <v>0</v>
      </c>
      <c r="AD48" s="250">
        <f t="shared" si="64"/>
        <v>0</v>
      </c>
      <c r="AE48" s="250">
        <f t="shared" si="64"/>
        <v>0</v>
      </c>
      <c r="AF48" s="250">
        <f t="shared" si="64"/>
        <v>0</v>
      </c>
      <c r="AG48" s="250">
        <f t="shared" si="64"/>
        <v>0</v>
      </c>
      <c r="AH48" s="250">
        <f t="shared" si="64"/>
        <v>0</v>
      </c>
      <c r="AI48" s="250">
        <f t="shared" si="64"/>
        <v>1727000</v>
      </c>
      <c r="AJ48" s="250">
        <f t="shared" si="64"/>
        <v>1727000</v>
      </c>
      <c r="AL48" s="421"/>
      <c r="AM48" s="421"/>
      <c r="AN48" s="421"/>
      <c r="AO48" s="37"/>
      <c r="AP48" s="37"/>
      <c r="AQ48" s="37"/>
    </row>
    <row r="49" spans="1:43" x14ac:dyDescent="0.2">
      <c r="A49" s="158"/>
      <c r="B49" s="564" t="s">
        <v>75</v>
      </c>
      <c r="C49" s="564"/>
      <c r="D49" s="98" t="s">
        <v>76</v>
      </c>
      <c r="E49" s="248">
        <f>96000+1625000+6000</f>
        <v>1727000</v>
      </c>
      <c r="F49" s="67">
        <f>E49+G49</f>
        <v>1727000</v>
      </c>
      <c r="G49" s="67">
        <f>SUBTOTAL(9,H49:S49)</f>
        <v>0</v>
      </c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57"/>
      <c r="U49" s="57">
        <f>T49+V49</f>
        <v>0</v>
      </c>
      <c r="V49" s="57">
        <f>SUBTOTAL(9,W49:AH49)</f>
        <v>0</v>
      </c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>
        <f>E49+T49</f>
        <v>1727000</v>
      </c>
      <c r="AJ49" s="57">
        <f>F49+U49</f>
        <v>1727000</v>
      </c>
      <c r="AL49" s="421"/>
      <c r="AM49" s="421"/>
      <c r="AN49" s="421"/>
    </row>
    <row r="50" spans="1:43" s="156" customFormat="1" x14ac:dyDescent="0.2">
      <c r="A50" s="537" t="s">
        <v>77</v>
      </c>
      <c r="B50" s="538"/>
      <c r="C50" s="538"/>
      <c r="D50" s="64" t="s">
        <v>78</v>
      </c>
      <c r="E50" s="54">
        <f t="shared" ref="E50:S50" si="65">SUM(E51,E53)</f>
        <v>139297</v>
      </c>
      <c r="F50" s="54">
        <f t="shared" si="65"/>
        <v>207326</v>
      </c>
      <c r="G50" s="54">
        <f t="shared" si="65"/>
        <v>68029</v>
      </c>
      <c r="H50" s="54">
        <f t="shared" si="65"/>
        <v>0</v>
      </c>
      <c r="I50" s="54">
        <f t="shared" si="65"/>
        <v>0</v>
      </c>
      <c r="J50" s="54">
        <f t="shared" si="65"/>
        <v>68029</v>
      </c>
      <c r="K50" s="54">
        <f t="shared" si="65"/>
        <v>0</v>
      </c>
      <c r="L50" s="54">
        <f t="shared" si="65"/>
        <v>0</v>
      </c>
      <c r="M50" s="54">
        <f t="shared" si="65"/>
        <v>0</v>
      </c>
      <c r="N50" s="54">
        <f t="shared" si="65"/>
        <v>0</v>
      </c>
      <c r="O50" s="54">
        <f t="shared" si="65"/>
        <v>0</v>
      </c>
      <c r="P50" s="54">
        <f t="shared" si="65"/>
        <v>0</v>
      </c>
      <c r="Q50" s="54">
        <f t="shared" si="65"/>
        <v>0</v>
      </c>
      <c r="R50" s="54">
        <f t="shared" si="65"/>
        <v>0</v>
      </c>
      <c r="S50" s="54">
        <f t="shared" si="65"/>
        <v>0</v>
      </c>
      <c r="T50" s="54">
        <f t="shared" ref="T50:AH50" si="66">SUM(T51,T53)</f>
        <v>0</v>
      </c>
      <c r="U50" s="54">
        <f t="shared" si="66"/>
        <v>0</v>
      </c>
      <c r="V50" s="54">
        <f t="shared" si="66"/>
        <v>0</v>
      </c>
      <c r="W50" s="54">
        <f t="shared" si="66"/>
        <v>0</v>
      </c>
      <c r="X50" s="54">
        <f t="shared" si="66"/>
        <v>0</v>
      </c>
      <c r="Y50" s="54">
        <f t="shared" si="66"/>
        <v>0</v>
      </c>
      <c r="Z50" s="54">
        <f t="shared" si="66"/>
        <v>0</v>
      </c>
      <c r="AA50" s="54">
        <f t="shared" si="66"/>
        <v>0</v>
      </c>
      <c r="AB50" s="54">
        <f t="shared" si="66"/>
        <v>0</v>
      </c>
      <c r="AC50" s="54">
        <f t="shared" si="66"/>
        <v>0</v>
      </c>
      <c r="AD50" s="54">
        <f t="shared" si="66"/>
        <v>0</v>
      </c>
      <c r="AE50" s="54">
        <f t="shared" si="66"/>
        <v>0</v>
      </c>
      <c r="AF50" s="54">
        <f t="shared" si="66"/>
        <v>0</v>
      </c>
      <c r="AG50" s="54">
        <f t="shared" si="66"/>
        <v>0</v>
      </c>
      <c r="AH50" s="54">
        <f t="shared" si="66"/>
        <v>0</v>
      </c>
      <c r="AI50" s="54">
        <f t="shared" ref="AI50:AJ50" si="67">SUM(AI51,AI53)</f>
        <v>139297</v>
      </c>
      <c r="AJ50" s="54">
        <f t="shared" si="67"/>
        <v>207326</v>
      </c>
      <c r="AL50" s="421"/>
      <c r="AM50" s="421"/>
      <c r="AN50" s="421"/>
    </row>
    <row r="51" spans="1:43" s="155" customFormat="1" ht="24" x14ac:dyDescent="0.2">
      <c r="A51" s="46"/>
      <c r="B51" s="558" t="s">
        <v>79</v>
      </c>
      <c r="C51" s="559"/>
      <c r="D51" s="70" t="s">
        <v>80</v>
      </c>
      <c r="E51" s="250">
        <f t="shared" ref="E51:AJ51" si="68">SUM(E52)</f>
        <v>45769</v>
      </c>
      <c r="F51" s="250">
        <f t="shared" si="68"/>
        <v>45769</v>
      </c>
      <c r="G51" s="250">
        <f t="shared" si="68"/>
        <v>0</v>
      </c>
      <c r="H51" s="250">
        <f t="shared" si="68"/>
        <v>0</v>
      </c>
      <c r="I51" s="250">
        <f t="shared" si="68"/>
        <v>0</v>
      </c>
      <c r="J51" s="250">
        <f t="shared" si="68"/>
        <v>0</v>
      </c>
      <c r="K51" s="250">
        <f t="shared" si="68"/>
        <v>0</v>
      </c>
      <c r="L51" s="250">
        <f t="shared" si="68"/>
        <v>0</v>
      </c>
      <c r="M51" s="250">
        <f t="shared" si="68"/>
        <v>0</v>
      </c>
      <c r="N51" s="250">
        <f t="shared" si="68"/>
        <v>0</v>
      </c>
      <c r="O51" s="250">
        <f t="shared" si="68"/>
        <v>0</v>
      </c>
      <c r="P51" s="250">
        <f t="shared" si="68"/>
        <v>0</v>
      </c>
      <c r="Q51" s="250">
        <f t="shared" si="68"/>
        <v>0</v>
      </c>
      <c r="R51" s="250">
        <f t="shared" si="68"/>
        <v>0</v>
      </c>
      <c r="S51" s="250">
        <f t="shared" si="68"/>
        <v>0</v>
      </c>
      <c r="T51" s="250">
        <f t="shared" si="68"/>
        <v>0</v>
      </c>
      <c r="U51" s="255">
        <f t="shared" si="68"/>
        <v>0</v>
      </c>
      <c r="V51" s="255">
        <f t="shared" si="68"/>
        <v>0</v>
      </c>
      <c r="W51" s="255">
        <f t="shared" si="68"/>
        <v>0</v>
      </c>
      <c r="X51" s="255">
        <f t="shared" si="68"/>
        <v>0</v>
      </c>
      <c r="Y51" s="255">
        <f t="shared" si="68"/>
        <v>0</v>
      </c>
      <c r="Z51" s="255">
        <f t="shared" si="68"/>
        <v>0</v>
      </c>
      <c r="AA51" s="255">
        <f t="shared" si="68"/>
        <v>0</v>
      </c>
      <c r="AB51" s="255">
        <f t="shared" si="68"/>
        <v>0</v>
      </c>
      <c r="AC51" s="255">
        <f t="shared" si="68"/>
        <v>0</v>
      </c>
      <c r="AD51" s="255">
        <f t="shared" si="68"/>
        <v>0</v>
      </c>
      <c r="AE51" s="255">
        <f t="shared" si="68"/>
        <v>0</v>
      </c>
      <c r="AF51" s="255">
        <f t="shared" si="68"/>
        <v>0</v>
      </c>
      <c r="AG51" s="255">
        <f t="shared" si="68"/>
        <v>0</v>
      </c>
      <c r="AH51" s="255">
        <f t="shared" si="68"/>
        <v>0</v>
      </c>
      <c r="AI51" s="255">
        <f t="shared" si="68"/>
        <v>45769</v>
      </c>
      <c r="AJ51" s="255">
        <f t="shared" si="68"/>
        <v>45769</v>
      </c>
      <c r="AL51" s="421"/>
      <c r="AM51" s="421"/>
      <c r="AN51" s="421"/>
    </row>
    <row r="52" spans="1:43" ht="24" x14ac:dyDescent="0.2">
      <c r="A52" s="48"/>
      <c r="B52" s="560" t="s">
        <v>81</v>
      </c>
      <c r="C52" s="561"/>
      <c r="D52" s="71" t="s">
        <v>82</v>
      </c>
      <c r="E52" s="245">
        <f>39929+5840</f>
        <v>45769</v>
      </c>
      <c r="F52" s="245">
        <f>E52+G52</f>
        <v>45769</v>
      </c>
      <c r="G52" s="245">
        <f>SUBTOTAL(9,H52:S52)</f>
        <v>0</v>
      </c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>
        <f>T52+V52</f>
        <v>0</v>
      </c>
      <c r="V52" s="245">
        <f>SUBTOTAL(9,W52:AH52)</f>
        <v>0</v>
      </c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>
        <f>E52+T52</f>
        <v>45769</v>
      </c>
      <c r="AJ52" s="245">
        <f>F52+U52</f>
        <v>45769</v>
      </c>
      <c r="AL52" s="421"/>
      <c r="AM52" s="421"/>
      <c r="AN52" s="421"/>
    </row>
    <row r="53" spans="1:43" s="155" customFormat="1" x14ac:dyDescent="0.2">
      <c r="A53" s="46"/>
      <c r="B53" s="539" t="s">
        <v>83</v>
      </c>
      <c r="C53" s="539"/>
      <c r="D53" s="47" t="s">
        <v>121</v>
      </c>
      <c r="E53" s="250">
        <f t="shared" ref="E53:AI53" si="69">SUM(E54+E56)</f>
        <v>93528</v>
      </c>
      <c r="F53" s="250">
        <f t="shared" si="69"/>
        <v>161557</v>
      </c>
      <c r="G53" s="250">
        <f t="shared" si="69"/>
        <v>68029</v>
      </c>
      <c r="H53" s="250">
        <f t="shared" si="69"/>
        <v>0</v>
      </c>
      <c r="I53" s="250">
        <f t="shared" si="69"/>
        <v>0</v>
      </c>
      <c r="J53" s="250">
        <f t="shared" si="69"/>
        <v>68029</v>
      </c>
      <c r="K53" s="250">
        <f t="shared" si="69"/>
        <v>0</v>
      </c>
      <c r="L53" s="250">
        <f t="shared" si="69"/>
        <v>0</v>
      </c>
      <c r="M53" s="250">
        <f t="shared" si="69"/>
        <v>0</v>
      </c>
      <c r="N53" s="250">
        <f t="shared" si="69"/>
        <v>0</v>
      </c>
      <c r="O53" s="250">
        <f t="shared" si="69"/>
        <v>0</v>
      </c>
      <c r="P53" s="250">
        <f t="shared" si="69"/>
        <v>0</v>
      </c>
      <c r="Q53" s="250">
        <f t="shared" si="69"/>
        <v>0</v>
      </c>
      <c r="R53" s="250">
        <f t="shared" si="69"/>
        <v>0</v>
      </c>
      <c r="S53" s="250">
        <f t="shared" si="69"/>
        <v>0</v>
      </c>
      <c r="T53" s="250">
        <f t="shared" si="69"/>
        <v>0</v>
      </c>
      <c r="U53" s="250">
        <f t="shared" si="69"/>
        <v>0</v>
      </c>
      <c r="V53" s="250">
        <f t="shared" si="69"/>
        <v>0</v>
      </c>
      <c r="W53" s="250">
        <f t="shared" si="69"/>
        <v>0</v>
      </c>
      <c r="X53" s="250">
        <f t="shared" si="69"/>
        <v>0</v>
      </c>
      <c r="Y53" s="250">
        <f t="shared" si="69"/>
        <v>0</v>
      </c>
      <c r="Z53" s="250">
        <f t="shared" si="69"/>
        <v>0</v>
      </c>
      <c r="AA53" s="250">
        <f t="shared" si="69"/>
        <v>0</v>
      </c>
      <c r="AB53" s="250">
        <f t="shared" si="69"/>
        <v>0</v>
      </c>
      <c r="AC53" s="250">
        <f t="shared" si="69"/>
        <v>0</v>
      </c>
      <c r="AD53" s="250">
        <f t="shared" si="69"/>
        <v>0</v>
      </c>
      <c r="AE53" s="250">
        <f t="shared" si="69"/>
        <v>0</v>
      </c>
      <c r="AF53" s="250">
        <f t="shared" si="69"/>
        <v>0</v>
      </c>
      <c r="AG53" s="250">
        <f t="shared" si="69"/>
        <v>0</v>
      </c>
      <c r="AH53" s="250">
        <f t="shared" si="69"/>
        <v>0</v>
      </c>
      <c r="AI53" s="250">
        <f t="shared" si="69"/>
        <v>93528</v>
      </c>
      <c r="AJ53" s="250">
        <f t="shared" ref="AJ53" si="70">SUM(AJ54+AJ56)</f>
        <v>161557</v>
      </c>
      <c r="AL53" s="421"/>
      <c r="AM53" s="421"/>
      <c r="AN53" s="421"/>
      <c r="AO53" s="156"/>
      <c r="AP53" s="156"/>
      <c r="AQ53" s="156"/>
    </row>
    <row r="54" spans="1:43" s="155" customFormat="1" hidden="1" x14ac:dyDescent="0.2">
      <c r="A54" s="175"/>
      <c r="B54" s="543" t="s">
        <v>318</v>
      </c>
      <c r="C54" s="555"/>
      <c r="D54" s="49" t="s">
        <v>320</v>
      </c>
      <c r="E54" s="245">
        <f t="shared" ref="E54:AJ54" si="71">SUM(E55:E55)</f>
        <v>0</v>
      </c>
      <c r="F54" s="245">
        <f t="shared" si="71"/>
        <v>0</v>
      </c>
      <c r="G54" s="245">
        <f t="shared" si="71"/>
        <v>0</v>
      </c>
      <c r="H54" s="245">
        <f t="shared" si="71"/>
        <v>0</v>
      </c>
      <c r="I54" s="245">
        <f t="shared" si="71"/>
        <v>0</v>
      </c>
      <c r="J54" s="245">
        <f t="shared" si="71"/>
        <v>0</v>
      </c>
      <c r="K54" s="245">
        <f t="shared" si="71"/>
        <v>0</v>
      </c>
      <c r="L54" s="245">
        <f t="shared" si="71"/>
        <v>0</v>
      </c>
      <c r="M54" s="245">
        <f t="shared" si="71"/>
        <v>0</v>
      </c>
      <c r="N54" s="245">
        <f t="shared" si="71"/>
        <v>0</v>
      </c>
      <c r="O54" s="245">
        <f t="shared" si="71"/>
        <v>0</v>
      </c>
      <c r="P54" s="245">
        <f t="shared" si="71"/>
        <v>0</v>
      </c>
      <c r="Q54" s="245">
        <f t="shared" si="71"/>
        <v>0</v>
      </c>
      <c r="R54" s="245">
        <f t="shared" si="71"/>
        <v>0</v>
      </c>
      <c r="S54" s="245">
        <f t="shared" si="71"/>
        <v>0</v>
      </c>
      <c r="T54" s="245">
        <f t="shared" si="71"/>
        <v>0</v>
      </c>
      <c r="U54" s="245">
        <f t="shared" si="71"/>
        <v>0</v>
      </c>
      <c r="V54" s="245">
        <f t="shared" si="71"/>
        <v>0</v>
      </c>
      <c r="W54" s="245">
        <f t="shared" si="71"/>
        <v>0</v>
      </c>
      <c r="X54" s="245">
        <f t="shared" si="71"/>
        <v>0</v>
      </c>
      <c r="Y54" s="245">
        <f t="shared" si="71"/>
        <v>0</v>
      </c>
      <c r="Z54" s="245">
        <f t="shared" si="71"/>
        <v>0</v>
      </c>
      <c r="AA54" s="245">
        <f t="shared" si="71"/>
        <v>0</v>
      </c>
      <c r="AB54" s="245">
        <f t="shared" si="71"/>
        <v>0</v>
      </c>
      <c r="AC54" s="245">
        <f t="shared" si="71"/>
        <v>0</v>
      </c>
      <c r="AD54" s="245">
        <f t="shared" si="71"/>
        <v>0</v>
      </c>
      <c r="AE54" s="245">
        <f t="shared" si="71"/>
        <v>0</v>
      </c>
      <c r="AF54" s="245">
        <f t="shared" si="71"/>
        <v>0</v>
      </c>
      <c r="AG54" s="245">
        <f t="shared" si="71"/>
        <v>0</v>
      </c>
      <c r="AH54" s="245">
        <f t="shared" si="71"/>
        <v>0</v>
      </c>
      <c r="AI54" s="245">
        <f t="shared" si="71"/>
        <v>0</v>
      </c>
      <c r="AJ54" s="245">
        <f t="shared" si="71"/>
        <v>0</v>
      </c>
      <c r="AL54" s="421"/>
      <c r="AM54" s="421"/>
      <c r="AN54" s="421"/>
    </row>
    <row r="55" spans="1:43" s="155" customFormat="1" hidden="1" x14ac:dyDescent="0.2">
      <c r="A55" s="175"/>
      <c r="B55" s="562" t="s">
        <v>319</v>
      </c>
      <c r="C55" s="563"/>
      <c r="D55" s="49" t="s">
        <v>321</v>
      </c>
      <c r="E55" s="245"/>
      <c r="F55" s="245">
        <f>E55+G55</f>
        <v>0</v>
      </c>
      <c r="G55" s="245">
        <f>SUBTOTAL(9,H55:S55)</f>
        <v>0</v>
      </c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>
        <f>T55+V55</f>
        <v>0</v>
      </c>
      <c r="V55" s="245">
        <f>SUBTOTAL(9,W55:AH55)</f>
        <v>0</v>
      </c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45"/>
      <c r="AH55" s="245"/>
      <c r="AI55" s="245">
        <f>E55+T55</f>
        <v>0</v>
      </c>
      <c r="AJ55" s="245">
        <f>F55+U55</f>
        <v>0</v>
      </c>
      <c r="AL55" s="421"/>
      <c r="AM55" s="421"/>
      <c r="AN55" s="421"/>
    </row>
    <row r="56" spans="1:43" x14ac:dyDescent="0.2">
      <c r="A56" s="48"/>
      <c r="B56" s="548" t="s">
        <v>122</v>
      </c>
      <c r="C56" s="548"/>
      <c r="D56" s="49" t="s">
        <v>84</v>
      </c>
      <c r="E56" s="245">
        <f t="shared" ref="E56:AI56" si="72">SUM(E57:E58)</f>
        <v>93528</v>
      </c>
      <c r="F56" s="245">
        <f t="shared" si="72"/>
        <v>161557</v>
      </c>
      <c r="G56" s="245">
        <f t="shared" si="72"/>
        <v>68029</v>
      </c>
      <c r="H56" s="245">
        <f t="shared" si="72"/>
        <v>0</v>
      </c>
      <c r="I56" s="245">
        <f t="shared" si="72"/>
        <v>0</v>
      </c>
      <c r="J56" s="245">
        <f t="shared" si="72"/>
        <v>68029</v>
      </c>
      <c r="K56" s="245">
        <f t="shared" si="72"/>
        <v>0</v>
      </c>
      <c r="L56" s="245">
        <f t="shared" si="72"/>
        <v>0</v>
      </c>
      <c r="M56" s="245">
        <f t="shared" si="72"/>
        <v>0</v>
      </c>
      <c r="N56" s="245">
        <f t="shared" si="72"/>
        <v>0</v>
      </c>
      <c r="O56" s="245">
        <f t="shared" si="72"/>
        <v>0</v>
      </c>
      <c r="P56" s="245">
        <f t="shared" si="72"/>
        <v>0</v>
      </c>
      <c r="Q56" s="245">
        <f t="shared" si="72"/>
        <v>0</v>
      </c>
      <c r="R56" s="245">
        <f t="shared" si="72"/>
        <v>0</v>
      </c>
      <c r="S56" s="245">
        <f t="shared" si="72"/>
        <v>0</v>
      </c>
      <c r="T56" s="245">
        <f t="shared" si="72"/>
        <v>0</v>
      </c>
      <c r="U56" s="245">
        <f t="shared" si="72"/>
        <v>0</v>
      </c>
      <c r="V56" s="245">
        <f t="shared" si="72"/>
        <v>0</v>
      </c>
      <c r="W56" s="245">
        <f t="shared" si="72"/>
        <v>0</v>
      </c>
      <c r="X56" s="245">
        <f t="shared" si="72"/>
        <v>0</v>
      </c>
      <c r="Y56" s="245">
        <f t="shared" si="72"/>
        <v>0</v>
      </c>
      <c r="Z56" s="245">
        <f t="shared" si="72"/>
        <v>0</v>
      </c>
      <c r="AA56" s="245">
        <f t="shared" si="72"/>
        <v>0</v>
      </c>
      <c r="AB56" s="245">
        <f t="shared" si="72"/>
        <v>0</v>
      </c>
      <c r="AC56" s="245">
        <f t="shared" si="72"/>
        <v>0</v>
      </c>
      <c r="AD56" s="245">
        <f t="shared" si="72"/>
        <v>0</v>
      </c>
      <c r="AE56" s="245">
        <f t="shared" si="72"/>
        <v>0</v>
      </c>
      <c r="AF56" s="245">
        <f t="shared" si="72"/>
        <v>0</v>
      </c>
      <c r="AG56" s="245">
        <f t="shared" si="72"/>
        <v>0</v>
      </c>
      <c r="AH56" s="245">
        <f t="shared" si="72"/>
        <v>0</v>
      </c>
      <c r="AI56" s="245">
        <f t="shared" si="72"/>
        <v>93528</v>
      </c>
      <c r="AJ56" s="245">
        <f t="shared" ref="AJ56" si="73">SUM(AJ57:AJ58)</f>
        <v>161557</v>
      </c>
      <c r="AL56" s="421"/>
      <c r="AM56" s="421"/>
      <c r="AN56" s="421"/>
      <c r="AO56" s="155"/>
      <c r="AP56" s="155"/>
      <c r="AQ56" s="155"/>
    </row>
    <row r="57" spans="1:43" hidden="1" x14ac:dyDescent="0.2">
      <c r="A57" s="48"/>
      <c r="B57" s="556" t="s">
        <v>618</v>
      </c>
      <c r="C57" s="557"/>
      <c r="D57" s="118" t="s">
        <v>619</v>
      </c>
      <c r="E57" s="245"/>
      <c r="F57" s="245">
        <f t="shared" ref="F57:F58" si="74">E57+G57</f>
        <v>0</v>
      </c>
      <c r="G57" s="245">
        <f t="shared" ref="G57:G58" si="75">SUBTOTAL(9,H57:S57)</f>
        <v>0</v>
      </c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>
        <f t="shared" ref="U57:U58" si="76">T57+V57</f>
        <v>0</v>
      </c>
      <c r="V57" s="245">
        <f t="shared" ref="V57:V58" si="77">SUBTOTAL(9,W57:AH57)</f>
        <v>0</v>
      </c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>
        <f>E57+T57</f>
        <v>0</v>
      </c>
      <c r="AJ57" s="245">
        <f t="shared" ref="AJ57:AJ58" si="78">F57+U57</f>
        <v>0</v>
      </c>
      <c r="AL57" s="421"/>
      <c r="AM57" s="421"/>
      <c r="AN57" s="421"/>
    </row>
    <row r="58" spans="1:43" ht="24" x14ac:dyDescent="0.2">
      <c r="A58" s="157"/>
      <c r="B58" s="556" t="s">
        <v>123</v>
      </c>
      <c r="C58" s="557"/>
      <c r="D58" s="118" t="s">
        <v>124</v>
      </c>
      <c r="E58" s="252">
        <f>26937+12992+3700+5880+500+10800+23900+4652+3427+740</f>
        <v>93528</v>
      </c>
      <c r="F58" s="252">
        <f t="shared" si="74"/>
        <v>161557</v>
      </c>
      <c r="G58" s="252">
        <f t="shared" si="75"/>
        <v>68029</v>
      </c>
      <c r="H58" s="252"/>
      <c r="I58" s="252"/>
      <c r="J58" s="252">
        <v>68029</v>
      </c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>
        <f t="shared" si="76"/>
        <v>0</v>
      </c>
      <c r="V58" s="252">
        <f t="shared" si="77"/>
        <v>0</v>
      </c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>
        <f>E58+T58</f>
        <v>93528</v>
      </c>
      <c r="AJ58" s="252">
        <f t="shared" si="78"/>
        <v>161557</v>
      </c>
      <c r="AL58" s="421"/>
      <c r="AM58" s="421"/>
      <c r="AN58" s="421"/>
    </row>
    <row r="59" spans="1:43" s="156" customFormat="1" ht="48" x14ac:dyDescent="0.2">
      <c r="A59" s="537" t="s">
        <v>85</v>
      </c>
      <c r="B59" s="538"/>
      <c r="C59" s="538"/>
      <c r="D59" s="64" t="s">
        <v>162</v>
      </c>
      <c r="E59" s="54">
        <f t="shared" ref="E59:AI59" si="79">SUM(E64,E61,E60,E63)</f>
        <v>1497101</v>
      </c>
      <c r="F59" s="54">
        <f t="shared" si="79"/>
        <v>1497101</v>
      </c>
      <c r="G59" s="54">
        <f t="shared" si="79"/>
        <v>0</v>
      </c>
      <c r="H59" s="54">
        <f t="shared" si="79"/>
        <v>0</v>
      </c>
      <c r="I59" s="54">
        <f t="shared" si="79"/>
        <v>0</v>
      </c>
      <c r="J59" s="54">
        <f t="shared" si="79"/>
        <v>0</v>
      </c>
      <c r="K59" s="54">
        <f t="shared" si="79"/>
        <v>0</v>
      </c>
      <c r="L59" s="54">
        <f t="shared" si="79"/>
        <v>0</v>
      </c>
      <c r="M59" s="54">
        <f t="shared" si="79"/>
        <v>0</v>
      </c>
      <c r="N59" s="54">
        <f t="shared" si="79"/>
        <v>0</v>
      </c>
      <c r="O59" s="54">
        <f t="shared" si="79"/>
        <v>0</v>
      </c>
      <c r="P59" s="54">
        <f t="shared" si="79"/>
        <v>0</v>
      </c>
      <c r="Q59" s="54">
        <f t="shared" si="79"/>
        <v>0</v>
      </c>
      <c r="R59" s="54">
        <f t="shared" si="79"/>
        <v>0</v>
      </c>
      <c r="S59" s="54">
        <f t="shared" si="79"/>
        <v>0</v>
      </c>
      <c r="T59" s="54">
        <f t="shared" si="79"/>
        <v>0</v>
      </c>
      <c r="U59" s="54">
        <f t="shared" si="79"/>
        <v>0</v>
      </c>
      <c r="V59" s="54">
        <f t="shared" si="79"/>
        <v>0</v>
      </c>
      <c r="W59" s="54">
        <f t="shared" si="79"/>
        <v>0</v>
      </c>
      <c r="X59" s="54">
        <f t="shared" si="79"/>
        <v>0</v>
      </c>
      <c r="Y59" s="54">
        <f t="shared" si="79"/>
        <v>0</v>
      </c>
      <c r="Z59" s="54">
        <f t="shared" si="79"/>
        <v>0</v>
      </c>
      <c r="AA59" s="54">
        <f t="shared" si="79"/>
        <v>0</v>
      </c>
      <c r="AB59" s="54">
        <f t="shared" si="79"/>
        <v>0</v>
      </c>
      <c r="AC59" s="54">
        <f t="shared" si="79"/>
        <v>0</v>
      </c>
      <c r="AD59" s="54">
        <f t="shared" si="79"/>
        <v>0</v>
      </c>
      <c r="AE59" s="54">
        <f t="shared" si="79"/>
        <v>0</v>
      </c>
      <c r="AF59" s="54">
        <f t="shared" si="79"/>
        <v>0</v>
      </c>
      <c r="AG59" s="54">
        <f t="shared" si="79"/>
        <v>0</v>
      </c>
      <c r="AH59" s="54">
        <f t="shared" si="79"/>
        <v>0</v>
      </c>
      <c r="AI59" s="54">
        <f t="shared" si="79"/>
        <v>1497101</v>
      </c>
      <c r="AJ59" s="54">
        <f t="shared" ref="AJ59" si="80">SUM(AJ64,AJ61,AJ60,AJ63)</f>
        <v>1497101</v>
      </c>
      <c r="AL59" s="421"/>
      <c r="AM59" s="421"/>
      <c r="AN59" s="421"/>
      <c r="AO59" s="155"/>
      <c r="AP59" s="155"/>
      <c r="AQ59" s="155"/>
    </row>
    <row r="60" spans="1:43" s="155" customFormat="1" ht="12.75" hidden="1" x14ac:dyDescent="0.2">
      <c r="A60" s="115"/>
      <c r="B60" s="184" t="s">
        <v>221</v>
      </c>
      <c r="C60" s="184"/>
      <c r="D60" s="47" t="s">
        <v>220</v>
      </c>
      <c r="E60" s="250"/>
      <c r="F60" s="250">
        <f>E60+G60</f>
        <v>0</v>
      </c>
      <c r="G60" s="250">
        <f>SUBTOTAL(9,H60:S60)</f>
        <v>0</v>
      </c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>
        <f>T60+V60</f>
        <v>0</v>
      </c>
      <c r="V60" s="250">
        <f>SUBTOTAL(9,W60:AH60)</f>
        <v>0</v>
      </c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>
        <f>E60+T60</f>
        <v>0</v>
      </c>
      <c r="AJ60" s="250">
        <f>F60+U60</f>
        <v>0</v>
      </c>
      <c r="AL60" s="421"/>
      <c r="AM60" s="421"/>
      <c r="AN60" s="421"/>
    </row>
    <row r="61" spans="1:43" s="155" customFormat="1" x14ac:dyDescent="0.2">
      <c r="A61" s="46"/>
      <c r="B61" s="539" t="s">
        <v>232</v>
      </c>
      <c r="C61" s="539"/>
      <c r="D61" s="47" t="s">
        <v>233</v>
      </c>
      <c r="E61" s="250">
        <f t="shared" ref="E61:AJ61" si="81">SUM(E62:E62)</f>
        <v>1000000</v>
      </c>
      <c r="F61" s="250">
        <f t="shared" si="81"/>
        <v>1000000</v>
      </c>
      <c r="G61" s="250">
        <f t="shared" si="81"/>
        <v>0</v>
      </c>
      <c r="H61" s="250">
        <f t="shared" si="81"/>
        <v>0</v>
      </c>
      <c r="I61" s="250">
        <f t="shared" si="81"/>
        <v>0</v>
      </c>
      <c r="J61" s="250">
        <f t="shared" si="81"/>
        <v>0</v>
      </c>
      <c r="K61" s="250">
        <f t="shared" si="81"/>
        <v>0</v>
      </c>
      <c r="L61" s="250">
        <f t="shared" si="81"/>
        <v>0</v>
      </c>
      <c r="M61" s="250">
        <f t="shared" si="81"/>
        <v>0</v>
      </c>
      <c r="N61" s="250">
        <f t="shared" si="81"/>
        <v>0</v>
      </c>
      <c r="O61" s="250">
        <f t="shared" si="81"/>
        <v>0</v>
      </c>
      <c r="P61" s="250">
        <f t="shared" si="81"/>
        <v>0</v>
      </c>
      <c r="Q61" s="250">
        <f t="shared" si="81"/>
        <v>0</v>
      </c>
      <c r="R61" s="250">
        <f t="shared" si="81"/>
        <v>0</v>
      </c>
      <c r="S61" s="250">
        <f t="shared" si="81"/>
        <v>0</v>
      </c>
      <c r="T61" s="250">
        <f t="shared" si="81"/>
        <v>0</v>
      </c>
      <c r="U61" s="250">
        <f t="shared" si="81"/>
        <v>0</v>
      </c>
      <c r="V61" s="250">
        <f t="shared" si="81"/>
        <v>0</v>
      </c>
      <c r="W61" s="250">
        <f t="shared" si="81"/>
        <v>0</v>
      </c>
      <c r="X61" s="250">
        <f t="shared" si="81"/>
        <v>0</v>
      </c>
      <c r="Y61" s="250">
        <f t="shared" si="81"/>
        <v>0</v>
      </c>
      <c r="Z61" s="250">
        <f t="shared" si="81"/>
        <v>0</v>
      </c>
      <c r="AA61" s="250">
        <f t="shared" si="81"/>
        <v>0</v>
      </c>
      <c r="AB61" s="250">
        <f t="shared" si="81"/>
        <v>0</v>
      </c>
      <c r="AC61" s="250">
        <f t="shared" si="81"/>
        <v>0</v>
      </c>
      <c r="AD61" s="250">
        <f t="shared" si="81"/>
        <v>0</v>
      </c>
      <c r="AE61" s="250">
        <f t="shared" si="81"/>
        <v>0</v>
      </c>
      <c r="AF61" s="250">
        <f t="shared" si="81"/>
        <v>0</v>
      </c>
      <c r="AG61" s="250">
        <f t="shared" si="81"/>
        <v>0</v>
      </c>
      <c r="AH61" s="250">
        <f t="shared" si="81"/>
        <v>0</v>
      </c>
      <c r="AI61" s="250">
        <f t="shared" si="81"/>
        <v>1000000</v>
      </c>
      <c r="AJ61" s="250">
        <f t="shared" si="81"/>
        <v>1000000</v>
      </c>
      <c r="AL61" s="421"/>
      <c r="AM61" s="421"/>
      <c r="AN61" s="421"/>
    </row>
    <row r="62" spans="1:43" s="155" customFormat="1" x14ac:dyDescent="0.2">
      <c r="A62" s="46"/>
      <c r="B62" s="548" t="s">
        <v>142</v>
      </c>
      <c r="C62" s="548"/>
      <c r="D62" s="56" t="s">
        <v>143</v>
      </c>
      <c r="E62" s="57">
        <v>1000000</v>
      </c>
      <c r="F62" s="57">
        <f t="shared" ref="F62:F63" si="82">E62+G62</f>
        <v>1000000</v>
      </c>
      <c r="G62" s="57">
        <f t="shared" ref="G62:G63" si="83">SUBTOTAL(9,H62:S62)</f>
        <v>0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>
        <f t="shared" ref="U62:U63" si="84">T62+V62</f>
        <v>0</v>
      </c>
      <c r="V62" s="57">
        <f t="shared" ref="V62:V63" si="85">SUBTOTAL(9,W62:AH62)</f>
        <v>0</v>
      </c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>
        <f t="shared" ref="AI62:AI63" si="86">E62+T62</f>
        <v>1000000</v>
      </c>
      <c r="AJ62" s="57">
        <f t="shared" ref="AJ62:AJ63" si="87">F62+U62</f>
        <v>1000000</v>
      </c>
      <c r="AL62" s="421"/>
      <c r="AM62" s="421"/>
      <c r="AN62" s="421"/>
    </row>
    <row r="63" spans="1:43" s="155" customFormat="1" ht="24" hidden="1" x14ac:dyDescent="0.2">
      <c r="A63" s="46"/>
      <c r="B63" s="153" t="s">
        <v>234</v>
      </c>
      <c r="C63" s="153"/>
      <c r="D63" s="47" t="s">
        <v>280</v>
      </c>
      <c r="E63" s="250"/>
      <c r="F63" s="250">
        <f t="shared" si="82"/>
        <v>0</v>
      </c>
      <c r="G63" s="250">
        <f t="shared" si="83"/>
        <v>0</v>
      </c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0">
        <f t="shared" si="84"/>
        <v>0</v>
      </c>
      <c r="V63" s="250">
        <f t="shared" si="85"/>
        <v>0</v>
      </c>
      <c r="W63" s="250"/>
      <c r="X63" s="250"/>
      <c r="Y63" s="250"/>
      <c r="Z63" s="250"/>
      <c r="AA63" s="250"/>
      <c r="AB63" s="250"/>
      <c r="AC63" s="250"/>
      <c r="AD63" s="250"/>
      <c r="AE63" s="250"/>
      <c r="AF63" s="250"/>
      <c r="AG63" s="250"/>
      <c r="AH63" s="250"/>
      <c r="AI63" s="250">
        <f t="shared" si="86"/>
        <v>0</v>
      </c>
      <c r="AJ63" s="250">
        <f t="shared" si="87"/>
        <v>0</v>
      </c>
      <c r="AL63" s="421"/>
      <c r="AM63" s="421"/>
      <c r="AN63" s="421"/>
    </row>
    <row r="64" spans="1:43" s="155" customFormat="1" ht="24" x14ac:dyDescent="0.2">
      <c r="A64" s="46"/>
      <c r="B64" s="539" t="s">
        <v>144</v>
      </c>
      <c r="C64" s="539"/>
      <c r="D64" s="47" t="s">
        <v>115</v>
      </c>
      <c r="E64" s="250">
        <f t="shared" ref="E64:AH64" si="88">SUM(E65:E67)</f>
        <v>497101</v>
      </c>
      <c r="F64" s="250">
        <f t="shared" si="88"/>
        <v>497101</v>
      </c>
      <c r="G64" s="250">
        <f t="shared" si="88"/>
        <v>0</v>
      </c>
      <c r="H64" s="250">
        <f t="shared" si="88"/>
        <v>0</v>
      </c>
      <c r="I64" s="250">
        <f t="shared" si="88"/>
        <v>0</v>
      </c>
      <c r="J64" s="250">
        <f t="shared" si="88"/>
        <v>0</v>
      </c>
      <c r="K64" s="250">
        <f t="shared" si="88"/>
        <v>0</v>
      </c>
      <c r="L64" s="250">
        <f t="shared" si="88"/>
        <v>0</v>
      </c>
      <c r="M64" s="250">
        <f t="shared" si="88"/>
        <v>0</v>
      </c>
      <c r="N64" s="250">
        <f t="shared" si="88"/>
        <v>0</v>
      </c>
      <c r="O64" s="250">
        <f t="shared" si="88"/>
        <v>0</v>
      </c>
      <c r="P64" s="250">
        <f t="shared" si="88"/>
        <v>0</v>
      </c>
      <c r="Q64" s="250">
        <f t="shared" si="88"/>
        <v>0</v>
      </c>
      <c r="R64" s="250">
        <f t="shared" si="88"/>
        <v>0</v>
      </c>
      <c r="S64" s="250">
        <f t="shared" si="88"/>
        <v>0</v>
      </c>
      <c r="T64" s="250">
        <f t="shared" si="88"/>
        <v>0</v>
      </c>
      <c r="U64" s="250">
        <f t="shared" si="88"/>
        <v>0</v>
      </c>
      <c r="V64" s="250">
        <f t="shared" si="88"/>
        <v>0</v>
      </c>
      <c r="W64" s="250">
        <f t="shared" si="88"/>
        <v>0</v>
      </c>
      <c r="X64" s="250">
        <f t="shared" si="88"/>
        <v>0</v>
      </c>
      <c r="Y64" s="250">
        <f t="shared" si="88"/>
        <v>0</v>
      </c>
      <c r="Z64" s="250">
        <f t="shared" si="88"/>
        <v>0</v>
      </c>
      <c r="AA64" s="250">
        <f t="shared" si="88"/>
        <v>0</v>
      </c>
      <c r="AB64" s="250">
        <f t="shared" si="88"/>
        <v>0</v>
      </c>
      <c r="AC64" s="250">
        <f t="shared" si="88"/>
        <v>0</v>
      </c>
      <c r="AD64" s="250">
        <f t="shared" si="88"/>
        <v>0</v>
      </c>
      <c r="AE64" s="250">
        <f t="shared" si="88"/>
        <v>0</v>
      </c>
      <c r="AF64" s="250">
        <f t="shared" si="88"/>
        <v>0</v>
      </c>
      <c r="AG64" s="250">
        <f t="shared" si="88"/>
        <v>0</v>
      </c>
      <c r="AH64" s="250">
        <f t="shared" si="88"/>
        <v>0</v>
      </c>
      <c r="AI64" s="250">
        <f t="shared" ref="AI64:AJ64" si="89">SUM(AI65:AI67)</f>
        <v>497101</v>
      </c>
      <c r="AJ64" s="250">
        <f t="shared" si="89"/>
        <v>497101</v>
      </c>
      <c r="AL64" s="421"/>
      <c r="AM64" s="421"/>
      <c r="AN64" s="421"/>
      <c r="AO64" s="37"/>
      <c r="AP64" s="37"/>
      <c r="AQ64" s="37"/>
    </row>
    <row r="65" spans="1:43" x14ac:dyDescent="0.2">
      <c r="A65" s="48"/>
      <c r="B65" s="548" t="s">
        <v>145</v>
      </c>
      <c r="C65" s="548"/>
      <c r="D65" s="49" t="s">
        <v>116</v>
      </c>
      <c r="E65" s="245">
        <f>215234+37838</f>
        <v>253072</v>
      </c>
      <c r="F65" s="245">
        <f t="shared" ref="F65:F67" si="90">E65+G65</f>
        <v>253072</v>
      </c>
      <c r="G65" s="245">
        <f t="shared" ref="G65:G67" si="91">SUBTOTAL(9,H65:S65)</f>
        <v>0</v>
      </c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>
        <f t="shared" ref="U65:U67" si="92">T65+V65</f>
        <v>0</v>
      </c>
      <c r="V65" s="245">
        <f t="shared" ref="V65:V67" si="93">SUBTOTAL(9,W65:AH65)</f>
        <v>0</v>
      </c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>
        <f t="shared" ref="AI65:AI67" si="94">E65+T65</f>
        <v>253072</v>
      </c>
      <c r="AJ65" s="245">
        <f t="shared" ref="AJ65:AJ67" si="95">F65+U65</f>
        <v>253072</v>
      </c>
      <c r="AL65" s="421"/>
      <c r="AM65" s="421"/>
      <c r="AN65" s="421"/>
    </row>
    <row r="66" spans="1:43" x14ac:dyDescent="0.2">
      <c r="A66" s="55"/>
      <c r="B66" s="543" t="s">
        <v>146</v>
      </c>
      <c r="C66" s="543"/>
      <c r="D66" s="56" t="s">
        <v>117</v>
      </c>
      <c r="E66" s="57">
        <f>39168+302</f>
        <v>39470</v>
      </c>
      <c r="F66" s="57">
        <f t="shared" si="90"/>
        <v>39470</v>
      </c>
      <c r="G66" s="57">
        <f t="shared" si="91"/>
        <v>0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>
        <f t="shared" si="92"/>
        <v>0</v>
      </c>
      <c r="V66" s="57">
        <f t="shared" si="93"/>
        <v>0</v>
      </c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>
        <f t="shared" si="94"/>
        <v>39470</v>
      </c>
      <c r="AJ66" s="57">
        <f t="shared" si="95"/>
        <v>39470</v>
      </c>
      <c r="AL66" s="421"/>
      <c r="AM66" s="421"/>
      <c r="AN66" s="421"/>
    </row>
    <row r="67" spans="1:43" x14ac:dyDescent="0.2">
      <c r="A67" s="65"/>
      <c r="B67" s="550" t="s">
        <v>147</v>
      </c>
      <c r="C67" s="550"/>
      <c r="D67" s="66" t="s">
        <v>118</v>
      </c>
      <c r="E67" s="57">
        <f>202165+2394</f>
        <v>204559</v>
      </c>
      <c r="F67" s="57">
        <f t="shared" si="90"/>
        <v>204559</v>
      </c>
      <c r="G67" s="57">
        <f t="shared" si="91"/>
        <v>0</v>
      </c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>
        <f t="shared" si="92"/>
        <v>0</v>
      </c>
      <c r="V67" s="57">
        <f t="shared" si="93"/>
        <v>0</v>
      </c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>
        <f t="shared" si="94"/>
        <v>204559</v>
      </c>
      <c r="AJ67" s="57">
        <f t="shared" si="95"/>
        <v>204559</v>
      </c>
      <c r="AL67" s="421"/>
      <c r="AM67" s="421"/>
      <c r="AN67" s="421"/>
      <c r="AO67" s="156"/>
      <c r="AP67" s="156"/>
      <c r="AQ67" s="156"/>
    </row>
    <row r="68" spans="1:43" ht="36.75" customHeight="1" x14ac:dyDescent="0.2">
      <c r="A68" s="537" t="s">
        <v>620</v>
      </c>
      <c r="B68" s="538"/>
      <c r="C68" s="538"/>
      <c r="D68" s="64" t="s">
        <v>621</v>
      </c>
      <c r="E68" s="254">
        <f t="shared" ref="E68:AJ68" si="96">SUM(E69)</f>
        <v>204851</v>
      </c>
      <c r="F68" s="254">
        <f t="shared" si="96"/>
        <v>204434</v>
      </c>
      <c r="G68" s="254">
        <f t="shared" si="96"/>
        <v>-417</v>
      </c>
      <c r="H68" s="254">
        <f t="shared" si="96"/>
        <v>0</v>
      </c>
      <c r="I68" s="254">
        <f t="shared" si="96"/>
        <v>0</v>
      </c>
      <c r="J68" s="254">
        <f t="shared" si="96"/>
        <v>0</v>
      </c>
      <c r="K68" s="254">
        <f t="shared" si="96"/>
        <v>0</v>
      </c>
      <c r="L68" s="254">
        <f t="shared" si="96"/>
        <v>0</v>
      </c>
      <c r="M68" s="254">
        <f t="shared" si="96"/>
        <v>-417</v>
      </c>
      <c r="N68" s="254">
        <f t="shared" si="96"/>
        <v>0</v>
      </c>
      <c r="O68" s="254">
        <f t="shared" si="96"/>
        <v>0</v>
      </c>
      <c r="P68" s="254">
        <f t="shared" si="96"/>
        <v>0</v>
      </c>
      <c r="Q68" s="254">
        <f t="shared" si="96"/>
        <v>0</v>
      </c>
      <c r="R68" s="254">
        <f t="shared" si="96"/>
        <v>0</v>
      </c>
      <c r="S68" s="254">
        <f t="shared" si="96"/>
        <v>0</v>
      </c>
      <c r="T68" s="254">
        <f t="shared" si="96"/>
        <v>0</v>
      </c>
      <c r="U68" s="254">
        <f t="shared" si="96"/>
        <v>0</v>
      </c>
      <c r="V68" s="254">
        <f t="shared" si="96"/>
        <v>0</v>
      </c>
      <c r="W68" s="254">
        <f t="shared" si="96"/>
        <v>0</v>
      </c>
      <c r="X68" s="254">
        <f t="shared" si="96"/>
        <v>0</v>
      </c>
      <c r="Y68" s="254">
        <f t="shared" si="96"/>
        <v>0</v>
      </c>
      <c r="Z68" s="254">
        <f t="shared" si="96"/>
        <v>0</v>
      </c>
      <c r="AA68" s="254">
        <f t="shared" si="96"/>
        <v>0</v>
      </c>
      <c r="AB68" s="254">
        <f t="shared" si="96"/>
        <v>0</v>
      </c>
      <c r="AC68" s="254">
        <f t="shared" si="96"/>
        <v>0</v>
      </c>
      <c r="AD68" s="254">
        <f t="shared" si="96"/>
        <v>0</v>
      </c>
      <c r="AE68" s="254">
        <f t="shared" si="96"/>
        <v>0</v>
      </c>
      <c r="AF68" s="254">
        <f t="shared" si="96"/>
        <v>0</v>
      </c>
      <c r="AG68" s="254">
        <f t="shared" si="96"/>
        <v>0</v>
      </c>
      <c r="AH68" s="254">
        <f t="shared" si="96"/>
        <v>0</v>
      </c>
      <c r="AI68" s="254">
        <f t="shared" si="96"/>
        <v>204851</v>
      </c>
      <c r="AJ68" s="254">
        <f t="shared" si="96"/>
        <v>204434</v>
      </c>
      <c r="AL68" s="421"/>
      <c r="AM68" s="421"/>
      <c r="AN68" s="421"/>
      <c r="AO68" s="155"/>
      <c r="AP68" s="155"/>
      <c r="AQ68" s="155"/>
    </row>
    <row r="69" spans="1:43" ht="36" x14ac:dyDescent="0.2">
      <c r="A69" s="55"/>
      <c r="B69" s="240" t="s">
        <v>622</v>
      </c>
      <c r="C69" s="240"/>
      <c r="D69" s="47" t="s">
        <v>623</v>
      </c>
      <c r="E69" s="257">
        <v>204851</v>
      </c>
      <c r="F69" s="257">
        <f>E69+G69</f>
        <v>204434</v>
      </c>
      <c r="G69" s="257">
        <f>SUBTOTAL(9,H69:S69)</f>
        <v>-417</v>
      </c>
      <c r="H69" s="67"/>
      <c r="I69" s="67"/>
      <c r="J69" s="67"/>
      <c r="K69" s="67"/>
      <c r="L69" s="67"/>
      <c r="M69" s="67">
        <v>-417</v>
      </c>
      <c r="N69" s="67"/>
      <c r="O69" s="67"/>
      <c r="P69" s="67"/>
      <c r="Q69" s="67"/>
      <c r="R69" s="67"/>
      <c r="S69" s="67"/>
      <c r="T69" s="257"/>
      <c r="U69" s="257">
        <f>T69+V69</f>
        <v>0</v>
      </c>
      <c r="V69" s="257">
        <f>SUBTOTAL(9,W69:AH69)</f>
        <v>0</v>
      </c>
      <c r="W69" s="257"/>
      <c r="X69" s="257"/>
      <c r="Y69" s="257"/>
      <c r="Z69" s="257"/>
      <c r="AA69" s="257"/>
      <c r="AB69" s="257"/>
      <c r="AC69" s="257"/>
      <c r="AD69" s="257"/>
      <c r="AE69" s="257"/>
      <c r="AF69" s="257"/>
      <c r="AG69" s="257"/>
      <c r="AH69" s="257"/>
      <c r="AI69" s="257">
        <f t="shared" ref="AI69" si="97">E69+T69</f>
        <v>204851</v>
      </c>
      <c r="AJ69" s="257">
        <f>F69+U69</f>
        <v>204434</v>
      </c>
      <c r="AL69" s="421"/>
      <c r="AM69" s="421"/>
      <c r="AN69" s="421"/>
      <c r="AO69" s="155"/>
      <c r="AP69" s="155"/>
      <c r="AQ69" s="155"/>
    </row>
    <row r="70" spans="1:43" s="156" customFormat="1" x14ac:dyDescent="0.2">
      <c r="A70" s="537" t="s">
        <v>86</v>
      </c>
      <c r="B70" s="538"/>
      <c r="C70" s="538"/>
      <c r="D70" s="64" t="s">
        <v>87</v>
      </c>
      <c r="E70" s="54">
        <f t="shared" ref="E70:AJ70" si="98">SUM(E71)</f>
        <v>11873115</v>
      </c>
      <c r="F70" s="54">
        <f t="shared" si="98"/>
        <v>12497012</v>
      </c>
      <c r="G70" s="54">
        <f t="shared" si="98"/>
        <v>623897</v>
      </c>
      <c r="H70" s="54">
        <f t="shared" si="98"/>
        <v>-1256</v>
      </c>
      <c r="I70" s="54">
        <f t="shared" si="98"/>
        <v>42573</v>
      </c>
      <c r="J70" s="54">
        <f t="shared" si="98"/>
        <v>241743</v>
      </c>
      <c r="K70" s="54">
        <f t="shared" si="98"/>
        <v>12743</v>
      </c>
      <c r="L70" s="54">
        <f t="shared" si="98"/>
        <v>114171</v>
      </c>
      <c r="M70" s="54">
        <f t="shared" si="98"/>
        <v>-2919</v>
      </c>
      <c r="N70" s="54">
        <f t="shared" si="98"/>
        <v>32254</v>
      </c>
      <c r="O70" s="54">
        <f t="shared" si="98"/>
        <v>15070</v>
      </c>
      <c r="P70" s="54">
        <f t="shared" si="98"/>
        <v>121489</v>
      </c>
      <c r="Q70" s="54">
        <f t="shared" si="98"/>
        <v>48029</v>
      </c>
      <c r="R70" s="54">
        <f t="shared" si="98"/>
        <v>0</v>
      </c>
      <c r="S70" s="54">
        <f t="shared" si="98"/>
        <v>0</v>
      </c>
      <c r="T70" s="54">
        <f t="shared" si="98"/>
        <v>0</v>
      </c>
      <c r="U70" s="54">
        <f t="shared" si="98"/>
        <v>-10647</v>
      </c>
      <c r="V70" s="54">
        <f t="shared" si="98"/>
        <v>-10647</v>
      </c>
      <c r="W70" s="54">
        <f t="shared" si="98"/>
        <v>0</v>
      </c>
      <c r="X70" s="54">
        <f t="shared" si="98"/>
        <v>0</v>
      </c>
      <c r="Y70" s="54">
        <f t="shared" si="98"/>
        <v>0</v>
      </c>
      <c r="Z70" s="54">
        <f t="shared" si="98"/>
        <v>0</v>
      </c>
      <c r="AA70" s="54">
        <f t="shared" si="98"/>
        <v>0</v>
      </c>
      <c r="AB70" s="54">
        <f t="shared" si="98"/>
        <v>0</v>
      </c>
      <c r="AC70" s="54">
        <f t="shared" si="98"/>
        <v>0</v>
      </c>
      <c r="AD70" s="54">
        <f t="shared" si="98"/>
        <v>-10647</v>
      </c>
      <c r="AE70" s="54">
        <f t="shared" si="98"/>
        <v>0</v>
      </c>
      <c r="AF70" s="54">
        <f t="shared" si="98"/>
        <v>0</v>
      </c>
      <c r="AG70" s="54">
        <f t="shared" si="98"/>
        <v>0</v>
      </c>
      <c r="AH70" s="54">
        <f t="shared" si="98"/>
        <v>0</v>
      </c>
      <c r="AI70" s="54">
        <f t="shared" si="98"/>
        <v>11873115</v>
      </c>
      <c r="AJ70" s="54">
        <f t="shared" si="98"/>
        <v>12486365</v>
      </c>
      <c r="AL70" s="421"/>
      <c r="AM70" s="421"/>
      <c r="AN70" s="421"/>
      <c r="AO70" s="155"/>
      <c r="AP70" s="155"/>
      <c r="AQ70" s="155"/>
    </row>
    <row r="71" spans="1:43" s="155" customFormat="1" x14ac:dyDescent="0.2">
      <c r="A71" s="46"/>
      <c r="B71" s="539" t="s">
        <v>88</v>
      </c>
      <c r="C71" s="539"/>
      <c r="D71" s="47" t="s">
        <v>254</v>
      </c>
      <c r="E71" s="250">
        <f t="shared" ref="E71:S71" si="99">SUM(,E72,E73,E74)</f>
        <v>11873115</v>
      </c>
      <c r="F71" s="250">
        <f t="shared" si="99"/>
        <v>12497012</v>
      </c>
      <c r="G71" s="250">
        <f t="shared" si="99"/>
        <v>623897</v>
      </c>
      <c r="H71" s="250">
        <f t="shared" si="99"/>
        <v>-1256</v>
      </c>
      <c r="I71" s="250">
        <f t="shared" si="99"/>
        <v>42573</v>
      </c>
      <c r="J71" s="250">
        <f t="shared" si="99"/>
        <v>241743</v>
      </c>
      <c r="K71" s="250">
        <f t="shared" si="99"/>
        <v>12743</v>
      </c>
      <c r="L71" s="250">
        <f t="shared" si="99"/>
        <v>114171</v>
      </c>
      <c r="M71" s="250">
        <f t="shared" si="99"/>
        <v>-2919</v>
      </c>
      <c r="N71" s="250">
        <f t="shared" si="99"/>
        <v>32254</v>
      </c>
      <c r="O71" s="250">
        <f t="shared" si="99"/>
        <v>15070</v>
      </c>
      <c r="P71" s="250">
        <f t="shared" si="99"/>
        <v>121489</v>
      </c>
      <c r="Q71" s="250">
        <f t="shared" si="99"/>
        <v>48029</v>
      </c>
      <c r="R71" s="250">
        <f t="shared" si="99"/>
        <v>0</v>
      </c>
      <c r="S71" s="250">
        <f t="shared" si="99"/>
        <v>0</v>
      </c>
      <c r="T71" s="250">
        <f t="shared" ref="T71:AH71" si="100">SUM(,T72,T73,T74)</f>
        <v>0</v>
      </c>
      <c r="U71" s="250">
        <f t="shared" si="100"/>
        <v>-10647</v>
      </c>
      <c r="V71" s="250">
        <f t="shared" si="100"/>
        <v>-10647</v>
      </c>
      <c r="W71" s="250">
        <f t="shared" si="100"/>
        <v>0</v>
      </c>
      <c r="X71" s="250">
        <f t="shared" si="100"/>
        <v>0</v>
      </c>
      <c r="Y71" s="250">
        <f t="shared" si="100"/>
        <v>0</v>
      </c>
      <c r="Z71" s="250">
        <f t="shared" si="100"/>
        <v>0</v>
      </c>
      <c r="AA71" s="250">
        <f t="shared" si="100"/>
        <v>0</v>
      </c>
      <c r="AB71" s="250">
        <f t="shared" si="100"/>
        <v>0</v>
      </c>
      <c r="AC71" s="250">
        <f t="shared" si="100"/>
        <v>0</v>
      </c>
      <c r="AD71" s="250">
        <f t="shared" si="100"/>
        <v>-10647</v>
      </c>
      <c r="AE71" s="250">
        <f t="shared" si="100"/>
        <v>0</v>
      </c>
      <c r="AF71" s="250">
        <f t="shared" si="100"/>
        <v>0</v>
      </c>
      <c r="AG71" s="250">
        <f t="shared" si="100"/>
        <v>0</v>
      </c>
      <c r="AH71" s="250">
        <f t="shared" si="100"/>
        <v>0</v>
      </c>
      <c r="AI71" s="250">
        <f t="shared" ref="AI71:AJ71" si="101">SUM(,AI72,AI73,AI74)</f>
        <v>11873115</v>
      </c>
      <c r="AJ71" s="250">
        <f t="shared" si="101"/>
        <v>12486365</v>
      </c>
      <c r="AL71" s="421"/>
      <c r="AM71" s="421"/>
      <c r="AN71" s="421"/>
    </row>
    <row r="72" spans="1:43" ht="24" x14ac:dyDescent="0.2">
      <c r="A72" s="55"/>
      <c r="B72" s="543" t="s">
        <v>89</v>
      </c>
      <c r="C72" s="543"/>
      <c r="D72" s="56" t="s">
        <v>250</v>
      </c>
      <c r="E72" s="57">
        <v>10171815</v>
      </c>
      <c r="F72" s="245">
        <f t="shared" ref="F72:F74" si="102">E72+G72</f>
        <v>10610655</v>
      </c>
      <c r="G72" s="245">
        <f t="shared" ref="G72:G74" si="103">SUBTOTAL(9,H72:S72)</f>
        <v>438840</v>
      </c>
      <c r="H72" s="245"/>
      <c r="I72" s="245">
        <v>-3775</v>
      </c>
      <c r="J72" s="245">
        <f>21403+1492+1466+191307</f>
        <v>215668</v>
      </c>
      <c r="K72" s="245">
        <f>2873+3078+6792</f>
        <v>12743</v>
      </c>
      <c r="L72" s="245">
        <f>10692+14000+3246+3359+8490+7949+10599+1026+1977+5635+5635+5896+503+1268+1492+541+821+1642+373+653-3167+4371+3750+3433+522-20+3593</f>
        <v>98279</v>
      </c>
      <c r="M72" s="245">
        <f>1343</f>
        <v>1343</v>
      </c>
      <c r="N72" s="245">
        <f>17477+3150</f>
        <v>20627</v>
      </c>
      <c r="O72" s="245">
        <f>778+3645+10647</f>
        <v>15070</v>
      </c>
      <c r="P72" s="245">
        <v>30856</v>
      </c>
      <c r="Q72" s="245">
        <f>47240+600+189</f>
        <v>48029</v>
      </c>
      <c r="R72" s="245"/>
      <c r="S72" s="245"/>
      <c r="T72" s="245"/>
      <c r="U72" s="245">
        <f t="shared" ref="U72:U74" si="104">T72+V72</f>
        <v>-10647</v>
      </c>
      <c r="V72" s="245">
        <f t="shared" ref="V72:V74" si="105">SUBTOTAL(9,W72:AH72)</f>
        <v>-10647</v>
      </c>
      <c r="W72" s="245"/>
      <c r="X72" s="245"/>
      <c r="Y72" s="245"/>
      <c r="Z72" s="245"/>
      <c r="AA72" s="245"/>
      <c r="AB72" s="245"/>
      <c r="AC72" s="245"/>
      <c r="AD72" s="245">
        <v>-10647</v>
      </c>
      <c r="AE72" s="245"/>
      <c r="AF72" s="245"/>
      <c r="AG72" s="245"/>
      <c r="AH72" s="245"/>
      <c r="AI72" s="245">
        <f t="shared" ref="AI72:AI74" si="106">E72+T72</f>
        <v>10171815</v>
      </c>
      <c r="AJ72" s="245">
        <f t="shared" ref="AJ72:AJ74" si="107">F72+U72</f>
        <v>10600008</v>
      </c>
      <c r="AL72" s="421"/>
      <c r="AM72" s="421"/>
      <c r="AN72" s="421"/>
      <c r="AO72" s="155"/>
      <c r="AP72" s="155"/>
      <c r="AQ72" s="155"/>
    </row>
    <row r="73" spans="1:43" ht="48" x14ac:dyDescent="0.2">
      <c r="A73" s="55"/>
      <c r="B73" s="543" t="s">
        <v>125</v>
      </c>
      <c r="C73" s="543"/>
      <c r="D73" s="56" t="s">
        <v>251</v>
      </c>
      <c r="E73" s="57">
        <v>857663</v>
      </c>
      <c r="F73" s="245">
        <f t="shared" si="102"/>
        <v>1022720</v>
      </c>
      <c r="G73" s="245">
        <f t="shared" si="103"/>
        <v>165057</v>
      </c>
      <c r="H73" s="245">
        <v>-1256</v>
      </c>
      <c r="I73" s="245">
        <f>36050+10298</f>
        <v>46348</v>
      </c>
      <c r="J73" s="245">
        <f>7704+16946+1425</f>
        <v>26075</v>
      </c>
      <c r="K73" s="245"/>
      <c r="L73" s="245">
        <f>942+2921+3029</f>
        <v>6892</v>
      </c>
      <c r="M73" s="245">
        <f>2-14511-752-1</f>
        <v>-15262</v>
      </c>
      <c r="N73" s="245">
        <v>11627</v>
      </c>
      <c r="O73" s="245"/>
      <c r="P73" s="245">
        <f>9128+81505</f>
        <v>90633</v>
      </c>
      <c r="Q73" s="245"/>
      <c r="R73" s="245"/>
      <c r="S73" s="245"/>
      <c r="T73" s="316"/>
      <c r="U73" s="245">
        <f t="shared" si="104"/>
        <v>0</v>
      </c>
      <c r="V73" s="245">
        <f t="shared" si="105"/>
        <v>0</v>
      </c>
      <c r="W73" s="316"/>
      <c r="X73" s="316"/>
      <c r="Y73" s="316"/>
      <c r="Z73" s="316"/>
      <c r="AA73" s="316"/>
      <c r="AB73" s="316"/>
      <c r="AC73" s="316"/>
      <c r="AD73" s="316"/>
      <c r="AE73" s="316"/>
      <c r="AF73" s="316"/>
      <c r="AG73" s="316"/>
      <c r="AH73" s="316"/>
      <c r="AI73" s="245">
        <f t="shared" si="106"/>
        <v>857663</v>
      </c>
      <c r="AJ73" s="245">
        <f t="shared" si="107"/>
        <v>1022720</v>
      </c>
      <c r="AL73" s="421"/>
      <c r="AM73" s="421"/>
      <c r="AN73" s="421"/>
    </row>
    <row r="74" spans="1:43" ht="24" x14ac:dyDescent="0.2">
      <c r="A74" s="65"/>
      <c r="B74" s="550" t="s">
        <v>126</v>
      </c>
      <c r="C74" s="550"/>
      <c r="D74" s="66" t="s">
        <v>252</v>
      </c>
      <c r="E74" s="67">
        <v>843637</v>
      </c>
      <c r="F74" s="249">
        <f t="shared" si="102"/>
        <v>863637</v>
      </c>
      <c r="G74" s="249">
        <f t="shared" si="103"/>
        <v>20000</v>
      </c>
      <c r="H74" s="249"/>
      <c r="I74" s="249"/>
      <c r="J74" s="249"/>
      <c r="K74" s="249"/>
      <c r="L74" s="249">
        <v>9000</v>
      </c>
      <c r="M74" s="249">
        <v>11000</v>
      </c>
      <c r="N74" s="249"/>
      <c r="O74" s="249"/>
      <c r="P74" s="249"/>
      <c r="Q74" s="249"/>
      <c r="R74" s="249"/>
      <c r="S74" s="249"/>
      <c r="T74" s="249"/>
      <c r="U74" s="249">
        <f t="shared" si="104"/>
        <v>0</v>
      </c>
      <c r="V74" s="249">
        <f t="shared" si="105"/>
        <v>0</v>
      </c>
      <c r="W74" s="249"/>
      <c r="X74" s="249"/>
      <c r="Y74" s="249"/>
      <c r="Z74" s="249"/>
      <c r="AA74" s="249"/>
      <c r="AB74" s="249"/>
      <c r="AC74" s="249"/>
      <c r="AD74" s="249"/>
      <c r="AE74" s="249"/>
      <c r="AF74" s="249"/>
      <c r="AG74" s="249"/>
      <c r="AH74" s="249"/>
      <c r="AI74" s="249">
        <f t="shared" si="106"/>
        <v>843637</v>
      </c>
      <c r="AJ74" s="249">
        <f t="shared" si="107"/>
        <v>863637</v>
      </c>
      <c r="AL74" s="421"/>
      <c r="AM74" s="421"/>
      <c r="AN74" s="421"/>
    </row>
    <row r="75" spans="1:43" s="156" customFormat="1" x14ac:dyDescent="0.2">
      <c r="A75" s="537" t="s">
        <v>90</v>
      </c>
      <c r="B75" s="538"/>
      <c r="C75" s="538"/>
      <c r="D75" s="64" t="s">
        <v>91</v>
      </c>
      <c r="E75" s="54">
        <f t="shared" ref="E75:AI75" si="108">SUM(E76,E77,E78)</f>
        <v>1048260</v>
      </c>
      <c r="F75" s="54">
        <f t="shared" si="108"/>
        <v>1131317</v>
      </c>
      <c r="G75" s="54">
        <f t="shared" si="108"/>
        <v>83057</v>
      </c>
      <c r="H75" s="54">
        <f t="shared" si="108"/>
        <v>16779</v>
      </c>
      <c r="I75" s="54">
        <f t="shared" si="108"/>
        <v>7210</v>
      </c>
      <c r="J75" s="54">
        <f t="shared" si="108"/>
        <v>0</v>
      </c>
      <c r="K75" s="54">
        <f t="shared" si="108"/>
        <v>101</v>
      </c>
      <c r="L75" s="54">
        <f t="shared" si="108"/>
        <v>18497</v>
      </c>
      <c r="M75" s="54">
        <f t="shared" si="108"/>
        <v>31731</v>
      </c>
      <c r="N75" s="54">
        <f t="shared" si="108"/>
        <v>8739</v>
      </c>
      <c r="O75" s="54">
        <f t="shared" si="108"/>
        <v>0</v>
      </c>
      <c r="P75" s="54">
        <f t="shared" si="108"/>
        <v>0</v>
      </c>
      <c r="Q75" s="54">
        <f t="shared" si="108"/>
        <v>0</v>
      </c>
      <c r="R75" s="54">
        <f t="shared" si="108"/>
        <v>0</v>
      </c>
      <c r="S75" s="54">
        <f t="shared" si="108"/>
        <v>0</v>
      </c>
      <c r="T75" s="54">
        <f t="shared" si="108"/>
        <v>-339261</v>
      </c>
      <c r="U75" s="54">
        <f t="shared" si="108"/>
        <v>-409717</v>
      </c>
      <c r="V75" s="54">
        <f t="shared" si="108"/>
        <v>-70456</v>
      </c>
      <c r="W75" s="54">
        <f t="shared" si="108"/>
        <v>-16779</v>
      </c>
      <c r="X75" s="54">
        <f t="shared" si="108"/>
        <v>-7210</v>
      </c>
      <c r="Y75" s="54">
        <f t="shared" si="108"/>
        <v>0</v>
      </c>
      <c r="Z75" s="54">
        <f t="shared" si="108"/>
        <v>-101</v>
      </c>
      <c r="AA75" s="54">
        <f t="shared" si="108"/>
        <v>-5896</v>
      </c>
      <c r="AB75" s="54">
        <f t="shared" si="108"/>
        <v>-31731</v>
      </c>
      <c r="AC75" s="54">
        <f t="shared" si="108"/>
        <v>-8739</v>
      </c>
      <c r="AD75" s="54">
        <f t="shared" si="108"/>
        <v>0</v>
      </c>
      <c r="AE75" s="54">
        <f t="shared" si="108"/>
        <v>0</v>
      </c>
      <c r="AF75" s="54">
        <f t="shared" si="108"/>
        <v>0</v>
      </c>
      <c r="AG75" s="54">
        <f t="shared" si="108"/>
        <v>0</v>
      </c>
      <c r="AH75" s="54">
        <f t="shared" si="108"/>
        <v>0</v>
      </c>
      <c r="AI75" s="54">
        <f t="shared" si="108"/>
        <v>708999</v>
      </c>
      <c r="AJ75" s="54">
        <f t="shared" ref="AJ75" si="109">SUM(AJ76,AJ77,AJ78)</f>
        <v>721600</v>
      </c>
      <c r="AL75" s="421"/>
      <c r="AM75" s="421"/>
      <c r="AN75" s="421"/>
      <c r="AO75" s="37"/>
      <c r="AP75" s="37"/>
      <c r="AQ75" s="37"/>
    </row>
    <row r="76" spans="1:43" s="156" customFormat="1" ht="24" hidden="1" x14ac:dyDescent="0.2">
      <c r="A76" s="125"/>
      <c r="B76" s="539" t="s">
        <v>322</v>
      </c>
      <c r="C76" s="554"/>
      <c r="D76" s="47" t="s">
        <v>323</v>
      </c>
      <c r="E76" s="250"/>
      <c r="F76" s="250">
        <f t="shared" ref="F76:F78" si="110">E76+G76</f>
        <v>0</v>
      </c>
      <c r="G76" s="250">
        <f t="shared" ref="G76:G78" si="111">SUBTOTAL(9,H76:S76)</f>
        <v>0</v>
      </c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>
        <f t="shared" ref="U76:U78" si="112">T76+V76</f>
        <v>0</v>
      </c>
      <c r="V76" s="250">
        <f t="shared" ref="V76:V78" si="113">SUBTOTAL(9,W76:AH76)</f>
        <v>0</v>
      </c>
      <c r="W76" s="250"/>
      <c r="X76" s="250"/>
      <c r="Y76" s="250"/>
      <c r="Z76" s="250"/>
      <c r="AA76" s="250"/>
      <c r="AB76" s="250"/>
      <c r="AC76" s="250"/>
      <c r="AD76" s="250"/>
      <c r="AE76" s="250"/>
      <c r="AF76" s="250"/>
      <c r="AG76" s="250"/>
      <c r="AH76" s="250"/>
      <c r="AI76" s="250">
        <f>E76+T76</f>
        <v>0</v>
      </c>
      <c r="AJ76" s="250">
        <f t="shared" ref="AJ76:AJ77" si="114">F76+U76</f>
        <v>0</v>
      </c>
      <c r="AL76" s="421"/>
      <c r="AM76" s="421"/>
      <c r="AN76" s="421"/>
    </row>
    <row r="77" spans="1:43" s="155" customFormat="1" ht="24" x14ac:dyDescent="0.2">
      <c r="A77" s="46"/>
      <c r="B77" s="539" t="s">
        <v>92</v>
      </c>
      <c r="C77" s="539"/>
      <c r="D77" s="47" t="s">
        <v>253</v>
      </c>
      <c r="E77" s="250">
        <v>708999</v>
      </c>
      <c r="F77" s="250">
        <f t="shared" si="110"/>
        <v>721600</v>
      </c>
      <c r="G77" s="250">
        <f t="shared" si="111"/>
        <v>12601</v>
      </c>
      <c r="H77" s="250"/>
      <c r="I77" s="57"/>
      <c r="J77" s="57"/>
      <c r="K77" s="57"/>
      <c r="L77" s="57">
        <v>12601</v>
      </c>
      <c r="M77" s="57"/>
      <c r="N77" s="57"/>
      <c r="O77" s="57"/>
      <c r="P77" s="57"/>
      <c r="Q77" s="57"/>
      <c r="R77" s="57"/>
      <c r="S77" s="57"/>
      <c r="T77" s="250"/>
      <c r="U77" s="250">
        <f t="shared" si="112"/>
        <v>0</v>
      </c>
      <c r="V77" s="250">
        <f t="shared" si="113"/>
        <v>0</v>
      </c>
      <c r="W77" s="250"/>
      <c r="X77" s="250"/>
      <c r="Y77" s="250"/>
      <c r="Z77" s="250"/>
      <c r="AA77" s="250"/>
      <c r="AB77" s="250"/>
      <c r="AC77" s="250"/>
      <c r="AD77" s="250"/>
      <c r="AE77" s="250"/>
      <c r="AF77" s="250"/>
      <c r="AG77" s="250"/>
      <c r="AH77" s="250"/>
      <c r="AI77" s="250">
        <f t="shared" ref="AI77" si="115">E77+T77</f>
        <v>708999</v>
      </c>
      <c r="AJ77" s="250">
        <f t="shared" si="114"/>
        <v>721600</v>
      </c>
      <c r="AL77" s="421"/>
      <c r="AM77" s="421"/>
      <c r="AN77" s="421"/>
      <c r="AO77" s="37"/>
      <c r="AP77" s="37"/>
      <c r="AQ77" s="37"/>
    </row>
    <row r="78" spans="1:43" x14ac:dyDescent="0.2">
      <c r="A78" s="65"/>
      <c r="B78" s="199" t="s">
        <v>518</v>
      </c>
      <c r="C78" s="199"/>
      <c r="D78" s="200" t="s">
        <v>546</v>
      </c>
      <c r="E78" s="67">
        <v>339261</v>
      </c>
      <c r="F78" s="67">
        <f t="shared" si="110"/>
        <v>409717</v>
      </c>
      <c r="G78" s="67">
        <f t="shared" si="111"/>
        <v>70456</v>
      </c>
      <c r="H78" s="67">
        <v>16779</v>
      </c>
      <c r="I78" s="67">
        <v>7210</v>
      </c>
      <c r="J78" s="67"/>
      <c r="K78" s="67">
        <v>101</v>
      </c>
      <c r="L78" s="67">
        <f>2921+550-605+3029+1</f>
        <v>5896</v>
      </c>
      <c r="M78" s="67">
        <f>-49-1299+15105-928+18902</f>
        <v>31731</v>
      </c>
      <c r="N78" s="67">
        <f>8739</f>
        <v>8739</v>
      </c>
      <c r="O78" s="67"/>
      <c r="P78" s="67"/>
      <c r="Q78" s="67"/>
      <c r="R78" s="67"/>
      <c r="S78" s="67"/>
      <c r="T78" s="67">
        <f>-275643-19500-5276-9133-29709</f>
        <v>-339261</v>
      </c>
      <c r="U78" s="249">
        <f t="shared" si="112"/>
        <v>-409717</v>
      </c>
      <c r="V78" s="249">
        <f t="shared" si="113"/>
        <v>-70456</v>
      </c>
      <c r="W78" s="249">
        <v>-16779</v>
      </c>
      <c r="X78" s="249">
        <v>-7210</v>
      </c>
      <c r="Y78" s="249"/>
      <c r="Z78" s="249">
        <v>-101</v>
      </c>
      <c r="AA78" s="249">
        <f>-2921-550+605-3029-1</f>
        <v>-5896</v>
      </c>
      <c r="AB78" s="249">
        <f>49+1299-15105+928-18902</f>
        <v>-31731</v>
      </c>
      <c r="AC78" s="249">
        <f>-8739</f>
        <v>-8739</v>
      </c>
      <c r="AD78" s="249"/>
      <c r="AE78" s="249"/>
      <c r="AF78" s="249"/>
      <c r="AG78" s="249"/>
      <c r="AH78" s="249"/>
      <c r="AI78" s="245">
        <f t="shared" ref="AI78" si="116">E78+T78</f>
        <v>0</v>
      </c>
      <c r="AJ78" s="245">
        <f>F78+U78</f>
        <v>0</v>
      </c>
      <c r="AL78" s="421"/>
      <c r="AM78" s="421"/>
      <c r="AN78" s="421"/>
    </row>
    <row r="79" spans="1:43" s="156" customFormat="1" x14ac:dyDescent="0.2">
      <c r="A79" s="537" t="s">
        <v>93</v>
      </c>
      <c r="B79" s="538"/>
      <c r="C79" s="568"/>
      <c r="D79" s="64" t="s">
        <v>336</v>
      </c>
      <c r="E79" s="54">
        <f t="shared" ref="E79:AI79" si="117">SUM(E80,E83,E97)</f>
        <v>1768264</v>
      </c>
      <c r="F79" s="54">
        <f t="shared" si="117"/>
        <v>1900053</v>
      </c>
      <c r="G79" s="54">
        <f t="shared" si="117"/>
        <v>131789</v>
      </c>
      <c r="H79" s="54">
        <f t="shared" si="117"/>
        <v>0</v>
      </c>
      <c r="I79" s="54">
        <f t="shared" si="117"/>
        <v>0</v>
      </c>
      <c r="J79" s="54">
        <f t="shared" si="117"/>
        <v>-49595</v>
      </c>
      <c r="K79" s="54">
        <f t="shared" si="117"/>
        <v>154551</v>
      </c>
      <c r="L79" s="54">
        <f t="shared" si="117"/>
        <v>3892</v>
      </c>
      <c r="M79" s="54">
        <f t="shared" si="117"/>
        <v>18044</v>
      </c>
      <c r="N79" s="54">
        <f t="shared" si="117"/>
        <v>0</v>
      </c>
      <c r="O79" s="54">
        <f t="shared" si="117"/>
        <v>742</v>
      </c>
      <c r="P79" s="54">
        <f t="shared" si="117"/>
        <v>4155</v>
      </c>
      <c r="Q79" s="54">
        <f t="shared" si="117"/>
        <v>0</v>
      </c>
      <c r="R79" s="54">
        <f t="shared" si="117"/>
        <v>0</v>
      </c>
      <c r="S79" s="54">
        <f t="shared" si="117"/>
        <v>0</v>
      </c>
      <c r="T79" s="54">
        <f t="shared" si="117"/>
        <v>-8462</v>
      </c>
      <c r="U79" s="54">
        <f t="shared" si="117"/>
        <v>-12385</v>
      </c>
      <c r="V79" s="54">
        <f t="shared" si="117"/>
        <v>-3923</v>
      </c>
      <c r="W79" s="54">
        <f t="shared" si="117"/>
        <v>0</v>
      </c>
      <c r="X79" s="54">
        <f t="shared" si="117"/>
        <v>0</v>
      </c>
      <c r="Y79" s="54">
        <f t="shared" si="117"/>
        <v>-900</v>
      </c>
      <c r="Z79" s="54">
        <f t="shared" si="117"/>
        <v>-2652</v>
      </c>
      <c r="AA79" s="54">
        <f t="shared" si="117"/>
        <v>0</v>
      </c>
      <c r="AB79" s="54">
        <f t="shared" si="117"/>
        <v>0</v>
      </c>
      <c r="AC79" s="54">
        <f t="shared" si="117"/>
        <v>0</v>
      </c>
      <c r="AD79" s="54">
        <f t="shared" si="117"/>
        <v>-371</v>
      </c>
      <c r="AE79" s="54">
        <f t="shared" si="117"/>
        <v>0</v>
      </c>
      <c r="AF79" s="54">
        <f t="shared" si="117"/>
        <v>0</v>
      </c>
      <c r="AG79" s="54">
        <f t="shared" si="117"/>
        <v>0</v>
      </c>
      <c r="AH79" s="54">
        <f t="shared" si="117"/>
        <v>0</v>
      </c>
      <c r="AI79" s="54">
        <f t="shared" si="117"/>
        <v>1759802</v>
      </c>
      <c r="AJ79" s="54">
        <f t="shared" ref="AJ79" si="118">SUM(AJ80,AJ83,AJ97)</f>
        <v>1887668</v>
      </c>
      <c r="AL79" s="421"/>
      <c r="AM79" s="421"/>
      <c r="AN79" s="421"/>
    </row>
    <row r="80" spans="1:43" s="155" customFormat="1" x14ac:dyDescent="0.2">
      <c r="A80" s="72"/>
      <c r="B80" s="539" t="s">
        <v>94</v>
      </c>
      <c r="C80" s="554"/>
      <c r="D80" s="113" t="s">
        <v>337</v>
      </c>
      <c r="E80" s="250">
        <f t="shared" ref="E80:AI80" si="119">SUM(E81:E82)</f>
        <v>86586</v>
      </c>
      <c r="F80" s="250">
        <f t="shared" si="119"/>
        <v>29680</v>
      </c>
      <c r="G80" s="250">
        <f t="shared" si="119"/>
        <v>-56906</v>
      </c>
      <c r="H80" s="250">
        <f t="shared" si="119"/>
        <v>0</v>
      </c>
      <c r="I80" s="250">
        <f t="shared" si="119"/>
        <v>0</v>
      </c>
      <c r="J80" s="250">
        <f t="shared" si="119"/>
        <v>-55903</v>
      </c>
      <c r="K80" s="250">
        <f t="shared" si="119"/>
        <v>0</v>
      </c>
      <c r="L80" s="250">
        <f t="shared" si="119"/>
        <v>0</v>
      </c>
      <c r="M80" s="250">
        <f t="shared" si="119"/>
        <v>-1003</v>
      </c>
      <c r="N80" s="250">
        <f t="shared" si="119"/>
        <v>0</v>
      </c>
      <c r="O80" s="250">
        <f t="shared" si="119"/>
        <v>0</v>
      </c>
      <c r="P80" s="250">
        <f t="shared" si="119"/>
        <v>0</v>
      </c>
      <c r="Q80" s="250">
        <f t="shared" si="119"/>
        <v>0</v>
      </c>
      <c r="R80" s="250">
        <f t="shared" si="119"/>
        <v>0</v>
      </c>
      <c r="S80" s="250">
        <f t="shared" si="119"/>
        <v>0</v>
      </c>
      <c r="T80" s="250">
        <f t="shared" si="119"/>
        <v>0</v>
      </c>
      <c r="U80" s="250">
        <f t="shared" si="119"/>
        <v>0</v>
      </c>
      <c r="V80" s="250">
        <f t="shared" si="119"/>
        <v>0</v>
      </c>
      <c r="W80" s="250">
        <f t="shared" si="119"/>
        <v>0</v>
      </c>
      <c r="X80" s="250">
        <f t="shared" si="119"/>
        <v>0</v>
      </c>
      <c r="Y80" s="250">
        <f t="shared" si="119"/>
        <v>0</v>
      </c>
      <c r="Z80" s="250">
        <f t="shared" si="119"/>
        <v>0</v>
      </c>
      <c r="AA80" s="250">
        <f t="shared" si="119"/>
        <v>0</v>
      </c>
      <c r="AB80" s="250">
        <f t="shared" si="119"/>
        <v>0</v>
      </c>
      <c r="AC80" s="250">
        <f t="shared" si="119"/>
        <v>0</v>
      </c>
      <c r="AD80" s="250">
        <f t="shared" si="119"/>
        <v>0</v>
      </c>
      <c r="AE80" s="250">
        <f t="shared" si="119"/>
        <v>0</v>
      </c>
      <c r="AF80" s="250">
        <f t="shared" si="119"/>
        <v>0</v>
      </c>
      <c r="AG80" s="250">
        <f t="shared" si="119"/>
        <v>0</v>
      </c>
      <c r="AH80" s="250">
        <f t="shared" si="119"/>
        <v>0</v>
      </c>
      <c r="AI80" s="250">
        <f t="shared" si="119"/>
        <v>86586</v>
      </c>
      <c r="AJ80" s="250">
        <f t="shared" ref="AJ80" si="120">SUM(AJ81:AJ82)</f>
        <v>29680</v>
      </c>
      <c r="AL80" s="421"/>
      <c r="AM80" s="421"/>
      <c r="AN80" s="421"/>
    </row>
    <row r="81" spans="1:43" ht="24" x14ac:dyDescent="0.2">
      <c r="A81" s="159"/>
      <c r="B81" s="556" t="s">
        <v>241</v>
      </c>
      <c r="C81" s="557"/>
      <c r="D81" s="118" t="s">
        <v>242</v>
      </c>
      <c r="E81" s="252">
        <v>2720</v>
      </c>
      <c r="F81" s="252">
        <f t="shared" ref="F81:F82" si="121">E81+G81</f>
        <v>2720</v>
      </c>
      <c r="G81" s="252">
        <f t="shared" ref="G81:G82" si="122">SUBTOTAL(9,H81:S81)</f>
        <v>0</v>
      </c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2"/>
      <c r="U81" s="252">
        <f t="shared" ref="U81:U82" si="123">T81+V81</f>
        <v>0</v>
      </c>
      <c r="V81" s="252">
        <f t="shared" ref="V81:V82" si="124">SUBTOTAL(9,W81:AH81)</f>
        <v>0</v>
      </c>
      <c r="W81" s="252"/>
      <c r="X81" s="252"/>
      <c r="Y81" s="252"/>
      <c r="Z81" s="252"/>
      <c r="AA81" s="252"/>
      <c r="AB81" s="252"/>
      <c r="AC81" s="252"/>
      <c r="AD81" s="252"/>
      <c r="AE81" s="252"/>
      <c r="AF81" s="252"/>
      <c r="AG81" s="252"/>
      <c r="AH81" s="252"/>
      <c r="AI81" s="252">
        <f>E81+T81</f>
        <v>2720</v>
      </c>
      <c r="AJ81" s="252">
        <f t="shared" ref="AJ81:AJ82" si="125">F81+U81</f>
        <v>2720</v>
      </c>
      <c r="AL81" s="421"/>
      <c r="AM81" s="421"/>
      <c r="AN81" s="421"/>
    </row>
    <row r="82" spans="1:43" ht="36" x14ac:dyDescent="0.2">
      <c r="A82" s="226"/>
      <c r="B82" s="556" t="s">
        <v>563</v>
      </c>
      <c r="C82" s="557"/>
      <c r="D82" s="118" t="s">
        <v>614</v>
      </c>
      <c r="E82" s="245">
        <v>83866</v>
      </c>
      <c r="F82" s="245">
        <f t="shared" si="121"/>
        <v>26960</v>
      </c>
      <c r="G82" s="245">
        <f t="shared" si="122"/>
        <v>-56906</v>
      </c>
      <c r="H82" s="245"/>
      <c r="I82" s="245"/>
      <c r="J82" s="245">
        <v>-55903</v>
      </c>
      <c r="K82" s="245"/>
      <c r="L82" s="245"/>
      <c r="M82" s="245">
        <v>-1003</v>
      </c>
      <c r="N82" s="245"/>
      <c r="O82" s="245"/>
      <c r="P82" s="245"/>
      <c r="Q82" s="245"/>
      <c r="R82" s="245"/>
      <c r="S82" s="245"/>
      <c r="T82" s="245"/>
      <c r="U82" s="245">
        <f t="shared" si="123"/>
        <v>0</v>
      </c>
      <c r="V82" s="245">
        <f t="shared" si="124"/>
        <v>0</v>
      </c>
      <c r="W82" s="245"/>
      <c r="X82" s="245"/>
      <c r="Y82" s="245"/>
      <c r="Z82" s="245"/>
      <c r="AA82" s="245"/>
      <c r="AB82" s="245"/>
      <c r="AC82" s="245"/>
      <c r="AD82" s="245"/>
      <c r="AE82" s="245"/>
      <c r="AF82" s="245"/>
      <c r="AG82" s="245"/>
      <c r="AH82" s="245"/>
      <c r="AI82" s="245">
        <f t="shared" ref="AI82" si="126">E82+T82</f>
        <v>83866</v>
      </c>
      <c r="AJ82" s="245">
        <f t="shared" si="125"/>
        <v>26960</v>
      </c>
      <c r="AL82" s="421"/>
      <c r="AM82" s="421"/>
      <c r="AN82" s="421"/>
    </row>
    <row r="83" spans="1:43" s="155" customFormat="1" ht="24" x14ac:dyDescent="0.2">
      <c r="A83" s="46"/>
      <c r="B83" s="539" t="s">
        <v>95</v>
      </c>
      <c r="C83" s="554"/>
      <c r="D83" s="47" t="s">
        <v>338</v>
      </c>
      <c r="E83" s="250">
        <f t="shared" ref="E83:AI83" si="127">SUM(E84,E88,E90,E93)</f>
        <v>1642185</v>
      </c>
      <c r="F83" s="250">
        <f t="shared" si="127"/>
        <v>1747585</v>
      </c>
      <c r="G83" s="250">
        <f t="shared" si="127"/>
        <v>105400</v>
      </c>
      <c r="H83" s="250">
        <f t="shared" si="127"/>
        <v>0</v>
      </c>
      <c r="I83" s="250">
        <f t="shared" si="127"/>
        <v>0</v>
      </c>
      <c r="J83" s="250">
        <f t="shared" si="127"/>
        <v>948</v>
      </c>
      <c r="K83" s="250">
        <f t="shared" si="127"/>
        <v>103676</v>
      </c>
      <c r="L83" s="250">
        <f t="shared" si="127"/>
        <v>-3379</v>
      </c>
      <c r="M83" s="250">
        <f t="shared" si="127"/>
        <v>0</v>
      </c>
      <c r="N83" s="250">
        <f t="shared" si="127"/>
        <v>0</v>
      </c>
      <c r="O83" s="250">
        <f t="shared" si="127"/>
        <v>0</v>
      </c>
      <c r="P83" s="250">
        <f t="shared" si="127"/>
        <v>4155</v>
      </c>
      <c r="Q83" s="250">
        <f t="shared" si="127"/>
        <v>0</v>
      </c>
      <c r="R83" s="250">
        <f t="shared" si="127"/>
        <v>0</v>
      </c>
      <c r="S83" s="250">
        <f t="shared" si="127"/>
        <v>0</v>
      </c>
      <c r="T83" s="250">
        <f t="shared" si="127"/>
        <v>0</v>
      </c>
      <c r="U83" s="250">
        <f t="shared" si="127"/>
        <v>-900</v>
      </c>
      <c r="V83" s="250">
        <f t="shared" si="127"/>
        <v>-900</v>
      </c>
      <c r="W83" s="250">
        <f t="shared" si="127"/>
        <v>0</v>
      </c>
      <c r="X83" s="250">
        <f t="shared" si="127"/>
        <v>0</v>
      </c>
      <c r="Y83" s="250">
        <f t="shared" si="127"/>
        <v>-900</v>
      </c>
      <c r="Z83" s="250">
        <f t="shared" si="127"/>
        <v>0</v>
      </c>
      <c r="AA83" s="250">
        <f t="shared" si="127"/>
        <v>0</v>
      </c>
      <c r="AB83" s="250">
        <f t="shared" si="127"/>
        <v>0</v>
      </c>
      <c r="AC83" s="250">
        <f t="shared" si="127"/>
        <v>0</v>
      </c>
      <c r="AD83" s="250">
        <f t="shared" si="127"/>
        <v>0</v>
      </c>
      <c r="AE83" s="250">
        <f t="shared" si="127"/>
        <v>0</v>
      </c>
      <c r="AF83" s="250">
        <f t="shared" si="127"/>
        <v>0</v>
      </c>
      <c r="AG83" s="250">
        <f t="shared" si="127"/>
        <v>0</v>
      </c>
      <c r="AH83" s="250">
        <f t="shared" si="127"/>
        <v>0</v>
      </c>
      <c r="AI83" s="250">
        <f t="shared" si="127"/>
        <v>1642185</v>
      </c>
      <c r="AJ83" s="250">
        <f t="shared" ref="AJ83" si="128">SUM(AJ84,AJ88,AJ90,AJ93)</f>
        <v>1746685</v>
      </c>
      <c r="AL83" s="421"/>
      <c r="AM83" s="421"/>
      <c r="AN83" s="421"/>
      <c r="AO83" s="37"/>
      <c r="AP83" s="37"/>
      <c r="AQ83" s="37"/>
    </row>
    <row r="84" spans="1:43" x14ac:dyDescent="0.2">
      <c r="A84" s="48"/>
      <c r="B84" s="543" t="s">
        <v>96</v>
      </c>
      <c r="C84" s="555"/>
      <c r="D84" s="49" t="s">
        <v>97</v>
      </c>
      <c r="E84" s="245">
        <f t="shared" ref="E84:S84" si="129">SUM(E85:E87)</f>
        <v>148893</v>
      </c>
      <c r="F84" s="245">
        <f t="shared" si="129"/>
        <v>148893</v>
      </c>
      <c r="G84" s="245">
        <f t="shared" si="129"/>
        <v>0</v>
      </c>
      <c r="H84" s="245">
        <f t="shared" si="129"/>
        <v>0</v>
      </c>
      <c r="I84" s="245">
        <f t="shared" si="129"/>
        <v>0</v>
      </c>
      <c r="J84" s="245">
        <f t="shared" si="129"/>
        <v>0</v>
      </c>
      <c r="K84" s="245">
        <f t="shared" si="129"/>
        <v>0</v>
      </c>
      <c r="L84" s="245">
        <f t="shared" si="129"/>
        <v>0</v>
      </c>
      <c r="M84" s="245">
        <f t="shared" si="129"/>
        <v>0</v>
      </c>
      <c r="N84" s="245">
        <f t="shared" si="129"/>
        <v>0</v>
      </c>
      <c r="O84" s="245">
        <f t="shared" si="129"/>
        <v>0</v>
      </c>
      <c r="P84" s="245">
        <f t="shared" si="129"/>
        <v>0</v>
      </c>
      <c r="Q84" s="245">
        <f t="shared" si="129"/>
        <v>0</v>
      </c>
      <c r="R84" s="245">
        <f t="shared" si="129"/>
        <v>0</v>
      </c>
      <c r="S84" s="245">
        <f t="shared" si="129"/>
        <v>0</v>
      </c>
      <c r="T84" s="245">
        <f t="shared" ref="T84:AH84" si="130">SUM(T85:T87)</f>
        <v>0</v>
      </c>
      <c r="U84" s="245">
        <f t="shared" si="130"/>
        <v>0</v>
      </c>
      <c r="V84" s="245">
        <f t="shared" si="130"/>
        <v>0</v>
      </c>
      <c r="W84" s="245">
        <f t="shared" si="130"/>
        <v>0</v>
      </c>
      <c r="X84" s="245">
        <f t="shared" si="130"/>
        <v>0</v>
      </c>
      <c r="Y84" s="245">
        <f t="shared" si="130"/>
        <v>0</v>
      </c>
      <c r="Z84" s="245">
        <f t="shared" si="130"/>
        <v>0</v>
      </c>
      <c r="AA84" s="245">
        <f t="shared" si="130"/>
        <v>0</v>
      </c>
      <c r="AB84" s="245">
        <f t="shared" si="130"/>
        <v>0</v>
      </c>
      <c r="AC84" s="245">
        <f t="shared" si="130"/>
        <v>0</v>
      </c>
      <c r="AD84" s="245">
        <f t="shared" si="130"/>
        <v>0</v>
      </c>
      <c r="AE84" s="245">
        <f t="shared" si="130"/>
        <v>0</v>
      </c>
      <c r="AF84" s="245">
        <f t="shared" si="130"/>
        <v>0</v>
      </c>
      <c r="AG84" s="245">
        <f t="shared" si="130"/>
        <v>0</v>
      </c>
      <c r="AH84" s="245">
        <f t="shared" si="130"/>
        <v>0</v>
      </c>
      <c r="AI84" s="245">
        <f t="shared" ref="AI84:AJ84" si="131">SUM(AI85:AI87)</f>
        <v>148893</v>
      </c>
      <c r="AJ84" s="245">
        <f t="shared" si="131"/>
        <v>148893</v>
      </c>
      <c r="AL84" s="421"/>
      <c r="AM84" s="421"/>
      <c r="AN84" s="421"/>
      <c r="AO84" s="156"/>
      <c r="AP84" s="156"/>
      <c r="AQ84" s="156"/>
    </row>
    <row r="85" spans="1:43" x14ac:dyDescent="0.2">
      <c r="A85" s="50"/>
      <c r="B85" s="565" t="s">
        <v>98</v>
      </c>
      <c r="C85" s="566"/>
      <c r="D85" s="53" t="s">
        <v>186</v>
      </c>
      <c r="E85" s="246">
        <v>13290</v>
      </c>
      <c r="F85" s="246">
        <f t="shared" ref="F85:F87" si="132">E85+G85</f>
        <v>13290</v>
      </c>
      <c r="G85" s="246">
        <f t="shared" ref="G85:G87" si="133">SUBTOTAL(9,H85:S85)</f>
        <v>0</v>
      </c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8"/>
      <c r="U85" s="248">
        <f t="shared" ref="U85:U87" si="134">T85+V85</f>
        <v>0</v>
      </c>
      <c r="V85" s="248">
        <f t="shared" ref="V85:V87" si="135">SUBTOTAL(9,W85:AH85)</f>
        <v>0</v>
      </c>
      <c r="W85" s="248"/>
      <c r="X85" s="248"/>
      <c r="Y85" s="248"/>
      <c r="Z85" s="248"/>
      <c r="AA85" s="248"/>
      <c r="AB85" s="248"/>
      <c r="AC85" s="248"/>
      <c r="AD85" s="248"/>
      <c r="AE85" s="248"/>
      <c r="AF85" s="248"/>
      <c r="AG85" s="248"/>
      <c r="AH85" s="248"/>
      <c r="AI85" s="248">
        <f t="shared" ref="AI85:AI87" si="136">E85+T85</f>
        <v>13290</v>
      </c>
      <c r="AJ85" s="248">
        <f t="shared" ref="AJ85:AJ87" si="137">F85+U85</f>
        <v>13290</v>
      </c>
      <c r="AL85" s="421"/>
      <c r="AM85" s="421"/>
      <c r="AN85" s="421"/>
      <c r="AO85" s="156"/>
      <c r="AP85" s="156"/>
      <c r="AQ85" s="156"/>
    </row>
    <row r="86" spans="1:43" hidden="1" x14ac:dyDescent="0.2">
      <c r="A86" s="68"/>
      <c r="B86" s="551" t="s">
        <v>99</v>
      </c>
      <c r="C86" s="567"/>
      <c r="D86" s="69" t="s">
        <v>100</v>
      </c>
      <c r="E86" s="246">
        <v>0</v>
      </c>
      <c r="F86" s="246">
        <f t="shared" si="132"/>
        <v>0</v>
      </c>
      <c r="G86" s="246">
        <f t="shared" si="133"/>
        <v>0</v>
      </c>
      <c r="H86" s="246"/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>
        <f t="shared" si="134"/>
        <v>0</v>
      </c>
      <c r="V86" s="246">
        <f t="shared" si="135"/>
        <v>0</v>
      </c>
      <c r="W86" s="246"/>
      <c r="X86" s="246"/>
      <c r="Y86" s="246"/>
      <c r="Z86" s="246"/>
      <c r="AA86" s="246"/>
      <c r="AB86" s="246"/>
      <c r="AC86" s="246"/>
      <c r="AD86" s="246"/>
      <c r="AE86" s="246"/>
      <c r="AF86" s="246"/>
      <c r="AG86" s="246"/>
      <c r="AH86" s="246"/>
      <c r="AI86" s="246">
        <f t="shared" si="136"/>
        <v>0</v>
      </c>
      <c r="AJ86" s="246">
        <f t="shared" si="137"/>
        <v>0</v>
      </c>
      <c r="AL86" s="421"/>
      <c r="AM86" s="421"/>
      <c r="AN86" s="421"/>
    </row>
    <row r="87" spans="1:43" x14ac:dyDescent="0.2">
      <c r="A87" s="52"/>
      <c r="B87" s="556" t="s">
        <v>101</v>
      </c>
      <c r="C87" s="557"/>
      <c r="D87" s="53" t="s">
        <v>187</v>
      </c>
      <c r="E87" s="246">
        <v>135603</v>
      </c>
      <c r="F87" s="249">
        <f t="shared" si="132"/>
        <v>135603</v>
      </c>
      <c r="G87" s="249">
        <f t="shared" si="133"/>
        <v>0</v>
      </c>
      <c r="H87" s="249"/>
      <c r="I87" s="249"/>
      <c r="J87" s="249"/>
      <c r="K87" s="249"/>
      <c r="L87" s="249"/>
      <c r="M87" s="249"/>
      <c r="N87" s="249"/>
      <c r="O87" s="249"/>
      <c r="P87" s="249"/>
      <c r="Q87" s="249"/>
      <c r="R87" s="249"/>
      <c r="S87" s="249"/>
      <c r="T87" s="249"/>
      <c r="U87" s="249">
        <f t="shared" si="134"/>
        <v>0</v>
      </c>
      <c r="V87" s="249">
        <f t="shared" si="135"/>
        <v>0</v>
      </c>
      <c r="W87" s="249"/>
      <c r="X87" s="249"/>
      <c r="Y87" s="249"/>
      <c r="Z87" s="249"/>
      <c r="AA87" s="249"/>
      <c r="AB87" s="249"/>
      <c r="AC87" s="249"/>
      <c r="AD87" s="249"/>
      <c r="AE87" s="249"/>
      <c r="AF87" s="249"/>
      <c r="AG87" s="249"/>
      <c r="AH87" s="249"/>
      <c r="AI87" s="249">
        <f t="shared" si="136"/>
        <v>135603</v>
      </c>
      <c r="AJ87" s="249">
        <f t="shared" si="137"/>
        <v>135603</v>
      </c>
      <c r="AL87" s="421"/>
      <c r="AM87" s="421"/>
      <c r="AN87" s="421"/>
      <c r="AO87" s="155"/>
      <c r="AP87" s="155"/>
      <c r="AQ87" s="155"/>
    </row>
    <row r="88" spans="1:43" ht="24" x14ac:dyDescent="0.2">
      <c r="A88" s="55"/>
      <c r="B88" s="543" t="s">
        <v>102</v>
      </c>
      <c r="C88" s="555"/>
      <c r="D88" s="56" t="s">
        <v>103</v>
      </c>
      <c r="E88" s="57">
        <f t="shared" ref="E88:AJ88" si="138">SUM(E89:E89)</f>
        <v>112679</v>
      </c>
      <c r="F88" s="57">
        <f t="shared" si="138"/>
        <v>216355</v>
      </c>
      <c r="G88" s="57">
        <f t="shared" si="138"/>
        <v>103676</v>
      </c>
      <c r="H88" s="57">
        <f t="shared" si="138"/>
        <v>0</v>
      </c>
      <c r="I88" s="57">
        <f t="shared" si="138"/>
        <v>0</v>
      </c>
      <c r="J88" s="57">
        <f t="shared" si="138"/>
        <v>0</v>
      </c>
      <c r="K88" s="57">
        <f t="shared" si="138"/>
        <v>103676</v>
      </c>
      <c r="L88" s="57">
        <f t="shared" si="138"/>
        <v>0</v>
      </c>
      <c r="M88" s="57">
        <f t="shared" si="138"/>
        <v>0</v>
      </c>
      <c r="N88" s="57">
        <f t="shared" si="138"/>
        <v>0</v>
      </c>
      <c r="O88" s="57">
        <f t="shared" si="138"/>
        <v>0</v>
      </c>
      <c r="P88" s="57">
        <f t="shared" si="138"/>
        <v>0</v>
      </c>
      <c r="Q88" s="57">
        <f t="shared" si="138"/>
        <v>0</v>
      </c>
      <c r="R88" s="57">
        <f t="shared" si="138"/>
        <v>0</v>
      </c>
      <c r="S88" s="57">
        <f t="shared" si="138"/>
        <v>0</v>
      </c>
      <c r="T88" s="57">
        <f t="shared" si="138"/>
        <v>0</v>
      </c>
      <c r="U88" s="57">
        <f t="shared" si="138"/>
        <v>0</v>
      </c>
      <c r="V88" s="57">
        <f t="shared" si="138"/>
        <v>0</v>
      </c>
      <c r="W88" s="57">
        <f t="shared" si="138"/>
        <v>0</v>
      </c>
      <c r="X88" s="57">
        <f t="shared" si="138"/>
        <v>0</v>
      </c>
      <c r="Y88" s="57">
        <f t="shared" si="138"/>
        <v>0</v>
      </c>
      <c r="Z88" s="57">
        <f t="shared" si="138"/>
        <v>0</v>
      </c>
      <c r="AA88" s="57">
        <f t="shared" si="138"/>
        <v>0</v>
      </c>
      <c r="AB88" s="57">
        <f t="shared" si="138"/>
        <v>0</v>
      </c>
      <c r="AC88" s="57">
        <f t="shared" si="138"/>
        <v>0</v>
      </c>
      <c r="AD88" s="57">
        <f t="shared" si="138"/>
        <v>0</v>
      </c>
      <c r="AE88" s="57">
        <f t="shared" si="138"/>
        <v>0</v>
      </c>
      <c r="AF88" s="57">
        <f t="shared" si="138"/>
        <v>0</v>
      </c>
      <c r="AG88" s="57">
        <f t="shared" si="138"/>
        <v>0</v>
      </c>
      <c r="AH88" s="57">
        <f t="shared" si="138"/>
        <v>0</v>
      </c>
      <c r="AI88" s="57">
        <f t="shared" si="138"/>
        <v>112679</v>
      </c>
      <c r="AJ88" s="57">
        <f t="shared" si="138"/>
        <v>216355</v>
      </c>
      <c r="AL88" s="421"/>
      <c r="AM88" s="421"/>
      <c r="AN88" s="421"/>
    </row>
    <row r="89" spans="1:43" ht="24" x14ac:dyDescent="0.2">
      <c r="A89" s="59"/>
      <c r="B89" s="562" t="s">
        <v>104</v>
      </c>
      <c r="C89" s="563"/>
      <c r="D89" s="69" t="s">
        <v>188</v>
      </c>
      <c r="E89" s="246">
        <v>112679</v>
      </c>
      <c r="F89" s="249">
        <f>E89+G89</f>
        <v>216355</v>
      </c>
      <c r="G89" s="249">
        <f>SUBTOTAL(9,H89:S89)</f>
        <v>103676</v>
      </c>
      <c r="H89" s="249"/>
      <c r="I89" s="249"/>
      <c r="J89" s="249"/>
      <c r="K89" s="249">
        <f>2944+100732</f>
        <v>103676</v>
      </c>
      <c r="L89" s="249"/>
      <c r="M89" s="249"/>
      <c r="N89" s="249"/>
      <c r="O89" s="249"/>
      <c r="P89" s="249"/>
      <c r="Q89" s="249"/>
      <c r="R89" s="249"/>
      <c r="S89" s="249"/>
      <c r="T89" s="249"/>
      <c r="U89" s="249">
        <f>T89+V89</f>
        <v>0</v>
      </c>
      <c r="V89" s="249">
        <f>SUBTOTAL(9,W89:AH89)</f>
        <v>0</v>
      </c>
      <c r="W89" s="249"/>
      <c r="X89" s="249"/>
      <c r="Y89" s="249"/>
      <c r="Z89" s="249"/>
      <c r="AA89" s="249"/>
      <c r="AB89" s="249"/>
      <c r="AC89" s="249"/>
      <c r="AD89" s="249"/>
      <c r="AE89" s="249"/>
      <c r="AF89" s="249"/>
      <c r="AG89" s="249"/>
      <c r="AH89" s="249"/>
      <c r="AI89" s="249">
        <f>E89+T89</f>
        <v>112679</v>
      </c>
      <c r="AJ89" s="249">
        <f>F89+U89</f>
        <v>216355</v>
      </c>
      <c r="AL89" s="421"/>
      <c r="AM89" s="421"/>
      <c r="AN89" s="421"/>
      <c r="AO89" s="156"/>
      <c r="AP89" s="156"/>
      <c r="AQ89" s="156"/>
    </row>
    <row r="90" spans="1:43" x14ac:dyDescent="0.2">
      <c r="A90" s="55"/>
      <c r="B90" s="543" t="s">
        <v>105</v>
      </c>
      <c r="C90" s="555"/>
      <c r="D90" s="56" t="s">
        <v>190</v>
      </c>
      <c r="E90" s="57">
        <f t="shared" ref="E90:AI90" si="139">SUM(E91:E92)</f>
        <v>287864</v>
      </c>
      <c r="F90" s="57">
        <f t="shared" si="139"/>
        <v>287864</v>
      </c>
      <c r="G90" s="57">
        <f t="shared" si="139"/>
        <v>0</v>
      </c>
      <c r="H90" s="57">
        <f t="shared" si="139"/>
        <v>0</v>
      </c>
      <c r="I90" s="57">
        <f t="shared" si="139"/>
        <v>0</v>
      </c>
      <c r="J90" s="57">
        <f t="shared" si="139"/>
        <v>0</v>
      </c>
      <c r="K90" s="57">
        <f t="shared" si="139"/>
        <v>0</v>
      </c>
      <c r="L90" s="57">
        <f t="shared" si="139"/>
        <v>0</v>
      </c>
      <c r="M90" s="57">
        <f t="shared" si="139"/>
        <v>0</v>
      </c>
      <c r="N90" s="57">
        <f t="shared" si="139"/>
        <v>0</v>
      </c>
      <c r="O90" s="57">
        <f t="shared" si="139"/>
        <v>0</v>
      </c>
      <c r="P90" s="57">
        <f t="shared" si="139"/>
        <v>0</v>
      </c>
      <c r="Q90" s="57">
        <f t="shared" si="139"/>
        <v>0</v>
      </c>
      <c r="R90" s="57">
        <f t="shared" si="139"/>
        <v>0</v>
      </c>
      <c r="S90" s="57">
        <f t="shared" si="139"/>
        <v>0</v>
      </c>
      <c r="T90" s="57">
        <f t="shared" si="139"/>
        <v>0</v>
      </c>
      <c r="U90" s="57">
        <f t="shared" si="139"/>
        <v>0</v>
      </c>
      <c r="V90" s="57">
        <f t="shared" si="139"/>
        <v>0</v>
      </c>
      <c r="W90" s="57">
        <f t="shared" si="139"/>
        <v>0</v>
      </c>
      <c r="X90" s="57">
        <f t="shared" si="139"/>
        <v>0</v>
      </c>
      <c r="Y90" s="57">
        <f t="shared" si="139"/>
        <v>0</v>
      </c>
      <c r="Z90" s="57">
        <f t="shared" si="139"/>
        <v>0</v>
      </c>
      <c r="AA90" s="57">
        <f t="shared" si="139"/>
        <v>0</v>
      </c>
      <c r="AB90" s="57">
        <f t="shared" si="139"/>
        <v>0</v>
      </c>
      <c r="AC90" s="57">
        <f t="shared" si="139"/>
        <v>0</v>
      </c>
      <c r="AD90" s="57">
        <f t="shared" si="139"/>
        <v>0</v>
      </c>
      <c r="AE90" s="57">
        <f t="shared" si="139"/>
        <v>0</v>
      </c>
      <c r="AF90" s="57">
        <f t="shared" si="139"/>
        <v>0</v>
      </c>
      <c r="AG90" s="57">
        <f t="shared" si="139"/>
        <v>0</v>
      </c>
      <c r="AH90" s="57">
        <f t="shared" si="139"/>
        <v>0</v>
      </c>
      <c r="AI90" s="57">
        <f t="shared" si="139"/>
        <v>287864</v>
      </c>
      <c r="AJ90" s="57">
        <f t="shared" ref="AJ90" si="140">SUM(AJ91:AJ92)</f>
        <v>287864</v>
      </c>
      <c r="AL90" s="421"/>
      <c r="AM90" s="421"/>
      <c r="AN90" s="421"/>
      <c r="AO90" s="155"/>
      <c r="AP90" s="155"/>
      <c r="AQ90" s="155"/>
    </row>
    <row r="91" spans="1:43" x14ac:dyDescent="0.2">
      <c r="A91" s="50"/>
      <c r="B91" s="565" t="s">
        <v>106</v>
      </c>
      <c r="C91" s="566"/>
      <c r="D91" s="51" t="s">
        <v>156</v>
      </c>
      <c r="E91" s="246">
        <v>282041</v>
      </c>
      <c r="F91" s="246">
        <f t="shared" ref="F91:F92" si="141">E91+G91</f>
        <v>282041</v>
      </c>
      <c r="G91" s="246">
        <f t="shared" ref="G91:G92" si="142">SUBTOTAL(9,H91:S91)</f>
        <v>0</v>
      </c>
      <c r="H91" s="246"/>
      <c r="I91" s="246"/>
      <c r="J91" s="246"/>
      <c r="K91" s="246">
        <f>121-121</f>
        <v>0</v>
      </c>
      <c r="L91" s="246"/>
      <c r="M91" s="246"/>
      <c r="N91" s="246"/>
      <c r="O91" s="246"/>
      <c r="P91" s="246"/>
      <c r="Q91" s="246"/>
      <c r="R91" s="246"/>
      <c r="S91" s="246"/>
      <c r="T91" s="246"/>
      <c r="U91" s="246">
        <f t="shared" ref="U91:U92" si="143">T91+V91</f>
        <v>0</v>
      </c>
      <c r="V91" s="246">
        <f t="shared" ref="V91:V92" si="144">SUBTOTAL(9,W91:AH91)</f>
        <v>0</v>
      </c>
      <c r="W91" s="246"/>
      <c r="X91" s="246"/>
      <c r="Y91" s="246"/>
      <c r="Z91" s="246"/>
      <c r="AA91" s="246"/>
      <c r="AB91" s="246"/>
      <c r="AC91" s="246"/>
      <c r="AD91" s="246"/>
      <c r="AE91" s="246"/>
      <c r="AF91" s="246"/>
      <c r="AG91" s="246"/>
      <c r="AH91" s="246"/>
      <c r="AI91" s="246">
        <f t="shared" ref="AI91:AI92" si="145">E91+T91</f>
        <v>282041</v>
      </c>
      <c r="AJ91" s="246">
        <f t="shared" ref="AJ91:AJ92" si="146">F91+U91</f>
        <v>282041</v>
      </c>
      <c r="AL91" s="421"/>
      <c r="AM91" s="421"/>
      <c r="AN91" s="421"/>
    </row>
    <row r="92" spans="1:43" x14ac:dyDescent="0.2">
      <c r="A92" s="68"/>
      <c r="B92" s="551" t="s">
        <v>107</v>
      </c>
      <c r="C92" s="567"/>
      <c r="D92" s="69" t="s">
        <v>189</v>
      </c>
      <c r="E92" s="246">
        <v>5823</v>
      </c>
      <c r="F92" s="246">
        <f t="shared" si="141"/>
        <v>5823</v>
      </c>
      <c r="G92" s="246">
        <f t="shared" si="142"/>
        <v>0</v>
      </c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>
        <f t="shared" si="143"/>
        <v>0</v>
      </c>
      <c r="V92" s="246">
        <f t="shared" si="144"/>
        <v>0</v>
      </c>
      <c r="W92" s="246"/>
      <c r="X92" s="246"/>
      <c r="Y92" s="246"/>
      <c r="Z92" s="246"/>
      <c r="AA92" s="246"/>
      <c r="AB92" s="246"/>
      <c r="AC92" s="246"/>
      <c r="AD92" s="246"/>
      <c r="AE92" s="246"/>
      <c r="AF92" s="246"/>
      <c r="AG92" s="246"/>
      <c r="AH92" s="246"/>
      <c r="AI92" s="246">
        <f t="shared" si="145"/>
        <v>5823</v>
      </c>
      <c r="AJ92" s="246">
        <f t="shared" si="146"/>
        <v>5823</v>
      </c>
      <c r="AL92" s="421"/>
      <c r="AM92" s="421"/>
      <c r="AN92" s="421"/>
    </row>
    <row r="93" spans="1:43" ht="24" x14ac:dyDescent="0.2">
      <c r="A93" s="55"/>
      <c r="B93" s="543" t="s">
        <v>108</v>
      </c>
      <c r="C93" s="555"/>
      <c r="D93" s="56" t="s">
        <v>615</v>
      </c>
      <c r="E93" s="57">
        <f t="shared" ref="E93:AI93" si="147">SUM(E94:E96)</f>
        <v>1092749</v>
      </c>
      <c r="F93" s="57">
        <f t="shared" si="147"/>
        <v>1094473</v>
      </c>
      <c r="G93" s="57">
        <f t="shared" si="147"/>
        <v>1724</v>
      </c>
      <c r="H93" s="57">
        <f t="shared" si="147"/>
        <v>0</v>
      </c>
      <c r="I93" s="57">
        <f t="shared" si="147"/>
        <v>0</v>
      </c>
      <c r="J93" s="57">
        <f t="shared" si="147"/>
        <v>948</v>
      </c>
      <c r="K93" s="57">
        <f t="shared" si="147"/>
        <v>0</v>
      </c>
      <c r="L93" s="57">
        <f t="shared" si="147"/>
        <v>-3379</v>
      </c>
      <c r="M93" s="57">
        <f t="shared" si="147"/>
        <v>0</v>
      </c>
      <c r="N93" s="57">
        <f t="shared" si="147"/>
        <v>0</v>
      </c>
      <c r="O93" s="57">
        <f t="shared" si="147"/>
        <v>0</v>
      </c>
      <c r="P93" s="57">
        <f t="shared" si="147"/>
        <v>4155</v>
      </c>
      <c r="Q93" s="57">
        <f t="shared" si="147"/>
        <v>0</v>
      </c>
      <c r="R93" s="57">
        <f t="shared" si="147"/>
        <v>0</v>
      </c>
      <c r="S93" s="57">
        <f t="shared" si="147"/>
        <v>0</v>
      </c>
      <c r="T93" s="57">
        <f t="shared" si="147"/>
        <v>0</v>
      </c>
      <c r="U93" s="57">
        <f t="shared" si="147"/>
        <v>-900</v>
      </c>
      <c r="V93" s="57">
        <f t="shared" si="147"/>
        <v>-900</v>
      </c>
      <c r="W93" s="57">
        <f t="shared" si="147"/>
        <v>0</v>
      </c>
      <c r="X93" s="57">
        <f t="shared" si="147"/>
        <v>0</v>
      </c>
      <c r="Y93" s="57">
        <f t="shared" si="147"/>
        <v>-900</v>
      </c>
      <c r="Z93" s="57">
        <f t="shared" si="147"/>
        <v>0</v>
      </c>
      <c r="AA93" s="57">
        <f t="shared" si="147"/>
        <v>0</v>
      </c>
      <c r="AB93" s="57">
        <f t="shared" si="147"/>
        <v>0</v>
      </c>
      <c r="AC93" s="57">
        <f t="shared" si="147"/>
        <v>0</v>
      </c>
      <c r="AD93" s="57">
        <f t="shared" si="147"/>
        <v>0</v>
      </c>
      <c r="AE93" s="57">
        <f t="shared" si="147"/>
        <v>0</v>
      </c>
      <c r="AF93" s="57">
        <f t="shared" si="147"/>
        <v>0</v>
      </c>
      <c r="AG93" s="57">
        <f t="shared" si="147"/>
        <v>0</v>
      </c>
      <c r="AH93" s="57">
        <f t="shared" si="147"/>
        <v>0</v>
      </c>
      <c r="AI93" s="57">
        <f t="shared" si="147"/>
        <v>1092749</v>
      </c>
      <c r="AJ93" s="57">
        <f t="shared" ref="AJ93" si="148">SUM(AJ94:AJ96)</f>
        <v>1093573</v>
      </c>
      <c r="AL93" s="421"/>
      <c r="AM93" s="421"/>
      <c r="AN93" s="421"/>
      <c r="AO93" s="155"/>
      <c r="AP93" s="155"/>
      <c r="AQ93" s="155"/>
    </row>
    <row r="94" spans="1:43" ht="24" x14ac:dyDescent="0.2">
      <c r="A94" s="50"/>
      <c r="B94" s="565" t="s">
        <v>109</v>
      </c>
      <c r="C94" s="566"/>
      <c r="D94" s="53" t="s">
        <v>191</v>
      </c>
      <c r="E94" s="246">
        <v>529361</v>
      </c>
      <c r="F94" s="246">
        <f t="shared" ref="F94:F96" si="149">E94+G94</f>
        <v>522304</v>
      </c>
      <c r="G94" s="246">
        <f t="shared" ref="G94:G96" si="150">SUBTOTAL(9,H94:S94)</f>
        <v>-7057</v>
      </c>
      <c r="H94" s="246"/>
      <c r="I94" s="246"/>
      <c r="J94" s="246"/>
      <c r="K94" s="246"/>
      <c r="L94" s="246">
        <v>-7057</v>
      </c>
      <c r="M94" s="246"/>
      <c r="N94" s="246"/>
      <c r="O94" s="246"/>
      <c r="P94" s="246"/>
      <c r="Q94" s="246"/>
      <c r="R94" s="246"/>
      <c r="S94" s="246"/>
      <c r="T94" s="246"/>
      <c r="U94" s="246">
        <f t="shared" ref="U94:U96" si="151">T94+V94</f>
        <v>0</v>
      </c>
      <c r="V94" s="246">
        <f t="shared" ref="V94:V96" si="152">SUBTOTAL(9,W94:AH94)</f>
        <v>0</v>
      </c>
      <c r="W94" s="246"/>
      <c r="X94" s="246"/>
      <c r="Y94" s="246"/>
      <c r="Z94" s="246"/>
      <c r="AA94" s="246"/>
      <c r="AB94" s="246"/>
      <c r="AC94" s="246"/>
      <c r="AD94" s="246"/>
      <c r="AE94" s="246"/>
      <c r="AF94" s="246"/>
      <c r="AG94" s="246"/>
      <c r="AH94" s="246"/>
      <c r="AI94" s="246">
        <f t="shared" ref="AI94:AI97" si="153">E94+T94</f>
        <v>529361</v>
      </c>
      <c r="AJ94" s="246">
        <f t="shared" ref="AJ94:AJ96" si="154">F94+U94</f>
        <v>522304</v>
      </c>
      <c r="AL94" s="421"/>
      <c r="AM94" s="421"/>
      <c r="AN94" s="421"/>
    </row>
    <row r="95" spans="1:43" x14ac:dyDescent="0.2">
      <c r="A95" s="68"/>
      <c r="B95" s="551" t="s">
        <v>110</v>
      </c>
      <c r="C95" s="567"/>
      <c r="D95" s="53" t="s">
        <v>210</v>
      </c>
      <c r="E95" s="246">
        <v>17248</v>
      </c>
      <c r="F95" s="246">
        <f t="shared" si="149"/>
        <v>17248</v>
      </c>
      <c r="G95" s="246">
        <f t="shared" si="150"/>
        <v>0</v>
      </c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>
        <f t="shared" si="151"/>
        <v>0</v>
      </c>
      <c r="V95" s="246">
        <f t="shared" si="152"/>
        <v>0</v>
      </c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6"/>
      <c r="AH95" s="246"/>
      <c r="AI95" s="246">
        <f t="shared" si="153"/>
        <v>17248</v>
      </c>
      <c r="AJ95" s="246">
        <f t="shared" si="154"/>
        <v>17248</v>
      </c>
      <c r="AL95" s="421"/>
      <c r="AM95" s="421"/>
      <c r="AN95" s="421"/>
    </row>
    <row r="96" spans="1:43" x14ac:dyDescent="0.2">
      <c r="A96" s="52"/>
      <c r="B96" s="556" t="s">
        <v>111</v>
      </c>
      <c r="C96" s="557"/>
      <c r="D96" s="53" t="s">
        <v>192</v>
      </c>
      <c r="E96" s="246">
        <v>546140</v>
      </c>
      <c r="F96" s="252">
        <f t="shared" si="149"/>
        <v>554921</v>
      </c>
      <c r="G96" s="252">
        <f t="shared" si="150"/>
        <v>8781</v>
      </c>
      <c r="H96" s="252"/>
      <c r="I96" s="252"/>
      <c r="J96" s="252">
        <f>48+900</f>
        <v>948</v>
      </c>
      <c r="K96" s="252">
        <f>875-875</f>
        <v>0</v>
      </c>
      <c r="L96" s="252">
        <f>920+2758</f>
        <v>3678</v>
      </c>
      <c r="M96" s="252"/>
      <c r="N96" s="252"/>
      <c r="O96" s="252"/>
      <c r="P96" s="252">
        <v>4155</v>
      </c>
      <c r="Q96" s="252"/>
      <c r="R96" s="252"/>
      <c r="S96" s="252"/>
      <c r="T96" s="252"/>
      <c r="U96" s="252">
        <f t="shared" si="151"/>
        <v>-900</v>
      </c>
      <c r="V96" s="252">
        <f t="shared" si="152"/>
        <v>-900</v>
      </c>
      <c r="W96" s="252"/>
      <c r="X96" s="252"/>
      <c r="Y96" s="252">
        <v>-900</v>
      </c>
      <c r="Z96" s="252"/>
      <c r="AA96" s="252"/>
      <c r="AB96" s="252"/>
      <c r="AC96" s="252"/>
      <c r="AD96" s="252"/>
      <c r="AE96" s="252"/>
      <c r="AF96" s="252"/>
      <c r="AG96" s="252"/>
      <c r="AH96" s="252"/>
      <c r="AI96" s="252">
        <f t="shared" si="153"/>
        <v>546140</v>
      </c>
      <c r="AJ96" s="252">
        <f t="shared" si="154"/>
        <v>554021</v>
      </c>
      <c r="AL96" s="421"/>
      <c r="AM96" s="421"/>
      <c r="AN96" s="421"/>
    </row>
    <row r="97" spans="1:43" ht="36" x14ac:dyDescent="0.2">
      <c r="A97" s="55"/>
      <c r="B97" s="539" t="s">
        <v>258</v>
      </c>
      <c r="C97" s="554"/>
      <c r="D97" s="130" t="s">
        <v>339</v>
      </c>
      <c r="E97" s="57">
        <f t="shared" ref="E97:AH97" si="155">SUM(E98,E100)</f>
        <v>39493</v>
      </c>
      <c r="F97" s="249">
        <f t="shared" si="155"/>
        <v>122788</v>
      </c>
      <c r="G97" s="249">
        <f t="shared" si="155"/>
        <v>83295</v>
      </c>
      <c r="H97" s="249">
        <f t="shared" si="155"/>
        <v>0</v>
      </c>
      <c r="I97" s="249">
        <f t="shared" si="155"/>
        <v>0</v>
      </c>
      <c r="J97" s="249">
        <f t="shared" si="155"/>
        <v>5360</v>
      </c>
      <c r="K97" s="249">
        <f t="shared" si="155"/>
        <v>50875</v>
      </c>
      <c r="L97" s="249">
        <f t="shared" si="155"/>
        <v>7271</v>
      </c>
      <c r="M97" s="249">
        <f t="shared" si="155"/>
        <v>19047</v>
      </c>
      <c r="N97" s="249">
        <f t="shared" si="155"/>
        <v>0</v>
      </c>
      <c r="O97" s="249">
        <f t="shared" si="155"/>
        <v>742</v>
      </c>
      <c r="P97" s="249">
        <f t="shared" si="155"/>
        <v>0</v>
      </c>
      <c r="Q97" s="249">
        <f t="shared" si="155"/>
        <v>0</v>
      </c>
      <c r="R97" s="249">
        <f t="shared" si="155"/>
        <v>0</v>
      </c>
      <c r="S97" s="249">
        <f t="shared" si="155"/>
        <v>0</v>
      </c>
      <c r="T97" s="249">
        <f t="shared" si="155"/>
        <v>-8462</v>
      </c>
      <c r="U97" s="249">
        <f t="shared" si="155"/>
        <v>-11485</v>
      </c>
      <c r="V97" s="249">
        <f t="shared" si="155"/>
        <v>-3023</v>
      </c>
      <c r="W97" s="249">
        <f t="shared" si="155"/>
        <v>0</v>
      </c>
      <c r="X97" s="249">
        <f t="shared" si="155"/>
        <v>0</v>
      </c>
      <c r="Y97" s="249">
        <f t="shared" si="155"/>
        <v>0</v>
      </c>
      <c r="Z97" s="249">
        <f t="shared" si="155"/>
        <v>-2652</v>
      </c>
      <c r="AA97" s="249">
        <f t="shared" si="155"/>
        <v>0</v>
      </c>
      <c r="AB97" s="249">
        <f t="shared" si="155"/>
        <v>0</v>
      </c>
      <c r="AC97" s="249">
        <f t="shared" si="155"/>
        <v>0</v>
      </c>
      <c r="AD97" s="249">
        <f t="shared" si="155"/>
        <v>-371</v>
      </c>
      <c r="AE97" s="249">
        <f t="shared" si="155"/>
        <v>0</v>
      </c>
      <c r="AF97" s="249">
        <f t="shared" si="155"/>
        <v>0</v>
      </c>
      <c r="AG97" s="249">
        <f t="shared" si="155"/>
        <v>0</v>
      </c>
      <c r="AH97" s="249">
        <f t="shared" si="155"/>
        <v>0</v>
      </c>
      <c r="AI97" s="249">
        <f t="shared" si="153"/>
        <v>31031</v>
      </c>
      <c r="AJ97" s="249">
        <f t="shared" ref="AJ97" si="156">SUM(AJ98,AJ100)</f>
        <v>111303</v>
      </c>
      <c r="AL97" s="421"/>
      <c r="AM97" s="421"/>
      <c r="AN97" s="421"/>
    </row>
    <row r="98" spans="1:43" s="155" customFormat="1" x14ac:dyDescent="0.2">
      <c r="A98" s="46"/>
      <c r="B98" s="543" t="s">
        <v>112</v>
      </c>
      <c r="C98" s="555"/>
      <c r="D98" s="56" t="s">
        <v>616</v>
      </c>
      <c r="E98" s="253">
        <f t="shared" ref="E98:AJ98" si="157">SUM(E99:E99)</f>
        <v>0</v>
      </c>
      <c r="F98" s="253">
        <f t="shared" si="157"/>
        <v>25270</v>
      </c>
      <c r="G98" s="253">
        <f t="shared" si="157"/>
        <v>25270</v>
      </c>
      <c r="H98" s="253">
        <f t="shared" si="157"/>
        <v>0</v>
      </c>
      <c r="I98" s="253">
        <f t="shared" si="157"/>
        <v>0</v>
      </c>
      <c r="J98" s="253">
        <f t="shared" si="157"/>
        <v>5360</v>
      </c>
      <c r="K98" s="253">
        <f t="shared" si="157"/>
        <v>1008</v>
      </c>
      <c r="L98" s="253">
        <f t="shared" si="157"/>
        <v>0</v>
      </c>
      <c r="M98" s="253">
        <f t="shared" si="157"/>
        <v>18902</v>
      </c>
      <c r="N98" s="253">
        <f t="shared" si="157"/>
        <v>0</v>
      </c>
      <c r="O98" s="253">
        <f t="shared" si="157"/>
        <v>0</v>
      </c>
      <c r="P98" s="253">
        <f t="shared" si="157"/>
        <v>0</v>
      </c>
      <c r="Q98" s="253">
        <f t="shared" si="157"/>
        <v>0</v>
      </c>
      <c r="R98" s="253">
        <f t="shared" si="157"/>
        <v>0</v>
      </c>
      <c r="S98" s="253">
        <f t="shared" si="157"/>
        <v>0</v>
      </c>
      <c r="T98" s="253">
        <f t="shared" si="157"/>
        <v>0</v>
      </c>
      <c r="U98" s="253">
        <f t="shared" si="157"/>
        <v>0</v>
      </c>
      <c r="V98" s="253">
        <f t="shared" si="157"/>
        <v>0</v>
      </c>
      <c r="W98" s="253">
        <f t="shared" si="157"/>
        <v>0</v>
      </c>
      <c r="X98" s="253">
        <f t="shared" si="157"/>
        <v>0</v>
      </c>
      <c r="Y98" s="253">
        <f t="shared" si="157"/>
        <v>0</v>
      </c>
      <c r="Z98" s="253">
        <f t="shared" si="157"/>
        <v>0</v>
      </c>
      <c r="AA98" s="253">
        <f t="shared" si="157"/>
        <v>0</v>
      </c>
      <c r="AB98" s="253">
        <f t="shared" si="157"/>
        <v>0</v>
      </c>
      <c r="AC98" s="253">
        <f t="shared" si="157"/>
        <v>0</v>
      </c>
      <c r="AD98" s="253">
        <f t="shared" si="157"/>
        <v>0</v>
      </c>
      <c r="AE98" s="253">
        <f t="shared" si="157"/>
        <v>0</v>
      </c>
      <c r="AF98" s="253">
        <f t="shared" si="157"/>
        <v>0</v>
      </c>
      <c r="AG98" s="253">
        <f t="shared" si="157"/>
        <v>0</v>
      </c>
      <c r="AH98" s="253">
        <f t="shared" si="157"/>
        <v>0</v>
      </c>
      <c r="AI98" s="253">
        <f t="shared" si="157"/>
        <v>0</v>
      </c>
      <c r="AJ98" s="253">
        <f t="shared" si="157"/>
        <v>25270</v>
      </c>
      <c r="AL98" s="421"/>
      <c r="AM98" s="421"/>
      <c r="AN98" s="421"/>
      <c r="AO98" s="37"/>
      <c r="AP98" s="37"/>
      <c r="AQ98" s="37"/>
    </row>
    <row r="99" spans="1:43" ht="24" x14ac:dyDescent="0.2">
      <c r="A99" s="52"/>
      <c r="B99" s="536" t="s">
        <v>219</v>
      </c>
      <c r="C99" s="569"/>
      <c r="D99" s="53" t="s">
        <v>617</v>
      </c>
      <c r="E99" s="247"/>
      <c r="F99" s="249">
        <f t="shared" ref="F99:F100" si="158">E99+G99</f>
        <v>25270</v>
      </c>
      <c r="G99" s="249">
        <f t="shared" ref="G99:G100" si="159">SUBTOTAL(9,H99:S99)</f>
        <v>25270</v>
      </c>
      <c r="H99" s="249"/>
      <c r="I99" s="249"/>
      <c r="J99" s="249">
        <v>5360</v>
      </c>
      <c r="K99" s="249">
        <v>1008</v>
      </c>
      <c r="L99" s="249"/>
      <c r="M99" s="249">
        <v>18902</v>
      </c>
      <c r="N99" s="249"/>
      <c r="O99" s="249"/>
      <c r="P99" s="249"/>
      <c r="Q99" s="249"/>
      <c r="R99" s="249"/>
      <c r="S99" s="249"/>
      <c r="T99" s="249"/>
      <c r="U99" s="249">
        <f t="shared" ref="U99:U100" si="160">T99+V99</f>
        <v>0</v>
      </c>
      <c r="V99" s="249">
        <f t="shared" ref="V99:V100" si="161">SUBTOTAL(9,W99:AH99)</f>
        <v>0</v>
      </c>
      <c r="W99" s="249"/>
      <c r="X99" s="249"/>
      <c r="Y99" s="249"/>
      <c r="Z99" s="249"/>
      <c r="AA99" s="249"/>
      <c r="AB99" s="249"/>
      <c r="AC99" s="249"/>
      <c r="AD99" s="249"/>
      <c r="AE99" s="249"/>
      <c r="AF99" s="249"/>
      <c r="AG99" s="249"/>
      <c r="AH99" s="249"/>
      <c r="AI99" s="249">
        <f t="shared" ref="AI99:AI100" si="162">E99+T99</f>
        <v>0</v>
      </c>
      <c r="AJ99" s="249">
        <f t="shared" ref="AJ99:AJ100" si="163">F99+U99</f>
        <v>25270</v>
      </c>
      <c r="AL99" s="421"/>
      <c r="AM99" s="421"/>
      <c r="AN99" s="421"/>
    </row>
    <row r="100" spans="1:43" s="155" customFormat="1" x14ac:dyDescent="0.2">
      <c r="A100" s="73"/>
      <c r="B100" s="552" t="s">
        <v>256</v>
      </c>
      <c r="C100" s="553"/>
      <c r="D100" s="56" t="s">
        <v>257</v>
      </c>
      <c r="E100" s="253">
        <v>39493</v>
      </c>
      <c r="F100" s="253">
        <f t="shared" si="158"/>
        <v>97518</v>
      </c>
      <c r="G100" s="253">
        <f t="shared" si="159"/>
        <v>58025</v>
      </c>
      <c r="H100" s="253"/>
      <c r="I100" s="253"/>
      <c r="J100" s="253"/>
      <c r="K100" s="253">
        <f>2503+2652+44712</f>
        <v>49867</v>
      </c>
      <c r="L100" s="253">
        <f>60+1377+5834</f>
        <v>7271</v>
      </c>
      <c r="M100" s="253">
        <v>145</v>
      </c>
      <c r="N100" s="253"/>
      <c r="O100" s="253">
        <f>371+371</f>
        <v>742</v>
      </c>
      <c r="P100" s="253"/>
      <c r="Q100" s="253"/>
      <c r="R100" s="253"/>
      <c r="S100" s="253"/>
      <c r="T100" s="253">
        <f>-4200-142-3000-10-1110</f>
        <v>-8462</v>
      </c>
      <c r="U100" s="253">
        <f t="shared" si="160"/>
        <v>-11485</v>
      </c>
      <c r="V100" s="253">
        <f t="shared" si="161"/>
        <v>-3023</v>
      </c>
      <c r="W100" s="253"/>
      <c r="X100" s="253"/>
      <c r="Y100" s="253"/>
      <c r="Z100" s="253">
        <v>-2652</v>
      </c>
      <c r="AA100" s="253"/>
      <c r="AB100" s="253"/>
      <c r="AC100" s="253"/>
      <c r="AD100" s="253">
        <v>-371</v>
      </c>
      <c r="AE100" s="253"/>
      <c r="AF100" s="253"/>
      <c r="AG100" s="253"/>
      <c r="AH100" s="253"/>
      <c r="AI100" s="253">
        <f t="shared" si="162"/>
        <v>31031</v>
      </c>
      <c r="AJ100" s="253">
        <f t="shared" si="163"/>
        <v>86033</v>
      </c>
      <c r="AL100" s="421"/>
      <c r="AM100" s="421"/>
      <c r="AN100" s="421"/>
      <c r="AO100" s="37"/>
      <c r="AP100" s="37"/>
      <c r="AQ100" s="37"/>
    </row>
    <row r="101" spans="1:43" s="155" customFormat="1" x14ac:dyDescent="0.2">
      <c r="A101" s="241"/>
      <c r="B101" s="242"/>
      <c r="C101" s="243"/>
      <c r="D101" s="66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L101" s="421"/>
      <c r="AM101" s="421"/>
      <c r="AN101" s="421"/>
      <c r="AO101" s="37"/>
      <c r="AP101" s="37"/>
      <c r="AQ101" s="37"/>
    </row>
    <row r="102" spans="1:43" x14ac:dyDescent="0.2">
      <c r="A102" s="48"/>
      <c r="B102" s="75"/>
      <c r="C102" s="76"/>
      <c r="D102" s="60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  <c r="R102" s="245"/>
      <c r="S102" s="245"/>
      <c r="T102" s="245"/>
      <c r="U102" s="245"/>
      <c r="V102" s="245"/>
      <c r="W102" s="245"/>
      <c r="X102" s="245"/>
      <c r="Y102" s="245"/>
      <c r="Z102" s="245"/>
      <c r="AA102" s="245"/>
      <c r="AB102" s="245"/>
      <c r="AC102" s="245"/>
      <c r="AD102" s="245"/>
      <c r="AE102" s="245"/>
      <c r="AF102" s="245"/>
      <c r="AG102" s="245"/>
      <c r="AH102" s="245"/>
      <c r="AI102" s="245"/>
      <c r="AJ102" s="245"/>
      <c r="AL102" s="421"/>
      <c r="AM102" s="421"/>
      <c r="AN102" s="421"/>
    </row>
    <row r="103" spans="1:43" s="160" customFormat="1" ht="12.75" x14ac:dyDescent="0.2">
      <c r="A103" s="570" t="s">
        <v>128</v>
      </c>
      <c r="B103" s="571"/>
      <c r="C103" s="571"/>
      <c r="D103" s="572"/>
      <c r="E103" s="256">
        <f t="shared" ref="E103:AI103" si="164">SUM(E10,E15,E26,E32,E37,E47,E59,E50,E68,E70,E75,E79,)</f>
        <v>81727356</v>
      </c>
      <c r="F103" s="256">
        <f t="shared" si="164"/>
        <v>82633711</v>
      </c>
      <c r="G103" s="256">
        <f t="shared" si="164"/>
        <v>906355</v>
      </c>
      <c r="H103" s="256">
        <f t="shared" si="164"/>
        <v>15523</v>
      </c>
      <c r="I103" s="256">
        <f t="shared" si="164"/>
        <v>49783</v>
      </c>
      <c r="J103" s="256">
        <f t="shared" si="164"/>
        <v>260177</v>
      </c>
      <c r="K103" s="256">
        <f t="shared" si="164"/>
        <v>167395</v>
      </c>
      <c r="L103" s="256">
        <f t="shared" si="164"/>
        <v>136560</v>
      </c>
      <c r="M103" s="256">
        <f t="shared" si="164"/>
        <v>46439</v>
      </c>
      <c r="N103" s="256">
        <f t="shared" si="164"/>
        <v>40993</v>
      </c>
      <c r="O103" s="256">
        <f t="shared" si="164"/>
        <v>15812</v>
      </c>
      <c r="P103" s="256">
        <f>SUM(P10,P15,P26,P32,P37,P47,P59,P50,P68,P70,P75,P79,)</f>
        <v>125644</v>
      </c>
      <c r="Q103" s="256">
        <f t="shared" si="164"/>
        <v>48029</v>
      </c>
      <c r="R103" s="256">
        <f t="shared" si="164"/>
        <v>0</v>
      </c>
      <c r="S103" s="256">
        <f t="shared" si="164"/>
        <v>0</v>
      </c>
      <c r="T103" s="256">
        <f t="shared" si="164"/>
        <v>-347723</v>
      </c>
      <c r="U103" s="256">
        <f t="shared" si="164"/>
        <v>-432749</v>
      </c>
      <c r="V103" s="256">
        <f t="shared" si="164"/>
        <v>-85026</v>
      </c>
      <c r="W103" s="256">
        <f t="shared" si="164"/>
        <v>-16779</v>
      </c>
      <c r="X103" s="256">
        <f t="shared" si="164"/>
        <v>-7210</v>
      </c>
      <c r="Y103" s="256">
        <f t="shared" si="164"/>
        <v>-900</v>
      </c>
      <c r="Z103" s="256">
        <f t="shared" si="164"/>
        <v>-2753</v>
      </c>
      <c r="AA103" s="256">
        <f t="shared" si="164"/>
        <v>-5896</v>
      </c>
      <c r="AB103" s="256">
        <f t="shared" si="164"/>
        <v>-31731</v>
      </c>
      <c r="AC103" s="256">
        <f t="shared" si="164"/>
        <v>-8739</v>
      </c>
      <c r="AD103" s="256">
        <f t="shared" si="164"/>
        <v>-11018</v>
      </c>
      <c r="AE103" s="256">
        <f t="shared" si="164"/>
        <v>0</v>
      </c>
      <c r="AF103" s="256">
        <f t="shared" si="164"/>
        <v>0</v>
      </c>
      <c r="AG103" s="256">
        <f t="shared" si="164"/>
        <v>0</v>
      </c>
      <c r="AH103" s="256">
        <f t="shared" si="164"/>
        <v>0</v>
      </c>
      <c r="AI103" s="256">
        <f t="shared" si="164"/>
        <v>81379633</v>
      </c>
      <c r="AJ103" s="256">
        <f t="shared" ref="AJ103" si="165">SUM(AJ10,AJ15,AJ26,AJ32,AJ37,AJ47,AJ59,AJ50,AJ68,AJ70,AJ75,AJ79,)</f>
        <v>82200962</v>
      </c>
      <c r="AL103" s="421"/>
      <c r="AM103" s="421"/>
      <c r="AN103" s="421"/>
      <c r="AO103" s="37"/>
      <c r="AP103" s="37"/>
      <c r="AQ103" s="37"/>
    </row>
    <row r="104" spans="1:43" x14ac:dyDescent="0.2">
      <c r="A104" s="55"/>
      <c r="B104" s="77"/>
      <c r="C104" s="78"/>
      <c r="D104" s="53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L104" s="421"/>
      <c r="AM104" s="421"/>
      <c r="AN104" s="421"/>
    </row>
    <row r="105" spans="1:43" s="155" customFormat="1" x14ac:dyDescent="0.2">
      <c r="A105" s="46"/>
      <c r="B105" s="573" t="s">
        <v>334</v>
      </c>
      <c r="C105" s="574"/>
      <c r="D105" s="47" t="s">
        <v>138</v>
      </c>
      <c r="E105" s="250">
        <f t="shared" ref="E105:AI105" si="166">SUM(,E106)</f>
        <v>4097729</v>
      </c>
      <c r="F105" s="250">
        <f t="shared" si="166"/>
        <v>7119338</v>
      </c>
      <c r="G105" s="250">
        <f t="shared" si="166"/>
        <v>3021609</v>
      </c>
      <c r="H105" s="250">
        <f t="shared" si="166"/>
        <v>0</v>
      </c>
      <c r="I105" s="250">
        <f t="shared" si="166"/>
        <v>0</v>
      </c>
      <c r="J105" s="250">
        <f t="shared" si="166"/>
        <v>2422629</v>
      </c>
      <c r="K105" s="250">
        <f t="shared" si="166"/>
        <v>0</v>
      </c>
      <c r="L105" s="250">
        <f t="shared" si="166"/>
        <v>0</v>
      </c>
      <c r="M105" s="250">
        <f t="shared" si="166"/>
        <v>-307804</v>
      </c>
      <c r="N105" s="250">
        <f t="shared" si="166"/>
        <v>0</v>
      </c>
      <c r="O105" s="250">
        <f t="shared" si="166"/>
        <v>0</v>
      </c>
      <c r="P105" s="250">
        <f t="shared" si="166"/>
        <v>906784</v>
      </c>
      <c r="Q105" s="250">
        <f t="shared" si="166"/>
        <v>0</v>
      </c>
      <c r="R105" s="250">
        <f t="shared" si="166"/>
        <v>0</v>
      </c>
      <c r="S105" s="250">
        <f t="shared" si="166"/>
        <v>0</v>
      </c>
      <c r="T105" s="250">
        <f t="shared" si="166"/>
        <v>0</v>
      </c>
      <c r="U105" s="250">
        <f t="shared" si="166"/>
        <v>0</v>
      </c>
      <c r="V105" s="250">
        <f t="shared" si="166"/>
        <v>0</v>
      </c>
      <c r="W105" s="250">
        <f t="shared" si="166"/>
        <v>0</v>
      </c>
      <c r="X105" s="250">
        <f t="shared" si="166"/>
        <v>0</v>
      </c>
      <c r="Y105" s="250">
        <f t="shared" si="166"/>
        <v>0</v>
      </c>
      <c r="Z105" s="250">
        <f t="shared" si="166"/>
        <v>0</v>
      </c>
      <c r="AA105" s="250">
        <f t="shared" si="166"/>
        <v>0</v>
      </c>
      <c r="AB105" s="250">
        <f t="shared" si="166"/>
        <v>0</v>
      </c>
      <c r="AC105" s="250">
        <f t="shared" si="166"/>
        <v>0</v>
      </c>
      <c r="AD105" s="250">
        <f t="shared" si="166"/>
        <v>0</v>
      </c>
      <c r="AE105" s="250">
        <f t="shared" si="166"/>
        <v>0</v>
      </c>
      <c r="AF105" s="250">
        <f t="shared" si="166"/>
        <v>0</v>
      </c>
      <c r="AG105" s="250">
        <f t="shared" si="166"/>
        <v>0</v>
      </c>
      <c r="AH105" s="250">
        <f t="shared" si="166"/>
        <v>0</v>
      </c>
      <c r="AI105" s="250">
        <f t="shared" si="166"/>
        <v>4097729</v>
      </c>
      <c r="AJ105" s="250">
        <f>SUM(,AJ106)</f>
        <v>7119338</v>
      </c>
      <c r="AL105" s="421"/>
      <c r="AM105" s="421"/>
      <c r="AN105" s="421"/>
      <c r="AO105" s="37"/>
      <c r="AP105" s="37"/>
      <c r="AQ105" s="37"/>
    </row>
    <row r="106" spans="1:43" s="155" customFormat="1" x14ac:dyDescent="0.2">
      <c r="A106" s="46"/>
      <c r="B106" s="152"/>
      <c r="C106" s="152"/>
      <c r="D106" s="47" t="s">
        <v>255</v>
      </c>
      <c r="E106" s="250">
        <f t="shared" ref="E106:AI106" si="167">SUM(E111,E107)</f>
        <v>4097729</v>
      </c>
      <c r="F106" s="250">
        <f t="shared" si="167"/>
        <v>7119338</v>
      </c>
      <c r="G106" s="250">
        <f t="shared" si="167"/>
        <v>3021609</v>
      </c>
      <c r="H106" s="250">
        <f t="shared" si="167"/>
        <v>0</v>
      </c>
      <c r="I106" s="250">
        <f t="shared" si="167"/>
        <v>0</v>
      </c>
      <c r="J106" s="250">
        <f t="shared" si="167"/>
        <v>2422629</v>
      </c>
      <c r="K106" s="250">
        <f t="shared" si="167"/>
        <v>0</v>
      </c>
      <c r="L106" s="250">
        <f t="shared" si="167"/>
        <v>0</v>
      </c>
      <c r="M106" s="250">
        <f t="shared" si="167"/>
        <v>-307804</v>
      </c>
      <c r="N106" s="250">
        <f t="shared" si="167"/>
        <v>0</v>
      </c>
      <c r="O106" s="250">
        <f t="shared" si="167"/>
        <v>0</v>
      </c>
      <c r="P106" s="250">
        <f>SUM(P111,P107)</f>
        <v>906784</v>
      </c>
      <c r="Q106" s="250">
        <f t="shared" si="167"/>
        <v>0</v>
      </c>
      <c r="R106" s="250">
        <f t="shared" si="167"/>
        <v>0</v>
      </c>
      <c r="S106" s="250">
        <f t="shared" si="167"/>
        <v>0</v>
      </c>
      <c r="T106" s="250">
        <f t="shared" si="167"/>
        <v>0</v>
      </c>
      <c r="U106" s="250">
        <f t="shared" si="167"/>
        <v>0</v>
      </c>
      <c r="V106" s="250">
        <f t="shared" si="167"/>
        <v>0</v>
      </c>
      <c r="W106" s="250">
        <f t="shared" si="167"/>
        <v>0</v>
      </c>
      <c r="X106" s="250">
        <f t="shared" si="167"/>
        <v>0</v>
      </c>
      <c r="Y106" s="250">
        <f t="shared" si="167"/>
        <v>0</v>
      </c>
      <c r="Z106" s="250">
        <f t="shared" si="167"/>
        <v>0</v>
      </c>
      <c r="AA106" s="250">
        <f t="shared" si="167"/>
        <v>0</v>
      </c>
      <c r="AB106" s="250">
        <f t="shared" si="167"/>
        <v>0</v>
      </c>
      <c r="AC106" s="250">
        <f t="shared" si="167"/>
        <v>0</v>
      </c>
      <c r="AD106" s="250">
        <f t="shared" si="167"/>
        <v>0</v>
      </c>
      <c r="AE106" s="250">
        <f t="shared" si="167"/>
        <v>0</v>
      </c>
      <c r="AF106" s="250">
        <f t="shared" si="167"/>
        <v>0</v>
      </c>
      <c r="AG106" s="250">
        <f t="shared" si="167"/>
        <v>0</v>
      </c>
      <c r="AH106" s="250">
        <f t="shared" si="167"/>
        <v>0</v>
      </c>
      <c r="AI106" s="250">
        <f t="shared" si="167"/>
        <v>4097729</v>
      </c>
      <c r="AJ106" s="250">
        <f t="shared" ref="AJ106" si="168">SUM(AJ111,AJ107)</f>
        <v>7119338</v>
      </c>
      <c r="AL106" s="421"/>
      <c r="AM106" s="421"/>
      <c r="AN106" s="421"/>
      <c r="AO106" s="37"/>
      <c r="AP106" s="37"/>
      <c r="AQ106" s="37"/>
    </row>
    <row r="107" spans="1:43" s="155" customFormat="1" hidden="1" x14ac:dyDescent="0.2">
      <c r="A107" s="73"/>
      <c r="B107" s="81"/>
      <c r="C107" s="152" t="s">
        <v>140</v>
      </c>
      <c r="D107" s="74" t="s">
        <v>262</v>
      </c>
      <c r="E107" s="250">
        <f t="shared" ref="E107:AI107" si="169">SUM(E108:E110)</f>
        <v>0</v>
      </c>
      <c r="F107" s="250">
        <f t="shared" si="169"/>
        <v>0</v>
      </c>
      <c r="G107" s="250">
        <f t="shared" si="169"/>
        <v>0</v>
      </c>
      <c r="H107" s="250">
        <f t="shared" si="169"/>
        <v>0</v>
      </c>
      <c r="I107" s="250">
        <f t="shared" si="169"/>
        <v>0</v>
      </c>
      <c r="J107" s="250">
        <f t="shared" si="169"/>
        <v>0</v>
      </c>
      <c r="K107" s="250">
        <f t="shared" si="169"/>
        <v>0</v>
      </c>
      <c r="L107" s="250">
        <f t="shared" si="169"/>
        <v>0</v>
      </c>
      <c r="M107" s="250">
        <f t="shared" si="169"/>
        <v>0</v>
      </c>
      <c r="N107" s="250">
        <f t="shared" si="169"/>
        <v>0</v>
      </c>
      <c r="O107" s="250">
        <f t="shared" si="169"/>
        <v>0</v>
      </c>
      <c r="P107" s="250">
        <f t="shared" si="169"/>
        <v>0</v>
      </c>
      <c r="Q107" s="250">
        <f t="shared" si="169"/>
        <v>0</v>
      </c>
      <c r="R107" s="250">
        <f t="shared" si="169"/>
        <v>0</v>
      </c>
      <c r="S107" s="250">
        <f t="shared" si="169"/>
        <v>0</v>
      </c>
      <c r="T107" s="250">
        <f t="shared" si="169"/>
        <v>0</v>
      </c>
      <c r="U107" s="250">
        <f t="shared" si="169"/>
        <v>0</v>
      </c>
      <c r="V107" s="250">
        <f t="shared" si="169"/>
        <v>0</v>
      </c>
      <c r="W107" s="250">
        <f t="shared" si="169"/>
        <v>0</v>
      </c>
      <c r="X107" s="250">
        <f t="shared" si="169"/>
        <v>0</v>
      </c>
      <c r="Y107" s="250">
        <f t="shared" si="169"/>
        <v>0</v>
      </c>
      <c r="Z107" s="250">
        <f t="shared" si="169"/>
        <v>0</v>
      </c>
      <c r="AA107" s="250">
        <f t="shared" si="169"/>
        <v>0</v>
      </c>
      <c r="AB107" s="250">
        <f t="shared" si="169"/>
        <v>0</v>
      </c>
      <c r="AC107" s="250">
        <f t="shared" si="169"/>
        <v>0</v>
      </c>
      <c r="AD107" s="250">
        <f t="shared" si="169"/>
        <v>0</v>
      </c>
      <c r="AE107" s="250">
        <f t="shared" si="169"/>
        <v>0</v>
      </c>
      <c r="AF107" s="250">
        <f t="shared" si="169"/>
        <v>0</v>
      </c>
      <c r="AG107" s="250">
        <f t="shared" si="169"/>
        <v>0</v>
      </c>
      <c r="AH107" s="250">
        <f t="shared" si="169"/>
        <v>0</v>
      </c>
      <c r="AI107" s="250">
        <f t="shared" si="169"/>
        <v>0</v>
      </c>
      <c r="AJ107" s="250">
        <f t="shared" ref="AJ107" si="170">SUM(AJ108:AJ110)</f>
        <v>0</v>
      </c>
      <c r="AL107" s="421"/>
      <c r="AM107" s="421"/>
      <c r="AN107" s="421"/>
      <c r="AO107" s="37"/>
      <c r="AP107" s="37"/>
      <c r="AQ107" s="37"/>
    </row>
    <row r="108" spans="1:43" hidden="1" x14ac:dyDescent="0.2">
      <c r="A108" s="68"/>
      <c r="B108" s="551"/>
      <c r="C108" s="567"/>
      <c r="D108" s="53"/>
      <c r="E108" s="251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  <c r="R108" s="246"/>
      <c r="S108" s="246"/>
      <c r="T108" s="246"/>
      <c r="U108" s="246"/>
      <c r="V108" s="246"/>
      <c r="W108" s="246"/>
      <c r="X108" s="246"/>
      <c r="Y108" s="246"/>
      <c r="Z108" s="246"/>
      <c r="AA108" s="246"/>
      <c r="AB108" s="246"/>
      <c r="AC108" s="246"/>
      <c r="AD108" s="246"/>
      <c r="AE108" s="246"/>
      <c r="AF108" s="246"/>
      <c r="AG108" s="246"/>
      <c r="AH108" s="246"/>
      <c r="AI108" s="246"/>
      <c r="AJ108" s="246"/>
      <c r="AL108" s="421"/>
      <c r="AM108" s="421"/>
      <c r="AN108" s="421"/>
    </row>
    <row r="109" spans="1:43" hidden="1" x14ac:dyDescent="0.2">
      <c r="A109" s="68"/>
      <c r="B109" s="150"/>
      <c r="C109" s="151"/>
      <c r="D109" s="53" t="s">
        <v>591</v>
      </c>
      <c r="E109" s="251"/>
      <c r="F109" s="246">
        <f>E109+G109</f>
        <v>0</v>
      </c>
      <c r="G109" s="246">
        <f>SUBTOTAL(9,H109:S109)</f>
        <v>0</v>
      </c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  <c r="R109" s="246"/>
      <c r="S109" s="246"/>
      <c r="T109" s="246"/>
      <c r="U109" s="246">
        <f>T109+V109</f>
        <v>0</v>
      </c>
      <c r="V109" s="246">
        <f>SUBTOTAL(9,W109:AH109)</f>
        <v>0</v>
      </c>
      <c r="W109" s="246"/>
      <c r="X109" s="246"/>
      <c r="Y109" s="246"/>
      <c r="Z109" s="246"/>
      <c r="AA109" s="246"/>
      <c r="AB109" s="246"/>
      <c r="AC109" s="246"/>
      <c r="AD109" s="246"/>
      <c r="AE109" s="246"/>
      <c r="AF109" s="246"/>
      <c r="AG109" s="246"/>
      <c r="AH109" s="246"/>
      <c r="AI109" s="246">
        <f t="shared" ref="AI109:AI110" si="171">E109+T109</f>
        <v>0</v>
      </c>
      <c r="AJ109" s="246">
        <f>F109+U109</f>
        <v>0</v>
      </c>
      <c r="AL109" s="421"/>
      <c r="AM109" s="421"/>
      <c r="AN109" s="421"/>
    </row>
    <row r="110" spans="1:43" x14ac:dyDescent="0.2">
      <c r="A110" s="126"/>
      <c r="B110" s="127"/>
      <c r="C110" s="128"/>
      <c r="D110" s="129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  <c r="R110" s="245"/>
      <c r="S110" s="245"/>
      <c r="T110" s="245"/>
      <c r="U110" s="245"/>
      <c r="V110" s="245"/>
      <c r="W110" s="245"/>
      <c r="X110" s="245"/>
      <c r="Y110" s="245"/>
      <c r="Z110" s="245"/>
      <c r="AA110" s="245"/>
      <c r="AB110" s="245"/>
      <c r="AC110" s="245"/>
      <c r="AD110" s="245"/>
      <c r="AE110" s="245"/>
      <c r="AF110" s="245"/>
      <c r="AG110" s="245"/>
      <c r="AH110" s="245"/>
      <c r="AI110" s="245">
        <f t="shared" si="171"/>
        <v>0</v>
      </c>
      <c r="AJ110" s="245"/>
      <c r="AL110" s="421"/>
      <c r="AM110" s="421"/>
      <c r="AN110" s="421"/>
    </row>
    <row r="111" spans="1:43" s="155" customFormat="1" x14ac:dyDescent="0.2">
      <c r="A111" s="73"/>
      <c r="B111" s="81"/>
      <c r="C111" s="152" t="s">
        <v>332</v>
      </c>
      <c r="D111" s="74" t="s">
        <v>263</v>
      </c>
      <c r="E111" s="250">
        <f t="shared" ref="E111:AJ111" si="172">SUM(E112:E121)</f>
        <v>4097729</v>
      </c>
      <c r="F111" s="250">
        <f t="shared" si="172"/>
        <v>7119338</v>
      </c>
      <c r="G111" s="250">
        <f t="shared" si="172"/>
        <v>3021609</v>
      </c>
      <c r="H111" s="250">
        <f t="shared" si="172"/>
        <v>0</v>
      </c>
      <c r="I111" s="250">
        <f t="shared" si="172"/>
        <v>0</v>
      </c>
      <c r="J111" s="250">
        <f t="shared" si="172"/>
        <v>2422629</v>
      </c>
      <c r="K111" s="250">
        <f t="shared" si="172"/>
        <v>0</v>
      </c>
      <c r="L111" s="250">
        <f t="shared" si="172"/>
        <v>0</v>
      </c>
      <c r="M111" s="250">
        <f t="shared" si="172"/>
        <v>-307804</v>
      </c>
      <c r="N111" s="250">
        <f t="shared" si="172"/>
        <v>0</v>
      </c>
      <c r="O111" s="250">
        <f t="shared" si="172"/>
        <v>0</v>
      </c>
      <c r="P111" s="250">
        <f>SUM(P112:P121)</f>
        <v>906784</v>
      </c>
      <c r="Q111" s="250">
        <f t="shared" si="172"/>
        <v>0</v>
      </c>
      <c r="R111" s="250">
        <f t="shared" si="172"/>
        <v>0</v>
      </c>
      <c r="S111" s="250">
        <f t="shared" si="172"/>
        <v>0</v>
      </c>
      <c r="T111" s="250">
        <f t="shared" si="172"/>
        <v>0</v>
      </c>
      <c r="U111" s="250">
        <f t="shared" si="172"/>
        <v>0</v>
      </c>
      <c r="V111" s="250">
        <f t="shared" si="172"/>
        <v>0</v>
      </c>
      <c r="W111" s="250">
        <f t="shared" si="172"/>
        <v>0</v>
      </c>
      <c r="X111" s="250">
        <f t="shared" si="172"/>
        <v>0</v>
      </c>
      <c r="Y111" s="250">
        <f t="shared" si="172"/>
        <v>0</v>
      </c>
      <c r="Z111" s="250">
        <f t="shared" si="172"/>
        <v>0</v>
      </c>
      <c r="AA111" s="250">
        <f t="shared" si="172"/>
        <v>0</v>
      </c>
      <c r="AB111" s="250">
        <f t="shared" si="172"/>
        <v>0</v>
      </c>
      <c r="AC111" s="250">
        <f t="shared" si="172"/>
        <v>0</v>
      </c>
      <c r="AD111" s="250">
        <f t="shared" si="172"/>
        <v>0</v>
      </c>
      <c r="AE111" s="250">
        <f t="shared" si="172"/>
        <v>0</v>
      </c>
      <c r="AF111" s="250">
        <f t="shared" si="172"/>
        <v>0</v>
      </c>
      <c r="AG111" s="250">
        <f t="shared" si="172"/>
        <v>0</v>
      </c>
      <c r="AH111" s="250">
        <f t="shared" si="172"/>
        <v>0</v>
      </c>
      <c r="AI111" s="250">
        <f t="shared" si="172"/>
        <v>4097729</v>
      </c>
      <c r="AJ111" s="250">
        <f t="shared" si="172"/>
        <v>7119338</v>
      </c>
      <c r="AL111" s="421"/>
      <c r="AM111" s="421"/>
      <c r="AN111" s="421"/>
    </row>
    <row r="112" spans="1:43" x14ac:dyDescent="0.2">
      <c r="A112" s="68"/>
      <c r="B112" s="551"/>
      <c r="C112" s="567"/>
      <c r="D112" s="53"/>
      <c r="E112" s="251"/>
      <c r="F112" s="251"/>
      <c r="G112" s="251"/>
      <c r="H112" s="251"/>
      <c r="I112" s="251"/>
      <c r="J112" s="251"/>
      <c r="K112" s="251"/>
      <c r="L112" s="251"/>
      <c r="M112" s="251"/>
      <c r="N112" s="251"/>
      <c r="O112" s="251"/>
      <c r="P112" s="251"/>
      <c r="Q112" s="251"/>
      <c r="R112" s="251"/>
      <c r="S112" s="251"/>
      <c r="T112" s="251"/>
      <c r="U112" s="251"/>
      <c r="V112" s="251"/>
      <c r="W112" s="251"/>
      <c r="X112" s="251"/>
      <c r="Y112" s="251"/>
      <c r="Z112" s="251"/>
      <c r="AA112" s="251"/>
      <c r="AB112" s="251"/>
      <c r="AC112" s="251"/>
      <c r="AD112" s="251"/>
      <c r="AE112" s="251"/>
      <c r="AF112" s="251"/>
      <c r="AG112" s="251"/>
      <c r="AH112" s="251"/>
      <c r="AI112" s="251"/>
      <c r="AJ112" s="251"/>
      <c r="AL112" s="421"/>
      <c r="AM112" s="421"/>
      <c r="AN112" s="421"/>
    </row>
    <row r="113" spans="1:43" ht="24" hidden="1" x14ac:dyDescent="0.2">
      <c r="A113" s="68"/>
      <c r="B113" s="232"/>
      <c r="C113" s="233"/>
      <c r="D113" s="53" t="s">
        <v>592</v>
      </c>
      <c r="E113" s="251">
        <v>0</v>
      </c>
      <c r="F113" s="251">
        <f t="shared" ref="F113:F116" si="173">E113+G113</f>
        <v>0</v>
      </c>
      <c r="G113" s="251">
        <f t="shared" ref="G113:G115" si="174">SUBTOTAL(9,H113:S113)</f>
        <v>0</v>
      </c>
      <c r="H113" s="251"/>
      <c r="I113" s="251"/>
      <c r="J113" s="251"/>
      <c r="K113" s="251"/>
      <c r="L113" s="251"/>
      <c r="M113" s="251"/>
      <c r="N113" s="251"/>
      <c r="O113" s="251"/>
      <c r="P113" s="251"/>
      <c r="Q113" s="251"/>
      <c r="R113" s="251"/>
      <c r="S113" s="251"/>
      <c r="T113" s="251"/>
      <c r="U113" s="251">
        <f t="shared" ref="U113:U115" si="175">T113+V113</f>
        <v>0</v>
      </c>
      <c r="V113" s="251">
        <f t="shared" ref="V113:V120" si="176">SUBTOTAL(9,W113:AH113)</f>
        <v>0</v>
      </c>
      <c r="W113" s="251"/>
      <c r="X113" s="251"/>
      <c r="Y113" s="251"/>
      <c r="Z113" s="251"/>
      <c r="AA113" s="251"/>
      <c r="AB113" s="251"/>
      <c r="AC113" s="251"/>
      <c r="AD113" s="251"/>
      <c r="AE113" s="251"/>
      <c r="AF113" s="251"/>
      <c r="AG113" s="251"/>
      <c r="AH113" s="251"/>
      <c r="AI113" s="251">
        <f t="shared" ref="AI113:AI116" si="177">E113+T113</f>
        <v>0</v>
      </c>
      <c r="AJ113" s="251">
        <f t="shared" ref="AJ113:AJ116" si="178">F113+U113</f>
        <v>0</v>
      </c>
      <c r="AL113" s="421"/>
      <c r="AM113" s="421"/>
      <c r="AN113" s="421"/>
    </row>
    <row r="114" spans="1:43" ht="24" x14ac:dyDescent="0.2">
      <c r="A114" s="68"/>
      <c r="B114" s="179"/>
      <c r="C114" s="180"/>
      <c r="D114" s="53" t="s">
        <v>684</v>
      </c>
      <c r="E114" s="251">
        <v>700000</v>
      </c>
      <c r="F114" s="251">
        <f t="shared" si="173"/>
        <v>392196</v>
      </c>
      <c r="G114" s="251">
        <f t="shared" si="174"/>
        <v>-307804</v>
      </c>
      <c r="H114" s="251"/>
      <c r="I114" s="251"/>
      <c r="J114" s="251"/>
      <c r="K114" s="251"/>
      <c r="L114" s="251"/>
      <c r="M114" s="251">
        <v>-307804</v>
      </c>
      <c r="N114" s="251"/>
      <c r="O114" s="251"/>
      <c r="P114" s="251"/>
      <c r="Q114" s="251"/>
      <c r="R114" s="251"/>
      <c r="S114" s="251"/>
      <c r="T114" s="251"/>
      <c r="U114" s="251">
        <f t="shared" si="175"/>
        <v>0</v>
      </c>
      <c r="V114" s="251">
        <f t="shared" si="176"/>
        <v>0</v>
      </c>
      <c r="W114" s="251"/>
      <c r="X114" s="251"/>
      <c r="Y114" s="251"/>
      <c r="Z114" s="251"/>
      <c r="AA114" s="251"/>
      <c r="AB114" s="251"/>
      <c r="AC114" s="251"/>
      <c r="AD114" s="251"/>
      <c r="AE114" s="251"/>
      <c r="AF114" s="251"/>
      <c r="AG114" s="251"/>
      <c r="AH114" s="251"/>
      <c r="AI114" s="251">
        <f t="shared" si="177"/>
        <v>700000</v>
      </c>
      <c r="AJ114" s="251">
        <f t="shared" si="178"/>
        <v>392196</v>
      </c>
      <c r="AL114" s="421"/>
      <c r="AM114" s="421"/>
      <c r="AN114" s="421"/>
      <c r="AO114" s="155"/>
      <c r="AP114" s="155"/>
      <c r="AQ114" s="155"/>
    </row>
    <row r="115" spans="1:43" x14ac:dyDescent="0.2">
      <c r="A115" s="68"/>
      <c r="B115" s="224"/>
      <c r="C115" s="225"/>
      <c r="D115" s="259" t="s">
        <v>560</v>
      </c>
      <c r="E115" s="251">
        <f>1125000+450000+525000</f>
        <v>2100000</v>
      </c>
      <c r="F115" s="251">
        <f t="shared" si="173"/>
        <v>2100000</v>
      </c>
      <c r="G115" s="251">
        <f t="shared" si="174"/>
        <v>0</v>
      </c>
      <c r="H115" s="251"/>
      <c r="I115" s="251"/>
      <c r="J115" s="251"/>
      <c r="K115" s="251"/>
      <c r="L115" s="251"/>
      <c r="M115" s="251"/>
      <c r="N115" s="251"/>
      <c r="O115" s="251"/>
      <c r="P115" s="251"/>
      <c r="Q115" s="251"/>
      <c r="R115" s="251"/>
      <c r="S115" s="251"/>
      <c r="T115" s="251"/>
      <c r="U115" s="251">
        <f t="shared" si="175"/>
        <v>0</v>
      </c>
      <c r="V115" s="251">
        <f t="shared" si="176"/>
        <v>0</v>
      </c>
      <c r="W115" s="251"/>
      <c r="X115" s="251"/>
      <c r="Y115" s="251"/>
      <c r="Z115" s="251"/>
      <c r="AA115" s="251"/>
      <c r="AB115" s="251"/>
      <c r="AC115" s="251"/>
      <c r="AD115" s="251"/>
      <c r="AE115" s="251"/>
      <c r="AF115" s="251"/>
      <c r="AG115" s="251"/>
      <c r="AH115" s="251"/>
      <c r="AI115" s="251">
        <f t="shared" si="177"/>
        <v>2100000</v>
      </c>
      <c r="AJ115" s="251">
        <f t="shared" si="178"/>
        <v>2100000</v>
      </c>
      <c r="AL115" s="421"/>
      <c r="AM115" s="421"/>
      <c r="AN115" s="421"/>
      <c r="AO115" s="155"/>
      <c r="AP115" s="155"/>
      <c r="AQ115" s="155"/>
    </row>
    <row r="116" spans="1:43" ht="24" x14ac:dyDescent="0.2">
      <c r="A116" s="68"/>
      <c r="B116" s="224"/>
      <c r="C116" s="225"/>
      <c r="D116" s="259" t="s">
        <v>561</v>
      </c>
      <c r="E116" s="251">
        <v>1297729</v>
      </c>
      <c r="F116" s="251">
        <f t="shared" si="173"/>
        <v>2214612</v>
      </c>
      <c r="G116" s="251">
        <f>SUBTOTAL(9,H116:S116)</f>
        <v>916883</v>
      </c>
      <c r="H116" s="251"/>
      <c r="I116" s="251"/>
      <c r="J116" s="251">
        <v>916883</v>
      </c>
      <c r="K116" s="251"/>
      <c r="L116" s="251"/>
      <c r="M116" s="251"/>
      <c r="N116" s="251"/>
      <c r="O116" s="251"/>
      <c r="P116" s="251"/>
      <c r="Q116" s="251"/>
      <c r="R116" s="251"/>
      <c r="S116" s="251"/>
      <c r="T116" s="251"/>
      <c r="U116" s="251">
        <f>T116+V116</f>
        <v>0</v>
      </c>
      <c r="V116" s="251">
        <f t="shared" si="176"/>
        <v>0</v>
      </c>
      <c r="W116" s="251"/>
      <c r="X116" s="251"/>
      <c r="Y116" s="251"/>
      <c r="Z116" s="251"/>
      <c r="AA116" s="251"/>
      <c r="AB116" s="251"/>
      <c r="AC116" s="251"/>
      <c r="AD116" s="251"/>
      <c r="AE116" s="251"/>
      <c r="AF116" s="251"/>
      <c r="AG116" s="251"/>
      <c r="AH116" s="251"/>
      <c r="AI116" s="251">
        <f t="shared" si="177"/>
        <v>1297729</v>
      </c>
      <c r="AJ116" s="251">
        <f t="shared" si="178"/>
        <v>2214612</v>
      </c>
      <c r="AL116" s="421"/>
      <c r="AM116" s="421"/>
      <c r="AN116" s="421"/>
    </row>
    <row r="117" spans="1:43" ht="24" x14ac:dyDescent="0.2">
      <c r="A117" s="68"/>
      <c r="B117" s="551"/>
      <c r="C117" s="567"/>
      <c r="D117" s="53" t="s">
        <v>732</v>
      </c>
      <c r="E117" s="251"/>
      <c r="F117" s="251">
        <f t="shared" ref="F117:F120" si="179">E117+G117</f>
        <v>1505746</v>
      </c>
      <c r="G117" s="251">
        <f>SUBTOTAL(9,H117:S117)</f>
        <v>1505746</v>
      </c>
      <c r="H117" s="251"/>
      <c r="I117" s="251"/>
      <c r="J117" s="251">
        <v>1505746</v>
      </c>
      <c r="K117" s="251"/>
      <c r="L117" s="251"/>
      <c r="M117" s="251"/>
      <c r="N117" s="251"/>
      <c r="O117" s="251"/>
      <c r="P117" s="251"/>
      <c r="Q117" s="251"/>
      <c r="R117" s="251"/>
      <c r="S117" s="251"/>
      <c r="T117" s="251"/>
      <c r="U117" s="251">
        <f t="shared" ref="U117:U120" si="180">T117+V117</f>
        <v>0</v>
      </c>
      <c r="V117" s="251">
        <f t="shared" si="176"/>
        <v>0</v>
      </c>
      <c r="W117" s="251"/>
      <c r="X117" s="251"/>
      <c r="Y117" s="251"/>
      <c r="Z117" s="251"/>
      <c r="AA117" s="251"/>
      <c r="AB117" s="251"/>
      <c r="AC117" s="251"/>
      <c r="AD117" s="251"/>
      <c r="AE117" s="251"/>
      <c r="AF117" s="251"/>
      <c r="AG117" s="251"/>
      <c r="AH117" s="251"/>
      <c r="AI117" s="251">
        <f>E117+T117</f>
        <v>0</v>
      </c>
      <c r="AJ117" s="251">
        <f>F117+U117</f>
        <v>1505746</v>
      </c>
      <c r="AL117" s="421"/>
      <c r="AM117" s="421"/>
      <c r="AN117" s="421"/>
      <c r="AO117" s="160"/>
      <c r="AP117" s="160"/>
      <c r="AQ117" s="160"/>
    </row>
    <row r="118" spans="1:43" hidden="1" x14ac:dyDescent="0.2">
      <c r="A118" s="68"/>
      <c r="B118" s="551"/>
      <c r="C118" s="567"/>
      <c r="D118" s="53"/>
      <c r="E118" s="251"/>
      <c r="F118" s="251">
        <f t="shared" si="179"/>
        <v>0</v>
      </c>
      <c r="G118" s="251">
        <f t="shared" ref="G118:G120" si="181">SUBTOTAL(9,H118:S118)</f>
        <v>0</v>
      </c>
      <c r="H118" s="251"/>
      <c r="I118" s="251"/>
      <c r="J118" s="251"/>
      <c r="K118" s="251"/>
      <c r="L118" s="251"/>
      <c r="M118" s="251"/>
      <c r="N118" s="251"/>
      <c r="O118" s="251"/>
      <c r="P118" s="251"/>
      <c r="Q118" s="251"/>
      <c r="R118" s="251"/>
      <c r="S118" s="251"/>
      <c r="T118" s="251"/>
      <c r="U118" s="251">
        <f t="shared" si="180"/>
        <v>0</v>
      </c>
      <c r="V118" s="251">
        <f t="shared" si="176"/>
        <v>0</v>
      </c>
      <c r="W118" s="251"/>
      <c r="X118" s="251"/>
      <c r="Y118" s="251"/>
      <c r="Z118" s="251"/>
      <c r="AA118" s="251"/>
      <c r="AB118" s="251"/>
      <c r="AC118" s="251"/>
      <c r="AD118" s="251"/>
      <c r="AE118" s="251"/>
      <c r="AF118" s="251"/>
      <c r="AG118" s="251"/>
      <c r="AH118" s="251"/>
      <c r="AI118" s="251">
        <f t="shared" ref="AI118:AI120" si="182">E118+T118</f>
        <v>0</v>
      </c>
      <c r="AJ118" s="251">
        <f t="shared" ref="AJ118:AJ120" si="183">F118+U118</f>
        <v>0</v>
      </c>
      <c r="AL118" s="421"/>
      <c r="AM118" s="421"/>
      <c r="AN118" s="421"/>
    </row>
    <row r="119" spans="1:43" ht="36" x14ac:dyDescent="0.2">
      <c r="A119" s="68"/>
      <c r="B119" s="437"/>
      <c r="C119" s="438"/>
      <c r="D119" s="53" t="s">
        <v>808</v>
      </c>
      <c r="E119" s="251"/>
      <c r="F119" s="251">
        <f t="shared" si="179"/>
        <v>118510</v>
      </c>
      <c r="G119" s="251">
        <f t="shared" si="181"/>
        <v>118510</v>
      </c>
      <c r="H119" s="247"/>
      <c r="I119" s="247"/>
      <c r="J119" s="247"/>
      <c r="K119" s="247"/>
      <c r="L119" s="247"/>
      <c r="M119" s="247"/>
      <c r="N119" s="247"/>
      <c r="O119" s="247"/>
      <c r="P119" s="247">
        <v>118510</v>
      </c>
      <c r="Q119" s="247"/>
      <c r="R119" s="247"/>
      <c r="S119" s="247"/>
      <c r="T119" s="247"/>
      <c r="U119" s="251">
        <f t="shared" si="180"/>
        <v>0</v>
      </c>
      <c r="V119" s="251">
        <f t="shared" si="176"/>
        <v>0</v>
      </c>
      <c r="W119" s="247"/>
      <c r="X119" s="247"/>
      <c r="Y119" s="247"/>
      <c r="Z119" s="247"/>
      <c r="AA119" s="247"/>
      <c r="AB119" s="247"/>
      <c r="AC119" s="247"/>
      <c r="AD119" s="247"/>
      <c r="AE119" s="247"/>
      <c r="AF119" s="247"/>
      <c r="AG119" s="247"/>
      <c r="AH119" s="247"/>
      <c r="AI119" s="251">
        <f t="shared" si="182"/>
        <v>0</v>
      </c>
      <c r="AJ119" s="251">
        <f t="shared" si="183"/>
        <v>118510</v>
      </c>
      <c r="AL119" s="421"/>
      <c r="AM119" s="421"/>
      <c r="AN119" s="421"/>
    </row>
    <row r="120" spans="1:43" ht="24" x14ac:dyDescent="0.2">
      <c r="A120" s="68"/>
      <c r="B120" s="437"/>
      <c r="C120" s="438"/>
      <c r="D120" s="53" t="s">
        <v>809</v>
      </c>
      <c r="E120" s="251"/>
      <c r="F120" s="251">
        <f t="shared" si="179"/>
        <v>788274</v>
      </c>
      <c r="G120" s="251">
        <f t="shared" si="181"/>
        <v>788274</v>
      </c>
      <c r="H120" s="247"/>
      <c r="I120" s="247"/>
      <c r="J120" s="247"/>
      <c r="K120" s="247"/>
      <c r="L120" s="247"/>
      <c r="M120" s="247"/>
      <c r="N120" s="247"/>
      <c r="O120" s="247"/>
      <c r="P120" s="247">
        <v>788274</v>
      </c>
      <c r="Q120" s="247"/>
      <c r="R120" s="247"/>
      <c r="S120" s="247"/>
      <c r="T120" s="247"/>
      <c r="U120" s="251">
        <f t="shared" si="180"/>
        <v>0</v>
      </c>
      <c r="V120" s="251">
        <f t="shared" si="176"/>
        <v>0</v>
      </c>
      <c r="W120" s="247"/>
      <c r="X120" s="247"/>
      <c r="Y120" s="247"/>
      <c r="Z120" s="247"/>
      <c r="AA120" s="247"/>
      <c r="AB120" s="247"/>
      <c r="AC120" s="247"/>
      <c r="AD120" s="247"/>
      <c r="AE120" s="247"/>
      <c r="AF120" s="247"/>
      <c r="AG120" s="247"/>
      <c r="AH120" s="247"/>
      <c r="AI120" s="251">
        <f t="shared" si="182"/>
        <v>0</v>
      </c>
      <c r="AJ120" s="251">
        <f t="shared" si="183"/>
        <v>788274</v>
      </c>
      <c r="AL120" s="421"/>
      <c r="AM120" s="421"/>
      <c r="AN120" s="421"/>
    </row>
    <row r="121" spans="1:43" x14ac:dyDescent="0.2">
      <c r="A121" s="68"/>
      <c r="B121" s="551"/>
      <c r="C121" s="567"/>
      <c r="D121" s="53"/>
      <c r="E121" s="251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  <c r="R121" s="247"/>
      <c r="S121" s="247"/>
      <c r="T121" s="247"/>
      <c r="U121" s="247"/>
      <c r="V121" s="247"/>
      <c r="W121" s="247"/>
      <c r="X121" s="247"/>
      <c r="Y121" s="247"/>
      <c r="Z121" s="247"/>
      <c r="AA121" s="247"/>
      <c r="AB121" s="247"/>
      <c r="AC121" s="247"/>
      <c r="AD121" s="247"/>
      <c r="AE121" s="247"/>
      <c r="AF121" s="247"/>
      <c r="AG121" s="247"/>
      <c r="AH121" s="247"/>
      <c r="AI121" s="247"/>
      <c r="AJ121" s="247"/>
      <c r="AL121" s="421"/>
      <c r="AM121" s="421"/>
      <c r="AN121" s="421"/>
    </row>
    <row r="122" spans="1:43" s="155" customFormat="1" x14ac:dyDescent="0.2">
      <c r="A122" s="73"/>
      <c r="B122" s="81"/>
      <c r="C122" s="82"/>
      <c r="D122" s="47" t="s">
        <v>193</v>
      </c>
      <c r="E122" s="250">
        <f t="shared" ref="E122:AI122" si="184">SUM(E123:E145)</f>
        <v>10327692</v>
      </c>
      <c r="F122" s="250">
        <f>SUM(F123:F145)</f>
        <v>13112254</v>
      </c>
      <c r="G122" s="250">
        <f t="shared" si="184"/>
        <v>2784562</v>
      </c>
      <c r="H122" s="250">
        <f t="shared" si="184"/>
        <v>10016</v>
      </c>
      <c r="I122" s="250">
        <f t="shared" si="184"/>
        <v>4540</v>
      </c>
      <c r="J122" s="250">
        <f>SUM(J123:J145)</f>
        <v>2773006</v>
      </c>
      <c r="K122" s="250">
        <f t="shared" si="184"/>
        <v>-3000</v>
      </c>
      <c r="L122" s="250">
        <f t="shared" si="184"/>
        <v>0</v>
      </c>
      <c r="M122" s="250">
        <f t="shared" si="184"/>
        <v>0</v>
      </c>
      <c r="N122" s="250">
        <f t="shared" si="184"/>
        <v>0</v>
      </c>
      <c r="O122" s="250">
        <f t="shared" si="184"/>
        <v>0</v>
      </c>
      <c r="P122" s="250">
        <f t="shared" si="184"/>
        <v>0</v>
      </c>
      <c r="Q122" s="250">
        <f t="shared" si="184"/>
        <v>0</v>
      </c>
      <c r="R122" s="250">
        <f t="shared" si="184"/>
        <v>0</v>
      </c>
      <c r="S122" s="250">
        <f t="shared" si="184"/>
        <v>0</v>
      </c>
      <c r="T122" s="250">
        <f t="shared" si="184"/>
        <v>0</v>
      </c>
      <c r="U122" s="250">
        <f t="shared" si="184"/>
        <v>0</v>
      </c>
      <c r="V122" s="250">
        <f t="shared" si="184"/>
        <v>0</v>
      </c>
      <c r="W122" s="250">
        <f t="shared" si="184"/>
        <v>0</v>
      </c>
      <c r="X122" s="250">
        <f t="shared" si="184"/>
        <v>0</v>
      </c>
      <c r="Y122" s="250">
        <f t="shared" si="184"/>
        <v>0</v>
      </c>
      <c r="Z122" s="250">
        <f t="shared" si="184"/>
        <v>0</v>
      </c>
      <c r="AA122" s="250">
        <f t="shared" si="184"/>
        <v>0</v>
      </c>
      <c r="AB122" s="250">
        <f t="shared" si="184"/>
        <v>0</v>
      </c>
      <c r="AC122" s="250">
        <f t="shared" si="184"/>
        <v>0</v>
      </c>
      <c r="AD122" s="250">
        <f t="shared" si="184"/>
        <v>0</v>
      </c>
      <c r="AE122" s="250">
        <f t="shared" si="184"/>
        <v>0</v>
      </c>
      <c r="AF122" s="250">
        <f t="shared" si="184"/>
        <v>0</v>
      </c>
      <c r="AG122" s="250">
        <f t="shared" si="184"/>
        <v>0</v>
      </c>
      <c r="AH122" s="250">
        <f t="shared" si="184"/>
        <v>0</v>
      </c>
      <c r="AI122" s="250">
        <f t="shared" si="184"/>
        <v>10327692</v>
      </c>
      <c r="AJ122" s="250">
        <f t="shared" ref="AJ122" si="185">SUM(AJ123:AJ145)</f>
        <v>13112254</v>
      </c>
      <c r="AL122" s="421"/>
      <c r="AM122" s="421"/>
      <c r="AN122" s="421"/>
    </row>
    <row r="123" spans="1:43" hidden="1" outlineLevel="1" x14ac:dyDescent="0.2">
      <c r="A123" s="62"/>
      <c r="B123" s="79"/>
      <c r="C123" s="80"/>
      <c r="D123" s="83" t="s">
        <v>194</v>
      </c>
      <c r="E123" s="57">
        <v>9546435</v>
      </c>
      <c r="F123" s="57">
        <f t="shared" ref="F123:F145" si="186">E123+G123</f>
        <v>11824769</v>
      </c>
      <c r="G123" s="57">
        <f t="shared" ref="G123:G145" si="187">SUBTOTAL(9,H123:S123)</f>
        <v>2278334</v>
      </c>
      <c r="H123" s="57"/>
      <c r="I123" s="57"/>
      <c r="J123" s="57">
        <v>2281334</v>
      </c>
      <c r="K123" s="57">
        <v>-3000</v>
      </c>
      <c r="L123" s="57"/>
      <c r="M123" s="57"/>
      <c r="N123" s="57"/>
      <c r="O123" s="57"/>
      <c r="P123" s="57"/>
      <c r="Q123" s="57"/>
      <c r="R123" s="57"/>
      <c r="S123" s="57"/>
      <c r="T123" s="57"/>
      <c r="U123" s="57">
        <f t="shared" ref="U123:U145" si="188">T123+V123</f>
        <v>0</v>
      </c>
      <c r="V123" s="57">
        <f t="shared" ref="V123:V145" si="189">SUBTOTAL(9,W123:AH123)</f>
        <v>0</v>
      </c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>
        <f t="shared" ref="AI123:AI144" si="190">E123+T123</f>
        <v>9546435</v>
      </c>
      <c r="AJ123" s="57">
        <f t="shared" ref="AJ123:AJ145" si="191">F123+U123</f>
        <v>11824769</v>
      </c>
      <c r="AL123" s="421"/>
      <c r="AM123" s="421"/>
      <c r="AN123" s="421"/>
      <c r="AO123" s="155"/>
      <c r="AP123" s="155"/>
      <c r="AQ123" s="155"/>
    </row>
    <row r="124" spans="1:43" hidden="1" outlineLevel="1" x14ac:dyDescent="0.2">
      <c r="A124" s="62"/>
      <c r="B124" s="79"/>
      <c r="C124" s="80"/>
      <c r="D124" s="56" t="s">
        <v>195</v>
      </c>
      <c r="E124" s="57">
        <v>93471</v>
      </c>
      <c r="F124" s="57">
        <f t="shared" si="186"/>
        <v>223689</v>
      </c>
      <c r="G124" s="57">
        <f>SUBTOTAL(9,H124:S124)</f>
        <v>130218</v>
      </c>
      <c r="H124" s="57"/>
      <c r="I124" s="57"/>
      <c r="J124" s="57">
        <v>130218</v>
      </c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>
        <f t="shared" si="188"/>
        <v>0</v>
      </c>
      <c r="V124" s="57">
        <f t="shared" si="189"/>
        <v>0</v>
      </c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>
        <f t="shared" si="190"/>
        <v>93471</v>
      </c>
      <c r="AJ124" s="57">
        <f t="shared" si="191"/>
        <v>223689</v>
      </c>
      <c r="AL124" s="421"/>
      <c r="AM124" s="421"/>
      <c r="AN124" s="421"/>
      <c r="AO124" s="155"/>
      <c r="AP124" s="155"/>
      <c r="AQ124" s="155"/>
    </row>
    <row r="125" spans="1:43" hidden="1" outlineLevel="1" x14ac:dyDescent="0.2">
      <c r="A125" s="62"/>
      <c r="B125" s="79"/>
      <c r="C125" s="80"/>
      <c r="D125" s="83" t="s">
        <v>136</v>
      </c>
      <c r="E125" s="57">
        <v>280550</v>
      </c>
      <c r="F125" s="57">
        <f>E125+G125</f>
        <v>366341</v>
      </c>
      <c r="G125" s="57">
        <f t="shared" si="187"/>
        <v>85791</v>
      </c>
      <c r="H125" s="57">
        <f>3681+1395+4940</f>
        <v>10016</v>
      </c>
      <c r="I125" s="57">
        <v>4540</v>
      </c>
      <c r="J125" s="57">
        <v>71235</v>
      </c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>
        <f t="shared" si="188"/>
        <v>0</v>
      </c>
      <c r="V125" s="57">
        <f t="shared" si="189"/>
        <v>0</v>
      </c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>
        <f t="shared" si="190"/>
        <v>280550</v>
      </c>
      <c r="AJ125" s="57">
        <f t="shared" si="191"/>
        <v>366341</v>
      </c>
      <c r="AL125" s="421"/>
      <c r="AM125" s="421"/>
      <c r="AN125" s="421"/>
    </row>
    <row r="126" spans="1:43" hidden="1" outlineLevel="1" x14ac:dyDescent="0.2">
      <c r="A126" s="62"/>
      <c r="B126" s="79"/>
      <c r="C126" s="80"/>
      <c r="D126" s="53" t="s">
        <v>84</v>
      </c>
      <c r="E126" s="57">
        <v>5429</v>
      </c>
      <c r="F126" s="57">
        <f t="shared" si="186"/>
        <v>5429</v>
      </c>
      <c r="G126" s="57">
        <f t="shared" si="187"/>
        <v>0</v>
      </c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>
        <f t="shared" si="188"/>
        <v>0</v>
      </c>
      <c r="V126" s="57">
        <f t="shared" si="189"/>
        <v>0</v>
      </c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>
        <f t="shared" si="190"/>
        <v>5429</v>
      </c>
      <c r="AJ126" s="57">
        <f t="shared" si="191"/>
        <v>5429</v>
      </c>
      <c r="AL126" s="421"/>
      <c r="AM126" s="421"/>
      <c r="AN126" s="421"/>
    </row>
    <row r="127" spans="1:43" hidden="1" outlineLevel="1" x14ac:dyDescent="0.2">
      <c r="A127" s="62"/>
      <c r="B127" s="79"/>
      <c r="C127" s="80"/>
      <c r="D127" s="83" t="s">
        <v>137</v>
      </c>
      <c r="E127" s="57">
        <f>14315</f>
        <v>14315</v>
      </c>
      <c r="F127" s="57">
        <f t="shared" si="186"/>
        <v>132773</v>
      </c>
      <c r="G127" s="57">
        <f t="shared" si="187"/>
        <v>118458</v>
      </c>
      <c r="H127" s="57"/>
      <c r="I127" s="57"/>
      <c r="J127" s="57">
        <v>118458</v>
      </c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>
        <f t="shared" si="188"/>
        <v>0</v>
      </c>
      <c r="V127" s="57">
        <f t="shared" si="189"/>
        <v>0</v>
      </c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>
        <f t="shared" si="190"/>
        <v>14315</v>
      </c>
      <c r="AJ127" s="57">
        <f t="shared" si="191"/>
        <v>132773</v>
      </c>
      <c r="AL127" s="421"/>
      <c r="AM127" s="421"/>
      <c r="AN127" s="421"/>
    </row>
    <row r="128" spans="1:43" hidden="1" outlineLevel="1" x14ac:dyDescent="0.2">
      <c r="A128" s="62"/>
      <c r="B128" s="79"/>
      <c r="C128" s="80"/>
      <c r="D128" s="83" t="s">
        <v>698</v>
      </c>
      <c r="E128" s="57">
        <v>17458</v>
      </c>
      <c r="F128" s="57">
        <f t="shared" si="186"/>
        <v>41555</v>
      </c>
      <c r="G128" s="57">
        <f t="shared" si="187"/>
        <v>24097</v>
      </c>
      <c r="H128" s="57"/>
      <c r="I128" s="57"/>
      <c r="J128" s="57">
        <v>24097</v>
      </c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>
        <f t="shared" si="188"/>
        <v>0</v>
      </c>
      <c r="V128" s="57">
        <f t="shared" si="189"/>
        <v>0</v>
      </c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>
        <f t="shared" si="190"/>
        <v>17458</v>
      </c>
      <c r="AJ128" s="57">
        <f t="shared" si="191"/>
        <v>41555</v>
      </c>
      <c r="AL128" s="421"/>
      <c r="AM128" s="421"/>
      <c r="AN128" s="421"/>
      <c r="AO128" s="155"/>
      <c r="AP128" s="155"/>
      <c r="AQ128" s="155"/>
    </row>
    <row r="129" spans="1:43" ht="24" hidden="1" outlineLevel="1" x14ac:dyDescent="0.2">
      <c r="A129" s="62"/>
      <c r="B129" s="79"/>
      <c r="C129" s="80"/>
      <c r="D129" s="83" t="s">
        <v>796</v>
      </c>
      <c r="E129" s="57"/>
      <c r="F129" s="57">
        <f t="shared" si="186"/>
        <v>17023</v>
      </c>
      <c r="G129" s="57">
        <f t="shared" si="187"/>
        <v>17023</v>
      </c>
      <c r="H129" s="57"/>
      <c r="I129" s="57"/>
      <c r="J129" s="57">
        <v>17023</v>
      </c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>
        <f t="shared" si="188"/>
        <v>0</v>
      </c>
      <c r="V129" s="57">
        <f t="shared" si="189"/>
        <v>0</v>
      </c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>
        <f t="shared" si="190"/>
        <v>0</v>
      </c>
      <c r="AJ129" s="57">
        <f t="shared" si="191"/>
        <v>17023</v>
      </c>
      <c r="AL129" s="421"/>
      <c r="AM129" s="421"/>
      <c r="AN129" s="421"/>
    </row>
    <row r="130" spans="1:43" ht="24" hidden="1" outlineLevel="1" x14ac:dyDescent="0.2">
      <c r="A130" s="62"/>
      <c r="B130" s="79"/>
      <c r="C130" s="80"/>
      <c r="D130" s="83" t="s">
        <v>797</v>
      </c>
      <c r="E130" s="57"/>
      <c r="F130" s="57">
        <f t="shared" ref="F130" si="192">E130+G130</f>
        <v>724</v>
      </c>
      <c r="G130" s="57">
        <f t="shared" ref="G130" si="193">SUBTOTAL(9,H130:S130)</f>
        <v>724</v>
      </c>
      <c r="H130" s="57"/>
      <c r="I130" s="57"/>
      <c r="J130" s="57">
        <v>724</v>
      </c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>
        <f t="shared" ref="U130" si="194">T130+V130</f>
        <v>0</v>
      </c>
      <c r="V130" s="57">
        <f t="shared" ref="V130" si="195">SUBTOTAL(9,W130:AH130)</f>
        <v>0</v>
      </c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>
        <f t="shared" ref="AI130" si="196">E130+T130</f>
        <v>0</v>
      </c>
      <c r="AJ130" s="57">
        <f t="shared" ref="AJ130" si="197">F130+U130</f>
        <v>724</v>
      </c>
      <c r="AL130" s="421"/>
      <c r="AM130" s="421"/>
      <c r="AN130" s="421"/>
    </row>
    <row r="131" spans="1:43" ht="24" hidden="1" outlineLevel="1" x14ac:dyDescent="0.2">
      <c r="A131" s="62"/>
      <c r="B131" s="79"/>
      <c r="C131" s="80"/>
      <c r="D131" s="83" t="s">
        <v>699</v>
      </c>
      <c r="E131" s="57">
        <v>1284</v>
      </c>
      <c r="F131" s="57">
        <f t="shared" si="186"/>
        <v>32015</v>
      </c>
      <c r="G131" s="57">
        <f t="shared" si="187"/>
        <v>30731</v>
      </c>
      <c r="H131" s="57"/>
      <c r="I131" s="57"/>
      <c r="J131" s="57">
        <v>30731</v>
      </c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>
        <f t="shared" si="188"/>
        <v>0</v>
      </c>
      <c r="V131" s="57">
        <f t="shared" si="189"/>
        <v>0</v>
      </c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>
        <f t="shared" si="190"/>
        <v>1284</v>
      </c>
      <c r="AJ131" s="57">
        <f t="shared" si="191"/>
        <v>32015</v>
      </c>
      <c r="AL131" s="421"/>
      <c r="AM131" s="421"/>
      <c r="AN131" s="421"/>
    </row>
    <row r="132" spans="1:43" hidden="1" outlineLevel="1" x14ac:dyDescent="0.2">
      <c r="A132" s="62"/>
      <c r="B132" s="79"/>
      <c r="C132" s="80"/>
      <c r="D132" s="83" t="s">
        <v>624</v>
      </c>
      <c r="E132" s="57"/>
      <c r="F132" s="57">
        <f t="shared" si="186"/>
        <v>15</v>
      </c>
      <c r="G132" s="57">
        <f t="shared" si="187"/>
        <v>15</v>
      </c>
      <c r="H132" s="57"/>
      <c r="I132" s="57"/>
      <c r="J132" s="57">
        <f>4+9+2</f>
        <v>15</v>
      </c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>
        <f t="shared" si="188"/>
        <v>0</v>
      </c>
      <c r="V132" s="57">
        <f t="shared" si="189"/>
        <v>0</v>
      </c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>
        <f t="shared" si="190"/>
        <v>0</v>
      </c>
      <c r="AJ132" s="57">
        <f t="shared" si="191"/>
        <v>15</v>
      </c>
      <c r="AL132" s="421"/>
      <c r="AM132" s="421"/>
      <c r="AN132" s="421"/>
    </row>
    <row r="133" spans="1:43" hidden="1" outlineLevel="1" x14ac:dyDescent="0.2">
      <c r="A133" s="62"/>
      <c r="B133" s="79"/>
      <c r="C133" s="80"/>
      <c r="D133" s="83" t="s">
        <v>159</v>
      </c>
      <c r="E133" s="57">
        <f>58294+307</f>
        <v>58601</v>
      </c>
      <c r="F133" s="57">
        <f>E133+G133</f>
        <v>66922</v>
      </c>
      <c r="G133" s="57">
        <f t="shared" si="187"/>
        <v>8321</v>
      </c>
      <c r="H133" s="57"/>
      <c r="I133" s="57"/>
      <c r="J133" s="57">
        <v>8321</v>
      </c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>
        <f t="shared" si="188"/>
        <v>0</v>
      </c>
      <c r="V133" s="57">
        <f t="shared" si="189"/>
        <v>0</v>
      </c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>
        <f t="shared" si="190"/>
        <v>58601</v>
      </c>
      <c r="AJ133" s="57">
        <f t="shared" si="191"/>
        <v>66922</v>
      </c>
      <c r="AL133" s="421"/>
      <c r="AM133" s="421"/>
      <c r="AN133" s="421"/>
    </row>
    <row r="134" spans="1:43" hidden="1" outlineLevel="1" x14ac:dyDescent="0.2">
      <c r="A134" s="62"/>
      <c r="B134" s="79"/>
      <c r="C134" s="80"/>
      <c r="D134" s="83" t="s">
        <v>739</v>
      </c>
      <c r="E134" s="57"/>
      <c r="F134" s="57">
        <f t="shared" si="186"/>
        <v>185</v>
      </c>
      <c r="G134" s="57">
        <f t="shared" si="187"/>
        <v>185</v>
      </c>
      <c r="H134" s="57"/>
      <c r="I134" s="57"/>
      <c r="J134" s="57">
        <f>89+96</f>
        <v>185</v>
      </c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>
        <f t="shared" si="188"/>
        <v>0</v>
      </c>
      <c r="V134" s="57">
        <f t="shared" si="189"/>
        <v>0</v>
      </c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>
        <f t="shared" si="190"/>
        <v>0</v>
      </c>
      <c r="AJ134" s="57">
        <f t="shared" si="191"/>
        <v>185</v>
      </c>
      <c r="AL134" s="421"/>
      <c r="AM134" s="421"/>
      <c r="AN134" s="421"/>
    </row>
    <row r="135" spans="1:43" ht="24" hidden="1" outlineLevel="1" x14ac:dyDescent="0.2">
      <c r="A135" s="62"/>
      <c r="B135" s="79"/>
      <c r="C135" s="80"/>
      <c r="D135" s="83" t="s">
        <v>333</v>
      </c>
      <c r="E135" s="57"/>
      <c r="F135" s="57">
        <f t="shared" si="186"/>
        <v>2788</v>
      </c>
      <c r="G135" s="57">
        <f t="shared" si="187"/>
        <v>2788</v>
      </c>
      <c r="H135" s="57"/>
      <c r="I135" s="57"/>
      <c r="J135" s="57">
        <v>2788</v>
      </c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>
        <f t="shared" si="188"/>
        <v>0</v>
      </c>
      <c r="V135" s="57">
        <f t="shared" si="189"/>
        <v>0</v>
      </c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>
        <f t="shared" si="190"/>
        <v>0</v>
      </c>
      <c r="AJ135" s="57">
        <f t="shared" si="191"/>
        <v>2788</v>
      </c>
      <c r="AL135" s="421"/>
      <c r="AM135" s="421"/>
      <c r="AN135" s="421"/>
    </row>
    <row r="136" spans="1:43" hidden="1" outlineLevel="1" x14ac:dyDescent="0.2">
      <c r="A136" s="62"/>
      <c r="B136" s="79"/>
      <c r="C136" s="80"/>
      <c r="D136" s="83" t="s">
        <v>244</v>
      </c>
      <c r="E136" s="57"/>
      <c r="F136" s="57">
        <f t="shared" si="186"/>
        <v>13021</v>
      </c>
      <c r="G136" s="57">
        <f t="shared" si="187"/>
        <v>13021</v>
      </c>
      <c r="H136" s="57"/>
      <c r="I136" s="57"/>
      <c r="J136" s="57">
        <v>13021</v>
      </c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>
        <f t="shared" si="188"/>
        <v>0</v>
      </c>
      <c r="V136" s="57">
        <f t="shared" si="189"/>
        <v>0</v>
      </c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>
        <f t="shared" si="190"/>
        <v>0</v>
      </c>
      <c r="AJ136" s="57">
        <f t="shared" si="191"/>
        <v>13021</v>
      </c>
      <c r="AL136" s="421"/>
      <c r="AM136" s="421"/>
      <c r="AN136" s="421"/>
    </row>
    <row r="137" spans="1:43" hidden="1" outlineLevel="1" x14ac:dyDescent="0.2">
      <c r="A137" s="62"/>
      <c r="B137" s="79"/>
      <c r="C137" s="80"/>
      <c r="D137" s="83" t="s">
        <v>562</v>
      </c>
      <c r="E137" s="57"/>
      <c r="F137" s="57">
        <f t="shared" si="186"/>
        <v>0</v>
      </c>
      <c r="G137" s="57">
        <f t="shared" si="187"/>
        <v>0</v>
      </c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>
        <f t="shared" si="188"/>
        <v>0</v>
      </c>
      <c r="V137" s="57">
        <f t="shared" si="189"/>
        <v>0</v>
      </c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>
        <f t="shared" si="190"/>
        <v>0</v>
      </c>
      <c r="AJ137" s="57">
        <f t="shared" si="191"/>
        <v>0</v>
      </c>
      <c r="AL137" s="421"/>
      <c r="AM137" s="421"/>
      <c r="AN137" s="421"/>
    </row>
    <row r="138" spans="1:43" hidden="1" outlineLevel="1" x14ac:dyDescent="0.2">
      <c r="A138" s="62"/>
      <c r="B138" s="79"/>
      <c r="C138" s="80"/>
      <c r="D138" s="83" t="s">
        <v>740</v>
      </c>
      <c r="E138" s="57"/>
      <c r="F138" s="57">
        <f t="shared" si="186"/>
        <v>3167</v>
      </c>
      <c r="G138" s="57">
        <f t="shared" si="187"/>
        <v>3167</v>
      </c>
      <c r="H138" s="57"/>
      <c r="I138" s="57"/>
      <c r="J138" s="57">
        <v>3167</v>
      </c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>
        <f t="shared" si="188"/>
        <v>0</v>
      </c>
      <c r="V138" s="57">
        <f t="shared" si="189"/>
        <v>0</v>
      </c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>
        <f t="shared" si="190"/>
        <v>0</v>
      </c>
      <c r="AJ138" s="57">
        <f t="shared" si="191"/>
        <v>3167</v>
      </c>
      <c r="AL138" s="421"/>
      <c r="AM138" s="421"/>
      <c r="AN138" s="421"/>
      <c r="AO138" s="155"/>
      <c r="AP138" s="155"/>
      <c r="AQ138" s="155"/>
    </row>
    <row r="139" spans="1:43" hidden="1" outlineLevel="1" x14ac:dyDescent="0.2">
      <c r="A139" s="62"/>
      <c r="B139" s="79"/>
      <c r="C139" s="80"/>
      <c r="D139" s="83" t="s">
        <v>139</v>
      </c>
      <c r="E139" s="57"/>
      <c r="F139" s="57">
        <f t="shared" si="186"/>
        <v>0</v>
      </c>
      <c r="G139" s="57">
        <f t="shared" si="187"/>
        <v>0</v>
      </c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>
        <f t="shared" si="188"/>
        <v>0</v>
      </c>
      <c r="V139" s="57">
        <f t="shared" si="189"/>
        <v>0</v>
      </c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>
        <f t="shared" si="190"/>
        <v>0</v>
      </c>
      <c r="AJ139" s="57">
        <f t="shared" si="191"/>
        <v>0</v>
      </c>
      <c r="AL139" s="421"/>
      <c r="AM139" s="421"/>
      <c r="AN139" s="421"/>
    </row>
    <row r="140" spans="1:43" hidden="1" outlineLevel="1" x14ac:dyDescent="0.2">
      <c r="A140" s="62"/>
      <c r="B140" s="79"/>
      <c r="C140" s="80"/>
      <c r="D140" s="63" t="s">
        <v>56</v>
      </c>
      <c r="E140" s="57"/>
      <c r="F140" s="57">
        <f t="shared" si="186"/>
        <v>779</v>
      </c>
      <c r="G140" s="57">
        <f t="shared" si="187"/>
        <v>779</v>
      </c>
      <c r="H140" s="57"/>
      <c r="I140" s="57"/>
      <c r="J140" s="57">
        <v>779</v>
      </c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>
        <f t="shared" si="188"/>
        <v>0</v>
      </c>
      <c r="V140" s="57">
        <f t="shared" si="189"/>
        <v>0</v>
      </c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>
        <f t="shared" si="190"/>
        <v>0</v>
      </c>
      <c r="AJ140" s="57">
        <f t="shared" si="191"/>
        <v>779</v>
      </c>
      <c r="AL140" s="421"/>
      <c r="AM140" s="421"/>
      <c r="AN140" s="421"/>
    </row>
    <row r="141" spans="1:43" ht="24" hidden="1" outlineLevel="1" x14ac:dyDescent="0.2">
      <c r="A141" s="62"/>
      <c r="B141" s="79"/>
      <c r="C141" s="80"/>
      <c r="D141" s="63" t="s">
        <v>82</v>
      </c>
      <c r="E141" s="57">
        <v>124719</v>
      </c>
      <c r="F141" s="57">
        <f t="shared" si="186"/>
        <v>128610</v>
      </c>
      <c r="G141" s="57">
        <f t="shared" si="187"/>
        <v>3891</v>
      </c>
      <c r="H141" s="57"/>
      <c r="I141" s="57"/>
      <c r="J141" s="57">
        <v>3891</v>
      </c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>
        <f t="shared" si="188"/>
        <v>0</v>
      </c>
      <c r="V141" s="57">
        <f t="shared" si="189"/>
        <v>0</v>
      </c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>
        <f t="shared" si="190"/>
        <v>124719</v>
      </c>
      <c r="AJ141" s="57">
        <f t="shared" si="191"/>
        <v>128610</v>
      </c>
      <c r="AL141" s="421"/>
      <c r="AM141" s="421"/>
      <c r="AN141" s="421"/>
    </row>
    <row r="142" spans="1:43" hidden="1" outlineLevel="1" x14ac:dyDescent="0.2">
      <c r="A142" s="62"/>
      <c r="B142" s="79"/>
      <c r="C142" s="80"/>
      <c r="D142" s="63" t="s">
        <v>183</v>
      </c>
      <c r="E142" s="57"/>
      <c r="F142" s="57">
        <f t="shared" si="186"/>
        <v>2087</v>
      </c>
      <c r="G142" s="57">
        <f t="shared" si="187"/>
        <v>2087</v>
      </c>
      <c r="H142" s="57"/>
      <c r="I142" s="57"/>
      <c r="J142" s="57">
        <v>2087</v>
      </c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>
        <f t="shared" si="188"/>
        <v>0</v>
      </c>
      <c r="V142" s="57">
        <f t="shared" si="189"/>
        <v>0</v>
      </c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>
        <f t="shared" si="190"/>
        <v>0</v>
      </c>
      <c r="AJ142" s="57">
        <f t="shared" si="191"/>
        <v>2087</v>
      </c>
      <c r="AL142" s="421"/>
      <c r="AM142" s="421"/>
      <c r="AN142" s="421"/>
    </row>
    <row r="143" spans="1:43" hidden="1" outlineLevel="1" x14ac:dyDescent="0.2">
      <c r="A143" s="62"/>
      <c r="B143" s="79"/>
      <c r="C143" s="80"/>
      <c r="D143" s="63" t="s">
        <v>127</v>
      </c>
      <c r="E143" s="57">
        <f>161947+12100</f>
        <v>174047</v>
      </c>
      <c r="F143" s="57">
        <f t="shared" si="186"/>
        <v>238979</v>
      </c>
      <c r="G143" s="57">
        <f t="shared" si="187"/>
        <v>64932</v>
      </c>
      <c r="H143" s="57"/>
      <c r="I143" s="57"/>
      <c r="J143" s="57">
        <v>64932</v>
      </c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>
        <f t="shared" si="188"/>
        <v>0</v>
      </c>
      <c r="V143" s="57">
        <f t="shared" si="189"/>
        <v>0</v>
      </c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>
        <f t="shared" si="190"/>
        <v>174047</v>
      </c>
      <c r="AJ143" s="57">
        <f t="shared" si="191"/>
        <v>238979</v>
      </c>
      <c r="AL143" s="421"/>
      <c r="AM143" s="421"/>
      <c r="AN143" s="421"/>
    </row>
    <row r="144" spans="1:43" ht="24" hidden="1" outlineLevel="1" x14ac:dyDescent="0.2">
      <c r="A144" s="62"/>
      <c r="B144" s="79"/>
      <c r="C144" s="80"/>
      <c r="D144" s="63" t="s">
        <v>155</v>
      </c>
      <c r="E144" s="57">
        <v>11383</v>
      </c>
      <c r="F144" s="57">
        <f t="shared" si="186"/>
        <v>11383</v>
      </c>
      <c r="G144" s="57">
        <f t="shared" si="187"/>
        <v>0</v>
      </c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>
        <f t="shared" si="188"/>
        <v>0</v>
      </c>
      <c r="V144" s="57">
        <f t="shared" si="189"/>
        <v>0</v>
      </c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>
        <f t="shared" si="190"/>
        <v>11383</v>
      </c>
      <c r="AJ144" s="57">
        <f t="shared" si="191"/>
        <v>11383</v>
      </c>
      <c r="AL144" s="421"/>
      <c r="AM144" s="421"/>
      <c r="AN144" s="421"/>
    </row>
    <row r="145" spans="1:43" hidden="1" outlineLevel="1" x14ac:dyDescent="0.2">
      <c r="A145" s="62"/>
      <c r="B145" s="79"/>
      <c r="C145" s="80"/>
      <c r="D145" s="63" t="s">
        <v>625</v>
      </c>
      <c r="E145" s="57"/>
      <c r="F145" s="57">
        <f t="shared" si="186"/>
        <v>0</v>
      </c>
      <c r="G145" s="57">
        <f t="shared" si="187"/>
        <v>0</v>
      </c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>
        <f t="shared" si="188"/>
        <v>0</v>
      </c>
      <c r="V145" s="57">
        <f t="shared" si="189"/>
        <v>0</v>
      </c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>
        <f t="shared" si="191"/>
        <v>0</v>
      </c>
      <c r="AL145" s="421"/>
      <c r="AM145" s="421"/>
      <c r="AN145" s="421"/>
    </row>
    <row r="146" spans="1:43" hidden="1" outlineLevel="1" x14ac:dyDescent="0.2">
      <c r="A146" s="62"/>
      <c r="B146" s="79"/>
      <c r="C146" s="80"/>
      <c r="D146" s="63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L146" s="421"/>
      <c r="AM146" s="421"/>
      <c r="AN146" s="421"/>
    </row>
    <row r="147" spans="1:43" collapsed="1" x14ac:dyDescent="0.2">
      <c r="A147" s="84"/>
      <c r="B147" s="85"/>
      <c r="C147" s="86"/>
      <c r="D147" s="63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L147" s="421"/>
      <c r="AM147" s="421"/>
      <c r="AN147" s="421"/>
    </row>
    <row r="148" spans="1:43" x14ac:dyDescent="0.2">
      <c r="A148" s="585" t="s">
        <v>171</v>
      </c>
      <c r="B148" s="586"/>
      <c r="C148" s="586"/>
      <c r="D148" s="587"/>
      <c r="E148" s="203">
        <f t="shared" ref="E148:S148" si="198">SUM(E150,E155)</f>
        <v>625</v>
      </c>
      <c r="F148" s="203">
        <f t="shared" si="198"/>
        <v>1836</v>
      </c>
      <c r="G148" s="203">
        <f t="shared" si="198"/>
        <v>1211</v>
      </c>
      <c r="H148" s="203">
        <f t="shared" si="198"/>
        <v>0</v>
      </c>
      <c r="I148" s="203">
        <f t="shared" si="198"/>
        <v>0</v>
      </c>
      <c r="J148" s="203">
        <f t="shared" si="198"/>
        <v>0</v>
      </c>
      <c r="K148" s="203">
        <f t="shared" si="198"/>
        <v>0</v>
      </c>
      <c r="L148" s="203">
        <f t="shared" si="198"/>
        <v>1181</v>
      </c>
      <c r="M148" s="203">
        <f t="shared" si="198"/>
        <v>30</v>
      </c>
      <c r="N148" s="203">
        <f t="shared" si="198"/>
        <v>0</v>
      </c>
      <c r="O148" s="203">
        <f t="shared" si="198"/>
        <v>0</v>
      </c>
      <c r="P148" s="203">
        <f t="shared" si="198"/>
        <v>0</v>
      </c>
      <c r="Q148" s="203">
        <f t="shared" si="198"/>
        <v>0</v>
      </c>
      <c r="R148" s="203">
        <f t="shared" si="198"/>
        <v>0</v>
      </c>
      <c r="S148" s="203">
        <f t="shared" si="198"/>
        <v>0</v>
      </c>
      <c r="T148" s="203">
        <f t="shared" ref="T148:AH148" si="199">SUM(T150,T155)</f>
        <v>0</v>
      </c>
      <c r="U148" s="203">
        <f t="shared" si="199"/>
        <v>0</v>
      </c>
      <c r="V148" s="203">
        <f t="shared" si="199"/>
        <v>0</v>
      </c>
      <c r="W148" s="203">
        <f t="shared" si="199"/>
        <v>0</v>
      </c>
      <c r="X148" s="203">
        <f t="shared" si="199"/>
        <v>0</v>
      </c>
      <c r="Y148" s="203">
        <f t="shared" si="199"/>
        <v>0</v>
      </c>
      <c r="Z148" s="203">
        <f t="shared" si="199"/>
        <v>0</v>
      </c>
      <c r="AA148" s="203">
        <f t="shared" si="199"/>
        <v>0</v>
      </c>
      <c r="AB148" s="203">
        <f t="shared" si="199"/>
        <v>0</v>
      </c>
      <c r="AC148" s="203">
        <f t="shared" si="199"/>
        <v>0</v>
      </c>
      <c r="AD148" s="203">
        <f t="shared" si="199"/>
        <v>0</v>
      </c>
      <c r="AE148" s="203">
        <f t="shared" si="199"/>
        <v>0</v>
      </c>
      <c r="AF148" s="203">
        <f t="shared" si="199"/>
        <v>0</v>
      </c>
      <c r="AG148" s="203">
        <f t="shared" si="199"/>
        <v>0</v>
      </c>
      <c r="AH148" s="203">
        <f t="shared" si="199"/>
        <v>0</v>
      </c>
      <c r="AI148" s="203">
        <f t="shared" ref="AI148:AJ148" si="200">SUM(AI150,AI155)</f>
        <v>625</v>
      </c>
      <c r="AJ148" s="203">
        <f t="shared" si="200"/>
        <v>1836</v>
      </c>
      <c r="AL148" s="421"/>
      <c r="AM148" s="421"/>
      <c r="AN148" s="421"/>
    </row>
    <row r="149" spans="1:43" x14ac:dyDescent="0.2">
      <c r="A149" s="84"/>
      <c r="B149" s="85"/>
      <c r="C149" s="86"/>
      <c r="D149" s="6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L149" s="421"/>
      <c r="AM149" s="421"/>
      <c r="AN149" s="421"/>
    </row>
    <row r="150" spans="1:43" x14ac:dyDescent="0.2">
      <c r="A150" s="576" t="s">
        <v>113</v>
      </c>
      <c r="B150" s="577"/>
      <c r="C150" s="578"/>
      <c r="D150" s="95" t="s">
        <v>172</v>
      </c>
      <c r="E150" s="96">
        <f t="shared" ref="E150" si="201">SUM(E151:E152)</f>
        <v>100</v>
      </c>
      <c r="F150" s="96">
        <f t="shared" ref="F150:S150" si="202">SUM(F151:F152)</f>
        <v>100</v>
      </c>
      <c r="G150" s="96">
        <f t="shared" si="202"/>
        <v>0</v>
      </c>
      <c r="H150" s="96">
        <f t="shared" si="202"/>
        <v>0</v>
      </c>
      <c r="I150" s="96">
        <f t="shared" si="202"/>
        <v>0</v>
      </c>
      <c r="J150" s="96">
        <f t="shared" si="202"/>
        <v>0</v>
      </c>
      <c r="K150" s="96">
        <f t="shared" si="202"/>
        <v>0</v>
      </c>
      <c r="L150" s="96">
        <f t="shared" si="202"/>
        <v>0</v>
      </c>
      <c r="M150" s="96">
        <f t="shared" si="202"/>
        <v>0</v>
      </c>
      <c r="N150" s="96">
        <f t="shared" si="202"/>
        <v>0</v>
      </c>
      <c r="O150" s="96">
        <f t="shared" si="202"/>
        <v>0</v>
      </c>
      <c r="P150" s="96">
        <f t="shared" si="202"/>
        <v>0</v>
      </c>
      <c r="Q150" s="96">
        <f t="shared" si="202"/>
        <v>0</v>
      </c>
      <c r="R150" s="96">
        <f t="shared" si="202"/>
        <v>0</v>
      </c>
      <c r="S150" s="96">
        <f t="shared" si="202"/>
        <v>0</v>
      </c>
      <c r="T150" s="96">
        <f t="shared" ref="T150:AH150" si="203">SUM(T151:T152)</f>
        <v>0</v>
      </c>
      <c r="U150" s="96">
        <f t="shared" si="203"/>
        <v>0</v>
      </c>
      <c r="V150" s="96">
        <f t="shared" si="203"/>
        <v>0</v>
      </c>
      <c r="W150" s="96">
        <f t="shared" si="203"/>
        <v>0</v>
      </c>
      <c r="X150" s="96">
        <f t="shared" si="203"/>
        <v>0</v>
      </c>
      <c r="Y150" s="96">
        <f t="shared" si="203"/>
        <v>0</v>
      </c>
      <c r="Z150" s="96">
        <f t="shared" si="203"/>
        <v>0</v>
      </c>
      <c r="AA150" s="96">
        <f t="shared" si="203"/>
        <v>0</v>
      </c>
      <c r="AB150" s="96">
        <f t="shared" si="203"/>
        <v>0</v>
      </c>
      <c r="AC150" s="96">
        <f t="shared" si="203"/>
        <v>0</v>
      </c>
      <c r="AD150" s="96">
        <f t="shared" si="203"/>
        <v>0</v>
      </c>
      <c r="AE150" s="96">
        <f t="shared" si="203"/>
        <v>0</v>
      </c>
      <c r="AF150" s="96">
        <f t="shared" si="203"/>
        <v>0</v>
      </c>
      <c r="AG150" s="96">
        <f t="shared" si="203"/>
        <v>0</v>
      </c>
      <c r="AH150" s="96">
        <f t="shared" si="203"/>
        <v>0</v>
      </c>
      <c r="AI150" s="96">
        <f t="shared" ref="AI150:AJ150" si="204">SUM(AI151:AI152)</f>
        <v>100</v>
      </c>
      <c r="AJ150" s="96">
        <f t="shared" si="204"/>
        <v>100</v>
      </c>
      <c r="AL150" s="421"/>
      <c r="AM150" s="421"/>
      <c r="AN150" s="421"/>
    </row>
    <row r="151" spans="1:43" s="155" customFormat="1" hidden="1" x14ac:dyDescent="0.2">
      <c r="A151" s="73"/>
      <c r="B151" s="552" t="s">
        <v>157</v>
      </c>
      <c r="C151" s="553"/>
      <c r="D151" s="63" t="s">
        <v>158</v>
      </c>
      <c r="E151" s="57"/>
      <c r="F151" s="57">
        <f t="shared" ref="F151:F152" si="205">E151+G151</f>
        <v>0</v>
      </c>
      <c r="G151" s="57">
        <f t="shared" ref="G151:G152" si="206">SUBTOTAL(9,H151:S151)</f>
        <v>0</v>
      </c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>
        <f t="shared" ref="U151:U152" si="207">T151+V151</f>
        <v>0</v>
      </c>
      <c r="V151" s="57">
        <f t="shared" ref="V151:V152" si="208">SUBTOTAL(9,W151:AH151)</f>
        <v>0</v>
      </c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>
        <f t="shared" ref="AI151:AI152" si="209">E151+T151</f>
        <v>0</v>
      </c>
      <c r="AJ151" s="57">
        <f t="shared" ref="AJ151:AJ152" si="210">F151+U151</f>
        <v>0</v>
      </c>
      <c r="AL151" s="421"/>
      <c r="AM151" s="421"/>
      <c r="AN151" s="421"/>
      <c r="AO151" s="37"/>
      <c r="AP151" s="37"/>
      <c r="AQ151" s="37"/>
    </row>
    <row r="152" spans="1:43" s="155" customFormat="1" ht="24" x14ac:dyDescent="0.2">
      <c r="A152" s="73"/>
      <c r="B152" s="552" t="s">
        <v>114</v>
      </c>
      <c r="C152" s="553"/>
      <c r="D152" s="63" t="s">
        <v>177</v>
      </c>
      <c r="E152" s="57">
        <v>100</v>
      </c>
      <c r="F152" s="57">
        <f t="shared" si="205"/>
        <v>100</v>
      </c>
      <c r="G152" s="57">
        <f t="shared" si="206"/>
        <v>0</v>
      </c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>
        <f t="shared" si="207"/>
        <v>0</v>
      </c>
      <c r="V152" s="57">
        <f t="shared" si="208"/>
        <v>0</v>
      </c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>
        <f t="shared" si="209"/>
        <v>100</v>
      </c>
      <c r="AJ152" s="57">
        <f t="shared" si="210"/>
        <v>100</v>
      </c>
      <c r="AL152" s="421"/>
      <c r="AM152" s="421"/>
      <c r="AN152" s="421"/>
      <c r="AO152" s="37"/>
      <c r="AP152" s="37"/>
      <c r="AQ152" s="37"/>
    </row>
    <row r="153" spans="1:43" x14ac:dyDescent="0.2">
      <c r="A153" s="84"/>
      <c r="B153" s="85"/>
      <c r="C153" s="86"/>
      <c r="D153" s="6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  <c r="AL153" s="421"/>
      <c r="AM153" s="421"/>
      <c r="AN153" s="421"/>
    </row>
    <row r="154" spans="1:43" x14ac:dyDescent="0.2">
      <c r="A154" s="84"/>
      <c r="B154" s="85"/>
      <c r="C154" s="86"/>
      <c r="D154" s="6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L154" s="421"/>
      <c r="AM154" s="421"/>
      <c r="AN154" s="421"/>
    </row>
    <row r="155" spans="1:43" x14ac:dyDescent="0.2">
      <c r="A155" s="84"/>
      <c r="B155" s="85"/>
      <c r="C155" s="86"/>
      <c r="D155" s="74" t="s">
        <v>173</v>
      </c>
      <c r="E155" s="258">
        <f t="shared" ref="E155:AJ155" si="211">SUM(E156)</f>
        <v>525</v>
      </c>
      <c r="F155" s="258">
        <f t="shared" si="211"/>
        <v>1736</v>
      </c>
      <c r="G155" s="258">
        <f t="shared" si="211"/>
        <v>1211</v>
      </c>
      <c r="H155" s="258">
        <f t="shared" si="211"/>
        <v>0</v>
      </c>
      <c r="I155" s="258">
        <f t="shared" si="211"/>
        <v>0</v>
      </c>
      <c r="J155" s="258">
        <f t="shared" si="211"/>
        <v>0</v>
      </c>
      <c r="K155" s="258">
        <f t="shared" si="211"/>
        <v>0</v>
      </c>
      <c r="L155" s="258">
        <f t="shared" si="211"/>
        <v>1181</v>
      </c>
      <c r="M155" s="258">
        <f t="shared" si="211"/>
        <v>30</v>
      </c>
      <c r="N155" s="258">
        <f t="shared" si="211"/>
        <v>0</v>
      </c>
      <c r="O155" s="258">
        <f t="shared" si="211"/>
        <v>0</v>
      </c>
      <c r="P155" s="258">
        <f t="shared" si="211"/>
        <v>0</v>
      </c>
      <c r="Q155" s="258">
        <f t="shared" si="211"/>
        <v>0</v>
      </c>
      <c r="R155" s="258">
        <f t="shared" si="211"/>
        <v>0</v>
      </c>
      <c r="S155" s="258">
        <f t="shared" si="211"/>
        <v>0</v>
      </c>
      <c r="T155" s="258">
        <f t="shared" si="211"/>
        <v>0</v>
      </c>
      <c r="U155" s="258">
        <f t="shared" si="211"/>
        <v>0</v>
      </c>
      <c r="V155" s="258">
        <f t="shared" si="211"/>
        <v>0</v>
      </c>
      <c r="W155" s="258">
        <f t="shared" si="211"/>
        <v>0</v>
      </c>
      <c r="X155" s="258">
        <f t="shared" si="211"/>
        <v>0</v>
      </c>
      <c r="Y155" s="258">
        <f t="shared" si="211"/>
        <v>0</v>
      </c>
      <c r="Z155" s="258">
        <f t="shared" si="211"/>
        <v>0</v>
      </c>
      <c r="AA155" s="258">
        <f t="shared" si="211"/>
        <v>0</v>
      </c>
      <c r="AB155" s="258">
        <f t="shared" si="211"/>
        <v>0</v>
      </c>
      <c r="AC155" s="258">
        <f t="shared" si="211"/>
        <v>0</v>
      </c>
      <c r="AD155" s="258">
        <f t="shared" si="211"/>
        <v>0</v>
      </c>
      <c r="AE155" s="258">
        <f t="shared" si="211"/>
        <v>0</v>
      </c>
      <c r="AF155" s="258">
        <f t="shared" si="211"/>
        <v>0</v>
      </c>
      <c r="AG155" s="258">
        <f t="shared" si="211"/>
        <v>0</v>
      </c>
      <c r="AH155" s="258">
        <f t="shared" si="211"/>
        <v>0</v>
      </c>
      <c r="AI155" s="258">
        <f t="shared" si="211"/>
        <v>525</v>
      </c>
      <c r="AJ155" s="258">
        <f t="shared" si="211"/>
        <v>1736</v>
      </c>
      <c r="AL155" s="421"/>
      <c r="AM155" s="421"/>
      <c r="AN155" s="421"/>
    </row>
    <row r="156" spans="1:43" x14ac:dyDescent="0.2">
      <c r="A156" s="84"/>
      <c r="B156" s="85"/>
      <c r="C156" s="86"/>
      <c r="D156" s="63" t="s">
        <v>174</v>
      </c>
      <c r="E156" s="67">
        <f t="shared" ref="E156:S156" si="212">SUM(E157:E158)</f>
        <v>525</v>
      </c>
      <c r="F156" s="67">
        <f t="shared" si="212"/>
        <v>1736</v>
      </c>
      <c r="G156" s="67">
        <f t="shared" si="212"/>
        <v>1211</v>
      </c>
      <c r="H156" s="67">
        <f t="shared" si="212"/>
        <v>0</v>
      </c>
      <c r="I156" s="67">
        <f t="shared" si="212"/>
        <v>0</v>
      </c>
      <c r="J156" s="67">
        <f t="shared" si="212"/>
        <v>0</v>
      </c>
      <c r="K156" s="67">
        <f t="shared" si="212"/>
        <v>0</v>
      </c>
      <c r="L156" s="67">
        <f t="shared" si="212"/>
        <v>1181</v>
      </c>
      <c r="M156" s="67">
        <f t="shared" si="212"/>
        <v>30</v>
      </c>
      <c r="N156" s="67">
        <f t="shared" si="212"/>
        <v>0</v>
      </c>
      <c r="O156" s="67">
        <f t="shared" si="212"/>
        <v>0</v>
      </c>
      <c r="P156" s="67">
        <f t="shared" si="212"/>
        <v>0</v>
      </c>
      <c r="Q156" s="67">
        <f t="shared" si="212"/>
        <v>0</v>
      </c>
      <c r="R156" s="67">
        <f t="shared" si="212"/>
        <v>0</v>
      </c>
      <c r="S156" s="67">
        <f t="shared" si="212"/>
        <v>0</v>
      </c>
      <c r="T156" s="67">
        <f t="shared" ref="T156:AH156" si="213">SUM(T157:T158)</f>
        <v>0</v>
      </c>
      <c r="U156" s="67">
        <f t="shared" si="213"/>
        <v>0</v>
      </c>
      <c r="V156" s="67">
        <f t="shared" si="213"/>
        <v>0</v>
      </c>
      <c r="W156" s="67">
        <f t="shared" si="213"/>
        <v>0</v>
      </c>
      <c r="X156" s="67">
        <f t="shared" si="213"/>
        <v>0</v>
      </c>
      <c r="Y156" s="67">
        <f t="shared" si="213"/>
        <v>0</v>
      </c>
      <c r="Z156" s="67">
        <f t="shared" si="213"/>
        <v>0</v>
      </c>
      <c r="AA156" s="67">
        <f t="shared" si="213"/>
        <v>0</v>
      </c>
      <c r="AB156" s="67">
        <f t="shared" si="213"/>
        <v>0</v>
      </c>
      <c r="AC156" s="67">
        <f t="shared" si="213"/>
        <v>0</v>
      </c>
      <c r="AD156" s="67">
        <f t="shared" si="213"/>
        <v>0</v>
      </c>
      <c r="AE156" s="67">
        <f t="shared" si="213"/>
        <v>0</v>
      </c>
      <c r="AF156" s="67">
        <f t="shared" si="213"/>
        <v>0</v>
      </c>
      <c r="AG156" s="67">
        <f t="shared" si="213"/>
        <v>0</v>
      </c>
      <c r="AH156" s="67">
        <f t="shared" si="213"/>
        <v>0</v>
      </c>
      <c r="AI156" s="67">
        <f t="shared" ref="AI156:AJ156" si="214">SUM(AI157:AI158)</f>
        <v>525</v>
      </c>
      <c r="AJ156" s="67">
        <f t="shared" si="214"/>
        <v>1736</v>
      </c>
      <c r="AL156" s="421"/>
      <c r="AM156" s="421"/>
      <c r="AN156" s="421"/>
    </row>
    <row r="157" spans="1:43" ht="24" x14ac:dyDescent="0.2">
      <c r="A157" s="84"/>
      <c r="B157" s="85"/>
      <c r="C157" s="86"/>
      <c r="D157" s="97" t="s">
        <v>175</v>
      </c>
      <c r="E157" s="67">
        <v>328</v>
      </c>
      <c r="F157" s="67">
        <f t="shared" ref="F157:F158" si="215">E157+G157</f>
        <v>616</v>
      </c>
      <c r="G157" s="67">
        <f t="shared" ref="G157:G158" si="216">SUBTOTAL(9,H157:S157)</f>
        <v>288</v>
      </c>
      <c r="H157" s="67"/>
      <c r="I157" s="67"/>
      <c r="J157" s="67"/>
      <c r="K157" s="67"/>
      <c r="L157" s="67">
        <v>288</v>
      </c>
      <c r="M157" s="67"/>
      <c r="N157" s="67"/>
      <c r="O157" s="67"/>
      <c r="P157" s="67"/>
      <c r="Q157" s="67"/>
      <c r="R157" s="67"/>
      <c r="S157" s="67"/>
      <c r="T157" s="67"/>
      <c r="U157" s="67">
        <f t="shared" ref="U157:U158" si="217">T157+V157</f>
        <v>0</v>
      </c>
      <c r="V157" s="67">
        <f t="shared" ref="V157:V158" si="218">SUBTOTAL(9,W157:AH157)</f>
        <v>0</v>
      </c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>
        <f t="shared" ref="AI157:AI158" si="219">E157+T157</f>
        <v>328</v>
      </c>
      <c r="AJ157" s="67">
        <f t="shared" ref="AJ157:AJ158" si="220">F157+U157</f>
        <v>616</v>
      </c>
      <c r="AL157" s="421"/>
      <c r="AM157" s="421"/>
      <c r="AN157" s="421"/>
    </row>
    <row r="158" spans="1:43" ht="24" x14ac:dyDescent="0.2">
      <c r="A158" s="84"/>
      <c r="B158" s="85"/>
      <c r="C158" s="86"/>
      <c r="D158" s="97" t="s">
        <v>176</v>
      </c>
      <c r="E158" s="67">
        <v>197</v>
      </c>
      <c r="F158" s="67">
        <f t="shared" si="215"/>
        <v>1120</v>
      </c>
      <c r="G158" s="67">
        <f t="shared" si="216"/>
        <v>923</v>
      </c>
      <c r="H158" s="67"/>
      <c r="I158" s="67"/>
      <c r="J158" s="67"/>
      <c r="K158" s="67"/>
      <c r="L158" s="67">
        <f>1+500+58+116+218</f>
        <v>893</v>
      </c>
      <c r="M158" s="67">
        <v>30</v>
      </c>
      <c r="N158" s="67"/>
      <c r="O158" s="67"/>
      <c r="P158" s="67"/>
      <c r="Q158" s="67"/>
      <c r="R158" s="67"/>
      <c r="S158" s="67"/>
      <c r="T158" s="67"/>
      <c r="U158" s="67">
        <f t="shared" si="217"/>
        <v>0</v>
      </c>
      <c r="V158" s="67">
        <f t="shared" si="218"/>
        <v>0</v>
      </c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>
        <f t="shared" si="219"/>
        <v>197</v>
      </c>
      <c r="AJ158" s="67">
        <f t="shared" si="220"/>
        <v>1120</v>
      </c>
      <c r="AL158" s="421"/>
      <c r="AM158" s="421"/>
      <c r="AN158" s="421"/>
    </row>
    <row r="159" spans="1:43" x14ac:dyDescent="0.2">
      <c r="A159" s="84"/>
      <c r="B159" s="85"/>
      <c r="C159" s="86"/>
      <c r="D159" s="63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L159" s="421"/>
      <c r="AM159" s="421"/>
      <c r="AN159" s="421"/>
    </row>
    <row r="160" spans="1:43" x14ac:dyDescent="0.2">
      <c r="A160" s="62"/>
      <c r="B160" s="79"/>
      <c r="C160" s="80"/>
      <c r="D160" s="63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L160" s="421"/>
      <c r="AM160" s="421"/>
      <c r="AN160" s="421"/>
    </row>
    <row r="161" spans="1:43" s="155" customFormat="1" ht="24.75" customHeight="1" thickBot="1" x14ac:dyDescent="0.25">
      <c r="A161" s="579" t="s">
        <v>134</v>
      </c>
      <c r="B161" s="580"/>
      <c r="C161" s="580"/>
      <c r="D161" s="581"/>
      <c r="E161" s="87">
        <f t="shared" ref="E161:AJ161" si="221">SUM(E150,E103)</f>
        <v>81727456</v>
      </c>
      <c r="F161" s="87">
        <f t="shared" si="221"/>
        <v>82633811</v>
      </c>
      <c r="G161" s="87">
        <f t="shared" si="221"/>
        <v>906355</v>
      </c>
      <c r="H161" s="87">
        <f t="shared" si="221"/>
        <v>15523</v>
      </c>
      <c r="I161" s="87">
        <f t="shared" si="221"/>
        <v>49783</v>
      </c>
      <c r="J161" s="87">
        <f t="shared" si="221"/>
        <v>260177</v>
      </c>
      <c r="K161" s="87">
        <f t="shared" si="221"/>
        <v>167395</v>
      </c>
      <c r="L161" s="87">
        <f t="shared" si="221"/>
        <v>136560</v>
      </c>
      <c r="M161" s="87">
        <f t="shared" si="221"/>
        <v>46439</v>
      </c>
      <c r="N161" s="87">
        <f t="shared" si="221"/>
        <v>40993</v>
      </c>
      <c r="O161" s="87">
        <f t="shared" si="221"/>
        <v>15812</v>
      </c>
      <c r="P161" s="87">
        <f t="shared" si="221"/>
        <v>125644</v>
      </c>
      <c r="Q161" s="87">
        <f t="shared" si="221"/>
        <v>48029</v>
      </c>
      <c r="R161" s="87">
        <f t="shared" si="221"/>
        <v>0</v>
      </c>
      <c r="S161" s="87">
        <f t="shared" si="221"/>
        <v>0</v>
      </c>
      <c r="T161" s="87">
        <f t="shared" si="221"/>
        <v>-347723</v>
      </c>
      <c r="U161" s="87">
        <f t="shared" si="221"/>
        <v>-432749</v>
      </c>
      <c r="V161" s="87">
        <f t="shared" si="221"/>
        <v>-85026</v>
      </c>
      <c r="W161" s="87">
        <f t="shared" si="221"/>
        <v>-16779</v>
      </c>
      <c r="X161" s="87">
        <f t="shared" si="221"/>
        <v>-7210</v>
      </c>
      <c r="Y161" s="87">
        <f t="shared" si="221"/>
        <v>-900</v>
      </c>
      <c r="Z161" s="87">
        <f t="shared" si="221"/>
        <v>-2753</v>
      </c>
      <c r="AA161" s="87">
        <f t="shared" si="221"/>
        <v>-5896</v>
      </c>
      <c r="AB161" s="87">
        <f t="shared" si="221"/>
        <v>-31731</v>
      </c>
      <c r="AC161" s="87">
        <f t="shared" si="221"/>
        <v>-8739</v>
      </c>
      <c r="AD161" s="87">
        <f t="shared" si="221"/>
        <v>-11018</v>
      </c>
      <c r="AE161" s="87">
        <f t="shared" si="221"/>
        <v>0</v>
      </c>
      <c r="AF161" s="87">
        <f t="shared" si="221"/>
        <v>0</v>
      </c>
      <c r="AG161" s="87">
        <f t="shared" si="221"/>
        <v>0</v>
      </c>
      <c r="AH161" s="87">
        <f t="shared" si="221"/>
        <v>0</v>
      </c>
      <c r="AI161" s="87">
        <f t="shared" si="221"/>
        <v>81379733</v>
      </c>
      <c r="AJ161" s="87">
        <f t="shared" si="221"/>
        <v>82201062</v>
      </c>
      <c r="AL161" s="421"/>
      <c r="AM161" s="421"/>
      <c r="AN161" s="421"/>
      <c r="AO161" s="433"/>
      <c r="AP161" s="433"/>
      <c r="AQ161" s="433"/>
    </row>
    <row r="162" spans="1:43" s="155" customFormat="1" ht="12.75" thickBot="1" x14ac:dyDescent="0.25">
      <c r="A162" s="582" t="s">
        <v>120</v>
      </c>
      <c r="B162" s="583"/>
      <c r="C162" s="583"/>
      <c r="D162" s="584"/>
      <c r="E162" s="87">
        <f t="shared" ref="E162:AJ162" si="222">SUM(E8,E148)</f>
        <v>96153402</v>
      </c>
      <c r="F162" s="198">
        <f t="shared" si="222"/>
        <v>102867139</v>
      </c>
      <c r="G162" s="198">
        <f t="shared" si="222"/>
        <v>6713737</v>
      </c>
      <c r="H162" s="198">
        <f t="shared" si="222"/>
        <v>25539</v>
      </c>
      <c r="I162" s="198">
        <f t="shared" si="222"/>
        <v>54323</v>
      </c>
      <c r="J162" s="198">
        <f t="shared" si="222"/>
        <v>5455812</v>
      </c>
      <c r="K162" s="198">
        <f t="shared" si="222"/>
        <v>164395</v>
      </c>
      <c r="L162" s="198">
        <f t="shared" si="222"/>
        <v>137741</v>
      </c>
      <c r="M162" s="198">
        <f t="shared" si="222"/>
        <v>-261335</v>
      </c>
      <c r="N162" s="198">
        <f t="shared" si="222"/>
        <v>40993</v>
      </c>
      <c r="O162" s="198">
        <f t="shared" si="222"/>
        <v>15812</v>
      </c>
      <c r="P162" s="198">
        <f t="shared" si="222"/>
        <v>1032428</v>
      </c>
      <c r="Q162" s="198">
        <f t="shared" si="222"/>
        <v>48029</v>
      </c>
      <c r="R162" s="198">
        <f t="shared" si="222"/>
        <v>0</v>
      </c>
      <c r="S162" s="198">
        <f t="shared" si="222"/>
        <v>0</v>
      </c>
      <c r="T162" s="198">
        <f t="shared" si="222"/>
        <v>-347723</v>
      </c>
      <c r="U162" s="198">
        <f t="shared" si="222"/>
        <v>-432749</v>
      </c>
      <c r="V162" s="198">
        <f t="shared" si="222"/>
        <v>-85026</v>
      </c>
      <c r="W162" s="198">
        <f t="shared" si="222"/>
        <v>-16779</v>
      </c>
      <c r="X162" s="198">
        <f t="shared" si="222"/>
        <v>-7210</v>
      </c>
      <c r="Y162" s="198">
        <f t="shared" si="222"/>
        <v>-900</v>
      </c>
      <c r="Z162" s="198">
        <f t="shared" si="222"/>
        <v>-2753</v>
      </c>
      <c r="AA162" s="198">
        <f t="shared" si="222"/>
        <v>-5896</v>
      </c>
      <c r="AB162" s="198">
        <f t="shared" si="222"/>
        <v>-31731</v>
      </c>
      <c r="AC162" s="198">
        <f t="shared" si="222"/>
        <v>-8739</v>
      </c>
      <c r="AD162" s="198">
        <f t="shared" si="222"/>
        <v>-11018</v>
      </c>
      <c r="AE162" s="198">
        <f t="shared" si="222"/>
        <v>0</v>
      </c>
      <c r="AF162" s="198">
        <f t="shared" si="222"/>
        <v>0</v>
      </c>
      <c r="AG162" s="198">
        <f t="shared" si="222"/>
        <v>0</v>
      </c>
      <c r="AH162" s="198">
        <f t="shared" si="222"/>
        <v>0</v>
      </c>
      <c r="AI162" s="198">
        <f t="shared" si="222"/>
        <v>95805679</v>
      </c>
      <c r="AJ162" s="198">
        <f t="shared" si="222"/>
        <v>102434390</v>
      </c>
      <c r="AL162" s="421"/>
      <c r="AM162" s="421"/>
      <c r="AN162" s="421"/>
      <c r="AO162" s="37"/>
      <c r="AP162" s="37"/>
      <c r="AQ162" s="37"/>
    </row>
    <row r="164" spans="1:43" hidden="1" x14ac:dyDescent="0.2">
      <c r="AI164" s="234">
        <f>E162-AI162</f>
        <v>347723</v>
      </c>
    </row>
    <row r="165" spans="1:43" hidden="1" x14ac:dyDescent="0.2">
      <c r="A165" s="575"/>
      <c r="B165" s="575"/>
      <c r="C165" s="575"/>
      <c r="D165" s="575"/>
      <c r="E165" s="575"/>
      <c r="F165" s="575"/>
      <c r="G165" s="575"/>
      <c r="H165" s="575"/>
      <c r="I165" s="575"/>
      <c r="J165" s="575"/>
      <c r="K165" s="575"/>
      <c r="L165" s="575"/>
      <c r="M165" s="575"/>
      <c r="N165" s="575"/>
      <c r="O165" s="575"/>
      <c r="P165" s="575"/>
      <c r="Q165" s="575"/>
      <c r="R165" s="575"/>
      <c r="S165" s="575"/>
      <c r="T165" s="575"/>
      <c r="U165" s="575"/>
      <c r="V165" s="575"/>
      <c r="W165" s="575"/>
      <c r="X165" s="575"/>
      <c r="Y165" s="575"/>
      <c r="Z165" s="575"/>
      <c r="AA165" s="575"/>
      <c r="AB165" s="575"/>
      <c r="AC165" s="575"/>
      <c r="AD165" s="575"/>
      <c r="AE165" s="575"/>
      <c r="AF165" s="575"/>
      <c r="AG165" s="575"/>
      <c r="AH165" s="575"/>
      <c r="AI165" s="575"/>
    </row>
    <row r="166" spans="1:43" hidden="1" x14ac:dyDescent="0.2">
      <c r="A166" s="575"/>
      <c r="B166" s="575"/>
      <c r="C166" s="575"/>
      <c r="D166" s="575"/>
      <c r="E166" s="575"/>
      <c r="F166" s="575"/>
      <c r="G166" s="575"/>
      <c r="H166" s="575"/>
      <c r="I166" s="575"/>
      <c r="J166" s="575"/>
      <c r="K166" s="575"/>
      <c r="L166" s="575"/>
      <c r="M166" s="575"/>
      <c r="N166" s="575"/>
      <c r="O166" s="575"/>
      <c r="P166" s="575"/>
      <c r="Q166" s="575"/>
      <c r="R166" s="575"/>
      <c r="S166" s="575"/>
      <c r="T166" s="575"/>
      <c r="U166" s="575"/>
      <c r="V166" s="575"/>
      <c r="W166" s="575"/>
      <c r="X166" s="575"/>
      <c r="Y166" s="575"/>
      <c r="Z166" s="575"/>
      <c r="AA166" s="575"/>
      <c r="AB166" s="575"/>
      <c r="AC166" s="575"/>
      <c r="AD166" s="575"/>
      <c r="AE166" s="575"/>
      <c r="AF166" s="575"/>
      <c r="AG166" s="575"/>
      <c r="AH166" s="575"/>
      <c r="AI166" s="575"/>
    </row>
    <row r="167" spans="1:43" hidden="1" x14ac:dyDescent="0.2"/>
    <row r="168" spans="1:43" x14ac:dyDescent="0.2">
      <c r="AI168" s="234"/>
    </row>
    <row r="169" spans="1:43" x14ac:dyDescent="0.2">
      <c r="AI169" s="234"/>
    </row>
  </sheetData>
  <sheetProtection algorithmName="SHA-512" hashValue="0Z/xNI7VrbIldE1v4fklnPSWAa9BwJ4iIuaWp9UgncF6to2o5wtTtk6BoaGrubgNBKDTyQNvOhzOhWpVyEL17Q==" saltValue="R8A639A7OkMrhgPo+lc04g==" spinCount="100000" sheet="1" objects="1" scenarios="1"/>
  <autoFilter ref="A7:AI162">
    <filterColumn colId="0" showButton="0"/>
    <filterColumn colId="1" showButton="0"/>
  </autoFilter>
  <mergeCells count="105">
    <mergeCell ref="B112:C112"/>
    <mergeCell ref="B100:C100"/>
    <mergeCell ref="A103:D103"/>
    <mergeCell ref="B105:C105"/>
    <mergeCell ref="B108:C108"/>
    <mergeCell ref="A166:AI166"/>
    <mergeCell ref="A150:C150"/>
    <mergeCell ref="B151:C151"/>
    <mergeCell ref="B152:C152"/>
    <mergeCell ref="A161:D161"/>
    <mergeCell ref="A162:D162"/>
    <mergeCell ref="A165:AI165"/>
    <mergeCell ref="B117:C117"/>
    <mergeCell ref="B118:C118"/>
    <mergeCell ref="B121:C121"/>
    <mergeCell ref="A148:D148"/>
    <mergeCell ref="B96:C96"/>
    <mergeCell ref="B97:C97"/>
    <mergeCell ref="B98:C98"/>
    <mergeCell ref="B99:C99"/>
    <mergeCell ref="B91:C91"/>
    <mergeCell ref="B92:C92"/>
    <mergeCell ref="B93:C93"/>
    <mergeCell ref="B94:C94"/>
    <mergeCell ref="B95:C95"/>
    <mergeCell ref="B85:C85"/>
    <mergeCell ref="B86:C86"/>
    <mergeCell ref="B87:C87"/>
    <mergeCell ref="B88:C88"/>
    <mergeCell ref="B89:C89"/>
    <mergeCell ref="B90:C90"/>
    <mergeCell ref="A79:C79"/>
    <mergeCell ref="B80:C80"/>
    <mergeCell ref="B83:C83"/>
    <mergeCell ref="B84:C84"/>
    <mergeCell ref="B81:C81"/>
    <mergeCell ref="B72:C72"/>
    <mergeCell ref="B73:C73"/>
    <mergeCell ref="B74:C74"/>
    <mergeCell ref="A75:C75"/>
    <mergeCell ref="B77:C77"/>
    <mergeCell ref="B82:C82"/>
    <mergeCell ref="B64:C64"/>
    <mergeCell ref="B65:C65"/>
    <mergeCell ref="B66:C66"/>
    <mergeCell ref="B67:C67"/>
    <mergeCell ref="A70:C70"/>
    <mergeCell ref="B71:C71"/>
    <mergeCell ref="B76:C76"/>
    <mergeCell ref="A68:C68"/>
    <mergeCell ref="B58:C58"/>
    <mergeCell ref="A59:C59"/>
    <mergeCell ref="B45:C45"/>
    <mergeCell ref="B46:C46"/>
    <mergeCell ref="A47:C47"/>
    <mergeCell ref="B48:C48"/>
    <mergeCell ref="B61:C61"/>
    <mergeCell ref="B62:C62"/>
    <mergeCell ref="A50:C50"/>
    <mergeCell ref="B51:C51"/>
    <mergeCell ref="B52:C52"/>
    <mergeCell ref="B53:C53"/>
    <mergeCell ref="B56:C56"/>
    <mergeCell ref="B54:C54"/>
    <mergeCell ref="B55:C55"/>
    <mergeCell ref="B57:C57"/>
    <mergeCell ref="B49:C49"/>
    <mergeCell ref="B39:C39"/>
    <mergeCell ref="B40:C40"/>
    <mergeCell ref="B41:C41"/>
    <mergeCell ref="B42:C42"/>
    <mergeCell ref="B43:C43"/>
    <mergeCell ref="B44:C44"/>
    <mergeCell ref="B23:C23"/>
    <mergeCell ref="B24:C24"/>
    <mergeCell ref="B25:C25"/>
    <mergeCell ref="A37:C37"/>
    <mergeCell ref="B38:C38"/>
    <mergeCell ref="B30:C30"/>
    <mergeCell ref="A32:C32"/>
    <mergeCell ref="B33:C33"/>
    <mergeCell ref="B34:C34"/>
    <mergeCell ref="B35:C35"/>
    <mergeCell ref="B36:C36"/>
    <mergeCell ref="A4:AJ4"/>
    <mergeCell ref="A6:C6"/>
    <mergeCell ref="A7:C7"/>
    <mergeCell ref="B21:C21"/>
    <mergeCell ref="B22:C22"/>
    <mergeCell ref="A26:C26"/>
    <mergeCell ref="B27:C27"/>
    <mergeCell ref="B28:C28"/>
    <mergeCell ref="B29:C29"/>
    <mergeCell ref="A15:C15"/>
    <mergeCell ref="B16:C16"/>
    <mergeCell ref="B17:C17"/>
    <mergeCell ref="B18:C18"/>
    <mergeCell ref="B19:C19"/>
    <mergeCell ref="B20:C20"/>
    <mergeCell ref="A8:D8"/>
    <mergeCell ref="A10:C10"/>
    <mergeCell ref="B11:C11"/>
    <mergeCell ref="B12:C12"/>
    <mergeCell ref="B13:C13"/>
    <mergeCell ref="B14:C14"/>
  </mergeCells>
  <printOptions horizontalCentered="1"/>
  <pageMargins left="0.86614173228346458" right="0.31496062992125984" top="0.59055118110236227" bottom="0.39370078740157483" header="0.11811023622047245" footer="0.15748031496062992"/>
  <pageSetup paperSize="9" scale="65" orientation="portrait" r:id="rId1"/>
  <headerFooter differentFirst="1">
    <oddFooter>&amp;L&amp;"Times New Roman,Regular"&amp;8&amp;D; &amp;T&amp;R&amp;"Times New Roman,Regular"&amp;8&amp;P (&amp;N)</oddFooter>
    <firstHeader>&amp;R&amp;"Times New Roman,Regular"&amp;9 1.pielikums Jūrmalas pilsētas domes
2018.gada 5.septembra saistošajiem noteikumiem Nr.32 
(protokols Nr.12, 1.punkts)</first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activeCell="A2" sqref="A2:E13"/>
    </sheetView>
  </sheetViews>
  <sheetFormatPr defaultColWidth="9.140625" defaultRowHeight="16.5" x14ac:dyDescent="0.25"/>
  <cols>
    <col min="1" max="1" width="44.7109375" style="204" bestFit="1" customWidth="1"/>
    <col min="2" max="2" width="14.5703125" style="204" customWidth="1"/>
    <col min="3" max="3" width="6.28515625" style="204" customWidth="1"/>
    <col min="4" max="4" width="14.42578125" style="204" customWidth="1"/>
    <col min="5" max="5" width="6.140625" style="204" bestFit="1" customWidth="1"/>
    <col min="6" max="16384" width="9.140625" style="204"/>
  </cols>
  <sheetData>
    <row r="1" spans="1:5" x14ac:dyDescent="0.25">
      <c r="D1" s="205"/>
    </row>
    <row r="2" spans="1:5" ht="17.25" x14ac:dyDescent="0.3">
      <c r="A2" s="206"/>
      <c r="B2" s="588" t="s">
        <v>1</v>
      </c>
      <c r="C2" s="588"/>
      <c r="D2" s="589" t="s">
        <v>3</v>
      </c>
      <c r="E2" s="589"/>
    </row>
    <row r="3" spans="1:5" ht="11.25" customHeight="1" x14ac:dyDescent="0.25">
      <c r="A3" s="206"/>
      <c r="B3" s="207"/>
      <c r="C3" s="207"/>
      <c r="D3" s="208"/>
    </row>
    <row r="4" spans="1:5" ht="17.25" x14ac:dyDescent="0.3">
      <c r="A4" s="209" t="s">
        <v>700</v>
      </c>
      <c r="B4" s="210">
        <f>Ienemumi!AJ103</f>
        <v>82200962</v>
      </c>
      <c r="C4" s="211" t="s">
        <v>530</v>
      </c>
      <c r="D4" s="210">
        <f>Ienemumi!AJ150</f>
        <v>100</v>
      </c>
      <c r="E4" s="211" t="s">
        <v>530</v>
      </c>
    </row>
    <row r="5" spans="1:5" ht="17.25" x14ac:dyDescent="0.3">
      <c r="A5" s="209" t="s">
        <v>701</v>
      </c>
      <c r="B5" s="215">
        <f>Izdevumi!G297-B13-D5</f>
        <v>96275296.920000002</v>
      </c>
      <c r="C5" s="211" t="s">
        <v>530</v>
      </c>
      <c r="D5" s="210">
        <f>Izdevumi!BC298</f>
        <v>1836</v>
      </c>
      <c r="E5" s="211" t="s">
        <v>530</v>
      </c>
    </row>
    <row r="6" spans="1:5" ht="17.25" x14ac:dyDescent="0.3">
      <c r="A6" s="209"/>
      <c r="B6" s="210"/>
      <c r="C6" s="211"/>
      <c r="D6" s="210"/>
      <c r="E6" s="211"/>
    </row>
    <row r="7" spans="1:5" ht="17.25" x14ac:dyDescent="0.3">
      <c r="A7" s="214" t="s">
        <v>528</v>
      </c>
      <c r="B7" s="210">
        <f>B4-B5</f>
        <v>-14074334.920000002</v>
      </c>
      <c r="C7" s="211" t="s">
        <v>530</v>
      </c>
      <c r="D7" s="210">
        <f>D4-D5</f>
        <v>-1736</v>
      </c>
      <c r="E7" s="211" t="s">
        <v>530</v>
      </c>
    </row>
    <row r="8" spans="1:5" ht="17.25" x14ac:dyDescent="0.3">
      <c r="A8" s="209" t="s">
        <v>529</v>
      </c>
      <c r="B8" s="210">
        <f>B9-B10+B11-B12-B13</f>
        <v>14074335</v>
      </c>
      <c r="C8" s="211" t="s">
        <v>530</v>
      </c>
      <c r="D8" s="210">
        <f>D9-D10+D11-D12-D13</f>
        <v>1736</v>
      </c>
      <c r="E8" s="211" t="s">
        <v>530</v>
      </c>
    </row>
    <row r="9" spans="1:5" x14ac:dyDescent="0.25">
      <c r="A9" s="206" t="s">
        <v>531</v>
      </c>
      <c r="B9" s="212">
        <f>Ienemumi!AJ122</f>
        <v>13112254</v>
      </c>
      <c r="C9" s="213" t="s">
        <v>530</v>
      </c>
      <c r="D9" s="212">
        <f>Ienemumi!AJ155</f>
        <v>1736</v>
      </c>
      <c r="E9" s="213" t="s">
        <v>530</v>
      </c>
    </row>
    <row r="10" spans="1:5" x14ac:dyDescent="0.25">
      <c r="A10" s="206" t="s">
        <v>532</v>
      </c>
      <c r="B10" s="212">
        <f>Izdevumi!G268</f>
        <v>1236035</v>
      </c>
      <c r="C10" s="213" t="s">
        <v>530</v>
      </c>
      <c r="D10" s="237">
        <f>Izdevumi!BB268</f>
        <v>0</v>
      </c>
      <c r="E10" s="238" t="s">
        <v>530</v>
      </c>
    </row>
    <row r="11" spans="1:5" x14ac:dyDescent="0.25">
      <c r="A11" s="206" t="s">
        <v>533</v>
      </c>
      <c r="B11" s="212">
        <f>Ienemumi!AJ105</f>
        <v>7119338</v>
      </c>
      <c r="C11" s="213" t="s">
        <v>530</v>
      </c>
      <c r="D11" s="212"/>
    </row>
    <row r="12" spans="1:5" x14ac:dyDescent="0.25">
      <c r="A12" s="206" t="s">
        <v>534</v>
      </c>
      <c r="B12" s="212">
        <f>Izdevumi!BA298</f>
        <v>4887787</v>
      </c>
      <c r="C12" s="213" t="s">
        <v>530</v>
      </c>
      <c r="D12" s="212"/>
    </row>
    <row r="13" spans="1:5" x14ac:dyDescent="0.25">
      <c r="A13" s="206" t="s">
        <v>535</v>
      </c>
      <c r="B13" s="236">
        <f>Izdevumi!I263</f>
        <v>33435</v>
      </c>
      <c r="C13" s="213" t="s">
        <v>530</v>
      </c>
      <c r="D13" s="212"/>
    </row>
  </sheetData>
  <mergeCells count="2">
    <mergeCell ref="B2:C2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Izdevumi</vt:lpstr>
      <vt:lpstr>Ienemumi</vt:lpstr>
      <vt:lpstr>Kopa_ien-izd</vt:lpstr>
      <vt:lpstr>'Kopa_ien-izd'!Print_Area</vt:lpstr>
      <vt:lpstr>Ienemumi!Print_Titles</vt:lpstr>
      <vt:lpstr>Izdevumi!Print_Titles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G.Anškēvics</dc:creator>
  <cp:lastModifiedBy>Liene Zalkovska</cp:lastModifiedBy>
  <cp:lastPrinted>2018-09-05T06:36:39Z</cp:lastPrinted>
  <dcterms:created xsi:type="dcterms:W3CDTF">2006-10-31T12:58:11Z</dcterms:created>
  <dcterms:modified xsi:type="dcterms:W3CDTF">2018-09-05T06:37:06Z</dcterms:modified>
</cp:coreProperties>
</file>