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550"/>
  </bookViews>
  <sheets>
    <sheet name="ITI" sheetId="1" r:id="rId1"/>
  </sheets>
  <calcPr calcId="162913"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1" l="1"/>
  <c r="H88" i="1" s="1"/>
  <c r="G89" i="1"/>
  <c r="K89" i="1"/>
  <c r="K88" i="1" s="1"/>
  <c r="I88" i="1"/>
  <c r="H44" i="1"/>
  <c r="H95" i="1"/>
  <c r="H23" i="1"/>
  <c r="H18" i="1"/>
  <c r="G88" i="1" l="1"/>
  <c r="H135" i="1"/>
  <c r="K135" i="1"/>
  <c r="K134" i="1" s="1"/>
  <c r="I135" i="1"/>
  <c r="H128" i="1"/>
  <c r="H146" i="1"/>
  <c r="K146" i="1"/>
  <c r="I146" i="1"/>
  <c r="K147" i="1"/>
  <c r="I147" i="1"/>
  <c r="H147" i="1"/>
  <c r="H136" i="1"/>
  <c r="H141" i="1"/>
  <c r="K141" i="1"/>
  <c r="I141" i="1"/>
  <c r="H134" i="1"/>
  <c r="I134" i="1"/>
  <c r="K136" i="1"/>
  <c r="I136" i="1"/>
  <c r="I145" i="1" l="1"/>
  <c r="K145" i="1"/>
  <c r="H145" i="1"/>
  <c r="G146" i="1"/>
  <c r="G147" i="1"/>
  <c r="G141" i="1"/>
  <c r="G145" i="1" l="1"/>
  <c r="K140" i="1"/>
  <c r="I140" i="1"/>
  <c r="H140" i="1"/>
  <c r="G140" i="1" l="1"/>
  <c r="G135" i="1" l="1"/>
  <c r="H129" i="1"/>
  <c r="K129" i="1"/>
  <c r="I129" i="1"/>
  <c r="I128" i="1"/>
  <c r="K128" i="1"/>
  <c r="G128" i="1" l="1"/>
  <c r="G129" i="1"/>
  <c r="H100" i="1" l="1"/>
  <c r="K100" i="1"/>
  <c r="I100" i="1"/>
  <c r="J100" i="1" s="1"/>
  <c r="H101" i="1"/>
  <c r="K101" i="1"/>
  <c r="I101" i="1"/>
  <c r="K94" i="1"/>
  <c r="I95" i="1"/>
  <c r="I94" i="1" s="1"/>
  <c r="I122" i="1"/>
  <c r="J122" i="1" s="1"/>
  <c r="J121" i="1" s="1"/>
  <c r="K122" i="1"/>
  <c r="H122" i="1"/>
  <c r="H69" i="1"/>
  <c r="H79" i="1"/>
  <c r="I69" i="1"/>
  <c r="K69" i="1"/>
  <c r="K64" i="1"/>
  <c r="K63" i="1" s="1"/>
  <c r="I64" i="1"/>
  <c r="H64" i="1"/>
  <c r="H63" i="1" s="1"/>
  <c r="H59" i="1"/>
  <c r="K59" i="1"/>
  <c r="I59" i="1"/>
  <c r="I54" i="1"/>
  <c r="H54" i="1"/>
  <c r="K54" i="1"/>
  <c r="H39" i="1"/>
  <c r="I99" i="1" l="1"/>
  <c r="H99" i="1"/>
  <c r="J95" i="1"/>
  <c r="J94" i="1" s="1"/>
  <c r="J101" i="1"/>
  <c r="J99" i="1" s="1"/>
  <c r="G100" i="1"/>
  <c r="K99" i="1"/>
  <c r="H94" i="1"/>
  <c r="G122" i="1"/>
  <c r="G121" i="1" s="1"/>
  <c r="G69" i="1"/>
  <c r="G64" i="1"/>
  <c r="G63" i="1" s="1"/>
  <c r="G94" i="1" l="1"/>
  <c r="G95" i="1"/>
  <c r="K33" i="1" l="1"/>
  <c r="J33" i="1"/>
  <c r="H33" i="1"/>
  <c r="I17" i="1"/>
  <c r="I12" i="1"/>
  <c r="G33" i="1" l="1"/>
  <c r="H12" i="1"/>
  <c r="I13" i="1"/>
  <c r="K18" i="1"/>
  <c r="K17" i="1" s="1"/>
  <c r="H17" i="1"/>
  <c r="J12" i="1"/>
  <c r="K13" i="1" l="1"/>
  <c r="H13" i="1"/>
  <c r="H11" i="1" s="1"/>
  <c r="J13" i="1"/>
  <c r="J11" i="1" s="1"/>
  <c r="I11" i="1"/>
  <c r="K58" i="1" l="1"/>
  <c r="H58" i="1"/>
  <c r="H38" i="1" l="1"/>
  <c r="I32" i="1" l="1"/>
  <c r="J32" i="1"/>
  <c r="H32" i="1"/>
  <c r="J18" i="1"/>
  <c r="J17" i="1" s="1"/>
  <c r="G17" i="1" l="1"/>
  <c r="G32" i="1"/>
  <c r="K23" i="1" l="1"/>
  <c r="J23" i="1"/>
  <c r="K12" i="1" l="1"/>
  <c r="G12" i="1" l="1"/>
  <c r="K11" i="1"/>
  <c r="K22" i="1" l="1"/>
  <c r="H22" i="1"/>
  <c r="J22" i="1"/>
  <c r="I22" i="1"/>
  <c r="G23" i="1" l="1"/>
  <c r="G22" i="1"/>
  <c r="K74" i="1"/>
  <c r="K73" i="1" s="1"/>
  <c r="H74" i="1"/>
  <c r="H73" i="1" s="1"/>
  <c r="K48" i="1" l="1"/>
  <c r="H48" i="1"/>
  <c r="I63" i="1" l="1"/>
  <c r="I58" i="1"/>
  <c r="H49" i="1"/>
  <c r="K49" i="1"/>
  <c r="I48" i="1"/>
  <c r="K39" i="1"/>
  <c r="I38" i="1"/>
  <c r="K112" i="1" l="1"/>
  <c r="H112" i="1"/>
  <c r="J112" i="1"/>
  <c r="I112" i="1"/>
  <c r="I111" i="1" s="1"/>
  <c r="K28" i="1"/>
  <c r="K27" i="1" s="1"/>
  <c r="H28" i="1"/>
  <c r="H27" i="1" s="1"/>
  <c r="J28" i="1"/>
  <c r="J27" i="1" s="1"/>
  <c r="I28" i="1"/>
  <c r="I27" i="1" s="1"/>
  <c r="G28" i="1" l="1"/>
  <c r="G27" i="1"/>
  <c r="H53" i="1" l="1"/>
  <c r="K53" i="1"/>
  <c r="I53" i="1"/>
  <c r="G59" i="1"/>
  <c r="G58" i="1" s="1"/>
  <c r="F78" i="1"/>
  <c r="J43" i="1"/>
  <c r="I43" i="1"/>
  <c r="K43" i="1"/>
  <c r="G44" i="1"/>
  <c r="H43" i="1"/>
  <c r="G49" i="1"/>
  <c r="K117" i="1"/>
  <c r="K116" i="1" s="1"/>
  <c r="H117" i="1"/>
  <c r="H116" i="1" s="1"/>
  <c r="K111" i="1"/>
  <c r="H111" i="1"/>
  <c r="K107" i="1"/>
  <c r="H107" i="1"/>
  <c r="K106" i="1"/>
  <c r="H106" i="1"/>
  <c r="K84" i="1"/>
  <c r="H84" i="1"/>
  <c r="K79" i="1"/>
  <c r="G74" i="1"/>
  <c r="G73" i="1" s="1"/>
  <c r="I68" i="1"/>
  <c r="H68" i="1"/>
  <c r="G39" i="1"/>
  <c r="K38" i="1"/>
  <c r="G136" i="1"/>
  <c r="G134" i="1" s="1"/>
  <c r="K68" i="1"/>
  <c r="J111" i="1"/>
  <c r="J107" i="1"/>
  <c r="J106" i="1"/>
  <c r="I107" i="1"/>
  <c r="I106" i="1"/>
  <c r="G13" i="1"/>
  <c r="G11" i="1" s="1"/>
  <c r="G54" i="1"/>
  <c r="G53" i="1" s="1"/>
  <c r="G112" i="1"/>
  <c r="H105" i="1" l="1"/>
  <c r="K105" i="1"/>
  <c r="G84" i="1"/>
  <c r="G101" i="1"/>
  <c r="G99" i="1" s="1"/>
  <c r="I105" i="1"/>
  <c r="G79" i="1"/>
  <c r="G117" i="1"/>
  <c r="G106" i="1"/>
  <c r="G107" i="1"/>
  <c r="J105" i="1"/>
  <c r="G116" i="1"/>
  <c r="G111" i="1"/>
  <c r="G38" i="1"/>
  <c r="G68" i="1"/>
  <c r="G43" i="1"/>
  <c r="G105" i="1" l="1"/>
  <c r="K32" i="1"/>
  <c r="G127" i="1" l="1"/>
  <c r="I127" i="1"/>
  <c r="K127" i="1"/>
  <c r="H127" i="1"/>
</calcChain>
</file>

<file path=xl/sharedStrings.xml><?xml version="1.0" encoding="utf-8"?>
<sst xmlns="http://schemas.openxmlformats.org/spreadsheetml/2006/main" count="477" uniqueCount="297">
  <si>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</si>
  <si>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</si>
  <si>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</si>
  <si>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</si>
  <si>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</si>
  <si>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</si>
  <si>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</si>
  <si>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</si>
  <si>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</si>
  <si>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</si>
  <si>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Privātais sektors*</t>
  </si>
  <si>
    <t>Projekta uzsākšanas datums / aktivitāšu īstenošanas laika grafiks</t>
  </si>
  <si>
    <t>Projekta realizācijas ilgums</t>
  </si>
  <si>
    <t>Jūrmalas pilsētas dome</t>
  </si>
  <si>
    <t>*Piesaistītās nefinanšu investīcijas konkrētās aktivitātes ietvaros</t>
  </si>
  <si>
    <t>-</t>
  </si>
  <si>
    <t>P 2.1.                 P 3.7.</t>
  </si>
  <si>
    <t>P 2.6.                        P 3.2.</t>
  </si>
  <si>
    <t>P 3.5.</t>
  </si>
  <si>
    <t>P 3.2.</t>
  </si>
  <si>
    <t>P.3.2.</t>
  </si>
  <si>
    <t xml:space="preserve">P 1.2.                    P 3.7.            </t>
  </si>
  <si>
    <t>P 2.4.                    P 3.7.</t>
  </si>
  <si>
    <t>P 2.6.                      P 3.5.</t>
  </si>
  <si>
    <t>P 2.6.                      P 3.3.</t>
  </si>
  <si>
    <t>P 2.6.                    P 3.1.</t>
  </si>
  <si>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</si>
  <si>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t>Ķemeru parka pārbūve un restaurācija (t.sk.inženiertehnisko tīklu pārbūve, ielu un ceļa infrastruktūras atjaunošana, labiekārtošana, būvprojekts, autoruzraudzība un būvuzraudzība)</t>
  </si>
  <si>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</si>
  <si>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</si>
  <si>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 xml:space="preserve"> P 3.2.                          P 3.7.</t>
  </si>
  <si>
    <t>P 2.1.                    P 3.7.</t>
  </si>
  <si>
    <t xml:space="preserve">Jūrmalas pilsētas pašvaldība                                  
</t>
  </si>
  <si>
    <t>Jūrmalas pilsētas pašvaldība</t>
  </si>
  <si>
    <t xml:space="preserve">Jūrmalas pilsētas pašvaldība                                         
</t>
  </si>
  <si>
    <t xml:space="preserve">Jūrmalas pilsētas pašvaldība                                          
</t>
  </si>
  <si>
    <t xml:space="preserve">Jūrmalas pilsētas pašvaldība                                       
</t>
  </si>
  <si>
    <t xml:space="preserve">Jūrmalas pilsētas pašvaldība
</t>
  </si>
  <si>
    <t xml:space="preserve">Jūrmalas pilsētas pašvaldība                                              
</t>
  </si>
  <si>
    <t>P 2.8.                 P 3.2.                          P 3.7.</t>
  </si>
  <si>
    <t>P 2.8.                     P 3.7.</t>
  </si>
  <si>
    <t>Specifiskais atbalsta mērķis  (SAM)  9.3.1.                                                                                                                                                                                                                                                                                                                                                                                                                        "Attīstīt pakalpojumu infrastruktūru bērnu aprūpei ģimeniskā vidē un personu ar invaliditāti neatkarīgai dzīvei un integrācijai sabiedrībā"***</t>
  </si>
  <si>
    <t>***Aktivitates šī SAM ietvaros var tikt precizētas pēc Rīgas plānošanas reģiona Deinstitucionalizācijas plāna izstrādes</t>
  </si>
  <si>
    <t>**Atbilstoši Vides aizsardzības un reģionālās attīstības ministrijas noteiktajam "Pašvaldību budžeta kapacitātes rādītājam 2016.gadā" (MK 27.01.2015. noteikumi Nr.42.)</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</si>
  <si>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</si>
  <si>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</si>
  <si>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 xml:space="preserve">Specifiskais atbalsta mērķis (SAM) 4.2.2.                                                                                                                                                                                                                                                                                                                                                                                                                   "Atbilstoši pašvaldības integrētajām attīstības programmām sekmēt energoefektivitātes paaugstināšanu un AER izmantošanu pašvaldību ēkās" </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</si>
  <si>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</si>
  <si>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</si>
  <si>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t xml:space="preserve">Jūrmalas pilsētas pašvaldība                                          
</t>
  </si>
  <si>
    <t xml:space="preserve">Jūrmalas pilsētas pašvaldība                                      
</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</si>
  <si>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Ķemeru pasta ēkai Tukuma ielā 30 kopējais enerģijas  patēriņa novērtējums ir vērtējams kā augsts jeb 127,70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</si>
  <si>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</si>
  <si>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ielā.</t>
    </r>
  </si>
  <si>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</si>
  <si>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 darba vietas;
3)no projekta ietvaros veiktajām investīcijām infrastruktūrā labumu guvušo komersantu nefinanšu investīcijas pašu nemateriālajos ieguldījumos un pamatlīdzekļos – 82 605.20 EUR.</t>
    </r>
  </si>
  <si>
    <r>
      <t xml:space="preserve">2019              </t>
    </r>
    <r>
      <rPr>
        <i/>
        <sz val="10"/>
        <rFont val="Times New Roman"/>
        <family val="1"/>
        <charset val="186"/>
      </rPr>
      <t>(2018.gads tehniskās dokumentācijas izstrāde)</t>
    </r>
  </si>
  <si>
    <t>P 2.6.            P2.8.</t>
  </si>
  <si>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</si>
  <si>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</si>
  <si>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Nr.6 projektam "Majoru muižas kompleksa atjaunošana" - Pielikums Nr.2.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</si>
  <si>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</si>
  <si>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</si>
  <si>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Ēkai Rūpniecības ielā 19 - 213,65 kWh/m2 gadā , kas ir lielāks nekā Jūrmalas publisko ēku vidējais siltumenerģijas patēriņš. Ēka ir arī vizuāli nepievilcīga un līdz ar to degradē kopējo pilsētas ainavu. Veicot ēkas energoefektivitātes pasākumus, samazināsies ēkas siltumeneģijas patēriņš, ēkas apsaimniekošanas izmaksas un CO2 emisija.</t>
    </r>
  </si>
  <si>
    <r>
      <rPr>
        <i/>
        <u/>
        <sz val="12"/>
        <rFont val="Times New Roman"/>
        <family val="1"/>
        <charset val="186"/>
      </rPr>
      <t>Projekta idejas pamatojums:</t>
    </r>
    <r>
      <rPr>
        <i/>
        <sz val="12"/>
        <rFont val="Times New Roman"/>
        <family val="1"/>
        <charset val="186"/>
      </rPr>
      <t xml:space="preserve">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r>
  </si>
  <si>
    <t>17                     18                                            19</t>
  </si>
  <si>
    <t>16                               18                        19</t>
  </si>
  <si>
    <t>16                             17                         19</t>
  </si>
  <si>
    <t>16                            17                         19</t>
  </si>
  <si>
    <t>16                                 17                        18</t>
  </si>
  <si>
    <t>23                         24</t>
  </si>
  <si>
    <t>16                                  17                             18                          19</t>
  </si>
  <si>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</si>
  <si>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</si>
  <si>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</si>
  <si>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</si>
  <si>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</si>
  <si>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</si>
  <si>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</si>
  <si>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20,97 kWh/m2 gadā;
3)aprēķinātais siltumnīcefekta gāzu samazinājums gadā (CO2 ekvivalents tonnās) – 12,65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</si>
  <si>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122,71 kWh/m2 gadā;
3)aprēķinātais siltumnīcefekta gāzu samazinājums gadā (CO2 ekvivalents tonnās) –26,17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</si>
  <si>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61,52 kWh/m2 gadā;
3)aprēķinātais siltumnīcefekta gāzu samazinājums gadā (CO2 ekvivalents tonnās) –  7,4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</si>
  <si>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t>P 1.7.                                                   P 3.7.</t>
  </si>
  <si>
    <t>P 1.7.               P 3.7.</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</si>
  <si>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2.5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</si>
  <si>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607 630.66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Nr.5 projektam "Ielu infrastruktūras atjaunošana  Ķemeros".                                                        </t>
    </r>
  </si>
  <si>
    <r>
      <rPr>
        <i/>
        <u/>
        <sz val="12"/>
        <rFont val="Times New Roman"/>
        <family val="1"/>
        <charset val="186"/>
      </rPr>
      <t>Projekta idejas pamatojums:</t>
    </r>
    <r>
      <rPr>
        <sz val="12"/>
        <rFont val="Times New Roman"/>
        <family val="1"/>
        <charset val="186"/>
      </rPr>
      <t xml:space="preserve">
</t>
    </r>
    <r>
      <rPr>
        <i/>
        <sz val="12"/>
        <rFont val="Times New Roman"/>
        <family val="1"/>
        <charset val="186"/>
      </rPr>
      <t>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Tiek plānots intensīvi attīstīt šo teritoriju un līdz 2020.gadam infrastruktūras attīstībā investēt aptuveni 15 milj. EUR ES fondu, pašvaldības un valsts budžeta līdzekļu, radot labvēlīgu sociālo vidi vietējai kopienai, kā arī jauniem uzņēmumiem, pilsētai un valstij kopumā t.i., plānots atjaunot Ķemeru parku un valsts aizsargājamos arhitektūras pieminekļus Mīlestības saliņu un sērūdens avotu “Ķirzaciņa”, atjaunot gājēju celiņus, apgaismojuma laternas, soliņus un lapenes, izveidot bērnu rotaļlaukumus. Tiks atjaunots arī valsts nozīmes kultūras piemineklis ūdenstornis, izveidojot tajā tūrisma informācijas punktu, skatu platformu un mākslas galeriju. Centrs būs otrs lielākais enkurobjekts Jūrmalā. Šie projekti attīstīs Ķemeru teritoriju kopumā un veidos labvēlīgāku sociālo vidi, taču, lai pilnvērtīgi notiktu Ķemeru teritorijas revitalizācija, nepieciešams izmantot teritorijā esošos dabas un dziednieciskos resursus un veidot priekšnoteikumus un vidi jaunu uzņēmumu veidošanai jaunu tūrisma produktu un pakalpojumu attīstībai, vietējo iedzīvotāju izglītošanai, izglītības sistēmas medicīnas un rehabilitācijas jomā attīstībai. Esošās teritorijas ilgtspējīgai attīstībai ir jāizveido vietējās kopienas inovāciju centrs - vieta, kurā notiks mijiedarbība starp vietējiem iedzīvotājiem/kopienu, zinātni, tehnoloģijām un uzņēmējdarbību. Lai šo ideju varētu realizēt, plānots veikt bijušās Ķemeru pasta ēkas Tukuma ielā 30 pārbūvi, lai pielāgotu to jaunu funkciju veikšanai.</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</si>
  <si>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</si>
  <si>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</si>
  <si>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</si>
  <si>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rPr>
        <b/>
        <sz val="12"/>
        <rFont val="Times New Roman"/>
        <family val="1"/>
        <charset val="186"/>
      </rPr>
      <t>Prioritārā projekta ideja Nr.3:</t>
    </r>
    <r>
      <rPr>
        <b/>
        <i/>
        <sz val="12"/>
        <rFont val="Times New Roman"/>
        <family val="1"/>
        <charset val="186"/>
      </rPr>
      <t xml:space="preserve"> </t>
    </r>
    <r>
      <rPr>
        <b/>
        <i/>
        <u/>
        <sz val="12"/>
        <rFont val="Times New Roman"/>
        <family val="1"/>
        <charset val="186"/>
      </rPr>
      <t>Pilsētas centrālās daļas ielu brauktuvju un gājēju celiņu atjaunošana un autostāvvietu izbūve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</si>
  <si>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</si>
  <si>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rPr>
        <b/>
        <i/>
        <sz val="10"/>
        <rFont val="Times New Roman"/>
        <family val="1"/>
        <charset val="186"/>
      </rPr>
      <t>2019</t>
    </r>
    <r>
      <rPr>
        <sz val="10"/>
        <rFont val="Times New Roman"/>
        <family val="1"/>
        <charset val="186"/>
      </rPr>
      <t xml:space="preserve">                 </t>
    </r>
    <r>
      <rPr>
        <i/>
        <sz val="10"/>
        <rFont val="Times New Roman"/>
        <family val="1"/>
        <charset val="186"/>
      </rPr>
      <t>(12 mēneši)</t>
    </r>
  </si>
  <si>
    <r>
      <rPr>
        <b/>
        <i/>
        <sz val="10"/>
        <rFont val="Times New Roman"/>
        <family val="1"/>
        <charset val="186"/>
      </rPr>
      <t>2021</t>
    </r>
    <r>
      <rPr>
        <sz val="10"/>
        <rFont val="Times New Roman"/>
        <family val="1"/>
        <charset val="186"/>
      </rPr>
      <t xml:space="preserve">                 </t>
    </r>
    <r>
      <rPr>
        <i/>
        <sz val="10"/>
        <rFont val="Times New Roman"/>
        <family val="1"/>
        <charset val="186"/>
      </rPr>
      <t>(12 mēneši)</t>
    </r>
  </si>
  <si>
    <r>
      <rPr>
        <b/>
        <sz val="12"/>
        <rFont val="Times New Roman"/>
        <family val="1"/>
        <charset val="186"/>
      </rPr>
      <t>Alternatīvā projekta ideja Nr.2:</t>
    </r>
    <r>
      <rPr>
        <b/>
        <i/>
        <sz val="12"/>
        <rFont val="Times New Roman"/>
        <family val="1"/>
        <charset val="186"/>
      </rPr>
      <t xml:space="preserve"> </t>
    </r>
    <r>
      <rPr>
        <b/>
        <i/>
        <u/>
        <sz val="12"/>
        <rFont val="Times New Roman"/>
        <family val="1"/>
        <charset val="186"/>
      </rPr>
      <t>Jaunu autostāvvietu izbūve pilsētas satiksmes infrastruktūras pilnveidei</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</si>
  <si>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Atbilstoši Jūrmalas pilsētas kultūrvides attīstības plānā 2017.-2020.gadam noteiktajam, viena no pilsētas attīstības prioritātēm ir nodrošināt Jūrmalas pilsētas unikālā materiālā un nemateriālā kultūras mantojuma saglabāšanu, izcilu kultūras pasākumu un augstvērtīga kultūras tūrisma piedāvājuma pieejamību pilsētas iedzīvotājiem un viesiem. Līdz ar kultūras pasākumu klāsta dažādošanu tiek plānots veikt ieguldījumus materiālā kultūras mantojuma – Mellužu brīvdabas estrādes, infrastruktūras atjaunošanā un saistītā infrastruktūras, t.sk. satiksmes infrastruktūras pilnveidē. Vaivaru – Pumpuru apkaimē esošā uzņēmējdarbība ir saistīta ar nakšņošanas un ēdināšanas pakalpojumu sniegšanu, un, tā pat kā pilsētas centrālajā daļā, arī šajā apkaimē, sezonas laikā, ir vērojams stāvvietu trūkums. Projekta īstenošana sekmēs Jūrmalas attīstības programmā 2014.-2020.gadam definētās prioritātes - ceļu un ielu kvalitātes uzlabošana, satiksmes drošības uzlabojumi, veloceliņu un gājēju celiņu attīstība, sasniegšanu un, balstoties uz vietējo uzņēmēju vajadzībām -apmierinot komersantu pieprasījumu pēc sakārtotas satiksmes infrastruktūras un pieejamām auto stāvvietām, veicinās uzņēmējdarbības vides pilnveidi pilsētā.</t>
    </r>
  </si>
  <si>
    <r>
      <t xml:space="preserve">Projekta aktivitāšu pamatojums:
</t>
    </r>
    <r>
      <rPr>
        <b/>
        <sz val="12"/>
        <rFont val="Times New Roman"/>
        <family val="1"/>
        <charset val="186"/>
      </rPr>
      <t>1.Ielu infrastruktūras atjaunošana un autostāvvietu izbūve (t.sk. būvprojekta izstrāde, būvdarbi, autoruzraudzība un būvuzraudzība)</t>
    </r>
    <r>
      <rPr>
        <i/>
        <sz val="12"/>
        <rFont val="Times New Roman"/>
        <family val="1"/>
        <charset val="186"/>
      </rPr>
      <t xml:space="preserve">
Ņemot vērā pilsētas ekonomisko specializāciju – Jūrmala ir otrs iecīnītākais Latvijas un ārzemju tūristu galamērķis, pēc Rīgas, un pilsētas centrālā daļa jeb Jomas iela ir populārākais pilsētas viesu galamērķis (2016.gadā Jūrmalā reģistrēto tūristu skaits 171 tūkstotis). Ņemot vērā Jūrmalas pilsētā un galvenokārt tās centrālajā daļā (Majoros-Dzintaros) pieejamo plašo pakalpojumu klāstu (kultūras, tūrisma, veselības, ēdināšanas, izmitināšanas, u.c. pakalpojumi) un pieaugošo tendenci tūristiem pārvietoties ar privātām automašīnām, sezonas laikā pilsētas centrālajā daļā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divu pilsētas centrālās daļas ielu – Teātra ielas un Viktorijas ielas (posmā no Jomas ielas līdz Lienes ielai) infrastruktūras atjaunošanu un pilnveidi, t.sk. ielu brauktuvju, gājēju celiņu un ielu apgaismojuma atjaunošanu, un lietus ūdens kanalizācijas un autostāvvietu izbūvi ielu malās.</t>
    </r>
  </si>
  <si>
    <t>Daudzfunkcionālā laukuma (t.sk. ēku) un autostāvvietas izbūve (būvdarbi)</t>
  </si>
  <si>
    <t>Jauniešu mājas un inženiertehnisko tīklu izbūve (būvdarbi)</t>
  </si>
  <si>
    <r>
      <rPr>
        <b/>
        <i/>
        <sz val="10"/>
        <rFont val="Times New Roman"/>
        <family val="1"/>
        <charset val="186"/>
      </rPr>
      <t>2019</t>
    </r>
    <r>
      <rPr>
        <sz val="10"/>
        <rFont val="Times New Roman"/>
        <family val="1"/>
        <charset val="186"/>
      </rPr>
      <t xml:space="preserve">                                                                                                                                                                                                                                                                                                                                                                                                                                                                                                                                                                                                                                                                                                                                                                                                                                                                                                                                                                                                                                                                                                                                                                                                                                                                                                                                                                                                                                                                                                                                                                                                                                                                                                                                                                  </t>
    </r>
    <r>
      <rPr>
        <i/>
        <sz val="10"/>
        <rFont val="Times New Roman"/>
        <family val="1"/>
        <charset val="186"/>
      </rPr>
      <t xml:space="preserve">(2017.-2018.gads būvprojekta izstrāde)                         </t>
    </r>
    <r>
      <rPr>
        <sz val="10"/>
        <rFont val="Times New Roman"/>
        <family val="1"/>
        <charset val="186"/>
      </rPr>
      <t xml:space="preserve">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</si>
  <si>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servisa centra jaunbūve (t.sk. būvprojekta izstrāde, būvdarbi, autoruzraudzība un būvuzraudzība)</t>
    </r>
    <r>
      <rPr>
        <i/>
        <sz val="12"/>
        <rFont val="Times New Roman"/>
        <family val="1"/>
        <charset val="186"/>
      </rPr>
      <t xml:space="preserve">
Pilsētā pietrūkst Lielupes kuģošanas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uzglabāt savu kustamo mantu arī ziemas laikā. Ir nepieciešama arī inženiertehnisko tīklu izbūve, lai nodrošinātu servisa centra efektīvu funkcionēšanu un tajā esošo komersantu saimniecisko darbību.</t>
    </r>
  </si>
  <si>
    <r>
      <t xml:space="preserve">Alternatīvā projekta ideja Nr.1: </t>
    </r>
    <r>
      <rPr>
        <b/>
        <i/>
        <u/>
        <sz val="12"/>
        <rFont val="Times New Roman"/>
        <family val="1"/>
        <charset val="186"/>
      </rPr>
      <t>Lielupes kuģošanas infrastruktūras attīstība uzņēmējdarbības veicināšanai</t>
    </r>
  </si>
  <si>
    <r>
      <rPr>
        <b/>
        <i/>
        <sz val="10"/>
        <rFont val="Times New Roman"/>
        <family val="1"/>
        <charset val="186"/>
      </rPr>
      <t>2021</t>
    </r>
    <r>
      <rPr>
        <i/>
        <sz val="10"/>
        <rFont val="Times New Roman"/>
        <family val="1"/>
        <charset val="186"/>
      </rPr>
      <t xml:space="preserve">                                                                                                                                                                                                                                                                                                                                                                                                                                                                (30 mēneši)</t>
    </r>
  </si>
  <si>
    <r>
      <rPr>
        <b/>
        <i/>
        <sz val="10"/>
        <rFont val="Times New Roman"/>
        <family val="1"/>
        <charset val="186"/>
      </rPr>
      <t>2019</t>
    </r>
    <r>
      <rPr>
        <sz val="10"/>
        <rFont val="Times New Roman"/>
        <family val="1"/>
        <charset val="186"/>
      </rPr>
      <t xml:space="preserve">                                           </t>
    </r>
    <r>
      <rPr>
        <i/>
        <sz val="10"/>
        <rFont val="Times New Roman"/>
        <family val="1"/>
        <charset val="186"/>
      </rPr>
      <t>(14 mēneši)</t>
    </r>
  </si>
  <si>
    <r>
      <t xml:space="preserve">Prioritārā projekta ideja Nr.2: </t>
    </r>
    <r>
      <rPr>
        <b/>
        <i/>
        <u/>
        <sz val="12"/>
        <rFont val="Times New Roman"/>
        <family val="1"/>
        <charset val="186"/>
      </rPr>
      <t>Jūrmalas ūdenstūrisma pakalpojumu infrastruktūras attīstība atbilstoši pilsētas ekonomiskajai specializācijai</t>
    </r>
  </si>
  <si>
    <t>Ūdenstūrisma pakalpojumu centra ''Majori'' izveide  (t.sk. būvprojekta izstrāde, būvdarbi, autoruzraudzība un būvuzraudzība)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</si>
  <si>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</si>
  <si>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r>
      <rPr>
        <u/>
        <sz val="10"/>
        <rFont val="Times New Roman"/>
        <family val="1"/>
        <charset val="186"/>
      </rPr>
      <t xml:space="preserve">Iznākuma rādītājs:
</t>
    </r>
    <r>
      <rPr>
        <sz val="10"/>
        <rFont val="Times New Roman"/>
        <family val="1"/>
        <charset val="186"/>
      </rPr>
      <t>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</si>
  <si>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r>
      <t xml:space="preserve">2021                   </t>
    </r>
    <r>
      <rPr>
        <i/>
        <sz val="10"/>
        <rFont val="Times New Roman"/>
        <family val="1"/>
        <charset val="186"/>
      </rPr>
      <t>(14 mēneši)</t>
    </r>
  </si>
  <si>
    <t>Jaunu autostāvvietu izbūve (t.sk. būvprojekta izstrāde, būvdarbi, autoruzraudzība un būvuzraudzība)</t>
  </si>
  <si>
    <r>
      <t>Ūdenstūrisma servisa centra jaunbūve</t>
    </r>
    <r>
      <rPr>
        <strike/>
        <sz val="10"/>
        <rFont val="Times New Roman"/>
        <family val="1"/>
        <charset val="186"/>
      </rPr>
      <t xml:space="preserve"> </t>
    </r>
    <r>
      <rPr>
        <sz val="10"/>
        <rFont val="Times New Roman"/>
        <family val="1"/>
        <charset val="186"/>
      </rPr>
      <t>(t.sk. būvprojekta izstrāde, būvdarbi, autoruzraudzība un būvuzraudzība)</t>
    </r>
  </si>
  <si>
    <t>Ielu infrastruktūras atjaunošana un autostāvvietu izbūve (t.sk. būvprojekta izstrāde, būvdarbi, autoruzraudzība un būvuzraudzība)</t>
  </si>
  <si>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2009.gada līdz 2016.gadam to skaits ir palielinājies no 532 līdz 837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pakalpojumu kompleksu, kas attīstīs uzņēmējdarbības vidi pilsētā un mazinās šīs jomas sezonalitāti Jūrmalā. </t>
    </r>
  </si>
  <si>
    <r>
      <t xml:space="preserve">Prioritārā projekta ideja Nr.1: </t>
    </r>
    <r>
      <rPr>
        <b/>
        <i/>
        <u/>
        <sz val="12"/>
        <rFont val="Times New Roman"/>
        <family val="1"/>
        <charset val="186"/>
      </rPr>
      <t>Jūrmalas veselības veicināšanas un sociālo pakalpojumu centra ēku pārbūve un energoefektivitātes paaugstināšana</t>
    </r>
  </si>
  <si>
    <t>Jūrmalas pilsētas pašvaldības iestādes “Jūrmalas veselības veicināšanas un sociālo pakalpojumu centrs” ēku pārbūve un energoefektivitātes paaugstināšanas (t.sk. būvprojekta izstrāde, būvdarbi, autoruzraudzība un būvuzraudzība)</t>
  </si>
  <si>
    <t>Jūrmalas Sporta skolas peldbaseina ēkas pārbūve un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</si>
  <si>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 (t.sk. būvprojekta izstrāde, būvdarbi, autoruzraudzība un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Valsts kultūras pieminekļu inspekcijas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t>
    </r>
  </si>
  <si>
    <r>
      <rPr>
        <b/>
        <i/>
        <sz val="10"/>
        <rFont val="Times New Roman"/>
        <family val="1"/>
        <charset val="186"/>
      </rPr>
      <t xml:space="preserve">2018         </t>
    </r>
    <r>
      <rPr>
        <i/>
        <sz val="10"/>
        <rFont val="Times New Roman"/>
        <family val="1"/>
        <charset val="186"/>
      </rPr>
      <t xml:space="preserve">                                                                    (2017.-2018.gads būvprojekta izstrāde)</t>
    </r>
  </si>
  <si>
    <r>
      <rPr>
        <b/>
        <i/>
        <sz val="10"/>
        <rFont val="Times New Roman"/>
        <family val="1"/>
        <charset val="186"/>
      </rPr>
      <t xml:space="preserve">2020               </t>
    </r>
    <r>
      <rPr>
        <i/>
        <sz val="10"/>
        <rFont val="Times New Roman"/>
        <family val="1"/>
        <charset val="186"/>
      </rPr>
      <t>(14 mēneši)</t>
    </r>
  </si>
  <si>
    <r>
      <t xml:space="preserve">2019                                </t>
    </r>
    <r>
      <rPr>
        <i/>
        <sz val="10"/>
        <rFont val="Times New Roman"/>
        <family val="1"/>
        <charset val="186"/>
      </rPr>
      <t xml:space="preserve">  (10 mēneši)</t>
    </r>
  </si>
  <si>
    <t>Jūrmalas pilsētas Jaundubultu vidusskolas ēkas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</si>
  <si>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Jaundubultu vidusskolas ēkas energoefektivitātes paaugstināšana (t.sk. tehniskās dokumentācijas izstrāde, būvdarbi, autoruzraudzība un būvuzraudzība)</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</si>
  <si>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 tehniskās dokumentācijas izstrāde, būvdarbi, autoruzraudzība un 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</si>
  <si>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t>Jūrmalas pilsētas Jaundubultu vidusskolass ēkas k-1 (autoskolas ēka)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</si>
  <si>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 (t.sk. būvprojekta izstrāde, būvdarbi, autoruzraudzība un 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būvprojekta izstrādes.</t>
    </r>
  </si>
  <si>
    <t>Jūrmalas pilsētas Kauguru vidusskolas ēkas  energoefektivitātes paaugstināšana (t.sk. būvprojekta izstrāde, būvdarbi, autoruzraudzība un būvuzraudzība)</t>
  </si>
  <si>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</si>
  <si>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ēkas energoefektivitātes paaugstināšana (t.sk. tehniskās dokumentācijas izstrāde, būvdarbi, autoruzraudzība un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</si>
  <si>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r>
      <rPr>
        <b/>
        <i/>
        <sz val="10"/>
        <rFont val="Times New Roman"/>
        <family val="1"/>
        <charset val="186"/>
      </rPr>
      <t xml:space="preserve">2021 </t>
    </r>
    <r>
      <rPr>
        <i/>
        <sz val="10"/>
        <rFont val="Times New Roman"/>
        <family val="1"/>
        <charset val="186"/>
      </rPr>
      <t xml:space="preserve">                 (12 mēneši)</t>
    </r>
  </si>
  <si>
    <r>
      <rPr>
        <b/>
        <i/>
        <sz val="10"/>
        <rFont val="Times New Roman"/>
        <family val="1"/>
        <charset val="186"/>
      </rPr>
      <t xml:space="preserve">2020   </t>
    </r>
    <r>
      <rPr>
        <i/>
        <sz val="10"/>
        <rFont val="Times New Roman"/>
        <family val="1"/>
        <charset val="186"/>
      </rPr>
      <t xml:space="preserve">                                                                       (2019.gads būvprojekta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</si>
  <si>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Dubultu prospektā 1, lit.1. (t.sk. autoruzraudzība un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</si>
  <si>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t xml:space="preserve">Jūrmalas pilsētas domes administratīvās ēkas energoefektivitātes paaugstināšana Dubultu prospektā 1, lit.1. (t.sk. autoruzraudzība un būvuzraudzība)      </t>
  </si>
  <si>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(2017.-2018.gads būvprojekta izstrāde)</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</si>
  <si>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 xml:space="preserve"> (2017.-2018.gads būvprojekta izstrāde)</t>
    </r>
  </si>
  <si>
    <r>
      <rPr>
        <b/>
        <i/>
        <sz val="10"/>
        <rFont val="Times New Roman"/>
        <family val="1"/>
        <charset val="186"/>
      </rPr>
      <t>2020</t>
    </r>
    <r>
      <rPr>
        <b/>
        <sz val="10"/>
        <rFont val="Times New Roman"/>
        <family val="1"/>
        <charset val="186"/>
      </rPr>
      <t xml:space="preserve">                                                                                                                                                                                                                                                                                                                                                                                                                     </t>
    </r>
    <r>
      <rPr>
        <sz val="10"/>
        <rFont val="Times New Roman"/>
        <family val="1"/>
        <charset val="186"/>
      </rPr>
      <t xml:space="preserve">                                                                                                                                                                                                                                                                                                                                                                                                         </t>
    </r>
    <r>
      <rPr>
        <i/>
        <sz val="10"/>
        <rFont val="Times New Roman"/>
        <family val="1"/>
        <charset val="186"/>
      </rPr>
      <t>(2019.gads būvprojekta izstrāde)</t>
    </r>
  </si>
  <si>
    <r>
      <rPr>
        <b/>
        <i/>
        <sz val="10"/>
        <rFont val="Times New Roman"/>
        <family val="1"/>
        <charset val="186"/>
      </rPr>
      <t>2020</t>
    </r>
    <r>
      <rPr>
        <sz val="10"/>
        <rFont val="Times New Roman"/>
        <family val="1"/>
        <charset val="186"/>
      </rPr>
      <t xml:space="preserve">                                                                                                                                                                                                                                                                                                                                                                                                                                                                                                                                                                                                                                                                                                                                                    </t>
    </r>
    <r>
      <rPr>
        <i/>
        <sz val="10"/>
        <rFont val="Times New Roman"/>
        <family val="1"/>
        <charset val="186"/>
      </rPr>
      <t>(2019.gads  būvprojekta izstrāde)</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</si>
  <si>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(2017.- 2018.gads  būvprojekta izstrāde)</t>
    </r>
  </si>
  <si>
    <r>
      <rPr>
        <b/>
        <i/>
        <sz val="10"/>
        <rFont val="Times New Roman"/>
        <family val="1"/>
        <charset val="186"/>
      </rPr>
      <t xml:space="preserve">2018 </t>
    </r>
    <r>
      <rPr>
        <b/>
        <sz val="10"/>
        <rFont val="Times New Roman"/>
        <family val="1"/>
        <charset val="186"/>
      </rPr>
      <t xml:space="preserve">                                                                                                                                                                                                                                                                                                                                                                                                                     </t>
    </r>
    <r>
      <rPr>
        <sz val="10"/>
        <rFont val="Times New Roman"/>
        <family val="1"/>
        <charset val="186"/>
      </rPr>
      <t xml:space="preserve">                                                                                                                                                                                                                                                                                                                                                                                                         </t>
    </r>
    <r>
      <rPr>
        <i/>
        <sz val="10"/>
        <rFont val="Times New Roman"/>
        <family val="1"/>
        <charset val="186"/>
      </rPr>
      <t>(2016.-2017.gads būvprojekta izstrāde)</t>
    </r>
  </si>
  <si>
    <r>
      <rPr>
        <b/>
        <i/>
        <sz val="10"/>
        <rFont val="Times New Roman"/>
        <family val="1"/>
        <charset val="186"/>
      </rPr>
      <t xml:space="preserve">2021  </t>
    </r>
    <r>
      <rPr>
        <i/>
        <sz val="10"/>
        <rFont val="Times New Roman"/>
        <family val="1"/>
        <charset val="186"/>
      </rPr>
      <t xml:space="preserve">              (12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</si>
  <si>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būvprojekta izstrāde, būvdarbi, autoruzraudzība un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</si>
  <si>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t xml:space="preserve">Jūrmalas pilsētas domes administratīvās ēkas energoefektivitātes paaugstināšana Rūpniecības ielā 19 (t.sk. būvprojekta izstrāde, būvdarbi, autoruzraudzība un būvuzraudzība)      </t>
  </si>
  <si>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(2019.gads būvprojekta izstrāde)</t>
    </r>
  </si>
  <si>
    <r>
      <t xml:space="preserve">Alternatīvā projekta ideja Nr.3. </t>
    </r>
    <r>
      <rPr>
        <b/>
        <i/>
        <u/>
        <sz val="12"/>
        <rFont val="Times New Roman"/>
        <family val="1"/>
        <charset val="186"/>
      </rPr>
      <t>Ķemeru pasta ēkas pārbūve un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</si>
  <si>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pārbūve un energoefektivitātes paaugstināšana (t.sk. būvprojekta izstrāde, būvdarbi, autoruzraudzība un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pārbūvē, izmantojot atjaunojamos energoresursus.</t>
    </r>
  </si>
  <si>
    <t>Ķemeru pasta ēkas pārbūve un energoefektivitātes paaugstināšana (t.sk. būvprojekta izstrāde, būvdarbi, autoruzraudzība un būvuzraudzība)</t>
  </si>
  <si>
    <r>
      <rPr>
        <b/>
        <i/>
        <sz val="10"/>
        <rFont val="Times New Roman"/>
        <family val="1"/>
        <charset val="186"/>
      </rPr>
      <t>2020</t>
    </r>
    <r>
      <rPr>
        <i/>
        <sz val="10"/>
        <rFont val="Times New Roman"/>
        <family val="1"/>
        <charset val="186"/>
      </rPr>
      <t xml:space="preserve">                                                                     (2019.gads būvprojekta izstrāde)</t>
    </r>
  </si>
  <si>
    <r>
      <rPr>
        <b/>
        <i/>
        <sz val="10"/>
        <rFont val="Times New Roman"/>
        <family val="1"/>
        <charset val="186"/>
      </rPr>
      <t>2021</t>
    </r>
    <r>
      <rPr>
        <sz val="11"/>
        <rFont val="Calibri"/>
        <family val="2"/>
        <charset val="186"/>
        <scheme val="minor"/>
      </rPr>
      <t xml:space="preserve"> </t>
    </r>
    <r>
      <rPr>
        <i/>
        <sz val="10"/>
        <rFont val="Times New Roman"/>
        <family val="1"/>
        <charset val="186"/>
      </rPr>
      <t xml:space="preserve">              (12 mēneši)</t>
    </r>
  </si>
  <si>
    <r>
      <t xml:space="preserve">2018                                                             </t>
    </r>
    <r>
      <rPr>
        <i/>
        <sz val="10"/>
        <rFont val="Times New Roman"/>
        <family val="1"/>
        <charset val="186"/>
      </rPr>
      <t xml:space="preserve">         (2017.-2018gads būvprojekta izstrāde)</t>
    </r>
  </si>
  <si>
    <r>
      <t xml:space="preserve">2020                                                                                                                              </t>
    </r>
    <r>
      <rPr>
        <i/>
        <sz val="10"/>
        <rFont val="Times New Roman"/>
        <family val="1"/>
        <charset val="186"/>
      </rPr>
      <t xml:space="preserve"> (24 mēneši)</t>
    </r>
  </si>
  <si>
    <r>
      <rPr>
        <u/>
        <sz val="10"/>
        <rFont val="Times New Roman"/>
        <family val="1"/>
        <charset val="186"/>
      </rPr>
      <t>Darbības rezultāts</t>
    </r>
    <r>
      <rPr>
        <sz val="10"/>
        <rFont val="Times New Roman"/>
        <family val="1"/>
        <charset val="186"/>
      </rPr>
      <t xml:space="preserve"> -  izbūvēts ūdenstūrisma servisa centrs Vikingu ielā 40a un izbūvēta kuģošanai nepieciešamā infrastruktūra, t.sk. inženiertīklu izbūve.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</si>
  <si>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autostāvvietas un ar to saistīto gājēju ietvju, velo celiņu, apgaismojuma un lietus ūdens kanalizācijas infrastruktūras izbūve pie Mellužu estrādes.
Projekta detalizēts sadalījums darbību griezumā, darbību rezultāti, precīzas izmaksas un rezultatīvie rādītāji tiks precizēti pēc būvprojekta izstrādes.</t>
    </r>
  </si>
  <si>
    <t>Projekta detalizēts sadalījums darbību griezumā, darbību rezultāti, precīzas izmaksas un rezultatīvie rādītāji tiks precizēti pēc būvprojekta izstrādes.</t>
  </si>
  <si>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t>
    </r>
  </si>
  <si>
    <r>
      <t xml:space="preserve">2019                        </t>
    </r>
    <r>
      <rPr>
        <i/>
        <sz val="10"/>
        <rFont val="Times New Roman"/>
        <family val="1"/>
        <charset val="186"/>
      </rPr>
      <t>(14 mēneši)</t>
    </r>
  </si>
  <si>
    <r>
      <t xml:space="preserve">2018                                                                </t>
    </r>
    <r>
      <rPr>
        <i/>
        <sz val="10"/>
        <rFont val="Times New Roman"/>
        <family val="1"/>
        <charset val="186"/>
      </rPr>
      <t xml:space="preserve">      (2017.gads būvprojekta izstrāde)</t>
    </r>
  </si>
  <si>
    <t>Stāvvietas izbūve Emīla Dārziņa ielā 17 un Tūristu ielas posma atjaunošana (t.sk. būvprojekta izstrāde, būvdarbi, autoruzraudzība un būvuzraudzība)</t>
  </si>
  <si>
    <t xml:space="preserve">Skvēra Tūristu ielā 2A atjaunošana (t.sk. būvprojekta izstrāde, būvdarbi, autoruzraudzība un būvuzraudzība)   </t>
  </si>
  <si>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veselības un atpūtas tūristu skaita pieaugumam.</t>
    </r>
  </si>
  <si>
    <r>
      <rPr>
        <u/>
        <sz val="10"/>
        <rFont val="Times New Roman"/>
        <family val="1"/>
        <charset val="186"/>
      </rPr>
      <t>Darbības rezultāt</t>
    </r>
    <r>
      <rPr>
        <sz val="10"/>
        <rFont val="Times New Roman"/>
        <family val="1"/>
        <charset val="186"/>
      </rPr>
      <t>s - veikta Emīla Dārziņa, Tukuma un Tūristu ielas posma, t.sk. šo ielu krustojuma, virszemes un pazemes komunikāciju infrastruktūras atjaunošana un pārbūve, izbūvēta jauna publiski pieejama autostāvvieta 49 automašīnu novietošanai un stāvvieta autobusu novietošanai. Atjaunota degradēta teritorija 1.4ha platībā.</t>
    </r>
  </si>
  <si>
    <r>
      <rPr>
        <u/>
        <sz val="10"/>
        <rFont val="Times New Roman"/>
        <family val="1"/>
        <charset val="186"/>
      </rPr>
      <t>Darbības rezultāts</t>
    </r>
    <r>
      <rPr>
        <sz val="10"/>
        <rFont val="Times New Roman"/>
        <family val="1"/>
        <charset val="186"/>
      </rPr>
      <t xml:space="preserve"> - veikta publiski pieejamas, degradētas teritorijas atjaunošana 1.1 ha platībā. Izveidota publiska infrastruktūra uzņēmējdarbības vides attīstībai, t.sk. jaunu tūrisma pakalpojumu sniegšanai.</t>
    </r>
  </si>
  <si>
    <r>
      <rPr>
        <b/>
        <sz val="12"/>
        <rFont val="Times New Roman"/>
        <family val="1"/>
        <charset val="186"/>
      </rPr>
      <t xml:space="preserve">Prioritārā projekta ideja Nr.3: </t>
    </r>
    <r>
      <rPr>
        <b/>
        <i/>
        <u/>
        <sz val="12"/>
        <rFont val="Times New Roman"/>
        <family val="1"/>
        <charset val="186"/>
      </rPr>
      <t>Daudzfunkcionāla dabas tūrisma centra jaunbūve un meža parka labiekārtojums Ķemeros</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</si>
  <si>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dabas tūrisma centra jaunbūve un meža parka labiekārtojums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</si>
  <si>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dabas tūrisma centra jaunbūve (t.sk. būvprojekta izstrāde, būvdarbi, autoruzraudzība un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dabas tūrisma centra jaunbūves papildinošās infrastruktūras būvniecība - meža parka labiekārtojums (t.sk. būvprojekta izstrāde, būvdarbi, autoruzraudzība un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veloceliņu un apgaismojuma izbūvi, soliņu, atkritumu urnu un citu labiekārtojuma elementu uzstādīšanu, kā arī izveidot  dabas un putnu vērošanas vietas, izziņu takas, āra klasi (labiekārtotu grupu nodarbību vietu), bērnu rotaļu laukumu, aktīvās un pasīvās atpūtas vietas zemes gabalā Tūristu ielā 17, kadastra Nr.13000262615.</t>
    </r>
  </si>
  <si>
    <t xml:space="preserve">Daudzfunkcionāla dabas tūrisma centra jaunbūve (t.sk. būvprojekta izstrāde, būvdarbi, autoruzraudzība un būvuzraudzība) </t>
  </si>
  <si>
    <t>Daudzfunkcionāla dabas tūrisma centra jaunbūves papildinošās infrastruktūras būvniecība - meža parka labiekārtojums (t.sk. būvprojekta izstrāde, būvdarbi, autoruzraudzība un būvuzraudzība)</t>
  </si>
  <si>
    <r>
      <rPr>
        <b/>
        <sz val="12"/>
        <rFont val="Times New Roman"/>
        <family val="1"/>
        <charset val="186"/>
      </rPr>
      <t xml:space="preserve">Alternatīvā projekta ideja Nr.1: </t>
    </r>
    <r>
      <rPr>
        <b/>
        <i/>
        <u/>
        <sz val="12"/>
        <rFont val="Times New Roman"/>
        <family val="1"/>
        <charset val="186"/>
      </rPr>
      <t>Ielu infrastruktūras atjaunošana Ķemeros</t>
    </r>
  </si>
  <si>
    <r>
      <t xml:space="preserve">2021                                                                     </t>
    </r>
    <r>
      <rPr>
        <i/>
        <sz val="10"/>
        <rFont val="Times New Roman"/>
        <family val="1"/>
        <charset val="186"/>
      </rPr>
      <t>(25 mēneši)</t>
    </r>
  </si>
  <si>
    <r>
      <t xml:space="preserve">2019                                                                                    </t>
    </r>
    <r>
      <rPr>
        <i/>
        <sz val="10"/>
        <rFont val="Times New Roman"/>
        <family val="1"/>
        <charset val="186"/>
      </rPr>
      <t xml:space="preserve"> (2017.-2018.gads būvprojekta izstrāde)</t>
    </r>
  </si>
  <si>
    <t>Daudzfunkcionāla dabas tūrisma centra jaunbūve un meža parka labiekārtojums Ķemeros
(ES fondu finansējums 85%)
(IP 5.pozīcija)</t>
  </si>
  <si>
    <r>
      <rPr>
        <b/>
        <i/>
        <sz val="12"/>
        <rFont val="Times New Roman"/>
        <family val="1"/>
        <charset val="186"/>
      </rPr>
      <t xml:space="preserve">Alternatīvā projekta ideja Nr.3: </t>
    </r>
    <r>
      <rPr>
        <b/>
        <i/>
        <u/>
        <sz val="12"/>
        <rFont val="Times New Roman"/>
        <family val="1"/>
        <charset val="186"/>
      </rPr>
      <t>Ķemeru pasta ēkas pārbūve un energoefektivitātes paaugstināšana</t>
    </r>
  </si>
  <si>
    <r>
      <rPr>
        <b/>
        <sz val="12"/>
        <rFont val="Times New Roman"/>
        <family val="1"/>
        <charset val="186"/>
      </rPr>
      <t>Alternatīvā projekta ideja Nr.2:</t>
    </r>
    <r>
      <rPr>
        <b/>
        <u/>
        <sz val="12"/>
        <rFont val="Times New Roman"/>
        <family val="1"/>
        <charset val="186"/>
      </rPr>
      <t xml:space="preserve"> </t>
    </r>
    <r>
      <rPr>
        <b/>
        <i/>
        <u/>
        <sz val="12"/>
        <rFont val="Times New Roman"/>
        <family val="1"/>
        <charset val="186"/>
      </rPr>
      <t>Majoru muižas kompleksa atjaunošana, t.sk. teritorijas labiekārtošana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</si>
  <si>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būvprojekta izstrāde, būvdarbi, autoruzraudzība un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</si>
  <si>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 būvprojekta izstrāde, būvdarbi, autoruzraudzība un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arī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</si>
  <si>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t>Majoru muižas kompleksa atjaunošana, t.sk. teritorijas labiekārtošana (t.sk. būvprojekta izstrāde, būvdarbi, autoruzraudzība un būvuzraudzība)</t>
  </si>
  <si>
    <r>
      <rPr>
        <u/>
        <sz val="10"/>
        <rFont val="Times New Roman"/>
        <family val="1"/>
        <charset val="186"/>
      </rPr>
      <t>Darbības rezultāts</t>
    </r>
    <r>
      <rPr>
        <sz val="10"/>
        <rFont val="Times New Roman"/>
        <family val="1"/>
        <charset val="186"/>
      </rPr>
      <t xml:space="preserve"> – veikta Ķemeru pasta ēkas pārbūve, īstenoti pasākumi ēkas energoefektivitātes uzlabošanai, labiekārtota piegulošā teritorija.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</si>
  <si>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Majoru muižas kompleksa atjaunošana, t.sk. teritorijas labiekārtošana. Atjaunota degradēta teritorija 2.5 ha platībā.
Projekta detalizēts sadalījums darbību griezumā, darbību rezultāti, precīzas izmaksas un rezultatīvie rādītāji tiks precizēti pēc būvprojekta izstrādes.</t>
    </r>
  </si>
  <si>
    <t>Emīla Dārziņa ielas atjaunošana (t.sk. būvprojekta izstrāde, būvdarbi, autoruzraudzība un būvuzraudzība)</t>
  </si>
  <si>
    <r>
      <rPr>
        <u/>
        <sz val="10"/>
        <rFont val="Times New Roman"/>
        <family val="1"/>
        <charset val="186"/>
      </rPr>
      <t>Darbības rezultāts:</t>
    </r>
    <r>
      <rPr>
        <sz val="10"/>
        <rFont val="Times New Roman"/>
        <family val="1"/>
        <charset val="186"/>
      </rPr>
      <t xml:space="preserve"> atjaunota degradēta teritorija Emīla Dārziņa ielā 28, 4.7 ha platībā. Izbūvēta uzņēmējdarbībai paredzēta jauna publiska infrastruktūra.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</si>
  <si>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Emīla Dārziņa ielas infrastruktūras atjaunošana, t.sk. inženierkomunikāciju, ielas seguma, publiskā apgaismojuma atjaunošana, teritorijas labiekārtošana. Atjaunota degradēta teritorija 0.8 ha platībā.
Projekta detalizēts sadalījums darbību griezumā, darbību rezultāti, precīzas izmaksas un rezultatīvie rādītāji tiks precizēti pēc būvprojekta izstrādes.</t>
    </r>
  </si>
  <si>
    <r>
      <t xml:space="preserve">2021              </t>
    </r>
    <r>
      <rPr>
        <i/>
        <sz val="10"/>
        <rFont val="Times New Roman"/>
        <family val="1"/>
        <charset val="186"/>
      </rPr>
      <t>(2020.gads būvprojekta izstrāde)</t>
    </r>
  </si>
  <si>
    <r>
      <t xml:space="preserve">2022                    </t>
    </r>
    <r>
      <rPr>
        <i/>
        <sz val="10"/>
        <rFont val="Times New Roman"/>
        <family val="1"/>
        <charset val="186"/>
      </rPr>
      <t>(18 mēneši)</t>
    </r>
  </si>
  <si>
    <r>
      <t xml:space="preserve">2021                                          </t>
    </r>
    <r>
      <rPr>
        <i/>
        <sz val="10"/>
        <rFont val="Times New Roman"/>
        <family val="1"/>
        <charset val="186"/>
      </rPr>
      <t xml:space="preserve"> (2020.gads būvprojekta izstrāde)</t>
    </r>
  </si>
  <si>
    <r>
      <t xml:space="preserve">2022              </t>
    </r>
    <r>
      <rPr>
        <i/>
        <sz val="10"/>
        <rFont val="Times New Roman"/>
        <family val="1"/>
        <charset val="186"/>
      </rPr>
      <t>(18 mēneši)</t>
    </r>
  </si>
  <si>
    <r>
      <rPr>
        <b/>
        <sz val="12"/>
        <rFont val="Times New Roman"/>
        <family val="1"/>
        <charset val="186"/>
      </rPr>
      <t>Prioritārā projekta ideja Nr.1:</t>
    </r>
    <r>
      <rPr>
        <b/>
        <i/>
        <u/>
        <sz val="12"/>
        <rFont val="Times New Roman"/>
        <family val="1"/>
        <charset val="186"/>
      </rPr>
      <t xml:space="preserve"> Jūrmalas pilsētas vispārējās vidējās izglītības iestāžu infrastruktūras pilnveide</t>
    </r>
  </si>
  <si>
    <r>
      <rPr>
        <i/>
        <u/>
        <sz val="12"/>
        <rFont val="Times New Roman"/>
        <family val="1"/>
        <charset val="186"/>
      </rPr>
      <t xml:space="preserve">Projekta idejas pamatojums:
</t>
    </r>
    <r>
      <rPr>
        <i/>
        <sz val="12"/>
        <rFont val="Times New Roman"/>
        <family val="1"/>
        <charset val="186"/>
      </rPr>
      <t>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izglītības pakalpojumu kvalitātes izpēte,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izglītojamo pieaugums 7.-12.klašu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Kauguru vidusskolas un Jūrmalas Valsts ģimnāzijas infrastruktūras pilnveidē, tai skaitā - reģionālā metodiskā centra attīstība sniegs būtiskas priekšrocības izglītības pakalpojumu kvalitātes paaugstināšanā.</t>
    </r>
  </si>
  <si>
    <t>Jūrmalas Valsts ģimnāzijas ēkas Raiņa ielā 55, Jūrmalā, pārbūve (t.sk. būvprojekta izstrāde, būvdarbi, autoruzraudzība un būvuzraudzība)</t>
  </si>
  <si>
    <t>Jūrmalas pilsētas Kauguru vidusskolas telpu atjaunošana (t.sk. būvprojekta izstrāde, būvdarbi, autoruzraudzība un būvuzraudzība)</t>
  </si>
  <si>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Raiņa ielā 55 (ergonomiska mācību vide iestādē, IKT risinājumi, metodisko funkciju nodrošināšana) un pilnībā modernizēta vispārējās izglītības Jūrmalas pilsētas Kauguru vidusskolas 3.stāvi (ergonomiska mācību vide, IKT risinājumi).
</t>
    </r>
    <r>
      <rPr>
        <u/>
        <sz val="10"/>
        <rFont val="Times New Roman"/>
        <family val="1"/>
        <charset val="186"/>
      </rPr>
      <t>Iznākuma rādītājs:</t>
    </r>
    <r>
      <rPr>
        <sz val="10"/>
        <rFont val="Times New Roman"/>
        <family val="1"/>
        <charset val="186"/>
      </rPr>
      <t xml:space="preserve">
1) plānotais audzēkņu skaits 7.-12.klasē ne mazāk kā 240 izglītojamie vienā mācību gadā;
2) tiek īstenotas vismaz divas vispārējās vidējās izglītības programmas, no kurām viena ir STEM (matemātikas, dabaszinību un tehnikas virziena programma.</t>
    </r>
    <r>
      <rPr>
        <u/>
        <sz val="10"/>
        <rFont val="Times New Roman"/>
        <family val="1"/>
        <charset val="186"/>
      </rPr>
      <t/>
    </r>
  </si>
  <si>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(29 mēneši)</t>
    </r>
  </si>
  <si>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(2018.gads būvprojekta izstrāde)</t>
    </r>
  </si>
  <si>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(2017.-2018.gada būvprojekta izstrāde)</t>
    </r>
  </si>
  <si>
    <r>
      <rPr>
        <u/>
        <sz val="10"/>
        <rFont val="Times New Roman"/>
        <family val="1"/>
        <charset val="186"/>
      </rPr>
      <t>Darbības rezultāts</t>
    </r>
    <r>
      <rPr>
        <sz val="10"/>
        <rFont val="Times New Roman"/>
        <family val="1"/>
        <charset val="186"/>
      </rPr>
      <t xml:space="preserve"> – veikta pilna Jūrmalas valsts ģimnāzijas ēkas pārbūve, t.sk. metodiskā centra, modernas un ergonomiskas mācību vides izveide.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</si>
  <si>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Jūrmalas pilsētas Kauguru vidusskolas telpu atjaunošana, modernas un ergonomiskas mācību vides izveide ēkas 3.stāvos.
Projekta detalizēts sadalījums darbību griezumā, darbību rezultāti, precīzas izmaksas un rezultatīvie rādītāji tiks precizēti pēc būvprojekta izstrādes.</t>
    </r>
  </si>
  <si>
    <r>
      <rPr>
        <b/>
        <u/>
        <sz val="12"/>
        <rFont val="Times New Roman"/>
        <family val="1"/>
        <charset val="186"/>
      </rPr>
      <t>Prioritārā projekta ideja Nr.1:</t>
    </r>
    <r>
      <rPr>
        <b/>
        <i/>
        <u/>
        <sz val="12"/>
        <rFont val="Times New Roman"/>
        <family val="1"/>
        <charset val="186"/>
      </rPr>
      <t xml:space="preserve"> Infrastruktūras izveide bez vecāku gādības palikušu bērnu un jauniešu aprūpei ģimeniskai vidē</t>
    </r>
  </si>
  <si>
    <t>Ģimeniskai videi pietuvinātas infrastruktūras izveide bez vecāku gādības palikušu bērnu aprūpei (t.sk. būvprojekta izstrāde, būvdarbi, autoruzraudzība un būvuzraudzība)</t>
  </si>
  <si>
    <t>Ģimeniskai videi pietuvinātas infrastruktūras izveide bez vecāku gādības palikušu jauniešu aprūpei (t.sk. būvprojekta izstrāde, būvdarbi, autoruzraudzība un būvuzraudzība)</t>
  </si>
  <si>
    <r>
      <rPr>
        <b/>
        <sz val="12"/>
        <rFont val="Times New Roman"/>
        <family val="1"/>
        <charset val="186"/>
      </rPr>
      <t xml:space="preserve">Prioritārā projekta ideja Nr.2: </t>
    </r>
    <r>
      <rPr>
        <b/>
        <i/>
        <u/>
        <sz val="12"/>
        <rFont val="Times New Roman"/>
        <family val="1"/>
        <charset val="186"/>
      </rPr>
      <t>Infrastruktūras pilnveide pakalpojumu sniegšanai bērniem ar funkcionāliem traucējumiem</t>
    </r>
  </si>
  <si>
    <r>
      <rPr>
        <i/>
        <u/>
        <sz val="12"/>
        <rFont val="Times New Roman"/>
        <family val="1"/>
        <charset val="186"/>
      </rPr>
      <t>Projekta idejas pamatojums:</t>
    </r>
    <r>
      <rPr>
        <i/>
        <sz val="12"/>
        <rFont val="Times New Roman"/>
        <family val="1"/>
        <charset val="186"/>
      </rPr>
      <t xml:space="preserve">
Jūrmalas pilsētas pašvaldībā šobrīd ir pieejams dienas aprūpes centra pakalpojums bērniem ar funkcionālajiem traucējumiem, kas nodrošina sociālās aprūpes un sociālās rehabilitācijas pasākumu kompleksu, sociālo prasmju attīstību, izglītošanu un brīvā laika pavadīšanas iespējas personām no 2 līdz 18 gadu vecumam, kurām ir ierobežotas funkcionēšanas spējas. Pakalpojuma mērķis ir sniegt atbalstu bērna likumiskajiem pārstāvjiem, mazināt bērna funkcionāla traucējuma sekas un sekmēt bērna sociālo prasmju attīstību.  Pakalpojums ietver sociālā atbalsta sniegšanu, logopēda vai audiologopēda un fizioterapeita nodarbības. Lai veicinātu bērniem ar funkcionālajiem traucējumiem integrāciju sabiedrībā, un motivētu bērnu vecākus un likumiskos pārstāvjus izvēlēties bērnus ar funkcionāliem traucējumiem audzināt ģimenē, nevis uzticēt bērna aprūpi institūcijām, ir nepieciešams pilnveidot pašvaldībā pieejamo sociālās rehabilitācijas pakalpojumu klāstu, tos pielāgojot bērnu ar funkcionāliem traucējumiem faktiskajām vajadzībām, ņemot vērā sociālās nozares attīstības tendences.</t>
    </r>
  </si>
  <si>
    <t>Jūrmalas pilsētas pirmsskolas izglītības iestādes “Poziņa” infrastruktūras pilnveide pakalpojumu sniegšanai bērniem ar funkcionāliem traucējumiem (t.sk. būvprojekta izstrāde, būvdarbi, autoruzraudzība un būvuzraudzība)</t>
  </si>
  <si>
    <r>
      <rPr>
        <i/>
        <u/>
        <sz val="12"/>
        <rFont val="Times New Roman"/>
        <family val="1"/>
        <charset val="186"/>
      </rPr>
      <t xml:space="preserve">Projekta idejas pamatojums:
</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</si>
  <si>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r>
      <rPr>
        <b/>
        <sz val="12"/>
        <rFont val="Times New Roman"/>
        <family val="1"/>
        <charset val="186"/>
      </rPr>
      <t xml:space="preserve">Prioritārā projekta ideja Nr.3: </t>
    </r>
    <r>
      <rPr>
        <b/>
        <i/>
        <u/>
        <sz val="12"/>
        <rFont val="Times New Roman"/>
        <family val="1"/>
        <charset val="186"/>
      </rPr>
      <t>Infrastruktūras pilnveide sabiedrībā balstītu pakalpojumu sniegšanai personām ar garīga rakstura traucējumiem</t>
    </r>
  </si>
  <si>
    <t>Sociālo pakalpojumu infrastruktūras attīstība personām ar garīga rakstutra traucējumiem   (t.sk. būvprojekta izstrāde, būvdarbi, autoruzraudzība un būvuzraudzība)</t>
  </si>
  <si>
    <t>Grupu dzīvokļu infrastruktūras pakalpojuma attīstība personām ar garīga rakstura traucējumiem.     (t.sk. būvprojekta izstrāde, būvdarbi, autoruzraudzība un būvuzraudzība)</t>
  </si>
  <si>
    <r>
      <rPr>
        <u/>
        <sz val="10"/>
        <rFont val="Times New Roman"/>
        <family val="1"/>
        <charset val="186"/>
      </rPr>
      <t>Iznākuma rādītājs:</t>
    </r>
    <r>
      <rPr>
        <sz val="10"/>
        <rFont val="Times New Roman"/>
        <family val="1"/>
        <charset val="186"/>
      </rPr>
      <t xml:space="preserve">
1) labiekārtota 1 (viena) vieta sabiedrībā balstītu sociālo pakalpojumu sniegšanai personām ar garīga rakstura traucējumiem - 30 personām; 
</t>
    </r>
    <r>
      <rPr>
        <u/>
        <sz val="10"/>
        <rFont val="Times New Roman"/>
        <family val="1"/>
        <charset val="186"/>
      </rPr>
      <t>Rezultāta rādītājs:</t>
    </r>
    <r>
      <rPr>
        <sz val="10"/>
        <rFont val="Times New Roman"/>
        <family val="1"/>
        <charset val="186"/>
      </rPr>
      <t xml:space="preserve">
1) personām ar garīga rakstura traucējumiem īpatsvars, kuras dzīvo ārpus institūcijas - 26.67% (8 personas); 
2) izveidoti 8 dzīvokļi sabiedrībā balstītu sociālo pakalpojumu sniegšanai personām ar garīga rakstura traucējumiem - 8 personām.</t>
    </r>
  </si>
  <si>
    <r>
      <rPr>
        <u/>
        <sz val="10"/>
        <rFont val="Times New Roman"/>
        <family val="1"/>
        <charset val="186"/>
      </rPr>
      <t>Iznākuma rādītājs:</t>
    </r>
    <r>
      <rPr>
        <sz val="10"/>
        <rFont val="Times New Roman"/>
        <family val="1"/>
        <charset val="186"/>
      </rPr>
      <t xml:space="preserve">
Klientu skaits pakalpojumā sociālās rehabilitācijas pakalpojumi - 63 bērni.
</t>
    </r>
  </si>
  <si>
    <t>Atbilstoši Deinstucionalizācijas plānam, tiks veikti ieguldījumi infrastruktūras izveidei bez vecāku gādības palikušu bērnu aprūpei ģimeniskā vidē.
Projekta detalizēts sadalījums darbību griezumā, darbību rezultāti, precīzas izmaksas un rezultatīvie rādītāji tiks precizēti pēc būvprojekta izstrādes.</t>
  </si>
  <si>
    <t>Atbilstoši Deinstucionalizācijas plānam, tiks veikti ieguldījumi infrastruktūras izveidei bez vecāku gādības palikušu jauniešu aprūpei ģimeniskā vidē.
Projekta detalizēts sadalījums darbību griezumā, darbību rezultāti, precīzas izmaksas un rezultatīvie rādītāji tiks precizēti pēc būvprojekta izstrādes.</t>
  </si>
  <si>
    <t>Atbilstoši Deinstucionalizācijas plānam, tiks veikti ieguldījumi infrastruktūras pilnveidei sociālo un rehabilitācijas pakalojumu sniegšanai bērniem ar funkcionāliem traucējumiem. 
Projekta detalizēts sadalījums darbību griezumā, darbību rezultāti, precīzas izmaksas un rezultatīvie rādītāji tiks precizēti pēc būvprojekta izstrādes.</t>
  </si>
  <si>
    <t>Atbilstoši Deinstucionalizācijas plānam, tiks veikti ieguldījumi infrastruktūras pilnveidei kompleksu sociālo pakalpojumu nodrosīnāšanai  personām ar garīga rakstutra traucējumiem. 
Projekta detalizēts sadalījums darbību griezumā, darbību rezultāti, precīzas izmaksas un rezultatīvie rādītāji tiks precizēti pēc būvprojekta izstrādes.</t>
  </si>
  <si>
    <t>Atbilstoši Deinstucionalizācijas plānam, tiks veikti ieguldījumi infrastruktūras pilnveidei grupu dzīvokļu pakalpojuma nodrošināšanai  personām ar garīga rakstutra traucējumiem. 
Projekta detalizēts sadalījums darbību griezumā, darbību rezultāti, precīzas izmaksas un rezultatīvie rādītāji tiks precizēti pēc būvprojekta izstrādes.</t>
  </si>
  <si>
    <r>
      <t xml:space="preserve">2020                                    </t>
    </r>
    <r>
      <rPr>
        <i/>
        <sz val="10"/>
        <rFont val="Times New Roman"/>
        <family val="1"/>
        <charset val="186"/>
      </rPr>
      <t xml:space="preserve">         (18 mēneši)</t>
    </r>
  </si>
  <si>
    <r>
      <rPr>
        <b/>
        <i/>
        <sz val="10"/>
        <rFont val="Times New Roman"/>
        <family val="1"/>
        <charset val="186"/>
      </rPr>
      <t xml:space="preserve">2019 </t>
    </r>
    <r>
      <rPr>
        <i/>
        <sz val="10"/>
        <rFont val="Times New Roman"/>
        <family val="1"/>
        <charset val="186"/>
      </rPr>
      <t xml:space="preserve">                                                       (2018.gads būvprojekta izstrāde)</t>
    </r>
  </si>
  <si>
    <r>
      <t xml:space="preserve">2020                                    </t>
    </r>
    <r>
      <rPr>
        <i/>
        <sz val="10"/>
        <rFont val="Times New Roman"/>
        <family val="1"/>
        <charset val="186"/>
      </rPr>
      <t xml:space="preserve">         (10 mēneši)</t>
    </r>
  </si>
  <si>
    <r>
      <t xml:space="preserve">2021                   </t>
    </r>
    <r>
      <rPr>
        <i/>
        <sz val="10"/>
        <rFont val="Times New Roman"/>
        <family val="1"/>
        <charset val="186"/>
      </rPr>
      <t>(18 mēneši)</t>
    </r>
  </si>
  <si>
    <r>
      <t xml:space="preserve">2020           </t>
    </r>
    <r>
      <rPr>
        <i/>
        <sz val="10"/>
        <rFont val="Times New Roman"/>
        <family val="1"/>
        <charset val="186"/>
      </rPr>
      <t xml:space="preserve">   (2019.gads būvprojekta izstrāde)</t>
    </r>
  </si>
  <si>
    <t>IP - Jūrmalas pilsētas investīciju plāns 2018.-2021.gadam</t>
  </si>
  <si>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2019.gadā,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uz 2017.gada 31.oktobri Latvijā 11 058 jeb 18,1% no bezdarbnieku kopskaita bija jaunieši bezdarbnieki vecumā no 15 līdz 29 gadiem, bet Jūrmalā uz 2017.gada 31.oktobri jaunieši bezdarbnieki vecumā no 15 līdz 29 gadiem bija 200 jeb 18,5%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</si>
  <si>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t xml:space="preserve">Jūrmalas pilsētas pašvaldība                                
</t>
  </si>
  <si>
    <r>
      <t xml:space="preserve">Prioritārā projekta ideja Nr.2.: </t>
    </r>
    <r>
      <rPr>
        <b/>
        <i/>
        <u/>
        <sz val="12"/>
        <rFont val="Times New Roman"/>
        <family val="1"/>
        <charset val="186"/>
      </rPr>
      <t>Jūrmalas Sporta skolas peldbaseinu ēkas pārbūve un energoefektivitātes paaugstināšana</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</si>
  <si>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20.4 ha;
3)jaunizveidoto darba vietu skaits – 92 darba vietas;
4)komersantu, kuri atrodas atbalstītajā teritorijā, nefinanšu investīcijas pašu nemateriālos ieguldījumos un pamatlīdzekļos – 5 780 000.00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</si>
  <si>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t>Jūrmalas pilsētas Ķemeru pamatskolas ēkas pārbūve un energoefektivitātes paaugstināšana  (t.sk. būvprojekta izstrāde, būvdarbi, autoruzraudzība un būvuzraudzība)</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</si>
  <si>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0.25 ha;
3)jaunizveidoto darba vietu skaits – 2 darba vietas;
4)komersantu, kuri atrodas atbalstītajā teritorijā, nefinanšu investīcijas pašu nemateriālos ieguldījumos un pamatlīdzekļos – 72 268.00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Nr.7 projektam "Ķemeru pasta ēkas pārbūve un energoefektivitātes paaugstināšana" - Pielikums Nr.2.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</si>
  <si>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pakalpojumu centra ''Majori'' izveide (t.sk. būvprojekta izstrāde, būvdarbi, autoruzraudzība un būvuzraudzība)</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</si>
  <si>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rPr>
        <b/>
        <sz val="12"/>
        <rFont val="Times New Roman"/>
        <family val="1"/>
        <charset val="186"/>
      </rPr>
      <t xml:space="preserve">Prioritārā projekta ideja Nr.3: </t>
    </r>
    <r>
      <rPr>
        <b/>
        <i/>
        <u/>
        <sz val="12"/>
        <rFont val="Times New Roman"/>
        <family val="1"/>
        <charset val="186"/>
      </rPr>
      <t>Jūrmalas pilsētas Ķemeru pamatskolas ēkas pārbūve un energoefektivitātes paaugstināšana</t>
    </r>
  </si>
  <si>
    <r>
      <rPr>
        <b/>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</si>
  <si>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</si>
  <si>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(t.sk.ēku) un autostāvvietas izbūve </t>
    </r>
    <r>
      <rPr>
        <i/>
        <sz val="12"/>
        <rFont val="Times New Roman"/>
        <family val="1"/>
        <charset val="186"/>
      </rPr>
      <t xml:space="preserve">
Izveidojot pilsētas atpūtas parku Kauguros, visblīvāk apdzīvotākajā pilsētas daļā, tiks sekmēta apkārt esošo mazo un vidējo komersantu darbība. Arī pilsētas atpūtas parka teritorijā paredzēta 1500m2 liela platība uzņēmējdarbības aktivitāšu īstenošanai – ēdināšanas un aktīvās atpūtas pakalpojumu sniegšanai. Papildu tiks izbūvēta 1000 m2 plaša autostāvvieta. Pilsētas atpūtas parka izveide un ieguldījumi infrastruktūrā veicinās  jaunu mazo un vidējo komersantu izveidi un esošo komersantu komercdarbības pilnveidi, kā rezultātā labumu guvušie komersanti nodrošinās jaunu darba vietu izveidi Kauguros un tai pieguļošās apdzīvotās teritorijās un veiks nefinanšu investīcijas pašu nemateriālajos ieguldījumos un pamatlīdzekļos.</t>
    </r>
    <r>
      <rPr>
        <sz val="12"/>
        <rFont val="Times New Roman"/>
        <family val="1"/>
        <charset val="186"/>
      </rPr>
      <t xml:space="preserve">
</t>
    </r>
    <r>
      <rPr>
        <b/>
        <sz val="12"/>
        <rFont val="Times New Roman"/>
        <family val="1"/>
        <charset val="186"/>
      </rPr>
      <t>2.Jauniešu mājas un inženiertehnisko tīklu izbūve</t>
    </r>
    <r>
      <rPr>
        <sz val="12"/>
        <rFont val="Times New Roman"/>
        <family val="1"/>
        <charset val="186"/>
      </rPr>
      <t xml:space="preserve">
</t>
    </r>
    <r>
      <rPr>
        <i/>
        <sz val="12"/>
        <rFont val="Times New Roman"/>
        <family val="1"/>
        <charset val="186"/>
      </rPr>
      <t>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ēku, kā arī inženiertehniskos tīklus, nodrošinot komercdarbības mērķiem paredzētās ēkas funkcionalitātes nodrošināšanai nepieciešamo sabiedrisko pakalpojumu pieslēgumu būvniecību.</t>
    </r>
  </si>
  <si>
    <r>
      <t xml:space="preserve">Projekta aktivitāšu pamatojums:
</t>
    </r>
    <r>
      <rPr>
        <b/>
        <sz val="12"/>
        <rFont val="Times New Roman"/>
        <family val="1"/>
        <charset val="186"/>
      </rPr>
      <t>1.Jaunu autostāvvietu izbūve (t.sk. būvprojekta izstrāde, būvdarbi, autoruzraudzība un būvuzraudzība)</t>
    </r>
    <r>
      <rPr>
        <sz val="12"/>
        <rFont val="Times New Roman"/>
        <family val="1"/>
        <charset val="186"/>
      </rPr>
      <t xml:space="preserve">
</t>
    </r>
    <r>
      <rPr>
        <i/>
        <sz val="12"/>
        <rFont val="Times New Roman"/>
        <family val="1"/>
        <charset val="186"/>
      </rPr>
      <t>Ņemot vērā pilsētas ekonomisko specializāciju un pilsētas attīstības prioritātes, līdz 2020.gadam piesaistot publiskos un privātos finanšu resursus, t.sk. Eiropas Savienības fondu līdzfinansējumu, tiek plānots veikt ieguldījumus Jūrmalas materiālā un nemateriālā kultūras mantojuma saglabāšanā un saistītās infrastruktūras, t.sk. satiksmes infrastruktūras pilnveidē, sekmējot izcilu kultūras pasākumu un augstvērtīga kultūras tūrisma piedāvājuma pieejamību pilsētas iedzīvotājiem un viesiem. 2019.gadā, SAM 5.5.1. ietvaros, tiks īstenota Mellužu estrādes ēkas restaurācijas, bāra ēkas pārbūves un teritorijas labiekārtojuma iecere, atjaunojot brīvdabas estrādi ar vairāk kā 600 skatītāju vietām, kas 2016.gada, sliktā tehniskā stāvokļa dēļ, ir slēgta. Mellužu estrādē, izmantojot pašvaldības un uzņēmēju resursus tiek plānots īstenot daudzveidīgu pasākumu programmu dažādām mērķauditorijām visa gada garumā, kas veicinās pieprasījuma pieaugumu apkaimē esošajiem tūrisma – ēdināšanas, nakšņošanas un citiem pakalpojumiem. Projekta ietvaros plānots izbūvēt autostāvvietu un ar to saistīto gājēju ietvju, velo celiņu, apgaismojuma un lietus ūdens kanalizācijas infrastruktūru pie Mellužu estrādes, nodrošinot kultūras un tūrisma pakalpojumu pieejamību pilsētas iedzīvotājiem un viesiem, veicinot uzņēmējdarbības vides attīstību pilsētā.</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</si>
  <si>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pašvaldības iestādes “Jūrmalas veselības veicināšanas un sociālo pakalpojumu centrs” ēku pārbūve un energoefektivitātes paaugstināšanas (t.sk. būvprojekta izstrāde, būvdarbi, autoruzraudzība un būvuzraudzība)</t>
    </r>
    <r>
      <rPr>
        <sz val="12"/>
        <rFont val="Times New Roman"/>
        <family val="1"/>
        <charset val="186"/>
      </rPr>
      <t xml:space="preserve">
</t>
    </r>
    <r>
      <rPr>
        <i/>
        <sz val="12"/>
        <rFont val="Times New Roman"/>
        <family val="1"/>
        <charset val="186"/>
      </rPr>
      <t>Jūrmalas pilsētas pašvaldības iestādes “Jūrmalas veselības veicināšanas un sociālo pakalpojumu centrs”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</si>
  <si>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peldbaseinu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 xml:space="preserve"> 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2018.gadā plāno veikt ēkas atjaunošanas darbus, kā arī ēkas tehniskā stāvokļa un energoefektivitātes rādītāju uzlabošanu ar ERAF līdzfinansējumu,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pēc būvprojekta izstrādes.</t>
    </r>
  </si>
  <si>
    <r>
      <rPr>
        <b/>
        <sz val="12"/>
        <rFont val="Times New Roman"/>
        <family val="1"/>
        <charset val="186"/>
      </rPr>
      <t xml:space="preserve">Prioritārā projekta ideja Nr.6: </t>
    </r>
    <r>
      <rPr>
        <b/>
        <i/>
        <u/>
        <sz val="12"/>
        <rFont val="Times New Roman"/>
        <family val="1"/>
        <charset val="186"/>
      </rPr>
      <t>Jūrmalas pilsētas Kauguru vidusskolas ēkas energoefektivitātes paaugstināšana</t>
    </r>
  </si>
  <si>
    <r>
      <rPr>
        <b/>
        <sz val="12"/>
        <rFont val="Times New Roman"/>
        <family val="1"/>
        <charset val="186"/>
      </rPr>
      <t>Prioritārā projekta ideja Nr.7:</t>
    </r>
    <r>
      <rPr>
        <b/>
        <i/>
        <sz val="12"/>
        <rFont val="Times New Roman"/>
        <family val="1"/>
        <charset val="186"/>
      </rPr>
      <t xml:space="preserve"> </t>
    </r>
    <r>
      <rPr>
        <b/>
        <i/>
        <u/>
        <sz val="12"/>
        <rFont val="Times New Roman"/>
        <family val="1"/>
        <charset val="186"/>
      </rPr>
      <t>Jūrmalas teātra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</si>
  <si>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Emīla Dārziņa ielā 17 un Tūristu ielas posma atjaunošana (t.sk. būvprojekta izstrāde, būvdarbi, autoruzraudzība un būvuzraudzība)</t>
    </r>
    <r>
      <rPr>
        <sz val="12"/>
        <rFont val="Times New Roman"/>
        <family val="1"/>
        <charset val="186"/>
      </rPr>
      <t xml:space="preserve">
</t>
    </r>
    <r>
      <rPr>
        <i/>
        <sz val="12"/>
        <rFont val="Times New Roman"/>
        <family val="1"/>
        <charset val="186"/>
      </rPr>
      <t>Kompleksi sakārtojot Ķemeru uzņēmējdarbībai nepieciešamo vidi, ir jānodrošina kvalitatīvu un sakārtotu publisko infrastruktūru. Būtisks teritorijas attīstības un uzņēmējdarbības vides uzlabošanas nosacījums ir publisko teritoriju - ielu un tām piegulošās infrastruktūras pilnveide, t.sk. virszemes un pazemes komunikāciju infrastruktūras pārbūve. Ķemeru degradētajā teritorijā esošā ielu un komunikāciju infrastruktūra ir novecojusi un daļēji nefunkcionējoša. Tās atjaunošana un pilnveide ir priekšnosacījums uzņēmējdarbības vides attīstībai, t.sk. komercdarbībai nepieciešamo pieslēgumu ierīkošanai nākotnē.
Projekta ietvaros plānots veikt Tukuma ielas, Emīla Dārziņa ielas un Tūristu ielas posma un šo ielu krustojuma pārbūvi, t.sk. gājēju un velo celiņa atjaunošanu, divu sabiedriskā transporta pieturvietu atjaunošanu, kā arī publiski pieejamas autostāvvietas, 49 automašīnu novietošanai, izbūvi Emīla Dārziņa ielā 17 un tūristu autobusiem paredzētas autostāvvietas izbūvi gar Tūristu ielu. Ielu infrastruktūras atjaunošana un pilnveide ir nepieciešama komersantu sniegto pakalpojumu pieejamības nodrošināšanai. Papildus tiks veikta virszemes un pazemes komunikāciju infrastruktūras, t.sk. lietus ūdens kanalizācijas un apgaismojuma sistēmas pārbūve.</t>
    </r>
    <r>
      <rPr>
        <sz val="12"/>
        <rFont val="Times New Roman"/>
        <family val="1"/>
        <charset val="186"/>
      </rPr>
      <t xml:space="preserve">
</t>
    </r>
    <r>
      <rPr>
        <b/>
        <sz val="12"/>
        <rFont val="Times New Roman"/>
        <family val="1"/>
        <charset val="186"/>
      </rPr>
      <t>2.Skvēra Tūristu ielā 2A atjaunošana (t.sk. būvprojekta izstrāde, būvdarbi, autoruzraudzība un būvuzraudzība)</t>
    </r>
    <r>
      <rPr>
        <sz val="12"/>
        <rFont val="Times New Roman"/>
        <family val="1"/>
        <charset val="186"/>
      </rPr>
      <t xml:space="preserve">
</t>
    </r>
    <r>
      <rPr>
        <i/>
        <sz val="12"/>
        <rFont val="Times New Roman"/>
        <family val="1"/>
        <charset val="186"/>
      </rPr>
      <t>Atjaunojot Tūristu ielas posmu un tai piegulošo virszemes un pazemes komunikāciju tīklu, lai nodrošinātu infrastruktūras funkcionalitāti, projekta ietvaros tiks veikta publiski pieejamas teritorijas – skvēra Tūristu ielā 2A atjaunošana. Abas projekta teritorijas ir savstarpēji funkcionāli saistītas.</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</si>
  <si>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 xml:space="preserve">Ceļu infrastruktūras atjaunošana un autostāvvietas izbūve Ķemeros </t>
    </r>
  </si>
  <si>
    <r>
      <rPr>
        <i/>
        <u/>
        <sz val="12"/>
        <rFont val="Times New Roman"/>
        <family val="1"/>
        <charset val="186"/>
      </rPr>
      <t>Aktivitāšu pamatojums:</t>
    </r>
    <r>
      <rPr>
        <sz val="12"/>
        <rFont val="Times New Roman"/>
        <family val="1"/>
        <charset val="186"/>
      </rPr>
      <t xml:space="preserve">
</t>
    </r>
    <r>
      <rPr>
        <b/>
        <sz val="12"/>
        <rFont val="Times New Roman"/>
        <family val="1"/>
        <charset val="186"/>
      </rPr>
      <t>1. Ķemeru pasta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Pasta ēka Tukuma ielā 30 ir ļoti sliktā tehniskajā stāvoklī un vizuāli nepievilcīga un līdz ar to degradē kopējo pilsētas ainavu. Projekta ietvaros plānots veikt ēkas pārbūvi, īstenot pasākumus ēkas energoefektivitātes paaugstināšanai un labiekārtot piegulošo teritoriju.</t>
    </r>
  </si>
  <si>
    <r>
      <rPr>
        <i/>
        <u/>
        <sz val="12"/>
        <rFont val="Times New Roman"/>
        <family val="1"/>
        <charset val="186"/>
      </rPr>
      <t xml:space="preserve">Aktivitāšu pamatojums: 
</t>
    </r>
    <r>
      <rPr>
        <b/>
        <sz val="12"/>
        <rFont val="Times New Roman"/>
        <family val="1"/>
        <charset val="186"/>
      </rPr>
      <t>1.Ģimeniskai videi pietuvinātas infrastruktūras izveide bez vecāku gādības palikušu bērnu aprūpei (t.sk. būvprojekta izstrāde, būvdarbi, autoruzraudzība un būvuzraudzība)</t>
    </r>
    <r>
      <rPr>
        <sz val="12"/>
        <rFont val="Times New Roman"/>
        <family val="1"/>
        <charset val="186"/>
      </rPr>
      <t xml:space="preserve">
</t>
    </r>
    <r>
      <rPr>
        <i/>
        <sz val="12"/>
        <rFont val="Times New Roman"/>
        <family val="1"/>
        <charset val="186"/>
      </rPr>
      <t>Mērķa grupas – bez vecāku gādības palikušu bērnu aprūpes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nepieciešams radīt jaunu infrastruktūru, jo pašreizējā infrastruktūra atzīta par nepiemērotu tās sliktā tehniskā stāvokļa dēļ un tā pilnā mērā nenodrošina ģimeniskas vides principus.
Projekta ietvaros paredzēts izveidot infrastruktūru bērnu aprūpei ģimeniskā vidē, izvērtējot iespēju veikt esošas ēkas pārbūvi adresē - Sēravou iela 9, Ķemeros vai izbūvējot 2 (divas) privātmāju tipa dzīvesvietas nelielam bērnu skaitam katrā no tām (8 bērni vienā mājā)</t>
    </r>
    <r>
      <rPr>
        <sz val="12"/>
        <rFont val="Times New Roman"/>
        <family val="1"/>
        <charset val="186"/>
      </rPr>
      <t xml:space="preserve">.
</t>
    </r>
    <r>
      <rPr>
        <b/>
        <sz val="12"/>
        <rFont val="Times New Roman"/>
        <family val="1"/>
        <charset val="186"/>
      </rPr>
      <t>2.Ģimeniskai videi pietuvinātas infrastruktūras izveide bez vecāku gādības palikušu jauniešu aprūpei (t.sk. būvprojekta izstrāde, būvdarbi, autoruzraudzība un būvuzraudzība)</t>
    </r>
    <r>
      <rPr>
        <sz val="12"/>
        <rFont val="Times New Roman"/>
        <family val="1"/>
        <charset val="186"/>
      </rPr>
      <t xml:space="preserve">
</t>
    </r>
    <r>
      <rPr>
        <i/>
        <sz val="12"/>
        <rFont val="Times New Roman"/>
        <family val="1"/>
        <charset val="186"/>
      </rPr>
      <t>Mērķa grupas - ārpusģimenes aprūpē esošu jauniešu līdz 17 gadu vecumam pakalpojums tiek nodrošināts PII "Sprīdītis", vienuviet visu vecumu bērniem un jauniešiem, kuri palikuši bez vecāku gādības. Lai veicinātu jauniešu patstāvību un pilnvērtīgi sagatavotu jauniešus patstāvīgai dzīvei sabiedrībā, nepieciešams radīt infrastruktūru, kur jauniešiem ir iespēja gūt iemaņas un zināšanas patstāvīgas dzīves uzsākšanai (rūpes par sevi, sadzīvi, dzīvesvietu u.c.).
Projekta ietvaros plānots atjaunot vienu pašvaldībai piederošu 4 istabu dzīvokli Kauguros (Tērbatas iela 41-16) "jauniešu mājas" pakalojuma nodrošināšanai, kurā dzīvojot, jauniešiem tiks sniegta iespēja iegūt prasmes patstāvīgas dzīves uzsākšanai.</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</si>
  <si>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1.Jūrmalas pilsētas pirmsskolas izglītības iestādes “Poziņa” infrastruktūras pilnveide pakalpojumu sniegšanai bērniem ar funkcionāliem traucējumiem</t>
    </r>
    <r>
      <rPr>
        <sz val="12"/>
        <rFont val="Times New Roman"/>
        <family val="1"/>
        <charset val="186"/>
      </rPr>
      <t xml:space="preserve">
</t>
    </r>
    <r>
      <rPr>
        <i/>
        <sz val="12"/>
        <rFont val="Times New Roman"/>
        <family val="1"/>
        <charset val="186"/>
      </rPr>
      <t>Mērķa grupas - bērnu ar funkcionāliem traucējumiem rehabilitācijas pakalpojumu nodrošināšanai Jūrmalā ir būtisks pieprasījums, tādēļ projekta ietvaros nepieciešams attīstīt pakalpojuma pieejamību, attīstot esošo infrastruktūru un radot jaunu, rehabilitācijas pakalpojuma klāsta paplašināšanai un daudzveidošanai. 
Projekta ietvaros plānots veikt ieguldījumus Jūrmalas pilsētas pirmsskolas izglītības iestādes "Podziņa" infrastruktūrā, atjaunojot un labiekārtojot fizioterapijas zāli, veicot ieguldījumus sensorajā telpā, uzbūvējot divas slēgta tipa āra nojumes rehabilitācijas pakalpojumu nodrošināšanai ārpus telpām.</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</si>
  <si>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1.Sociālo pakalpojumu infrastruktūras attīstība personām ar garīga rakstutra traucējumiem                                                                                                                                                                                                                                                                                                                                  </t>
    </r>
    <r>
      <rPr>
        <i/>
        <sz val="12"/>
        <rFont val="Times New Roman"/>
        <family val="1"/>
        <charset val="186"/>
      </rPr>
      <t xml:space="preserve">Mērķa grupas - pilngadīgu personu ar garīga rakstura traucējumiem vajadzību nodrošināšanai Jūrmalas pilsētā ir izveidots Dienas aprūpes centrā personām ar garīgas veselības traucējumiem, kas atrodas Ķemeros, Dūņu ceļā 2. Ņemot vērā pieprasījumu pēc esošajiem un arī jauniem pakalpojumie personām ar garīga rakstura traucējumiem, projekta ietvaros plānots veikt ieguldījums Dienas aprūpes centra un specializēto darbnīcu attīstībā, "Atelpas brīža" u.c. pakalpojumu izveidē.     </t>
    </r>
    <r>
      <rPr>
        <sz val="12"/>
        <rFont val="Times New Roman"/>
        <family val="1"/>
        <charset val="186"/>
      </rPr>
      <t xml:space="preserve">                                                                                                                                           </t>
    </r>
    <r>
      <rPr>
        <b/>
        <sz val="12"/>
        <rFont val="Times New Roman"/>
        <family val="1"/>
        <charset val="186"/>
      </rPr>
      <t xml:space="preserve">2.Grupu dzīvokļu infrastruktūras pakalpojuma attīstība personām ar garīga rakstura traucējumiem  </t>
    </r>
    <r>
      <rPr>
        <sz val="12"/>
        <rFont val="Times New Roman"/>
        <family val="1"/>
        <charset val="186"/>
      </rPr>
      <t xml:space="preserve">             </t>
    </r>
    <r>
      <rPr>
        <b/>
        <sz val="12"/>
        <rFont val="Times New Roman"/>
        <family val="1"/>
        <charset val="186"/>
      </rPr>
      <t xml:space="preserve">                                                                                                                                                                                                                                                     </t>
    </r>
    <r>
      <rPr>
        <i/>
        <sz val="12"/>
        <rFont val="Times New Roman"/>
        <family val="1"/>
        <charset val="186"/>
      </rPr>
      <t>Mērķa grupas - personu ar garīga rakstura traucējumiem vajadzību nodrošināšanai un iekļaušanās sabiedrībā veicināšanai, 2007.-2013.gada plānošanas periodā tika uzsākta Grupu dzīvokļu pakalpojuma attīstība, projekta "Grupu dzīvokļa pakalpojuma izveide un nodrošināšana Jūrmalā" ietvaros. Lai veicinātu personu ar garīga rakstura traucējumiem integrēšanos sabiedrībā un nodrošinātu projekta pēctecību, šī projekta ietvaros plānots stiprināt Grupu dzīvokļu atbalstošos pakalpojumus, izveidojot 8 jaunus grupu dzīvokļis personām ar garīga rakstura traucējumiem Jūrmalas pilsētas pašvaldībā.</t>
    </r>
  </si>
  <si>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(10 mēneši)</t>
    </r>
  </si>
  <si>
    <t>Pašvaldības budžets* (12.75% līdz 45.19%) + neattiecināmās izmaksas</t>
  </si>
  <si>
    <t>Valsts budžeta dotācija** (2.25% līdz 7.97%)</t>
  </si>
  <si>
    <t>ES fondu finansējums (46.84% līdz 85%)</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</si>
  <si>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</si>
  <si>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193.35 t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</si>
  <si>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120 129  kWh uz m2 gadā;
2)primārās enerģijas gada patēriņa samazinājums uz m2 pēc darbu pabeigšanas –  69,15  kWh/m2 gadā;
3)aprēķinātais siltumnīcefekta gāzu samazinājums gadā (CO2 ekvivalents tonnās) –   16.6 t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</si>
  <si>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 85.01 t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</si>
  <si>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16.06 t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</si>
  <si>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66,01 kWh uz m2 gadā:
2)primārās enerģijas gada patēriņa samazinājums uz m2 pēc darbu pabeigšanas –  76,46  kWh/m2 gadā;
3)aprēķinātais siltumnīcefekta gāzu samazinājums gadā (CO2 ekvivalents tonnās) – 73.18 t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</si>
  <si>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27.65 t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</si>
  <si>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Darbības rezultāts</t>
    </r>
    <r>
      <rPr>
        <sz val="10"/>
        <rFont val="Times New Roman"/>
        <family val="1"/>
        <charset val="186"/>
      </rPr>
      <t xml:space="preserve"> - izbūvēta 1000 m2 plaša autostāvvieta, izbūvēta komercdarbībai paredzēta platība 1500 m2, kā arī izbūvētas telpas/būves komercdarbībai, inženierkomunikāciju izveide. Projekta detalizēts sadalījums darbību griezumā, darbību rezultāti, precīzas izmaksas un rezultatīvie rādītāji tiks precizēti pēc būvprojekta izstrādes.</t>
    </r>
  </si>
  <si>
    <t xml:space="preserve">Pilsētas atpūtas parka un jauniešu mājas izveide Kauguros
(ES fondu finansējums 85%)
(IP 56.pozīcija)
</t>
  </si>
  <si>
    <t>Jaunu autostāvvietu izbūve pilsētas satiksmes infrastruktūras pilnveidei
(ES fondu finansējums 85%)
(IP 21.pozīcija)</t>
  </si>
  <si>
    <t>Pilsētas centrālās daļas ielu brauktuvju un gājēju celiņu atjaunošana un autostāvvietu izbūve
(ES fondu finansējums 85%)
(IP 18.pozīcija)</t>
  </si>
  <si>
    <t xml:space="preserve">Lielupes kuģošanas infrastruktūras attīstība uzņēmējdarbības veicināšanai 
(ES fondu finansējums 85%)
(IP 33.pozīcija)
</t>
  </si>
  <si>
    <r>
      <t xml:space="preserve">Aktivitāšu pamatojums:
</t>
    </r>
    <r>
      <rPr>
        <b/>
        <sz val="12"/>
        <rFont val="Times New Roman"/>
        <family val="1"/>
        <charset val="186"/>
      </rPr>
      <t>1.Jūrmalas Valsts ģimnāzijas ēkas Raiņa ielā 55, Jūrmalā, pārbūve (t.sk. būvprojekta izstrāde, būvdarbi, autoruzraudzība un būvuzraudzība)</t>
    </r>
    <r>
      <rPr>
        <sz val="12"/>
        <rFont val="Times New Roman"/>
        <family val="1"/>
        <charset val="186"/>
      </rPr>
      <t xml:space="preserve">
</t>
    </r>
    <r>
      <rPr>
        <i/>
        <sz val="12"/>
        <rFont val="Times New Roman"/>
        <family val="1"/>
        <charset val="186"/>
      </rPr>
      <t>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Saskaņā ar Jūrmalas pilsētas izglītības iestāžu infrastruktūras novērtējumu, kas veikts izstrādājot Izglītības attīstības koncepciju 2015.-2020.gadam, Jūrmalas Valsts ģimnāzijas telpu stāvoklis Raiņa ielā 55 novērtēts kā "daļēji apmierinošs", akcentējot ēkas atjaunošanas aktualitāti, lai tā atbilstu valsts ģimnāzijas statusam. Investīcijas tiek plānots piesaistīt, lai izstrādātu kvalitatīvu izglītības iestādes pārbūves būvprojektu un veiktu skolas pilna apjoma pārbūvi un atjaunošanu, nodrošinot skolēniem ergonomiskas un modernas mācību vides izveidi, kā arī reģionālā metodiskā centra infrastruktūras pilnveidi visu tam paredzēto funkciju pilnvērtīgai nodrošināšanai.</t>
    </r>
    <r>
      <rPr>
        <sz val="12"/>
        <rFont val="Times New Roman"/>
        <family val="1"/>
        <charset val="186"/>
      </rPr>
      <t xml:space="preserve">
</t>
    </r>
    <r>
      <rPr>
        <b/>
        <sz val="12"/>
        <rFont val="Times New Roman"/>
        <family val="1"/>
        <charset val="186"/>
      </rPr>
      <t>2.Jūrmalas pilsētas Kauguru vidusskolas telpu atjaunošana (t.sk. būvprojekta izstrāde, būvdarbi, autoruzraudzība un būvuzraudzība)</t>
    </r>
    <r>
      <rPr>
        <sz val="12"/>
        <rFont val="Times New Roman"/>
        <family val="1"/>
        <charset val="186"/>
      </rPr>
      <t xml:space="preserve">
</t>
    </r>
    <r>
      <rPr>
        <i/>
        <sz val="12"/>
        <rFont val="Times New Roman"/>
        <family val="1"/>
        <charset val="186"/>
      </rPr>
      <t>Jūrmalas pilsētas Kauguru vidusskolā saskaņā ar Jūrmalas pašvaldības vispārizglītojošo skolu telpu noslogojumu 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trīs  skolas stāvos.</t>
    </r>
  </si>
  <si>
    <r>
      <rPr>
        <u/>
        <sz val="10"/>
        <rFont val="Times New Roman"/>
        <family val="1"/>
        <charset val="186"/>
      </rPr>
      <t>Iznākuma rādītājs:</t>
    </r>
    <r>
      <rPr>
        <sz val="10"/>
        <rFont val="Times New Roman"/>
        <family val="1"/>
        <charset val="186"/>
      </rPr>
      <t xml:space="preserve">
1) izveidotas 2 (divas) mājas, nodrošinot 16 vietas bērniem aprūpei ģimeniskā vidē (8+8);
2) izveidots 1 (viens) dzīvoklis, nodrošinot 5 vietas bērnu (jauniešu) aprūpei ģimeniskā vidē. 
</t>
    </r>
  </si>
  <si>
    <t>Jūrmalas veselības veicināšanas un sociālo pakalpojumu centra ēku pārbūve un energoefektivitātes paaugstināšana
(ES fondu finansējums 85%)
(IP 124.pozīcija)</t>
  </si>
  <si>
    <t>Jūrmalas pilsētas Ķemeru pamatskolas ēkas pārbūve un energoefektivitātes paaugstināšana 
(ES fondu finansējums 85%)
(IP 87.pozīcija)</t>
  </si>
  <si>
    <t xml:space="preserve">Jūrmalas pilsētas Jaundubultu vidusskolas ēkas energoefektivitātes paaugstināšana
(ES fondu finansējums 48.55%)
(IP 88.pozīcija)
</t>
  </si>
  <si>
    <t>Jūrmalas pilsētas Jaundubultu vidusskolas ēkas k-1 (autoskolas ēka) energoefektivitātes paaugstināšana 
(ES fondu finansējums 53.41%)
(IP 89.pozīcija)</t>
  </si>
  <si>
    <t>Jūrmalas pilsētas Kauguru vidusskolas ēkas  energoefektivitātes paaugstināšana 
(ES fondu finansējums 46.84%)
(IP 92.pozīcija)</t>
  </si>
  <si>
    <t>Jūrmalas teātra ēkas energoefektivitātes paaugstināšana
(ES fondu finansējums 85%)
(IP 117.pozīcija)</t>
  </si>
  <si>
    <t>Jūrmalas teātra ēkas energoefektivitātes paaugstināšana (t.sk. tehniskās dokumentācijas izstrāde, būvdarbi, autoruzraudzība un būvuzraudzība)</t>
  </si>
  <si>
    <t>Jūrmalas pilsētas domes administratīvās ēkas energoefektivitātes paaugstināšana Dubultu prospektā 1, lit.1.
(ES fondu finansējums 85%)
(IP 47.pozīcija)</t>
  </si>
  <si>
    <t>Jūrmalas pilsētas domes administratīvās ēkas energoefektivitātes paaugstināšana Rūpniecības ielā 19
(ES fondu finansējums 85%)
(IP 74.pozīcija)</t>
  </si>
  <si>
    <t>Ķemeru pasta ēkas pārbūve un energoefektivitātes paaugstināšana
(ES fondu finansējums 85%)
(IP 61.pozīcija)</t>
  </si>
  <si>
    <t>Ceļu infrastruktūras atjaunošana un autostāvvietas izbūve Ķemeros
(ES fondu finansējums 85%)
(IP 16.pozīcija)</t>
  </si>
  <si>
    <t>Ielu infrastruktūras atjaunošana Ķemeros
(ES fondu finansējums 85%)
(IP 15.pozīcija)</t>
  </si>
  <si>
    <t>Majoru muižas kompleksa atjaunošana, t.sk. teritorijas labiekārtošana
(ES fondu finansējums 85%)
(IP 63.pozīcija)</t>
  </si>
  <si>
    <t>Jūrmalas pilsētas vispārējās vidējās izglītības iestāžu infrastruktūras pilnveide
(ES fondu finansējums 85%)
(IP 92.pozīcija un 94.pozīcija)</t>
  </si>
  <si>
    <t>Infrastruktūras izveide bez vecāku gādības palikušu bērnu un jauniešu aprūpei ģimeniskai vidē
(ES fondu finansējums 85%)
(IP 121.pozīcija)</t>
  </si>
  <si>
    <t>Infrastruktūras pilnveide pakalpojumu sniegšanai bērniem ar funkcionāliem traucējumiem
(ES fondu finansējums 85%)
(IP 123.pozīcija)</t>
  </si>
  <si>
    <t>Infrastruktūras pilnveide sabiedrībā balstītu pakalpojumu sniegšanai personām ar garīga rakstura traucējumiem
(ES fondu finansējums 85%)
(IP 122.pozīcija)</t>
  </si>
  <si>
    <t>Jūrmalas pilsētas investīciju plānam 2018.-2020.gadam</t>
  </si>
  <si>
    <t>2.pielikums</t>
  </si>
  <si>
    <r>
      <t xml:space="preserve">2021                                                 </t>
    </r>
    <r>
      <rPr>
        <i/>
        <sz val="10"/>
        <rFont val="Times New Roman"/>
        <family val="1"/>
        <charset val="186"/>
      </rPr>
      <t>(16 meneši)</t>
    </r>
  </si>
  <si>
    <r>
      <t xml:space="preserve">2020                                                                                                                                    </t>
    </r>
    <r>
      <rPr>
        <i/>
        <sz val="10"/>
        <rFont val="Times New Roman"/>
        <family val="1"/>
        <charset val="186"/>
      </rPr>
      <t xml:space="preserve">  (2018.-2019.gads  būvprojekta izstrāde)</t>
    </r>
  </si>
  <si>
    <t>21.1.</t>
  </si>
  <si>
    <r>
      <t xml:space="preserve">2020                         </t>
    </r>
    <r>
      <rPr>
        <i/>
        <sz val="10"/>
        <rFont val="Times New Roman"/>
        <family val="1"/>
        <charset val="186"/>
      </rPr>
      <t>(16 mēneši)</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</si>
  <si>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ēkas  ar kopējo platību 4539,1m2 energoefektivitātes paaugstināšana.</t>
    </r>
  </si>
  <si>
    <r>
      <rPr>
        <i/>
        <u/>
        <sz val="12"/>
        <rFont val="Times New Roman"/>
        <family val="1"/>
        <charset val="186"/>
      </rPr>
      <t xml:space="preserve">Projekta idejas pamatojums: </t>
    </r>
    <r>
      <rPr>
        <i/>
        <sz val="12"/>
        <rFont val="Times New Roman"/>
        <family val="1"/>
        <charset val="186"/>
      </rPr>
      <t xml:space="preserve">
Ēka Raiņa ielā 62, Jūrmalā  atrodas Jūrmalas pilsētas pašvaldības īpašumā.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Ēka Raiņa ielā 62 ir ar zemu energoefektivitāti, tās kopējais enerģijas  patēriņa novērtējums ir 342,51 kWh/m2 gadā, kas ir augstāks nekā Jūrmalas publisko ēku vidējais siltumenerģijas patēriņš. Ēka ir vizuāli nepievilcīga un līdz ar to degradē kopējo pilsētas ainavu. Veicot ēkas energoefektivitātes pasākumus, samazināsies ēkas siltumeneģijas patēriņš, ēkas apsaimniekošanas izmaksas un CO2 emisija, ēkā uzlabosies vispārējais komforta līmenis un vizuālais izskats.
Ēkā Raiņa ielā 62  šobrīd tiek nodrošināti pašvaldības sniegti dzīvojamās telpas īres pakalpojumi, nakts patversmes pakalpojumi un metadona kabineta pakalpojumi. Lai uzlabotu sniegto pakalpojumu kvalitāti, nodrošinātu ekas ilgtspējīgu un racionālu ekspluatāciju, tiek plānoti ēkas energoefektivitāti uzlabojoši pasākumi un  ēkas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</si>
  <si>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1.Pašvaldības ēkas Raiņa ielā 62, Jūrmalā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Ēka Raiņa ielā 62 ir ļoti sliktā tehniskajā stāvoklī, ar zemu energoefektivitātes līmeni, kas būtiski palielina pašvaldībai ēkas  uzturēšanas un apsaimniekošanas izmaksas. Ēkas pamati veidoti no saliekamajiem dzelzsbetona blokiem un nav siltināti. Vietām pamata cokola daļā, lietus un sala ietekmē, pamata blokiem ir sācis atdalīties apmetums. 
Ēkas pagraba pārsegumam, kas veidoti no dzelzsbetona paneļiem, daudzviet nodrupusi betona aizsargkārta, stiegrojumam redzama korozija. Starpstāvu paneļi ar plašiem notecējumiem, mehāniskiem bojājumiem un metāla stiegrojuma korozijas bojājumiem.
Ēkas norobežojošās ārsienas veidotas no keramzītbetona ārsienu paneļiem un ķieģeļiem, ēkas gala sienas siltinātas un apšūtas ar profilēta skārda loksnēm. Ķieģeļu sienu mūrējuma joslām augšējos stāvu līmenī ķieģeļi atslāņojušies, saplaisājuši. Sienu daļā starp logiem esošais dēļu apšuvums deformējies, ar apraugām, virs dēļiem esošais apšuvums deformējies, saplaisājis un dažviet atdalījies. Daļā telpu šajos apjomos norauta apdare un siltumizolācija. Jumta elementi ir gumijoti lokšņu materiāli/ruberoīds uz dzelzsbetona nesošās konstrukcijas.
Daļa ēkā esošo logu ir koka, to rāmji deformējušies, ar spraugām, trupēm un mehāniskiem bojājumiem – iztrūkst stiklojuma.
Ēkai ir centralizētā siltumapgāde no pilsētas tīkliem. Sildelementi ir nomainīti tikai ēkas pirmajā stāvā, pārējā ēkā sildelementi ir nolietoti un daļēji iztrūkst. Ēkai ir aukstā ūdens padeve un kanalizācijas tīkli, to stāvoklis vērtējams kā neapmierinošs.
Ēkas elektroapgādes sistēmas tehniskais stāvoklis vērtējams kā daļēji neapmierinošs, dažos mezglos to ekspluatācija ir bīstama. Ēkai ir dabīgā ventilācija, ventilācijas lūkas netīrītas, daļa mehāniski bojātas. 
Lai samazinātu ēkas primārās enerģijas patēriņu un apsaimniekošanas izmaksas, 2018.-2021.gadā ieguldot ERAF līdzfinansējumu, tiek plānots uzlabot ēkas energoefektivitāti. Projekta ietvaros plānots uzlabot ēkas ārējās norobežojošās konstrukcijas, siltinot ēkas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un elektroinstalācijas nomaiņā.
Projekta ietvaros veicamās darbības tiks precizētas atbilstoši energosertifikātā un būvprojektā norādītajām veicamajām rīcībām.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</si>
  <si>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t>Pašvaldības ēkas Raiņa ielā 62, Jūrmalā pārbūve un energoefektivitātes paaugstināšana
(ES fondu finansējums 85%)
(IP 125.pozīcija)</t>
  </si>
  <si>
    <t>Pašvaldības ēkas Raiņa ielā 62, Jūrmalā pārbūve un energoefektivitātes paaugstināšana (t.sk. būvprojekta izstrāde, būvdarbi, autoruzraudzība un būvuzraudzība)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</si>
  <si>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3 komersanti;
2)jaunizveidoto darba vietu skaits komersantos, kuri guvuši labumu no investīcijām infrastruktūrā – 16 darba vietas;
3)no projekta ietvaros veiktajām investīcijām infrastruktūrā labumu guvušo komersantu nefinanšu investīcijas pašu nemateriālajos ieguldījumos un pamatlīdzekļos – 1 090 463.11 EUR.</t>
    </r>
    <r>
      <rPr>
        <u/>
        <sz val="10"/>
        <rFont val="Times New Roman"/>
        <family val="1"/>
        <charset val="186"/>
      </rPr>
      <t/>
    </r>
  </si>
  <si>
    <r>
      <t>Darbības rezultāts</t>
    </r>
    <r>
      <rPr>
        <sz val="10"/>
        <rFont val="Times New Roman"/>
        <family val="1"/>
        <charset val="186"/>
      </rPr>
      <t xml:space="preserve"> - sabiedriskā objekta teritorijā izbūvēta jauniešu māja, pārbūvēti un izbūvēti inženiertehniskie tīkli. Kopumā objektam izdalītā teritorija ir 4000m2. 
Projekta detalizēts sadalījums darbību griezumā, darbību rezultāti, precīzas izmaksas un rezultatīvie rādītāji tiks precizēti pēc būvprojekta izstrādes.
Izmaksas precizētas pamatojoties uz Jūrmalas pilsētas domes 15.02.2018. lēmumu Nr.48.</t>
    </r>
  </si>
  <si>
    <t>Jūrmalas ūdenstūrisma pakalpojumu infrastruktūras attīstība atbilstoši pilsētas ekonomiskajai specializācijai 
(ES fondu finansējums 70.11%)
(IP 32.pozīcija)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</si>
  <si>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13 darba vietas;
3)no projekta ietvaros veiktajām investīcijām infrastruktūrā labumu guvušo komersantu nefinanšu investīcijas pašu nemateriālajos ieguldījumos un pamatlīdzekļos – 630 426.58 EUR.</t>
    </r>
  </si>
  <si>
    <r>
      <t>Darbības rezultāts</t>
    </r>
    <r>
      <rPr>
        <sz val="10"/>
        <rFont val="Times New Roman"/>
        <family val="1"/>
        <charset val="186"/>
      </rPr>
      <t xml:space="preserve"> - pārbūvēta ēka Straumes ielā 1a, ēkas 1.stāvā un pagrabstāvā izveidojot nomas telpas komersantiem. Espšais garāžas korpuss tiks demontēts un tā vietā izbūvēta jauna piebūve, 1.stāvā izvietojot brīvā plānojuma nomas platības, kā arī vienā telpā paredzot laivu darbnīcu.  Ēkas teritorijā paredzēts atjaunot  autostāvvietas komersantu vajadzībām, kā arī nomainīt ceļa segumu uz betona bruģi līdz pieslēgumam ar ielu.
Izmaksas precizētas pamatojoties uz Jūrmalas pilsētas domes 15.02.2018. lēmumu Nr.48.</t>
    </r>
  </si>
  <si>
    <r>
      <t>Darbības rezultāts</t>
    </r>
    <r>
      <rPr>
        <sz val="10"/>
        <rFont val="Times New Roman"/>
        <family val="1"/>
        <charset val="186"/>
      </rPr>
      <t xml:space="preserve"> - atjaunotas Teātra ielas un Viktorijas ielas (posmā no Lienes ielas līdz Jomas ielai) brauktuves, gājēju ietves un apgaismojums, izbūvēta lietus ūdens kanalizācija un automašīnu stāvvietas, tai skaitā stāvvietas, kas pielāgotas personām ar pārvietošanās grūtībām.
Projekta detalizēts sadalījums darbību griezumā, darbību rezultāti, precīzas izmaksas un rezultatīvie rādītāji tiks precizēti pēc būvprojekta izstrādes.
Izmaksas precizētas pamatojoties uz Jūrmalas pilsētas domes 15.03.2018. lēmumu Nr.96.</t>
    </r>
  </si>
  <si>
    <t xml:space="preserve">Jūrmalas Sporta skolas peldbaseina ēkas pārbūve un energoefektivitātes paaugstināšana
(ES fondu finansējums 36.58%)
(IP 93.pozīcija)
</t>
  </si>
  <si>
    <t>Projekta detalizēts sadalījums darbību griezumā, darbību rezultāti, precīzas izmaksas un rezultatīvie rādītāji tiks precizēti pēc būvprojekta izstrādes.
Izmaksas precizētas pamatojoties uz Jūrmalas pilsētas domes 14.06.2018. lēmumu Nr.287.</t>
  </si>
  <si>
    <r>
      <t xml:space="preserve">Alternatīvā projekta ideja Nr.4: </t>
    </r>
    <r>
      <rPr>
        <b/>
        <i/>
        <u/>
        <sz val="12"/>
        <rFont val="Times New Roman"/>
        <family val="1"/>
        <charset val="186"/>
      </rPr>
      <t>Pašvaldības ēkas Raiņa ielā 62, Jūrmalā pārbūve un energoefektivitātes paaugstināšana</t>
    </r>
  </si>
  <si>
    <t>Ķemeru parka pārbūve un restaurācija
(ES fondu finansējums 82.64%)
(IP 10.pozīcija)</t>
  </si>
  <si>
    <r>
      <rPr>
        <u/>
        <sz val="10"/>
        <rFont val="Times New Roman"/>
        <family val="1"/>
        <charset val="186"/>
      </rPr>
      <t>Darbības rezultāts</t>
    </r>
    <r>
      <rPr>
        <sz val="10"/>
        <rFont val="Times New Roman"/>
        <family val="1"/>
        <charset val="186"/>
      </rPr>
      <t xml:space="preserve"> - veikta Ķemeru parka pārbūve un restaurācija t.sk. veikta ielu un ceļa infrastruktūras atjaunošana, teritorijas labiekārtošana,  inženiertehnisko tīklu pārbūve saimnieciskās darbības veikšanai, u.c. 
Projekta detalizēts sadalījums darbību griezumā, darbību rezultāti, precīzas izmaksas un rezultatīvie rādītāji tiks precizēti pēc būvprojekta izstrādes.
Izmaksas precizētas pamatojoties uz Jūrmalas pilsētas domes 26.04.2018. lēmumu Nr.161.</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</si>
  <si>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19.1 ha;
3)jaunizveidoto darba vietu skaits – 101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dabas tūrisma centra jaunbūve un meža parka labiekārtojums Ķemeros".                                                                     </t>
    </r>
  </si>
  <si>
    <r>
      <t>Darbības rezultāts:</t>
    </r>
    <r>
      <rPr>
        <sz val="10"/>
        <rFont val="Times New Roman"/>
        <family val="1"/>
        <charset val="186"/>
      </rPr>
      <t xml:space="preserve"> atjaunota degradēta teritorija Tūristu ielā 17, 14.4 ha platībā. Izveidota publiska infrastruktūra uzņēmējdarbības vides attīstībai, t.sk. jaunu tūrisma pakalpojumu sniegšanai. 
Projekta detalizēts sadalījums darbību griezumā, darbību rezultāti, precīzas izmaksas un rezultatīvie rādītāji tiks precizēti pēc būvprojekta izstrādes.
Rezultatīvie rādītāji precizēti atbilstoši VARAM 21.05.18. vēstulē Nr.1-13/4515 norādītajam.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</si>
</sst>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4"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0">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4" fontId="7" fillId="0" borderId="3" xfId="0" applyNumberFormat="1" applyFont="1" applyFill="1" applyBorder="1" applyAlignment="1">
      <alignment horizontal="center" vertical="center" wrapText="1"/>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0" fontId="2" fillId="0" borderId="4" xfId="0" applyFont="1" applyFill="1" applyBorder="1" applyAlignment="1">
      <alignment horizontal="justify" vertical="top"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justify" vertical="center" wrapText="1"/>
    </xf>
    <xf numFmtId="4" fontId="2" fillId="3"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18" fillId="0" borderId="3" xfId="0" applyFont="1" applyFill="1" applyBorder="1" applyAlignment="1">
      <alignment horizontal="justify" vertical="center" wrapText="1"/>
    </xf>
    <xf numFmtId="0" fontId="18" fillId="0" borderId="3"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2" fillId="0" borderId="3" xfId="0" applyFont="1" applyFill="1" applyBorder="1" applyAlignment="1">
      <alignment horizontal="justify" vertical="center" wrapText="1"/>
    </xf>
    <xf numFmtId="0" fontId="17" fillId="0" borderId="3" xfId="0" applyFont="1" applyBorder="1" applyAlignment="1">
      <alignment horizontal="justify"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23"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17" fillId="0" borderId="5" xfId="0" applyFont="1" applyBorder="1" applyAlignment="1">
      <alignment horizontal="justify"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3" fillId="0" borderId="3" xfId="0" applyFont="1" applyBorder="1" applyAlignment="1">
      <alignment horizontal="justify" vertical="center" wrapText="1"/>
    </xf>
    <xf numFmtId="0" fontId="2" fillId="0" borderId="12" xfId="0" applyFont="1" applyFill="1" applyBorder="1" applyAlignment="1">
      <alignment horizontal="justify" vertical="center" wrapText="1"/>
    </xf>
    <xf numFmtId="0" fontId="23" fillId="0" borderId="13" xfId="0" applyFont="1" applyBorder="1" applyAlignment="1">
      <alignment horizontal="justify" vertical="center" wrapText="1"/>
    </xf>
    <xf numFmtId="0" fontId="2" fillId="0"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2" borderId="4"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3" fillId="0" borderId="0" xfId="0" applyFont="1" applyAlignment="1">
      <alignment horizontal="right"/>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Border="1" applyAlignment="1">
      <alignment horizontal="justify" vertical="center" wrapText="1"/>
    </xf>
    <xf numFmtId="0" fontId="14" fillId="2" borderId="3" xfId="0" applyFont="1" applyFill="1" applyBorder="1" applyAlignment="1">
      <alignment vertical="center"/>
    </xf>
    <xf numFmtId="0" fontId="6"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7" fillId="0" borderId="5"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abSelected="1" view="pageLayout" zoomScale="85" zoomScaleNormal="70" zoomScalePageLayoutView="85" workbookViewId="0">
      <selection activeCell="J174" sqref="J174"/>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6" x14ac:dyDescent="0.3">
      <c r="L1" s="93" t="s">
        <v>274</v>
      </c>
      <c r="M1" s="93"/>
      <c r="N1" s="93"/>
      <c r="O1" s="93"/>
    </row>
    <row r="2" spans="1:17" ht="15.75" x14ac:dyDescent="0.25">
      <c r="L2" s="93" t="s">
        <v>273</v>
      </c>
      <c r="M2" s="93"/>
      <c r="N2" s="93"/>
      <c r="O2" s="93"/>
    </row>
    <row r="3" spans="1:17" ht="18" customHeight="1" x14ac:dyDescent="0.3">
      <c r="L3" s="93"/>
      <c r="M3" s="93"/>
      <c r="N3" s="93"/>
      <c r="O3" s="93"/>
    </row>
    <row r="4" spans="1:17" ht="24.75" customHeight="1" x14ac:dyDescent="0.2">
      <c r="B4" s="99" t="s">
        <v>0</v>
      </c>
      <c r="C4" s="99"/>
      <c r="D4" s="99"/>
      <c r="E4" s="99"/>
      <c r="F4" s="99"/>
      <c r="G4" s="99"/>
      <c r="H4" s="99"/>
      <c r="I4" s="99"/>
      <c r="J4" s="99"/>
      <c r="K4" s="99"/>
      <c r="L4" s="99"/>
      <c r="M4" s="99"/>
      <c r="N4" s="99"/>
      <c r="O4" s="99"/>
    </row>
    <row r="5" spans="1:17" ht="22.5" customHeight="1" x14ac:dyDescent="0.2">
      <c r="A5" s="2"/>
      <c r="B5" s="100" t="s">
        <v>1</v>
      </c>
      <c r="C5" s="100" t="s">
        <v>2</v>
      </c>
      <c r="D5" s="100"/>
      <c r="E5" s="100" t="s">
        <v>3</v>
      </c>
      <c r="F5" s="100" t="s">
        <v>4</v>
      </c>
      <c r="G5" s="100" t="s">
        <v>5</v>
      </c>
      <c r="H5" s="100" t="s">
        <v>6</v>
      </c>
      <c r="I5" s="100"/>
      <c r="J5" s="100"/>
      <c r="K5" s="100"/>
      <c r="L5" s="100" t="s">
        <v>7</v>
      </c>
      <c r="M5" s="100" t="s">
        <v>8</v>
      </c>
      <c r="N5" s="100"/>
      <c r="O5" s="110" t="s">
        <v>9</v>
      </c>
    </row>
    <row r="6" spans="1:17" ht="83.25" customHeight="1" x14ac:dyDescent="0.2">
      <c r="A6" s="2"/>
      <c r="B6" s="100"/>
      <c r="C6" s="100"/>
      <c r="D6" s="100"/>
      <c r="E6" s="100"/>
      <c r="F6" s="100"/>
      <c r="G6" s="100"/>
      <c r="H6" s="16" t="s">
        <v>239</v>
      </c>
      <c r="I6" s="53" t="s">
        <v>241</v>
      </c>
      <c r="J6" s="53" t="s">
        <v>10</v>
      </c>
      <c r="K6" s="16" t="s">
        <v>240</v>
      </c>
      <c r="L6" s="100"/>
      <c r="M6" s="53" t="s">
        <v>11</v>
      </c>
      <c r="N6" s="53" t="s">
        <v>12</v>
      </c>
      <c r="O6" s="110"/>
    </row>
    <row r="7" spans="1:17" ht="52.5" customHeight="1" x14ac:dyDescent="0.2">
      <c r="A7" s="2"/>
      <c r="B7" s="111" t="s">
        <v>28</v>
      </c>
      <c r="C7" s="111"/>
      <c r="D7" s="111"/>
      <c r="E7" s="111"/>
      <c r="F7" s="111"/>
      <c r="G7" s="111"/>
      <c r="H7" s="111"/>
      <c r="I7" s="111"/>
      <c r="J7" s="111"/>
      <c r="K7" s="111"/>
      <c r="L7" s="111"/>
      <c r="M7" s="111"/>
      <c r="N7" s="111"/>
      <c r="O7" s="111"/>
    </row>
    <row r="8" spans="1:17" ht="22.5" customHeight="1" x14ac:dyDescent="0.2">
      <c r="A8" s="2"/>
      <c r="B8" s="59" t="s">
        <v>54</v>
      </c>
      <c r="C8" s="59"/>
      <c r="D8" s="59"/>
      <c r="E8" s="59"/>
      <c r="F8" s="59"/>
      <c r="G8" s="59"/>
      <c r="H8" s="59"/>
      <c r="I8" s="59"/>
      <c r="J8" s="59"/>
      <c r="K8" s="59"/>
      <c r="L8" s="59"/>
      <c r="M8" s="59"/>
      <c r="N8" s="59"/>
      <c r="O8" s="59"/>
    </row>
    <row r="9" spans="1:17" ht="197.25" customHeight="1" x14ac:dyDescent="0.2">
      <c r="A9" s="2"/>
      <c r="B9" s="84" t="s">
        <v>216</v>
      </c>
      <c r="C9" s="85"/>
      <c r="D9" s="85"/>
      <c r="E9" s="85"/>
      <c r="F9" s="85"/>
      <c r="G9" s="85"/>
      <c r="H9" s="85"/>
      <c r="I9" s="85"/>
      <c r="J9" s="85"/>
      <c r="K9" s="85"/>
      <c r="L9" s="85"/>
      <c r="M9" s="85"/>
      <c r="N9" s="85"/>
      <c r="O9" s="86"/>
    </row>
    <row r="10" spans="1:17" ht="140.25" customHeight="1" x14ac:dyDescent="0.2">
      <c r="A10" s="2"/>
      <c r="B10" s="84" t="s">
        <v>226</v>
      </c>
      <c r="C10" s="85"/>
      <c r="D10" s="85"/>
      <c r="E10" s="85"/>
      <c r="F10" s="85"/>
      <c r="G10" s="85"/>
      <c r="H10" s="85"/>
      <c r="I10" s="85"/>
      <c r="J10" s="85"/>
      <c r="K10" s="85"/>
      <c r="L10" s="85"/>
      <c r="M10" s="85"/>
      <c r="N10" s="85"/>
      <c r="O10" s="86"/>
    </row>
    <row r="11" spans="1:17" ht="173.25" customHeight="1" x14ac:dyDescent="0.2">
      <c r="A11" s="2"/>
      <c r="B11" s="7">
        <v>1</v>
      </c>
      <c r="C11" s="67" t="s">
        <v>250</v>
      </c>
      <c r="D11" s="112"/>
      <c r="E11" s="7" t="s">
        <v>39</v>
      </c>
      <c r="F11" s="7" t="s">
        <v>15</v>
      </c>
      <c r="G11" s="12">
        <f>SUM(G12:G13)</f>
        <v>5822400.2599999998</v>
      </c>
      <c r="H11" s="12">
        <f>SUM(H12:H13)</f>
        <v>3612608.8499999996</v>
      </c>
      <c r="I11" s="12">
        <f>SUM(I12:I13)</f>
        <v>1090463.1099999999</v>
      </c>
      <c r="J11" s="12">
        <f>SUM(J12:J13)</f>
        <v>1090463.1099999999</v>
      </c>
      <c r="K11" s="12">
        <f>SUM(K12:K13)</f>
        <v>28865.190000000002</v>
      </c>
      <c r="L11" s="56" t="s">
        <v>284</v>
      </c>
      <c r="M11" s="15">
        <v>2019</v>
      </c>
      <c r="N11" s="11" t="s">
        <v>102</v>
      </c>
      <c r="O11" s="7" t="s">
        <v>217</v>
      </c>
    </row>
    <row r="12" spans="1:17" ht="114.75" x14ac:dyDescent="0.2">
      <c r="A12" s="2"/>
      <c r="B12" s="7">
        <v>1.1000000000000001</v>
      </c>
      <c r="C12" s="67" t="s">
        <v>97</v>
      </c>
      <c r="D12" s="70"/>
      <c r="E12" s="7" t="s">
        <v>40</v>
      </c>
      <c r="F12" s="7" t="s">
        <v>15</v>
      </c>
      <c r="G12" s="12">
        <f>SUM(H12:K12)</f>
        <v>2151508.5</v>
      </c>
      <c r="H12" s="31">
        <f>ROUND((I12/0.85*0.1275),2)+1803273.21</f>
        <v>1827273.21</v>
      </c>
      <c r="I12" s="12">
        <f>ROUND((400000*0.4),2)</f>
        <v>160000</v>
      </c>
      <c r="J12" s="12">
        <f>I12</f>
        <v>160000</v>
      </c>
      <c r="K12" s="31">
        <f>ROUND((I12/0.85*0.0225),2)</f>
        <v>4235.29</v>
      </c>
      <c r="L12" s="56" t="s">
        <v>249</v>
      </c>
      <c r="M12" s="7" t="s">
        <v>99</v>
      </c>
      <c r="N12" s="15">
        <v>2021</v>
      </c>
      <c r="O12" s="7" t="s">
        <v>33</v>
      </c>
    </row>
    <row r="13" spans="1:17" ht="140.25" x14ac:dyDescent="0.2">
      <c r="A13" s="2"/>
      <c r="B13" s="7">
        <v>1.2</v>
      </c>
      <c r="C13" s="108" t="s">
        <v>98</v>
      </c>
      <c r="D13" s="108"/>
      <c r="E13" s="7" t="s">
        <v>30</v>
      </c>
      <c r="F13" s="7" t="s">
        <v>15</v>
      </c>
      <c r="G13" s="31">
        <f>SUM(H13:K13)</f>
        <v>3670891.76</v>
      </c>
      <c r="H13" s="31">
        <f>ROUND((I13/0.85*0.1275),2)+1645766.17</f>
        <v>1785335.64</v>
      </c>
      <c r="I13" s="12">
        <f>956582.13-I12+133880.98</f>
        <v>930463.11</v>
      </c>
      <c r="J13" s="12">
        <f>I13</f>
        <v>930463.11</v>
      </c>
      <c r="K13" s="31">
        <f>ROUNDDOWN((I13/0.85*0.0225),2)</f>
        <v>24629.9</v>
      </c>
      <c r="L13" s="55" t="s">
        <v>285</v>
      </c>
      <c r="M13" s="7" t="s">
        <v>99</v>
      </c>
      <c r="N13" s="15">
        <v>2021</v>
      </c>
      <c r="O13" s="7" t="s">
        <v>33</v>
      </c>
      <c r="Q13" s="45"/>
    </row>
    <row r="14" spans="1:17" ht="22.5" customHeight="1" x14ac:dyDescent="0.2">
      <c r="A14" s="2"/>
      <c r="B14" s="101" t="s">
        <v>104</v>
      </c>
      <c r="C14" s="102"/>
      <c r="D14" s="102"/>
      <c r="E14" s="102"/>
      <c r="F14" s="102"/>
      <c r="G14" s="102"/>
      <c r="H14" s="102"/>
      <c r="I14" s="102"/>
      <c r="J14" s="102"/>
      <c r="K14" s="102"/>
      <c r="L14" s="102"/>
      <c r="M14" s="102"/>
      <c r="N14" s="102"/>
      <c r="O14" s="103"/>
    </row>
    <row r="15" spans="1:17" ht="157.5" customHeight="1" x14ac:dyDescent="0.2">
      <c r="A15" s="2"/>
      <c r="B15" s="84" t="s">
        <v>61</v>
      </c>
      <c r="C15" s="104"/>
      <c r="D15" s="104"/>
      <c r="E15" s="104"/>
      <c r="F15" s="104"/>
      <c r="G15" s="104"/>
      <c r="H15" s="104"/>
      <c r="I15" s="104"/>
      <c r="J15" s="104"/>
      <c r="K15" s="104"/>
      <c r="L15" s="104"/>
      <c r="M15" s="104"/>
      <c r="N15" s="104"/>
      <c r="O15" s="105"/>
    </row>
    <row r="16" spans="1:17" ht="72" customHeight="1" x14ac:dyDescent="0.2">
      <c r="A16" s="2"/>
      <c r="B16" s="84" t="s">
        <v>222</v>
      </c>
      <c r="C16" s="106"/>
      <c r="D16" s="106"/>
      <c r="E16" s="106"/>
      <c r="F16" s="106"/>
      <c r="G16" s="106"/>
      <c r="H16" s="106"/>
      <c r="I16" s="106"/>
      <c r="J16" s="106"/>
      <c r="K16" s="106"/>
      <c r="L16" s="106"/>
      <c r="M16" s="106"/>
      <c r="N16" s="106"/>
      <c r="O16" s="107"/>
    </row>
    <row r="17" spans="1:18" ht="168.75" customHeight="1" x14ac:dyDescent="0.2">
      <c r="A17" s="2"/>
      <c r="B17" s="32">
        <v>2</v>
      </c>
      <c r="C17" s="108" t="s">
        <v>286</v>
      </c>
      <c r="D17" s="108"/>
      <c r="E17" s="3" t="s">
        <v>22</v>
      </c>
      <c r="F17" s="3">
        <v>4</v>
      </c>
      <c r="G17" s="31">
        <f>SUM(H17:K17)</f>
        <v>2520935.5299999998</v>
      </c>
      <c r="H17" s="31">
        <f>H18</f>
        <v>1243394.6099999999</v>
      </c>
      <c r="I17" s="31">
        <f>I18</f>
        <v>630426.57999999996</v>
      </c>
      <c r="J17" s="12">
        <f>J18</f>
        <v>630426.57999999996</v>
      </c>
      <c r="K17" s="31">
        <f>K18</f>
        <v>16687.759999999998</v>
      </c>
      <c r="L17" s="57" t="s">
        <v>287</v>
      </c>
      <c r="M17" s="18">
        <v>2018</v>
      </c>
      <c r="N17" s="3" t="s">
        <v>103</v>
      </c>
      <c r="O17" s="52" t="s">
        <v>49</v>
      </c>
    </row>
    <row r="18" spans="1:18" ht="178.5" x14ac:dyDescent="0.2">
      <c r="A18" s="2"/>
      <c r="B18" s="32">
        <v>2.1</v>
      </c>
      <c r="C18" s="62" t="s">
        <v>105</v>
      </c>
      <c r="D18" s="62"/>
      <c r="E18" s="7" t="s">
        <v>22</v>
      </c>
      <c r="F18" s="3">
        <v>4</v>
      </c>
      <c r="G18" s="31">
        <v>2520935.5299999998</v>
      </c>
      <c r="H18" s="31">
        <f>252071.03+991323.58</f>
        <v>1243394.6099999999</v>
      </c>
      <c r="I18" s="31">
        <v>630426.57999999996</v>
      </c>
      <c r="J18" s="12">
        <f>I18</f>
        <v>630426.57999999996</v>
      </c>
      <c r="K18" s="31">
        <f>ROUND((I18/0.85*0.0225),2)</f>
        <v>16687.759999999998</v>
      </c>
      <c r="L18" s="54" t="s">
        <v>288</v>
      </c>
      <c r="M18" s="3" t="s">
        <v>137</v>
      </c>
      <c r="N18" s="18">
        <v>2019</v>
      </c>
      <c r="O18" s="7" t="s">
        <v>49</v>
      </c>
      <c r="Q18" s="45"/>
      <c r="R18" s="45"/>
    </row>
    <row r="19" spans="1:18" ht="42.75" customHeight="1" x14ac:dyDescent="0.2">
      <c r="A19" s="2"/>
      <c r="B19" s="78" t="s">
        <v>90</v>
      </c>
      <c r="C19" s="106"/>
      <c r="D19" s="106"/>
      <c r="E19" s="106"/>
      <c r="F19" s="106"/>
      <c r="G19" s="106"/>
      <c r="H19" s="106"/>
      <c r="I19" s="106"/>
      <c r="J19" s="106"/>
      <c r="K19" s="106"/>
      <c r="L19" s="106"/>
      <c r="M19" s="106"/>
      <c r="N19" s="106"/>
      <c r="O19" s="107"/>
      <c r="Q19" s="45"/>
      <c r="R19" s="45"/>
    </row>
    <row r="20" spans="1:18" ht="107.25" customHeight="1" x14ac:dyDescent="0.2">
      <c r="A20" s="2"/>
      <c r="B20" s="84" t="s">
        <v>91</v>
      </c>
      <c r="C20" s="104"/>
      <c r="D20" s="104"/>
      <c r="E20" s="104"/>
      <c r="F20" s="104"/>
      <c r="G20" s="104"/>
      <c r="H20" s="104"/>
      <c r="I20" s="104"/>
      <c r="J20" s="104"/>
      <c r="K20" s="104"/>
      <c r="L20" s="104"/>
      <c r="M20" s="104"/>
      <c r="N20" s="104"/>
      <c r="O20" s="105"/>
      <c r="Q20" s="45"/>
      <c r="R20" s="45"/>
    </row>
    <row r="21" spans="1:18" ht="119.25" customHeight="1" x14ac:dyDescent="0.2">
      <c r="A21" s="2"/>
      <c r="B21" s="113" t="s">
        <v>96</v>
      </c>
      <c r="C21" s="106"/>
      <c r="D21" s="106"/>
      <c r="E21" s="106"/>
      <c r="F21" s="106"/>
      <c r="G21" s="106"/>
      <c r="H21" s="106"/>
      <c r="I21" s="106"/>
      <c r="J21" s="106"/>
      <c r="K21" s="106"/>
      <c r="L21" s="106"/>
      <c r="M21" s="106"/>
      <c r="N21" s="106"/>
      <c r="O21" s="107"/>
      <c r="Q21" s="45"/>
      <c r="R21" s="45"/>
    </row>
    <row r="22" spans="1:18" ht="170.25" customHeight="1" x14ac:dyDescent="0.2">
      <c r="A22" s="2"/>
      <c r="B22" s="32">
        <v>3</v>
      </c>
      <c r="C22" s="108" t="s">
        <v>252</v>
      </c>
      <c r="D22" s="108"/>
      <c r="E22" s="3" t="s">
        <v>31</v>
      </c>
      <c r="F22" s="3" t="s">
        <v>15</v>
      </c>
      <c r="G22" s="31">
        <f>SUM(H22:K22)</f>
        <v>607475.37999999989</v>
      </c>
      <c r="H22" s="31">
        <f>H23</f>
        <v>41866.550000000003</v>
      </c>
      <c r="I22" s="31">
        <f>I23</f>
        <v>279110.31</v>
      </c>
      <c r="J22" s="12">
        <f>J23</f>
        <v>279110.31</v>
      </c>
      <c r="K22" s="31">
        <f>K23</f>
        <v>7388.21</v>
      </c>
      <c r="L22" s="57" t="s">
        <v>106</v>
      </c>
      <c r="M22" s="18">
        <v>2018</v>
      </c>
      <c r="N22" s="3" t="s">
        <v>92</v>
      </c>
      <c r="O22" s="52" t="s">
        <v>32</v>
      </c>
      <c r="Q22" s="45"/>
      <c r="R22" s="45"/>
    </row>
    <row r="23" spans="1:18" ht="178.5" x14ac:dyDescent="0.2">
      <c r="A23" s="2"/>
      <c r="B23" s="32">
        <v>3.1</v>
      </c>
      <c r="C23" s="108" t="s">
        <v>111</v>
      </c>
      <c r="D23" s="108"/>
      <c r="E23" s="3" t="s">
        <v>31</v>
      </c>
      <c r="F23" s="3" t="s">
        <v>15</v>
      </c>
      <c r="G23" s="31">
        <f>SUM(H23:K23)</f>
        <v>607475.37999999989</v>
      </c>
      <c r="H23" s="31">
        <f>ROUND((I23/0.85*0.1275),2)</f>
        <v>41866.550000000003</v>
      </c>
      <c r="I23" s="31">
        <v>279110.31</v>
      </c>
      <c r="J23" s="12">
        <f>I23</f>
        <v>279110.31</v>
      </c>
      <c r="K23" s="31">
        <f>ROUND((I23/0.85*0.0225),2)</f>
        <v>7388.21</v>
      </c>
      <c r="L23" s="55" t="s">
        <v>289</v>
      </c>
      <c r="M23" s="3" t="s">
        <v>136</v>
      </c>
      <c r="N23" s="18">
        <v>2019</v>
      </c>
      <c r="O23" s="52" t="s">
        <v>32</v>
      </c>
      <c r="Q23" s="45"/>
      <c r="R23" s="45"/>
    </row>
    <row r="24" spans="1:18" s="10" customFormat="1" ht="30.75" customHeight="1" x14ac:dyDescent="0.2">
      <c r="A24" s="23"/>
      <c r="B24" s="90" t="s">
        <v>101</v>
      </c>
      <c r="C24" s="106"/>
      <c r="D24" s="106"/>
      <c r="E24" s="106"/>
      <c r="F24" s="106"/>
      <c r="G24" s="106"/>
      <c r="H24" s="106"/>
      <c r="I24" s="106"/>
      <c r="J24" s="106"/>
      <c r="K24" s="106"/>
      <c r="L24" s="106"/>
      <c r="M24" s="106"/>
      <c r="N24" s="106"/>
      <c r="O24" s="107"/>
    </row>
    <row r="25" spans="1:18" s="10" customFormat="1" ht="147.75" customHeight="1" x14ac:dyDescent="0.2">
      <c r="A25" s="23"/>
      <c r="B25" s="113" t="s">
        <v>112</v>
      </c>
      <c r="C25" s="115"/>
      <c r="D25" s="115"/>
      <c r="E25" s="115"/>
      <c r="F25" s="115"/>
      <c r="G25" s="115"/>
      <c r="H25" s="115"/>
      <c r="I25" s="115"/>
      <c r="J25" s="115"/>
      <c r="K25" s="115"/>
      <c r="L25" s="115"/>
      <c r="M25" s="115"/>
      <c r="N25" s="115"/>
      <c r="O25" s="116"/>
    </row>
    <row r="26" spans="1:18" s="10" customFormat="1" ht="78.75" customHeight="1" x14ac:dyDescent="0.2">
      <c r="A26" s="23"/>
      <c r="B26" s="84" t="s">
        <v>100</v>
      </c>
      <c r="C26" s="117"/>
      <c r="D26" s="117"/>
      <c r="E26" s="117"/>
      <c r="F26" s="117"/>
      <c r="G26" s="117"/>
      <c r="H26" s="117"/>
      <c r="I26" s="117"/>
      <c r="J26" s="117"/>
      <c r="K26" s="117"/>
      <c r="L26" s="117"/>
      <c r="M26" s="117"/>
      <c r="N26" s="117"/>
      <c r="O26" s="118"/>
    </row>
    <row r="27" spans="1:18" s="14" customFormat="1" ht="153" x14ac:dyDescent="0.2">
      <c r="A27" s="13"/>
      <c r="B27" s="7">
        <v>4</v>
      </c>
      <c r="C27" s="108" t="s">
        <v>253</v>
      </c>
      <c r="D27" s="108"/>
      <c r="E27" s="3" t="s">
        <v>22</v>
      </c>
      <c r="F27" s="40">
        <v>2</v>
      </c>
      <c r="G27" s="31">
        <f>SUM(H27:K27)</f>
        <v>179787.78999999998</v>
      </c>
      <c r="H27" s="31">
        <f>H28</f>
        <v>12390.78</v>
      </c>
      <c r="I27" s="31">
        <f>I28</f>
        <v>82605.2</v>
      </c>
      <c r="J27" s="12">
        <f>J28</f>
        <v>82605.2</v>
      </c>
      <c r="K27" s="31">
        <f>K28</f>
        <v>2186.61</v>
      </c>
      <c r="L27" s="57" t="s">
        <v>55</v>
      </c>
      <c r="M27" s="18">
        <v>2020</v>
      </c>
      <c r="N27" s="3" t="s">
        <v>93</v>
      </c>
      <c r="O27" s="52" t="s">
        <v>50</v>
      </c>
    </row>
    <row r="28" spans="1:18" s="14" customFormat="1" ht="102" x14ac:dyDescent="0.2">
      <c r="A28" s="13"/>
      <c r="B28" s="7">
        <v>4.0999999999999996</v>
      </c>
      <c r="C28" s="108" t="s">
        <v>110</v>
      </c>
      <c r="D28" s="108"/>
      <c r="E28" s="3" t="s">
        <v>22</v>
      </c>
      <c r="F28" s="40">
        <v>2</v>
      </c>
      <c r="G28" s="31">
        <f>SUM(H28:K28)</f>
        <v>179787.78999999998</v>
      </c>
      <c r="H28" s="31">
        <f>ROUND(((97182.59)*0.1275),2)</f>
        <v>12390.78</v>
      </c>
      <c r="I28" s="31">
        <f>100000-17394.8</f>
        <v>82605.2</v>
      </c>
      <c r="J28" s="12">
        <f>100000-17394.8</f>
        <v>82605.2</v>
      </c>
      <c r="K28" s="31">
        <f>ROUND(((97182.59)*0.0225),2)</f>
        <v>2186.61</v>
      </c>
      <c r="L28" s="57" t="s">
        <v>149</v>
      </c>
      <c r="M28" s="3" t="s">
        <v>135</v>
      </c>
      <c r="N28" s="18">
        <v>2021</v>
      </c>
      <c r="O28" s="7" t="s">
        <v>50</v>
      </c>
      <c r="R28" s="33"/>
    </row>
    <row r="29" spans="1:18" ht="31.5" customHeight="1" x14ac:dyDescent="0.2">
      <c r="A29" s="2"/>
      <c r="B29" s="78" t="s">
        <v>94</v>
      </c>
      <c r="C29" s="106"/>
      <c r="D29" s="106"/>
      <c r="E29" s="106"/>
      <c r="F29" s="106"/>
      <c r="G29" s="106"/>
      <c r="H29" s="106"/>
      <c r="I29" s="106"/>
      <c r="J29" s="106"/>
      <c r="K29" s="106"/>
      <c r="L29" s="106"/>
      <c r="M29" s="106"/>
      <c r="N29" s="106"/>
      <c r="O29" s="107"/>
    </row>
    <row r="30" spans="1:18" ht="129" customHeight="1" x14ac:dyDescent="0.2">
      <c r="A30" s="2"/>
      <c r="B30" s="84" t="s">
        <v>95</v>
      </c>
      <c r="C30" s="104"/>
      <c r="D30" s="104"/>
      <c r="E30" s="104"/>
      <c r="F30" s="104"/>
      <c r="G30" s="104"/>
      <c r="H30" s="104"/>
      <c r="I30" s="104"/>
      <c r="J30" s="104"/>
      <c r="K30" s="104"/>
      <c r="L30" s="104"/>
      <c r="M30" s="104"/>
      <c r="N30" s="104"/>
      <c r="O30" s="105"/>
    </row>
    <row r="31" spans="1:18" ht="129.75" customHeight="1" x14ac:dyDescent="0.2">
      <c r="A31" s="2"/>
      <c r="B31" s="113" t="s">
        <v>227</v>
      </c>
      <c r="C31" s="106"/>
      <c r="D31" s="106"/>
      <c r="E31" s="106"/>
      <c r="F31" s="106"/>
      <c r="G31" s="106"/>
      <c r="H31" s="106"/>
      <c r="I31" s="106"/>
      <c r="J31" s="106"/>
      <c r="K31" s="106"/>
      <c r="L31" s="106"/>
      <c r="M31" s="106"/>
      <c r="N31" s="106"/>
      <c r="O31" s="107"/>
    </row>
    <row r="32" spans="1:18" s="14" customFormat="1" ht="156.75" customHeight="1" x14ac:dyDescent="0.2">
      <c r="A32" s="13"/>
      <c r="B32" s="7">
        <v>5</v>
      </c>
      <c r="C32" s="108" t="s">
        <v>251</v>
      </c>
      <c r="D32" s="108"/>
      <c r="E32" s="3" t="s">
        <v>31</v>
      </c>
      <c r="F32" s="3" t="s">
        <v>15</v>
      </c>
      <c r="G32" s="31">
        <f>G33</f>
        <v>609975.37999999989</v>
      </c>
      <c r="H32" s="31">
        <f>H33</f>
        <v>44366.55</v>
      </c>
      <c r="I32" s="31">
        <f>I33</f>
        <v>279110.31</v>
      </c>
      <c r="J32" s="12">
        <f>J33</f>
        <v>279110.31</v>
      </c>
      <c r="K32" s="31">
        <f>K33</f>
        <v>7388.21</v>
      </c>
      <c r="L32" s="57" t="s">
        <v>107</v>
      </c>
      <c r="M32" s="18">
        <v>2020</v>
      </c>
      <c r="N32" s="18" t="s">
        <v>108</v>
      </c>
      <c r="O32" s="52" t="s">
        <v>32</v>
      </c>
      <c r="Q32" s="33"/>
    </row>
    <row r="33" spans="1:19" ht="110.25" customHeight="1" x14ac:dyDescent="0.2">
      <c r="A33" s="2"/>
      <c r="B33" s="7">
        <v>5.0999999999999996</v>
      </c>
      <c r="C33" s="108" t="s">
        <v>109</v>
      </c>
      <c r="D33" s="108"/>
      <c r="E33" s="3" t="s">
        <v>31</v>
      </c>
      <c r="F33" s="3" t="s">
        <v>15</v>
      </c>
      <c r="G33" s="31">
        <f>SUM(H33:K33)</f>
        <v>609975.37999999989</v>
      </c>
      <c r="H33" s="31">
        <f>ROUND((I33/0.85*0.1275),2)+2500</f>
        <v>44366.55</v>
      </c>
      <c r="I33" s="31">
        <v>279110.31</v>
      </c>
      <c r="J33" s="12">
        <f>I33</f>
        <v>279110.31</v>
      </c>
      <c r="K33" s="31">
        <f>ROUND((I33/0.85*0.0225),2)</f>
        <v>7388.21</v>
      </c>
      <c r="L33" s="57" t="s">
        <v>150</v>
      </c>
      <c r="M33" s="3" t="s">
        <v>134</v>
      </c>
      <c r="N33" s="18">
        <v>2021</v>
      </c>
      <c r="O33" s="52" t="s">
        <v>32</v>
      </c>
    </row>
    <row r="34" spans="1:19" ht="65.25" customHeight="1" x14ac:dyDescent="0.2">
      <c r="A34" s="2"/>
      <c r="B34" s="111" t="s">
        <v>46</v>
      </c>
      <c r="C34" s="114"/>
      <c r="D34" s="114"/>
      <c r="E34" s="114"/>
      <c r="F34" s="114"/>
      <c r="G34" s="114"/>
      <c r="H34" s="114"/>
      <c r="I34" s="114"/>
      <c r="J34" s="114"/>
      <c r="K34" s="114"/>
      <c r="L34" s="114"/>
      <c r="M34" s="114"/>
      <c r="N34" s="114"/>
      <c r="O34" s="114"/>
    </row>
    <row r="35" spans="1:19" s="10" customFormat="1" ht="20.25" customHeight="1" x14ac:dyDescent="0.2">
      <c r="A35" s="23"/>
      <c r="B35" s="58" t="s">
        <v>113</v>
      </c>
      <c r="C35" s="59"/>
      <c r="D35" s="59"/>
      <c r="E35" s="59"/>
      <c r="F35" s="59"/>
      <c r="G35" s="59"/>
      <c r="H35" s="59"/>
      <c r="I35" s="59"/>
      <c r="J35" s="59"/>
      <c r="K35" s="59"/>
      <c r="L35" s="59"/>
      <c r="M35" s="59"/>
      <c r="N35" s="59"/>
      <c r="O35" s="59"/>
    </row>
    <row r="36" spans="1:19" s="10" customFormat="1" ht="189.75" customHeight="1" x14ac:dyDescent="0.2">
      <c r="A36" s="23"/>
      <c r="B36" s="60" t="s">
        <v>72</v>
      </c>
      <c r="C36" s="60"/>
      <c r="D36" s="60"/>
      <c r="E36" s="60"/>
      <c r="F36" s="60"/>
      <c r="G36" s="60"/>
      <c r="H36" s="60"/>
      <c r="I36" s="60"/>
      <c r="J36" s="60"/>
      <c r="K36" s="60"/>
      <c r="L36" s="60"/>
      <c r="M36" s="60"/>
      <c r="N36" s="60"/>
      <c r="O36" s="60"/>
    </row>
    <row r="37" spans="1:19" s="10" customFormat="1" ht="242.25" customHeight="1" x14ac:dyDescent="0.2">
      <c r="A37" s="23"/>
      <c r="B37" s="61" t="s">
        <v>228</v>
      </c>
      <c r="C37" s="61"/>
      <c r="D37" s="61"/>
      <c r="E37" s="61"/>
      <c r="F37" s="61"/>
      <c r="G37" s="61"/>
      <c r="H37" s="61"/>
      <c r="I37" s="61"/>
      <c r="J37" s="61"/>
      <c r="K37" s="61"/>
      <c r="L37" s="61"/>
      <c r="M37" s="61"/>
      <c r="N37" s="61"/>
      <c r="O37" s="61"/>
    </row>
    <row r="38" spans="1:19" ht="187.5" customHeight="1" x14ac:dyDescent="0.2">
      <c r="A38" s="2"/>
      <c r="B38" s="7">
        <v>6</v>
      </c>
      <c r="C38" s="62" t="s">
        <v>256</v>
      </c>
      <c r="D38" s="63"/>
      <c r="E38" s="7" t="s">
        <v>23</v>
      </c>
      <c r="F38" s="7" t="s">
        <v>15</v>
      </c>
      <c r="G38" s="12">
        <f>SUM(H38:K38)</f>
        <v>2999999.9984999998</v>
      </c>
      <c r="H38" s="12">
        <f>H39</f>
        <v>2136969.9492250001</v>
      </c>
      <c r="I38" s="12">
        <f>I39</f>
        <v>840774.26</v>
      </c>
      <c r="J38" s="12" t="s">
        <v>15</v>
      </c>
      <c r="K38" s="12">
        <f>K39</f>
        <v>22255.789274999999</v>
      </c>
      <c r="L38" s="56" t="s">
        <v>242</v>
      </c>
      <c r="M38" s="15">
        <v>2020</v>
      </c>
      <c r="N38" s="15" t="s">
        <v>275</v>
      </c>
      <c r="O38" s="3" t="s">
        <v>13</v>
      </c>
    </row>
    <row r="39" spans="1:19" ht="95.25" customHeight="1" x14ac:dyDescent="0.2">
      <c r="A39" s="2"/>
      <c r="B39" s="7">
        <v>6.1</v>
      </c>
      <c r="C39" s="62" t="s">
        <v>114</v>
      </c>
      <c r="D39" s="63"/>
      <c r="E39" s="7" t="s">
        <v>23</v>
      </c>
      <c r="F39" s="7" t="s">
        <v>15</v>
      </c>
      <c r="G39" s="12">
        <f>SUM(H39:K39)</f>
        <v>2999999.9984999998</v>
      </c>
      <c r="H39" s="12">
        <f>ROUND((989146.19*0.1275),25)+2010853.81</f>
        <v>2136969.9492250001</v>
      </c>
      <c r="I39" s="12">
        <v>840774.26</v>
      </c>
      <c r="J39" s="12" t="s">
        <v>15</v>
      </c>
      <c r="K39" s="12">
        <f>ROUND((989146.19*0.0225),25)</f>
        <v>22255.789274999999</v>
      </c>
      <c r="L39" s="56" t="s">
        <v>151</v>
      </c>
      <c r="M39" s="15" t="s">
        <v>276</v>
      </c>
      <c r="N39" s="15">
        <v>2021</v>
      </c>
      <c r="O39" s="3" t="s">
        <v>13</v>
      </c>
      <c r="P39" s="45"/>
      <c r="Q39" s="45"/>
      <c r="R39" s="45"/>
      <c r="S39" s="45"/>
    </row>
    <row r="40" spans="1:19" s="10" customFormat="1" ht="19.5" customHeight="1" x14ac:dyDescent="0.2">
      <c r="A40" s="23"/>
      <c r="B40" s="58" t="s">
        <v>218</v>
      </c>
      <c r="C40" s="119"/>
      <c r="D40" s="119"/>
      <c r="E40" s="119"/>
      <c r="F40" s="119"/>
      <c r="G40" s="119"/>
      <c r="H40" s="119"/>
      <c r="I40" s="119"/>
      <c r="J40" s="119"/>
      <c r="K40" s="119"/>
      <c r="L40" s="119"/>
      <c r="M40" s="119"/>
      <c r="N40" s="119"/>
      <c r="O40" s="119"/>
    </row>
    <row r="41" spans="1:19" s="10" customFormat="1" ht="105" customHeight="1" x14ac:dyDescent="0.2">
      <c r="A41" s="23"/>
      <c r="B41" s="60" t="s">
        <v>73</v>
      </c>
      <c r="C41" s="60"/>
      <c r="D41" s="60"/>
      <c r="E41" s="60"/>
      <c r="F41" s="60"/>
      <c r="G41" s="60"/>
      <c r="H41" s="60"/>
      <c r="I41" s="60"/>
      <c r="J41" s="60"/>
      <c r="K41" s="60"/>
      <c r="L41" s="60"/>
      <c r="M41" s="60"/>
      <c r="N41" s="60"/>
      <c r="O41" s="60"/>
    </row>
    <row r="42" spans="1:19" s="10" customFormat="1" ht="222.75" customHeight="1" x14ac:dyDescent="0.2">
      <c r="A42" s="23"/>
      <c r="B42" s="60" t="s">
        <v>229</v>
      </c>
      <c r="C42" s="60"/>
      <c r="D42" s="60"/>
      <c r="E42" s="60"/>
      <c r="F42" s="60"/>
      <c r="G42" s="60"/>
      <c r="H42" s="60"/>
      <c r="I42" s="60"/>
      <c r="J42" s="60"/>
      <c r="K42" s="60"/>
      <c r="L42" s="60"/>
      <c r="M42" s="60"/>
      <c r="N42" s="60"/>
      <c r="O42" s="60"/>
    </row>
    <row r="43" spans="1:19" s="14" customFormat="1" ht="170.25" customHeight="1" x14ac:dyDescent="0.2">
      <c r="A43" s="13"/>
      <c r="B43" s="7">
        <v>7</v>
      </c>
      <c r="C43" s="67" t="s">
        <v>290</v>
      </c>
      <c r="D43" s="77"/>
      <c r="E43" s="7" t="s">
        <v>17</v>
      </c>
      <c r="F43" s="7" t="s">
        <v>15</v>
      </c>
      <c r="G43" s="12">
        <f>$G$44</f>
        <v>2817286.06</v>
      </c>
      <c r="H43" s="19">
        <f>$H$44</f>
        <v>2222831</v>
      </c>
      <c r="I43" s="19">
        <f>$I$44</f>
        <v>471756.78</v>
      </c>
      <c r="J43" s="12" t="str">
        <f>$J$44</f>
        <v>-</v>
      </c>
      <c r="K43" s="19">
        <f>$K$44</f>
        <v>122698.28</v>
      </c>
      <c r="L43" s="56" t="s">
        <v>243</v>
      </c>
      <c r="M43" s="15">
        <v>2018</v>
      </c>
      <c r="N43" s="15" t="s">
        <v>278</v>
      </c>
      <c r="O43" s="7" t="s">
        <v>13</v>
      </c>
    </row>
    <row r="44" spans="1:19" s="14" customFormat="1" ht="89.25" x14ac:dyDescent="0.2">
      <c r="A44" s="13"/>
      <c r="B44" s="3">
        <v>7.1</v>
      </c>
      <c r="C44" s="97" t="s">
        <v>115</v>
      </c>
      <c r="D44" s="98"/>
      <c r="E44" s="7" t="s">
        <v>17</v>
      </c>
      <c r="F44" s="3" t="s">
        <v>15</v>
      </c>
      <c r="G44" s="19">
        <f>SUM(H44:K44)</f>
        <v>2817286.06</v>
      </c>
      <c r="H44" s="19">
        <f>695290.24+1527540.76</f>
        <v>2222831</v>
      </c>
      <c r="I44" s="19">
        <v>471756.78</v>
      </c>
      <c r="J44" s="19" t="s">
        <v>15</v>
      </c>
      <c r="K44" s="19">
        <v>122698.28</v>
      </c>
      <c r="L44" s="56" t="s">
        <v>291</v>
      </c>
      <c r="M44" s="3" t="s">
        <v>133</v>
      </c>
      <c r="N44" s="15">
        <v>2020</v>
      </c>
      <c r="O44" s="3" t="s">
        <v>13</v>
      </c>
      <c r="P44" s="33"/>
      <c r="Q44" s="33"/>
      <c r="R44" s="33"/>
    </row>
    <row r="45" spans="1:19" s="14" customFormat="1" ht="42" customHeight="1" x14ac:dyDescent="0.2">
      <c r="A45" s="13"/>
      <c r="B45" s="59" t="s">
        <v>223</v>
      </c>
      <c r="C45" s="119"/>
      <c r="D45" s="119"/>
      <c r="E45" s="119"/>
      <c r="F45" s="119"/>
      <c r="G45" s="119"/>
      <c r="H45" s="119"/>
      <c r="I45" s="119"/>
      <c r="J45" s="119"/>
      <c r="K45" s="119"/>
      <c r="L45" s="119"/>
      <c r="M45" s="119"/>
      <c r="N45" s="119"/>
      <c r="O45" s="119"/>
    </row>
    <row r="46" spans="1:19" s="14" customFormat="1" ht="91.5" customHeight="1" x14ac:dyDescent="0.2">
      <c r="A46" s="13"/>
      <c r="B46" s="60" t="s">
        <v>74</v>
      </c>
      <c r="C46" s="60"/>
      <c r="D46" s="60"/>
      <c r="E46" s="60"/>
      <c r="F46" s="60"/>
      <c r="G46" s="60"/>
      <c r="H46" s="60"/>
      <c r="I46" s="60"/>
      <c r="J46" s="60"/>
      <c r="K46" s="60"/>
      <c r="L46" s="60"/>
      <c r="M46" s="60"/>
      <c r="N46" s="60"/>
      <c r="O46" s="60"/>
    </row>
    <row r="47" spans="1:19" s="14" customFormat="1" ht="217.5" customHeight="1" x14ac:dyDescent="0.2">
      <c r="A47" s="13"/>
      <c r="B47" s="60" t="s">
        <v>116</v>
      </c>
      <c r="C47" s="60"/>
      <c r="D47" s="60"/>
      <c r="E47" s="60"/>
      <c r="F47" s="60"/>
      <c r="G47" s="60"/>
      <c r="H47" s="60"/>
      <c r="I47" s="60"/>
      <c r="J47" s="60"/>
      <c r="K47" s="60"/>
      <c r="L47" s="60"/>
      <c r="M47" s="60"/>
      <c r="N47" s="60"/>
      <c r="O47" s="60"/>
    </row>
    <row r="48" spans="1:19" s="35" customFormat="1" ht="195" customHeight="1" x14ac:dyDescent="0.2">
      <c r="A48" s="34"/>
      <c r="B48" s="7">
        <v>8</v>
      </c>
      <c r="C48" s="67" t="s">
        <v>257</v>
      </c>
      <c r="D48" s="77"/>
      <c r="E48" s="7" t="s">
        <v>17</v>
      </c>
      <c r="F48" s="36" t="s">
        <v>15</v>
      </c>
      <c r="G48" s="19">
        <v>858842.94</v>
      </c>
      <c r="H48" s="19">
        <f>ROUND((177190.35*0.1275),2)+681652.59</f>
        <v>704244.36</v>
      </c>
      <c r="I48" s="12">
        <f>I49</f>
        <v>150611.79999999999</v>
      </c>
      <c r="J48" s="44" t="s">
        <v>15</v>
      </c>
      <c r="K48" s="19">
        <f>ROUND((177190.35*0.0225),2)</f>
        <v>3986.78</v>
      </c>
      <c r="L48" s="48" t="s">
        <v>244</v>
      </c>
      <c r="M48" s="18">
        <v>2019</v>
      </c>
      <c r="N48" s="11" t="s">
        <v>118</v>
      </c>
      <c r="O48" s="3" t="s">
        <v>13</v>
      </c>
    </row>
    <row r="49" spans="1:18" s="14" customFormat="1" ht="69.75" customHeight="1" x14ac:dyDescent="0.2">
      <c r="A49" s="13"/>
      <c r="B49" s="3">
        <v>8.1</v>
      </c>
      <c r="C49" s="67" t="s">
        <v>220</v>
      </c>
      <c r="D49" s="77"/>
      <c r="E49" s="7" t="s">
        <v>17</v>
      </c>
      <c r="F49" s="3" t="s">
        <v>15</v>
      </c>
      <c r="G49" s="19">
        <f>SUM(H49:K49)</f>
        <v>858842.94</v>
      </c>
      <c r="H49" s="19">
        <f>ROUND((177190.35*0.1275),2)+681652.59</f>
        <v>704244.36</v>
      </c>
      <c r="I49" s="19">
        <v>150611.79999999999</v>
      </c>
      <c r="J49" s="19" t="s">
        <v>15</v>
      </c>
      <c r="K49" s="19">
        <f>ROUND((177190.35*0.0225),2)</f>
        <v>3986.78</v>
      </c>
      <c r="L49" s="56" t="s">
        <v>151</v>
      </c>
      <c r="M49" s="17" t="s">
        <v>117</v>
      </c>
      <c r="N49" s="15">
        <v>2020</v>
      </c>
      <c r="O49" s="3" t="s">
        <v>13</v>
      </c>
      <c r="P49" s="33"/>
      <c r="Q49" s="33"/>
      <c r="R49" s="33"/>
    </row>
    <row r="50" spans="1:18" s="10" customFormat="1" ht="29.25" customHeight="1" x14ac:dyDescent="0.2">
      <c r="A50" s="23"/>
      <c r="B50" s="94" t="s">
        <v>225</v>
      </c>
      <c r="C50" s="95"/>
      <c r="D50" s="95"/>
      <c r="E50" s="95"/>
      <c r="F50" s="95"/>
      <c r="G50" s="95"/>
      <c r="H50" s="95"/>
      <c r="I50" s="95"/>
      <c r="J50" s="95"/>
      <c r="K50" s="95"/>
      <c r="L50" s="95"/>
      <c r="M50" s="95"/>
      <c r="N50" s="95"/>
      <c r="O50" s="96"/>
    </row>
    <row r="51" spans="1:18" s="10" customFormat="1" ht="95.25" customHeight="1" x14ac:dyDescent="0.2">
      <c r="A51" s="23"/>
      <c r="B51" s="84" t="s">
        <v>75</v>
      </c>
      <c r="C51" s="85"/>
      <c r="D51" s="85"/>
      <c r="E51" s="85"/>
      <c r="F51" s="85"/>
      <c r="G51" s="85"/>
      <c r="H51" s="85"/>
      <c r="I51" s="85"/>
      <c r="J51" s="85"/>
      <c r="K51" s="85"/>
      <c r="L51" s="85"/>
      <c r="M51" s="85"/>
      <c r="N51" s="85"/>
      <c r="O51" s="86"/>
    </row>
    <row r="52" spans="1:18" s="10" customFormat="1" ht="152.25" customHeight="1" x14ac:dyDescent="0.2">
      <c r="A52" s="23"/>
      <c r="B52" s="84" t="s">
        <v>121</v>
      </c>
      <c r="C52" s="85"/>
      <c r="D52" s="85"/>
      <c r="E52" s="85"/>
      <c r="F52" s="85"/>
      <c r="G52" s="85"/>
      <c r="H52" s="85"/>
      <c r="I52" s="85"/>
      <c r="J52" s="85"/>
      <c r="K52" s="85"/>
      <c r="L52" s="85"/>
      <c r="M52" s="85"/>
      <c r="N52" s="85"/>
      <c r="O52" s="86"/>
    </row>
    <row r="53" spans="1:18" ht="186" customHeight="1" x14ac:dyDescent="0.2">
      <c r="A53" s="2"/>
      <c r="B53" s="3">
        <v>9</v>
      </c>
      <c r="C53" s="67" t="s">
        <v>258</v>
      </c>
      <c r="D53" s="77"/>
      <c r="E53" s="7" t="s">
        <v>17</v>
      </c>
      <c r="F53" s="3">
        <v>10</v>
      </c>
      <c r="G53" s="19">
        <f>SUM(G54)</f>
        <v>1263625.4100000001</v>
      </c>
      <c r="H53" s="19">
        <f>SUM(H54)</f>
        <v>552583.39</v>
      </c>
      <c r="I53" s="19">
        <f>SUM(I54)</f>
        <v>613490.14</v>
      </c>
      <c r="J53" s="19" t="s">
        <v>15</v>
      </c>
      <c r="K53" s="19">
        <f>SUM(K54)</f>
        <v>97551.88</v>
      </c>
      <c r="L53" s="56" t="s">
        <v>245</v>
      </c>
      <c r="M53" s="18">
        <v>2018</v>
      </c>
      <c r="N53" s="18" t="s">
        <v>119</v>
      </c>
      <c r="O53" s="3" t="s">
        <v>13</v>
      </c>
    </row>
    <row r="54" spans="1:18" ht="121.5" customHeight="1" x14ac:dyDescent="0.2">
      <c r="A54" s="2"/>
      <c r="B54" s="7">
        <v>9.1</v>
      </c>
      <c r="C54" s="67" t="s">
        <v>120</v>
      </c>
      <c r="D54" s="77"/>
      <c r="E54" s="7" t="s">
        <v>17</v>
      </c>
      <c r="F54" s="3">
        <v>10</v>
      </c>
      <c r="G54" s="19">
        <f>SUM(H54:K54)</f>
        <v>1263625.4100000001</v>
      </c>
      <c r="H54" s="19">
        <f>ROUND((1263625.41*0.4373),2)</f>
        <v>552583.39</v>
      </c>
      <c r="I54" s="41">
        <f>ROUND((0.4855*1263625.41),2)</f>
        <v>613490.14</v>
      </c>
      <c r="J54" s="19" t="s">
        <v>15</v>
      </c>
      <c r="K54" s="19">
        <f>ROUND((0.0772*1263625.41),2)</f>
        <v>97551.88</v>
      </c>
      <c r="L54" s="56" t="s">
        <v>152</v>
      </c>
      <c r="M54" s="17" t="s">
        <v>76</v>
      </c>
      <c r="N54" s="18">
        <v>2019</v>
      </c>
      <c r="O54" s="3" t="s">
        <v>13</v>
      </c>
      <c r="P54" s="45"/>
      <c r="Q54" s="45"/>
      <c r="R54" s="45"/>
    </row>
    <row r="55" spans="1:18" ht="28.5" customHeight="1" x14ac:dyDescent="0.2">
      <c r="A55" s="2"/>
      <c r="B55" s="94" t="s">
        <v>224</v>
      </c>
      <c r="C55" s="95"/>
      <c r="D55" s="95"/>
      <c r="E55" s="95"/>
      <c r="F55" s="95"/>
      <c r="G55" s="95"/>
      <c r="H55" s="95"/>
      <c r="I55" s="95"/>
      <c r="J55" s="95"/>
      <c r="K55" s="95"/>
      <c r="L55" s="95"/>
      <c r="M55" s="95"/>
      <c r="N55" s="95"/>
      <c r="O55" s="96"/>
    </row>
    <row r="56" spans="1:18" ht="100.5" customHeight="1" x14ac:dyDescent="0.2">
      <c r="A56" s="2"/>
      <c r="B56" s="84" t="s">
        <v>77</v>
      </c>
      <c r="C56" s="85"/>
      <c r="D56" s="85"/>
      <c r="E56" s="85"/>
      <c r="F56" s="85"/>
      <c r="G56" s="85"/>
      <c r="H56" s="85"/>
      <c r="I56" s="85"/>
      <c r="J56" s="85"/>
      <c r="K56" s="85"/>
      <c r="L56" s="85"/>
      <c r="M56" s="85"/>
      <c r="N56" s="85"/>
      <c r="O56" s="86"/>
    </row>
    <row r="57" spans="1:18" ht="132.75" customHeight="1" x14ac:dyDescent="0.2">
      <c r="A57" s="2"/>
      <c r="B57" s="84" t="s">
        <v>122</v>
      </c>
      <c r="C57" s="85"/>
      <c r="D57" s="85"/>
      <c r="E57" s="85"/>
      <c r="F57" s="85"/>
      <c r="G57" s="85"/>
      <c r="H57" s="85"/>
      <c r="I57" s="85"/>
      <c r="J57" s="85"/>
      <c r="K57" s="85"/>
      <c r="L57" s="85"/>
      <c r="M57" s="85"/>
      <c r="N57" s="85"/>
      <c r="O57" s="86"/>
    </row>
    <row r="58" spans="1:18" ht="177.75" customHeight="1" x14ac:dyDescent="0.2">
      <c r="A58" s="2"/>
      <c r="B58" s="7">
        <v>10</v>
      </c>
      <c r="C58" s="67" t="s">
        <v>259</v>
      </c>
      <c r="D58" s="77"/>
      <c r="E58" s="7" t="s">
        <v>17</v>
      </c>
      <c r="F58" s="7">
        <v>9</v>
      </c>
      <c r="G58" s="19">
        <f>G59</f>
        <v>147488.09</v>
      </c>
      <c r="H58" s="19">
        <f>H59</f>
        <v>58405.279999999999</v>
      </c>
      <c r="I58" s="41">
        <f>I59</f>
        <v>78773.39</v>
      </c>
      <c r="J58" s="19" t="s">
        <v>15</v>
      </c>
      <c r="K58" s="19">
        <f>K59</f>
        <v>10309.42</v>
      </c>
      <c r="L58" s="56" t="s">
        <v>246</v>
      </c>
      <c r="M58" s="18">
        <v>2018</v>
      </c>
      <c r="N58" s="18" t="s">
        <v>119</v>
      </c>
      <c r="O58" s="3" t="s">
        <v>13</v>
      </c>
    </row>
    <row r="59" spans="1:18" ht="125.25" customHeight="1" x14ac:dyDescent="0.2">
      <c r="A59" s="2"/>
      <c r="B59" s="7">
        <v>10.1</v>
      </c>
      <c r="C59" s="67" t="s">
        <v>123</v>
      </c>
      <c r="D59" s="77"/>
      <c r="E59" s="7" t="s">
        <v>17</v>
      </c>
      <c r="F59" s="3">
        <v>9</v>
      </c>
      <c r="G59" s="19">
        <f>SUM(H59:K59)</f>
        <v>147488.09</v>
      </c>
      <c r="H59" s="19">
        <f>ROUND((147488.09*0.396),2)</f>
        <v>58405.279999999999</v>
      </c>
      <c r="I59" s="41">
        <f>ROUND((147488.09*0.5341),2)</f>
        <v>78773.39</v>
      </c>
      <c r="J59" s="19" t="s">
        <v>15</v>
      </c>
      <c r="K59" s="19">
        <f>ROUND((147488.09*0.0699),2)</f>
        <v>10309.42</v>
      </c>
      <c r="L59" s="56" t="s">
        <v>152</v>
      </c>
      <c r="M59" s="17" t="s">
        <v>76</v>
      </c>
      <c r="N59" s="18">
        <v>2019</v>
      </c>
      <c r="O59" s="3" t="s">
        <v>13</v>
      </c>
      <c r="P59" s="45"/>
      <c r="Q59" s="45"/>
      <c r="R59" s="45"/>
    </row>
    <row r="60" spans="1:18" ht="26.25" customHeight="1" x14ac:dyDescent="0.2">
      <c r="A60" s="2"/>
      <c r="B60" s="94" t="s">
        <v>230</v>
      </c>
      <c r="C60" s="95"/>
      <c r="D60" s="95"/>
      <c r="E60" s="95"/>
      <c r="F60" s="95"/>
      <c r="G60" s="95"/>
      <c r="H60" s="95"/>
      <c r="I60" s="95"/>
      <c r="J60" s="95"/>
      <c r="K60" s="95"/>
      <c r="L60" s="95"/>
      <c r="M60" s="95"/>
      <c r="N60" s="95"/>
      <c r="O60" s="96"/>
      <c r="Q60" s="45"/>
    </row>
    <row r="61" spans="1:18" ht="73.5" customHeight="1" x14ac:dyDescent="0.2">
      <c r="A61" s="2"/>
      <c r="B61" s="84" t="s">
        <v>78</v>
      </c>
      <c r="C61" s="85"/>
      <c r="D61" s="85"/>
      <c r="E61" s="85"/>
      <c r="F61" s="85"/>
      <c r="G61" s="85"/>
      <c r="H61" s="85"/>
      <c r="I61" s="85"/>
      <c r="J61" s="85"/>
      <c r="K61" s="85"/>
      <c r="L61" s="85"/>
      <c r="M61" s="85"/>
      <c r="N61" s="85"/>
      <c r="O61" s="86"/>
    </row>
    <row r="62" spans="1:18" ht="164.25" customHeight="1" x14ac:dyDescent="0.2">
      <c r="A62" s="2"/>
      <c r="B62" s="84" t="s">
        <v>124</v>
      </c>
      <c r="C62" s="85"/>
      <c r="D62" s="85"/>
      <c r="E62" s="85"/>
      <c r="F62" s="85"/>
      <c r="G62" s="85"/>
      <c r="H62" s="85"/>
      <c r="I62" s="85"/>
      <c r="J62" s="85"/>
      <c r="K62" s="85"/>
      <c r="L62" s="85"/>
      <c r="M62" s="85"/>
      <c r="N62" s="85"/>
      <c r="O62" s="86"/>
    </row>
    <row r="63" spans="1:18" ht="188.25" customHeight="1" x14ac:dyDescent="0.2">
      <c r="A63" s="2"/>
      <c r="B63" s="7">
        <v>11</v>
      </c>
      <c r="C63" s="67" t="s">
        <v>260</v>
      </c>
      <c r="D63" s="77"/>
      <c r="E63" s="7" t="s">
        <v>17</v>
      </c>
      <c r="F63" s="3" t="s">
        <v>70</v>
      </c>
      <c r="G63" s="19">
        <f>G64</f>
        <v>1096887.54</v>
      </c>
      <c r="H63" s="19">
        <f>H64</f>
        <v>497009.88</v>
      </c>
      <c r="I63" s="19">
        <f>I64</f>
        <v>512648.6</v>
      </c>
      <c r="J63" s="19" t="s">
        <v>15</v>
      </c>
      <c r="K63" s="19">
        <f>K64</f>
        <v>87229.06</v>
      </c>
      <c r="L63" s="28" t="s">
        <v>247</v>
      </c>
      <c r="M63" s="18">
        <v>2018</v>
      </c>
      <c r="N63" s="17" t="s">
        <v>126</v>
      </c>
      <c r="O63" s="3" t="s">
        <v>13</v>
      </c>
    </row>
    <row r="64" spans="1:18" s="14" customFormat="1" ht="73.5" customHeight="1" x14ac:dyDescent="0.2">
      <c r="A64" s="13"/>
      <c r="B64" s="3">
        <v>11.1</v>
      </c>
      <c r="C64" s="67" t="s">
        <v>125</v>
      </c>
      <c r="D64" s="77"/>
      <c r="E64" s="7" t="s">
        <v>17</v>
      </c>
      <c r="F64" s="3" t="s">
        <v>70</v>
      </c>
      <c r="G64" s="19">
        <f>SUM(H64:K64)</f>
        <v>1096887.54</v>
      </c>
      <c r="H64" s="19">
        <f>ROUND((1094467.54*0.4519),2)+2420</f>
        <v>497009.88</v>
      </c>
      <c r="I64" s="41">
        <f>ROUND((1094467.54*0.4684),2)</f>
        <v>512648.6</v>
      </c>
      <c r="J64" s="19" t="s">
        <v>15</v>
      </c>
      <c r="K64" s="19">
        <f>ROUND((1094467.54*0.0797),2)</f>
        <v>87229.06</v>
      </c>
      <c r="L64" s="56" t="s">
        <v>151</v>
      </c>
      <c r="M64" s="17" t="s">
        <v>132</v>
      </c>
      <c r="N64" s="18">
        <v>2019</v>
      </c>
      <c r="O64" s="3" t="s">
        <v>13</v>
      </c>
      <c r="P64" s="33"/>
      <c r="Q64" s="33"/>
      <c r="R64" s="33"/>
    </row>
    <row r="65" spans="1:18" s="10" customFormat="1" ht="24" customHeight="1" x14ac:dyDescent="0.2">
      <c r="A65" s="23"/>
      <c r="B65" s="94" t="s">
        <v>231</v>
      </c>
      <c r="C65" s="95"/>
      <c r="D65" s="95"/>
      <c r="E65" s="95"/>
      <c r="F65" s="95"/>
      <c r="G65" s="95"/>
      <c r="H65" s="95"/>
      <c r="I65" s="95"/>
      <c r="J65" s="95"/>
      <c r="K65" s="95"/>
      <c r="L65" s="95"/>
      <c r="M65" s="95"/>
      <c r="N65" s="95"/>
      <c r="O65" s="96"/>
    </row>
    <row r="66" spans="1:18" s="10" customFormat="1" ht="117" customHeight="1" x14ac:dyDescent="0.2">
      <c r="A66" s="23"/>
      <c r="B66" s="84" t="s">
        <v>62</v>
      </c>
      <c r="C66" s="85"/>
      <c r="D66" s="85"/>
      <c r="E66" s="85"/>
      <c r="F66" s="85"/>
      <c r="G66" s="85"/>
      <c r="H66" s="85"/>
      <c r="I66" s="85"/>
      <c r="J66" s="85"/>
      <c r="K66" s="85"/>
      <c r="L66" s="85"/>
      <c r="M66" s="85"/>
      <c r="N66" s="85"/>
      <c r="O66" s="86"/>
    </row>
    <row r="67" spans="1:18" s="10" customFormat="1" ht="104.25" customHeight="1" x14ac:dyDescent="0.2">
      <c r="A67" s="23"/>
      <c r="B67" s="84" t="s">
        <v>127</v>
      </c>
      <c r="C67" s="85"/>
      <c r="D67" s="85"/>
      <c r="E67" s="85"/>
      <c r="F67" s="85"/>
      <c r="G67" s="85"/>
      <c r="H67" s="85"/>
      <c r="I67" s="85"/>
      <c r="J67" s="85"/>
      <c r="K67" s="85"/>
      <c r="L67" s="85"/>
      <c r="M67" s="85"/>
      <c r="N67" s="85"/>
      <c r="O67" s="86"/>
    </row>
    <row r="68" spans="1:18" s="14" customFormat="1" ht="189" customHeight="1" x14ac:dyDescent="0.2">
      <c r="A68" s="13"/>
      <c r="B68" s="7">
        <v>12</v>
      </c>
      <c r="C68" s="67" t="s">
        <v>261</v>
      </c>
      <c r="D68" s="68"/>
      <c r="E68" s="7" t="s">
        <v>24</v>
      </c>
      <c r="F68" s="7" t="s">
        <v>15</v>
      </c>
      <c r="G68" s="12">
        <f>SUM(G69:G69)</f>
        <v>154792.13</v>
      </c>
      <c r="H68" s="12">
        <f>SUM(H69:H69)</f>
        <v>68408.44</v>
      </c>
      <c r="I68" s="12">
        <f>SUM(I69:I69)</f>
        <v>84156.03</v>
      </c>
      <c r="J68" s="12" t="s">
        <v>15</v>
      </c>
      <c r="K68" s="12">
        <f>SUM(K69:K69)</f>
        <v>2227.66</v>
      </c>
      <c r="L68" s="56" t="s">
        <v>248</v>
      </c>
      <c r="M68" s="15">
        <v>2019</v>
      </c>
      <c r="N68" s="17" t="s">
        <v>238</v>
      </c>
      <c r="O68" s="3" t="s">
        <v>13</v>
      </c>
    </row>
    <row r="69" spans="1:18" s="14" customFormat="1" ht="66.75" customHeight="1" x14ac:dyDescent="0.2">
      <c r="A69" s="13"/>
      <c r="B69" s="7">
        <v>12.1</v>
      </c>
      <c r="C69" s="67" t="s">
        <v>262</v>
      </c>
      <c r="D69" s="68"/>
      <c r="E69" s="7" t="s">
        <v>24</v>
      </c>
      <c r="F69" s="7" t="s">
        <v>15</v>
      </c>
      <c r="G69" s="19">
        <f>SUM(H69:K69)</f>
        <v>154792.13</v>
      </c>
      <c r="H69" s="19">
        <f>ROUND((99007.09*0.1275),2)+55785.04</f>
        <v>68408.44</v>
      </c>
      <c r="I69" s="41">
        <f>ROUND((99007.09*0.85),2)</f>
        <v>84156.03</v>
      </c>
      <c r="J69" s="19" t="s">
        <v>15</v>
      </c>
      <c r="K69" s="19">
        <f>ROUND((99007.09*0.0225),2)</f>
        <v>2227.66</v>
      </c>
      <c r="L69" s="56" t="s">
        <v>151</v>
      </c>
      <c r="M69" s="15" t="s">
        <v>56</v>
      </c>
      <c r="N69" s="18">
        <v>2020</v>
      </c>
      <c r="O69" s="3" t="s">
        <v>13</v>
      </c>
      <c r="P69" s="33"/>
      <c r="Q69" s="33"/>
      <c r="R69" s="33"/>
    </row>
    <row r="70" spans="1:18" s="10" customFormat="1" ht="20.25" customHeight="1" x14ac:dyDescent="0.2">
      <c r="A70" s="23"/>
      <c r="B70" s="94" t="s">
        <v>47</v>
      </c>
      <c r="C70" s="95"/>
      <c r="D70" s="95"/>
      <c r="E70" s="95"/>
      <c r="F70" s="95"/>
      <c r="G70" s="95"/>
      <c r="H70" s="95"/>
      <c r="I70" s="95"/>
      <c r="J70" s="95"/>
      <c r="K70" s="95"/>
      <c r="L70" s="95"/>
      <c r="M70" s="95"/>
      <c r="N70" s="95"/>
      <c r="O70" s="96"/>
    </row>
    <row r="71" spans="1:18" s="10" customFormat="1" ht="88.5" customHeight="1" x14ac:dyDescent="0.2">
      <c r="A71" s="23"/>
      <c r="B71" s="84" t="s">
        <v>52</v>
      </c>
      <c r="C71" s="85"/>
      <c r="D71" s="85"/>
      <c r="E71" s="85"/>
      <c r="F71" s="85"/>
      <c r="G71" s="85"/>
      <c r="H71" s="85"/>
      <c r="I71" s="85"/>
      <c r="J71" s="85"/>
      <c r="K71" s="85"/>
      <c r="L71" s="85"/>
      <c r="M71" s="85"/>
      <c r="N71" s="85"/>
      <c r="O71" s="86"/>
    </row>
    <row r="72" spans="1:18" s="10" customFormat="1" ht="56.25" customHeight="1" x14ac:dyDescent="0.2">
      <c r="A72" s="23"/>
      <c r="B72" s="64" t="s">
        <v>130</v>
      </c>
      <c r="C72" s="65"/>
      <c r="D72" s="65"/>
      <c r="E72" s="65"/>
      <c r="F72" s="65"/>
      <c r="G72" s="65"/>
      <c r="H72" s="65"/>
      <c r="I72" s="65"/>
      <c r="J72" s="65"/>
      <c r="K72" s="65"/>
      <c r="L72" s="65"/>
      <c r="M72" s="65"/>
      <c r="N72" s="65"/>
      <c r="O72" s="66"/>
    </row>
    <row r="73" spans="1:18" ht="198.75" customHeight="1" x14ac:dyDescent="0.2">
      <c r="A73" s="2"/>
      <c r="B73" s="7">
        <v>13</v>
      </c>
      <c r="C73" s="67" t="s">
        <v>263</v>
      </c>
      <c r="D73" s="68"/>
      <c r="E73" s="7" t="s">
        <v>25</v>
      </c>
      <c r="F73" s="7" t="s">
        <v>15</v>
      </c>
      <c r="G73" s="12">
        <f>G74</f>
        <v>27651.98</v>
      </c>
      <c r="H73" s="12">
        <f>H74</f>
        <v>3525.63</v>
      </c>
      <c r="I73" s="12">
        <v>23504.18</v>
      </c>
      <c r="J73" s="12" t="s">
        <v>15</v>
      </c>
      <c r="K73" s="12">
        <f>K74</f>
        <v>622.16999999999996</v>
      </c>
      <c r="L73" s="56" t="s">
        <v>79</v>
      </c>
      <c r="M73" s="15">
        <v>2020</v>
      </c>
      <c r="N73" s="11" t="s">
        <v>128</v>
      </c>
      <c r="O73" s="3" t="s">
        <v>13</v>
      </c>
    </row>
    <row r="74" spans="1:18" ht="72.75" customHeight="1" x14ac:dyDescent="0.2">
      <c r="A74" s="2"/>
      <c r="B74" s="7">
        <v>13.1</v>
      </c>
      <c r="C74" s="67" t="s">
        <v>131</v>
      </c>
      <c r="D74" s="68"/>
      <c r="E74" s="7" t="s">
        <v>25</v>
      </c>
      <c r="F74" s="7" t="s">
        <v>15</v>
      </c>
      <c r="G74" s="12">
        <f>SUM(H74:K74)</f>
        <v>27651.98</v>
      </c>
      <c r="H74" s="12">
        <f>ROUND((27651.98*0.1275),2)</f>
        <v>3525.63</v>
      </c>
      <c r="I74" s="12">
        <v>23504.18</v>
      </c>
      <c r="J74" s="12" t="s">
        <v>15</v>
      </c>
      <c r="K74" s="12">
        <f>ROUND((27651.98*0.0225),2)</f>
        <v>622.16999999999996</v>
      </c>
      <c r="L74" s="56" t="s">
        <v>151</v>
      </c>
      <c r="M74" s="11" t="s">
        <v>129</v>
      </c>
      <c r="N74" s="15">
        <v>2021</v>
      </c>
      <c r="O74" s="3" t="s">
        <v>13</v>
      </c>
    </row>
    <row r="75" spans="1:18" ht="32.25" customHeight="1" x14ac:dyDescent="0.2">
      <c r="A75" s="2"/>
      <c r="B75" s="94" t="s">
        <v>48</v>
      </c>
      <c r="C75" s="95"/>
      <c r="D75" s="95"/>
      <c r="E75" s="95"/>
      <c r="F75" s="95"/>
      <c r="G75" s="95"/>
      <c r="H75" s="95"/>
      <c r="I75" s="95"/>
      <c r="J75" s="95"/>
      <c r="K75" s="95"/>
      <c r="L75" s="95"/>
      <c r="M75" s="95"/>
      <c r="N75" s="95"/>
      <c r="O75" s="96"/>
    </row>
    <row r="76" spans="1:18" ht="68.25" customHeight="1" x14ac:dyDescent="0.2">
      <c r="A76" s="2"/>
      <c r="B76" s="84" t="s">
        <v>63</v>
      </c>
      <c r="C76" s="85"/>
      <c r="D76" s="85"/>
      <c r="E76" s="85"/>
      <c r="F76" s="85"/>
      <c r="G76" s="85"/>
      <c r="H76" s="85"/>
      <c r="I76" s="85"/>
      <c r="J76" s="85"/>
      <c r="K76" s="85"/>
      <c r="L76" s="85"/>
      <c r="M76" s="85"/>
      <c r="N76" s="85"/>
      <c r="O76" s="86"/>
    </row>
    <row r="77" spans="1:18" ht="64.5" customHeight="1" x14ac:dyDescent="0.2">
      <c r="A77" s="2"/>
      <c r="B77" s="64" t="s">
        <v>139</v>
      </c>
      <c r="C77" s="65"/>
      <c r="D77" s="65"/>
      <c r="E77" s="65"/>
      <c r="F77" s="65"/>
      <c r="G77" s="65"/>
      <c r="H77" s="65"/>
      <c r="I77" s="65"/>
      <c r="J77" s="65"/>
      <c r="K77" s="65"/>
      <c r="L77" s="65"/>
      <c r="M77" s="65"/>
      <c r="N77" s="65"/>
      <c r="O77" s="66"/>
    </row>
    <row r="78" spans="1:18" ht="200.25" customHeight="1" x14ac:dyDescent="0.2">
      <c r="A78" s="2"/>
      <c r="B78" s="7">
        <v>14</v>
      </c>
      <c r="C78" s="67" t="s">
        <v>264</v>
      </c>
      <c r="D78" s="68"/>
      <c r="E78" s="7" t="s">
        <v>25</v>
      </c>
      <c r="F78" s="36" t="str">
        <f>$F$79</f>
        <v>-</v>
      </c>
      <c r="G78" s="19">
        <v>170768.12</v>
      </c>
      <c r="H78" s="19">
        <v>34860.44</v>
      </c>
      <c r="I78" s="19">
        <v>132402.9</v>
      </c>
      <c r="J78" s="19" t="s">
        <v>15</v>
      </c>
      <c r="K78" s="19">
        <v>3504.78</v>
      </c>
      <c r="L78" s="56" t="s">
        <v>80</v>
      </c>
      <c r="M78" s="15">
        <v>2020</v>
      </c>
      <c r="N78" s="11" t="s">
        <v>138</v>
      </c>
      <c r="O78" s="3" t="s">
        <v>13</v>
      </c>
    </row>
    <row r="79" spans="1:18" ht="66" customHeight="1" x14ac:dyDescent="0.2">
      <c r="A79" s="2"/>
      <c r="B79" s="7">
        <v>14.1</v>
      </c>
      <c r="C79" s="67" t="s">
        <v>140</v>
      </c>
      <c r="D79" s="68"/>
      <c r="E79" s="7" t="s">
        <v>25</v>
      </c>
      <c r="F79" s="7" t="s">
        <v>15</v>
      </c>
      <c r="G79" s="12">
        <f>SUM(H79:K79)</f>
        <v>170768.12</v>
      </c>
      <c r="H79" s="12">
        <f>ROUND((155768.12*0.1275),2)+15000</f>
        <v>34860.44</v>
      </c>
      <c r="I79" s="12">
        <v>132402.9</v>
      </c>
      <c r="J79" s="12" t="s">
        <v>15</v>
      </c>
      <c r="K79" s="12">
        <f>ROUND((155768.12*0.0225),2)</f>
        <v>3504.78</v>
      </c>
      <c r="L79" s="56" t="s">
        <v>151</v>
      </c>
      <c r="M79" s="11" t="s">
        <v>141</v>
      </c>
      <c r="N79" s="15">
        <v>2021</v>
      </c>
      <c r="O79" s="3" t="s">
        <v>13</v>
      </c>
    </row>
    <row r="80" spans="1:18" ht="27" customHeight="1" x14ac:dyDescent="0.2">
      <c r="A80" s="2"/>
      <c r="B80" s="90" t="s">
        <v>142</v>
      </c>
      <c r="C80" s="95"/>
      <c r="D80" s="95"/>
      <c r="E80" s="95"/>
      <c r="F80" s="95"/>
      <c r="G80" s="95"/>
      <c r="H80" s="95"/>
      <c r="I80" s="95"/>
      <c r="J80" s="95"/>
      <c r="K80" s="95"/>
      <c r="L80" s="95"/>
      <c r="M80" s="95"/>
      <c r="N80" s="95"/>
      <c r="O80" s="96"/>
    </row>
    <row r="81" spans="1:19" ht="64.5" customHeight="1" x14ac:dyDescent="0.2">
      <c r="A81" s="2"/>
      <c r="B81" s="84" t="s">
        <v>51</v>
      </c>
      <c r="C81" s="85"/>
      <c r="D81" s="85"/>
      <c r="E81" s="85"/>
      <c r="F81" s="85"/>
      <c r="G81" s="85"/>
      <c r="H81" s="85"/>
      <c r="I81" s="85"/>
      <c r="J81" s="85"/>
      <c r="K81" s="85"/>
      <c r="L81" s="85"/>
      <c r="M81" s="85"/>
      <c r="N81" s="85"/>
      <c r="O81" s="86"/>
    </row>
    <row r="82" spans="1:19" ht="75" customHeight="1" x14ac:dyDescent="0.2">
      <c r="A82" s="2"/>
      <c r="B82" s="127" t="s">
        <v>143</v>
      </c>
      <c r="C82" s="128"/>
      <c r="D82" s="128"/>
      <c r="E82" s="128"/>
      <c r="F82" s="128"/>
      <c r="G82" s="128"/>
      <c r="H82" s="128"/>
      <c r="I82" s="128"/>
      <c r="J82" s="128"/>
      <c r="K82" s="128"/>
      <c r="L82" s="128"/>
      <c r="M82" s="128"/>
      <c r="N82" s="128"/>
      <c r="O82" s="129"/>
    </row>
    <row r="83" spans="1:19" s="25" customFormat="1" ht="195" customHeight="1" x14ac:dyDescent="0.2">
      <c r="B83" s="7">
        <v>15</v>
      </c>
      <c r="C83" s="62" t="s">
        <v>265</v>
      </c>
      <c r="D83" s="74"/>
      <c r="E83" s="7" t="s">
        <v>57</v>
      </c>
      <c r="F83" s="36" t="s">
        <v>15</v>
      </c>
      <c r="G83" s="37">
        <v>115487.81</v>
      </c>
      <c r="H83" s="37">
        <v>41306.83</v>
      </c>
      <c r="I83" s="37">
        <v>72268</v>
      </c>
      <c r="J83" s="37" t="s">
        <v>15</v>
      </c>
      <c r="K83" s="37">
        <v>1912.98</v>
      </c>
      <c r="L83" s="56" t="s">
        <v>81</v>
      </c>
      <c r="M83" s="39">
        <v>2020</v>
      </c>
      <c r="N83" s="38" t="s">
        <v>146</v>
      </c>
      <c r="O83" s="24" t="s">
        <v>13</v>
      </c>
    </row>
    <row r="84" spans="1:19" s="14" customFormat="1" ht="77.25" customHeight="1" x14ac:dyDescent="0.2">
      <c r="A84" s="13"/>
      <c r="B84" s="49">
        <v>15.1</v>
      </c>
      <c r="C84" s="75" t="s">
        <v>144</v>
      </c>
      <c r="D84" s="76"/>
      <c r="E84" s="7" t="s">
        <v>57</v>
      </c>
      <c r="F84" s="37" t="s">
        <v>15</v>
      </c>
      <c r="G84" s="37">
        <f>SUM(H84:K84)</f>
        <v>115487.81</v>
      </c>
      <c r="H84" s="37">
        <f>ROUND((85021.18*0.1275),2)+19967.74+10498.89</f>
        <v>41306.83</v>
      </c>
      <c r="I84" s="37">
        <v>72268</v>
      </c>
      <c r="J84" s="37" t="s">
        <v>15</v>
      </c>
      <c r="K84" s="37">
        <f>ROUND((85021.18*0.0225),2)</f>
        <v>1912.98</v>
      </c>
      <c r="L84" s="56" t="s">
        <v>151</v>
      </c>
      <c r="M84" s="38" t="s">
        <v>145</v>
      </c>
      <c r="N84" s="39">
        <v>2021</v>
      </c>
      <c r="O84" s="24" t="s">
        <v>13</v>
      </c>
    </row>
    <row r="85" spans="1:19" s="10" customFormat="1" ht="20.25" customHeight="1" x14ac:dyDescent="0.2">
      <c r="A85" s="23"/>
      <c r="B85" s="58" t="s">
        <v>292</v>
      </c>
      <c r="C85" s="59"/>
      <c r="D85" s="59"/>
      <c r="E85" s="59"/>
      <c r="F85" s="59"/>
      <c r="G85" s="59"/>
      <c r="H85" s="59"/>
      <c r="I85" s="59"/>
      <c r="J85" s="59"/>
      <c r="K85" s="59"/>
      <c r="L85" s="59"/>
      <c r="M85" s="59"/>
      <c r="N85" s="59"/>
      <c r="O85" s="59"/>
    </row>
    <row r="86" spans="1:19" s="10" customFormat="1" ht="189.75" customHeight="1" x14ac:dyDescent="0.2">
      <c r="A86" s="23"/>
      <c r="B86" s="60" t="s">
        <v>280</v>
      </c>
      <c r="C86" s="60"/>
      <c r="D86" s="60"/>
      <c r="E86" s="60"/>
      <c r="F86" s="60"/>
      <c r="G86" s="60"/>
      <c r="H86" s="60"/>
      <c r="I86" s="60"/>
      <c r="J86" s="60"/>
      <c r="K86" s="60"/>
      <c r="L86" s="60"/>
      <c r="M86" s="60"/>
      <c r="N86" s="60"/>
      <c r="O86" s="60"/>
    </row>
    <row r="87" spans="1:19" s="10" customFormat="1" ht="338.25" customHeight="1" x14ac:dyDescent="0.2">
      <c r="A87" s="23"/>
      <c r="B87" s="61" t="s">
        <v>281</v>
      </c>
      <c r="C87" s="61"/>
      <c r="D87" s="61"/>
      <c r="E87" s="61"/>
      <c r="F87" s="61"/>
      <c r="G87" s="61"/>
      <c r="H87" s="61"/>
      <c r="I87" s="61"/>
      <c r="J87" s="61"/>
      <c r="K87" s="61"/>
      <c r="L87" s="61"/>
      <c r="M87" s="61"/>
      <c r="N87" s="61"/>
      <c r="O87" s="61"/>
    </row>
    <row r="88" spans="1:19" ht="187.5" customHeight="1" x14ac:dyDescent="0.2">
      <c r="A88" s="2"/>
      <c r="B88" s="7">
        <v>16</v>
      </c>
      <c r="C88" s="62" t="s">
        <v>282</v>
      </c>
      <c r="D88" s="63"/>
      <c r="E88" s="7" t="s">
        <v>18</v>
      </c>
      <c r="F88" s="7" t="s">
        <v>15</v>
      </c>
      <c r="G88" s="12">
        <f>SUM(H88:K88)</f>
        <v>3316999.9984999998</v>
      </c>
      <c r="H88" s="12">
        <f>H89</f>
        <v>2453969.9492250001</v>
      </c>
      <c r="I88" s="12">
        <f>I89</f>
        <v>840774.26</v>
      </c>
      <c r="J88" s="12" t="s">
        <v>15</v>
      </c>
      <c r="K88" s="12">
        <f>K89</f>
        <v>22255.789274999999</v>
      </c>
      <c r="L88" s="56" t="s">
        <v>279</v>
      </c>
      <c r="M88" s="15">
        <v>2020</v>
      </c>
      <c r="N88" s="15" t="s">
        <v>275</v>
      </c>
      <c r="O88" s="3" t="s">
        <v>13</v>
      </c>
    </row>
    <row r="89" spans="1:19" ht="95.25" customHeight="1" x14ac:dyDescent="0.2">
      <c r="A89" s="2"/>
      <c r="B89" s="7">
        <v>16.100000000000001</v>
      </c>
      <c r="C89" s="62" t="s">
        <v>283</v>
      </c>
      <c r="D89" s="63"/>
      <c r="E89" s="7" t="s">
        <v>18</v>
      </c>
      <c r="F89" s="7" t="s">
        <v>15</v>
      </c>
      <c r="G89" s="12">
        <f>SUM(H89:K89)</f>
        <v>3316999.9984999998</v>
      </c>
      <c r="H89" s="12">
        <f>ROUND((989146.19*0.1275),25)+2327853.81</f>
        <v>2453969.9492250001</v>
      </c>
      <c r="I89" s="12">
        <v>840774.26</v>
      </c>
      <c r="J89" s="12" t="s">
        <v>15</v>
      </c>
      <c r="K89" s="12">
        <f>ROUND((989146.19*0.0225),25)</f>
        <v>22255.789274999999</v>
      </c>
      <c r="L89" s="56" t="s">
        <v>151</v>
      </c>
      <c r="M89" s="15" t="s">
        <v>276</v>
      </c>
      <c r="N89" s="15">
        <v>2021</v>
      </c>
      <c r="O89" s="3" t="s">
        <v>13</v>
      </c>
      <c r="P89" s="45"/>
      <c r="Q89" s="45"/>
      <c r="R89" s="45"/>
      <c r="S89" s="45"/>
    </row>
    <row r="90" spans="1:19" s="10" customFormat="1" ht="42.75" customHeight="1" x14ac:dyDescent="0.2">
      <c r="A90" s="23"/>
      <c r="B90" s="81" t="s">
        <v>45</v>
      </c>
      <c r="C90" s="82"/>
      <c r="D90" s="82"/>
      <c r="E90" s="82"/>
      <c r="F90" s="82"/>
      <c r="G90" s="82"/>
      <c r="H90" s="82"/>
      <c r="I90" s="82"/>
      <c r="J90" s="82"/>
      <c r="K90" s="82"/>
      <c r="L90" s="82"/>
      <c r="M90" s="82"/>
      <c r="N90" s="82"/>
      <c r="O90" s="83"/>
    </row>
    <row r="91" spans="1:19" s="10" customFormat="1" ht="27" customHeight="1" x14ac:dyDescent="0.2">
      <c r="A91" s="23"/>
      <c r="B91" s="90" t="s">
        <v>58</v>
      </c>
      <c r="C91" s="91"/>
      <c r="D91" s="91"/>
      <c r="E91" s="91"/>
      <c r="F91" s="91"/>
      <c r="G91" s="91"/>
      <c r="H91" s="91"/>
      <c r="I91" s="91"/>
      <c r="J91" s="91"/>
      <c r="K91" s="91"/>
      <c r="L91" s="91"/>
      <c r="M91" s="91"/>
      <c r="N91" s="91"/>
      <c r="O91" s="92"/>
    </row>
    <row r="92" spans="1:19" s="10" customFormat="1" ht="178.5" customHeight="1" x14ac:dyDescent="0.2">
      <c r="A92" s="23"/>
      <c r="B92" s="84" t="s">
        <v>59</v>
      </c>
      <c r="C92" s="85"/>
      <c r="D92" s="85"/>
      <c r="E92" s="85"/>
      <c r="F92" s="85"/>
      <c r="G92" s="85"/>
      <c r="H92" s="85"/>
      <c r="I92" s="85"/>
      <c r="J92" s="85"/>
      <c r="K92" s="85"/>
      <c r="L92" s="85"/>
      <c r="M92" s="85"/>
      <c r="N92" s="85"/>
      <c r="O92" s="86"/>
    </row>
    <row r="93" spans="1:19" s="10" customFormat="1" ht="112.5" customHeight="1" x14ac:dyDescent="0.2">
      <c r="A93" s="25"/>
      <c r="B93" s="84" t="s">
        <v>29</v>
      </c>
      <c r="C93" s="85"/>
      <c r="D93" s="85"/>
      <c r="E93" s="85"/>
      <c r="F93" s="85"/>
      <c r="G93" s="85"/>
      <c r="H93" s="85"/>
      <c r="I93" s="85"/>
      <c r="J93" s="85"/>
      <c r="K93" s="85"/>
      <c r="L93" s="85"/>
      <c r="M93" s="85"/>
      <c r="N93" s="85"/>
      <c r="O93" s="86"/>
    </row>
    <row r="94" spans="1:19" ht="235.5" customHeight="1" x14ac:dyDescent="0.2">
      <c r="A94" s="6"/>
      <c r="B94" s="7">
        <v>17</v>
      </c>
      <c r="C94" s="62" t="s">
        <v>293</v>
      </c>
      <c r="D94" s="74"/>
      <c r="E94" s="7" t="s">
        <v>82</v>
      </c>
      <c r="F94" s="7" t="s">
        <v>65</v>
      </c>
      <c r="G94" s="12">
        <f>SUM(H94:K94)</f>
        <v>14544121.689999999</v>
      </c>
      <c r="H94" s="12">
        <f>H95</f>
        <v>2802034.59</v>
      </c>
      <c r="I94" s="12">
        <f>I95</f>
        <v>5780000</v>
      </c>
      <c r="J94" s="12">
        <f>J95</f>
        <v>5780000</v>
      </c>
      <c r="K94" s="12">
        <f>K95</f>
        <v>182087.1</v>
      </c>
      <c r="L94" s="29" t="s">
        <v>219</v>
      </c>
      <c r="M94" s="15">
        <v>2018</v>
      </c>
      <c r="N94" s="15" t="s">
        <v>148</v>
      </c>
      <c r="O94" s="3" t="s">
        <v>38</v>
      </c>
    </row>
    <row r="95" spans="1:19" ht="165.75" x14ac:dyDescent="0.2">
      <c r="A95" s="6"/>
      <c r="B95" s="7">
        <v>17.100000000000001</v>
      </c>
      <c r="C95" s="62" t="s">
        <v>27</v>
      </c>
      <c r="D95" s="74"/>
      <c r="E95" s="7" t="s">
        <v>82</v>
      </c>
      <c r="F95" s="7" t="s">
        <v>65</v>
      </c>
      <c r="G95" s="12">
        <f>SUM(H95:K95)</f>
        <v>14544121.689999999</v>
      </c>
      <c r="H95" s="12">
        <f>1031826.9+1770207.69</f>
        <v>2802034.59</v>
      </c>
      <c r="I95" s="12">
        <f>ROUND((6800000*0.85),2)</f>
        <v>5780000</v>
      </c>
      <c r="J95" s="12">
        <f>I95</f>
        <v>5780000</v>
      </c>
      <c r="K95" s="12">
        <v>182087.1</v>
      </c>
      <c r="L95" s="29" t="s">
        <v>294</v>
      </c>
      <c r="M95" s="15" t="s">
        <v>147</v>
      </c>
      <c r="N95" s="15">
        <v>2020</v>
      </c>
      <c r="O95" s="3" t="s">
        <v>38</v>
      </c>
      <c r="P95" s="45"/>
      <c r="Q95" s="45"/>
      <c r="R95" s="45"/>
    </row>
    <row r="96" spans="1:19" s="10" customFormat="1" ht="36.75" customHeight="1" x14ac:dyDescent="0.2">
      <c r="A96" s="25"/>
      <c r="B96" s="87" t="s">
        <v>233</v>
      </c>
      <c r="C96" s="88"/>
      <c r="D96" s="88"/>
      <c r="E96" s="88"/>
      <c r="F96" s="88"/>
      <c r="G96" s="88"/>
      <c r="H96" s="88"/>
      <c r="I96" s="88"/>
      <c r="J96" s="88"/>
      <c r="K96" s="88"/>
      <c r="L96" s="88"/>
      <c r="M96" s="88"/>
      <c r="N96" s="88"/>
      <c r="O96" s="89"/>
    </row>
    <row r="97" spans="1:18" s="10" customFormat="1" ht="150" customHeight="1" x14ac:dyDescent="0.2">
      <c r="A97" s="25"/>
      <c r="B97" s="84" t="s">
        <v>157</v>
      </c>
      <c r="C97" s="85"/>
      <c r="D97" s="85"/>
      <c r="E97" s="85"/>
      <c r="F97" s="85"/>
      <c r="G97" s="85"/>
      <c r="H97" s="85"/>
      <c r="I97" s="85"/>
      <c r="J97" s="85"/>
      <c r="K97" s="85"/>
      <c r="L97" s="85"/>
      <c r="M97" s="85"/>
      <c r="N97" s="85"/>
      <c r="O97" s="86"/>
    </row>
    <row r="98" spans="1:18" s="10" customFormat="1" ht="182.25" customHeight="1" x14ac:dyDescent="0.2">
      <c r="A98" s="25"/>
      <c r="B98" s="84" t="s">
        <v>232</v>
      </c>
      <c r="C98" s="85"/>
      <c r="D98" s="85"/>
      <c r="E98" s="85"/>
      <c r="F98" s="85"/>
      <c r="G98" s="85"/>
      <c r="H98" s="85"/>
      <c r="I98" s="85"/>
      <c r="J98" s="85"/>
      <c r="K98" s="85"/>
      <c r="L98" s="85"/>
      <c r="M98" s="85"/>
      <c r="N98" s="85"/>
      <c r="O98" s="86"/>
    </row>
    <row r="99" spans="1:18" s="14" customFormat="1" ht="260.25" customHeight="1" x14ac:dyDescent="0.2">
      <c r="A99" s="20"/>
      <c r="B99" s="7">
        <v>18</v>
      </c>
      <c r="C99" s="67" t="s">
        <v>266</v>
      </c>
      <c r="D99" s="70"/>
      <c r="E99" s="7" t="s">
        <v>83</v>
      </c>
      <c r="F99" s="7" t="s">
        <v>66</v>
      </c>
      <c r="G99" s="12">
        <f t="shared" ref="G99:J99" si="0">SUM(G100:G101)</f>
        <v>2767799.18</v>
      </c>
      <c r="H99" s="12">
        <f>SUM(H100:H101)</f>
        <v>295505.06</v>
      </c>
      <c r="I99" s="12">
        <f t="shared" si="0"/>
        <v>1220000</v>
      </c>
      <c r="J99" s="12">
        <f t="shared" si="0"/>
        <v>1220000</v>
      </c>
      <c r="K99" s="12">
        <f>SUM(K100:K101)</f>
        <v>32294.12</v>
      </c>
      <c r="L99" s="29" t="s">
        <v>84</v>
      </c>
      <c r="M99" s="15">
        <v>2018</v>
      </c>
      <c r="N99" s="15" t="s">
        <v>153</v>
      </c>
      <c r="O99" s="3" t="s">
        <v>35</v>
      </c>
    </row>
    <row r="100" spans="1:18" s="14" customFormat="1" ht="118.5" customHeight="1" x14ac:dyDescent="0.2">
      <c r="A100" s="20"/>
      <c r="B100" s="7">
        <v>18.100000000000001</v>
      </c>
      <c r="C100" s="67" t="s">
        <v>155</v>
      </c>
      <c r="D100" s="70"/>
      <c r="E100" s="7" t="s">
        <v>83</v>
      </c>
      <c r="F100" s="7" t="s">
        <v>66</v>
      </c>
      <c r="G100" s="12">
        <f>SUM(H100:K100)</f>
        <v>2200355.41</v>
      </c>
      <c r="H100" s="12">
        <f>ROUND((1129919.11*0.1275),2)+110005.06</f>
        <v>254069.75</v>
      </c>
      <c r="I100" s="12">
        <f>ROUND((1129919.11*0.85),2)</f>
        <v>960431.24</v>
      </c>
      <c r="J100" s="12">
        <f>I100</f>
        <v>960431.24</v>
      </c>
      <c r="K100" s="12">
        <f>ROUND((1129919.11*0.0225),2)</f>
        <v>25423.18</v>
      </c>
      <c r="L100" s="29" t="s">
        <v>158</v>
      </c>
      <c r="M100" s="15" t="s">
        <v>154</v>
      </c>
      <c r="N100" s="15">
        <v>2019</v>
      </c>
      <c r="O100" s="3" t="s">
        <v>35</v>
      </c>
    </row>
    <row r="101" spans="1:18" s="14" customFormat="1" ht="88.5" customHeight="1" x14ac:dyDescent="0.2">
      <c r="A101" s="20"/>
      <c r="B101" s="7">
        <v>18.2</v>
      </c>
      <c r="C101" s="67" t="s">
        <v>156</v>
      </c>
      <c r="D101" s="70"/>
      <c r="E101" s="7" t="s">
        <v>83</v>
      </c>
      <c r="F101" s="7" t="s">
        <v>66</v>
      </c>
      <c r="G101" s="12">
        <f>SUM(H101:K101)</f>
        <v>567443.77</v>
      </c>
      <c r="H101" s="12">
        <f>ROUND((305375.01*0.1275),2)+2500</f>
        <v>41435.31</v>
      </c>
      <c r="I101" s="12">
        <f>ROUND((305375.01*0.85),2)</f>
        <v>259568.76</v>
      </c>
      <c r="J101" s="12">
        <f>I101</f>
        <v>259568.76</v>
      </c>
      <c r="K101" s="12">
        <f>ROUND((305375.01*0.0225),2)</f>
        <v>6870.94</v>
      </c>
      <c r="L101" s="29" t="s">
        <v>159</v>
      </c>
      <c r="M101" s="15" t="s">
        <v>154</v>
      </c>
      <c r="N101" s="15">
        <v>2019</v>
      </c>
      <c r="O101" s="3" t="s">
        <v>35</v>
      </c>
    </row>
    <row r="102" spans="1:18" s="10" customFormat="1" ht="36.75" customHeight="1" x14ac:dyDescent="0.2">
      <c r="A102" s="25"/>
      <c r="B102" s="87" t="s">
        <v>160</v>
      </c>
      <c r="C102" s="88"/>
      <c r="D102" s="88"/>
      <c r="E102" s="88"/>
      <c r="F102" s="88"/>
      <c r="G102" s="88"/>
      <c r="H102" s="88"/>
      <c r="I102" s="88"/>
      <c r="J102" s="88"/>
      <c r="K102" s="88"/>
      <c r="L102" s="88"/>
      <c r="M102" s="88"/>
      <c r="N102" s="88"/>
      <c r="O102" s="89"/>
    </row>
    <row r="103" spans="1:18" s="10" customFormat="1" ht="266.25" customHeight="1" x14ac:dyDescent="0.2">
      <c r="A103" s="25"/>
      <c r="B103" s="84" t="s">
        <v>161</v>
      </c>
      <c r="C103" s="85"/>
      <c r="D103" s="85"/>
      <c r="E103" s="85"/>
      <c r="F103" s="85"/>
      <c r="G103" s="85"/>
      <c r="H103" s="85"/>
      <c r="I103" s="85"/>
      <c r="J103" s="85"/>
      <c r="K103" s="85"/>
      <c r="L103" s="85"/>
      <c r="M103" s="85"/>
      <c r="N103" s="85"/>
      <c r="O103" s="86"/>
    </row>
    <row r="104" spans="1:18" s="10" customFormat="1" ht="150" customHeight="1" x14ac:dyDescent="0.2">
      <c r="A104" s="25"/>
      <c r="B104" s="64" t="s">
        <v>162</v>
      </c>
      <c r="C104" s="65"/>
      <c r="D104" s="65"/>
      <c r="E104" s="65"/>
      <c r="F104" s="65"/>
      <c r="G104" s="65"/>
      <c r="H104" s="65"/>
      <c r="I104" s="65"/>
      <c r="J104" s="65"/>
      <c r="K104" s="65"/>
      <c r="L104" s="65"/>
      <c r="M104" s="65"/>
      <c r="N104" s="65"/>
      <c r="O104" s="66"/>
    </row>
    <row r="105" spans="1:18" s="14" customFormat="1" ht="273" customHeight="1" x14ac:dyDescent="0.2">
      <c r="A105" s="20"/>
      <c r="B105" s="7">
        <v>19</v>
      </c>
      <c r="C105" s="67" t="s">
        <v>168</v>
      </c>
      <c r="D105" s="70"/>
      <c r="E105" s="7" t="s">
        <v>87</v>
      </c>
      <c r="F105" s="7" t="s">
        <v>67</v>
      </c>
      <c r="G105" s="12">
        <f>SUM(H105:K105)</f>
        <v>13058823.529999999</v>
      </c>
      <c r="H105" s="12">
        <f>H106+H107</f>
        <v>900000</v>
      </c>
      <c r="I105" s="12">
        <f t="shared" ref="I105:K105" si="1">I106+I107</f>
        <v>6000000</v>
      </c>
      <c r="J105" s="12">
        <f t="shared" si="1"/>
        <v>6000000</v>
      </c>
      <c r="K105" s="12">
        <f t="shared" si="1"/>
        <v>158823.53</v>
      </c>
      <c r="L105" s="56" t="s">
        <v>295</v>
      </c>
      <c r="M105" s="15">
        <v>2019</v>
      </c>
      <c r="N105" s="15" t="s">
        <v>166</v>
      </c>
      <c r="O105" s="3" t="s">
        <v>34</v>
      </c>
    </row>
    <row r="106" spans="1:18" s="14" customFormat="1" ht="102.75" customHeight="1" x14ac:dyDescent="0.2">
      <c r="A106" s="20"/>
      <c r="B106" s="7">
        <v>19.100000000000001</v>
      </c>
      <c r="C106" s="67" t="s">
        <v>163</v>
      </c>
      <c r="D106" s="70"/>
      <c r="E106" s="7" t="s">
        <v>88</v>
      </c>
      <c r="F106" s="7" t="s">
        <v>68</v>
      </c>
      <c r="G106" s="12">
        <f>SUM(H106:K106)</f>
        <v>10838823.529999999</v>
      </c>
      <c r="H106" s="12">
        <f>ROUND((5858823.53*0.1275),2)</f>
        <v>747000</v>
      </c>
      <c r="I106" s="12">
        <f>ROUND((6000000*0.83),2)</f>
        <v>4980000</v>
      </c>
      <c r="J106" s="12">
        <f>ROUND((6000000*0.83),2)</f>
        <v>4980000</v>
      </c>
      <c r="K106" s="12">
        <f>ROUND((5858823.53*0.0225),2)</f>
        <v>131823.53</v>
      </c>
      <c r="L106" s="56" t="s">
        <v>177</v>
      </c>
      <c r="M106" s="15" t="s">
        <v>167</v>
      </c>
      <c r="N106" s="15">
        <v>2021</v>
      </c>
      <c r="O106" s="3" t="s">
        <v>33</v>
      </c>
    </row>
    <row r="107" spans="1:18" s="14" customFormat="1" ht="165.75" x14ac:dyDescent="0.2">
      <c r="A107" s="20"/>
      <c r="B107" s="7">
        <v>19.2</v>
      </c>
      <c r="C107" s="67" t="s">
        <v>164</v>
      </c>
      <c r="D107" s="70"/>
      <c r="E107" s="7" t="s">
        <v>89</v>
      </c>
      <c r="F107" s="7" t="s">
        <v>68</v>
      </c>
      <c r="G107" s="12">
        <f>SUM(H107:K107)</f>
        <v>2220000</v>
      </c>
      <c r="H107" s="12">
        <f>ROUND((1200000*0.1275),2)</f>
        <v>153000</v>
      </c>
      <c r="I107" s="12">
        <f>ROUND((6000000*0.17),2)</f>
        <v>1020000</v>
      </c>
      <c r="J107" s="12">
        <f>ROUND((6000000*0.17),2)</f>
        <v>1020000</v>
      </c>
      <c r="K107" s="12">
        <f>ROUND((1200000*0.0225),2)</f>
        <v>27000</v>
      </c>
      <c r="L107" s="54" t="s">
        <v>296</v>
      </c>
      <c r="M107" s="15" t="s">
        <v>167</v>
      </c>
      <c r="N107" s="15">
        <v>2021</v>
      </c>
      <c r="O107" s="3" t="s">
        <v>33</v>
      </c>
    </row>
    <row r="108" spans="1:18" s="10" customFormat="1" ht="27" customHeight="1" x14ac:dyDescent="0.2">
      <c r="A108" s="25"/>
      <c r="B108" s="87" t="s">
        <v>165</v>
      </c>
      <c r="C108" s="88"/>
      <c r="D108" s="88"/>
      <c r="E108" s="88"/>
      <c r="F108" s="88"/>
      <c r="G108" s="88"/>
      <c r="H108" s="88"/>
      <c r="I108" s="88"/>
      <c r="J108" s="88"/>
      <c r="K108" s="88"/>
      <c r="L108" s="88"/>
      <c r="M108" s="88"/>
      <c r="N108" s="88"/>
      <c r="O108" s="89"/>
    </row>
    <row r="109" spans="1:18" s="10" customFormat="1" ht="108" customHeight="1" x14ac:dyDescent="0.2">
      <c r="A109" s="25"/>
      <c r="B109" s="84" t="s">
        <v>53</v>
      </c>
      <c r="C109" s="85"/>
      <c r="D109" s="85"/>
      <c r="E109" s="85"/>
      <c r="F109" s="85"/>
      <c r="G109" s="85"/>
      <c r="H109" s="85"/>
      <c r="I109" s="85"/>
      <c r="J109" s="85"/>
      <c r="K109" s="85"/>
      <c r="L109" s="85"/>
      <c r="M109" s="85"/>
      <c r="N109" s="85"/>
      <c r="O109" s="86"/>
    </row>
    <row r="110" spans="1:18" s="10" customFormat="1" ht="74.25" customHeight="1" x14ac:dyDescent="0.2">
      <c r="A110" s="25"/>
      <c r="B110" s="64" t="s">
        <v>171</v>
      </c>
      <c r="C110" s="65"/>
      <c r="D110" s="65"/>
      <c r="E110" s="65"/>
      <c r="F110" s="65"/>
      <c r="G110" s="65"/>
      <c r="H110" s="65"/>
      <c r="I110" s="65"/>
      <c r="J110" s="65"/>
      <c r="K110" s="65"/>
      <c r="L110" s="65"/>
      <c r="M110" s="65"/>
      <c r="N110" s="65"/>
      <c r="O110" s="66"/>
    </row>
    <row r="111" spans="1:18" ht="255.75" customHeight="1" x14ac:dyDescent="0.2">
      <c r="A111" s="6"/>
      <c r="B111" s="7">
        <v>20</v>
      </c>
      <c r="C111" s="67" t="s">
        <v>267</v>
      </c>
      <c r="D111" s="98"/>
      <c r="E111" s="7" t="s">
        <v>16</v>
      </c>
      <c r="F111" s="7" t="s">
        <v>69</v>
      </c>
      <c r="G111" s="12">
        <f>SUM(H111:K111)</f>
        <v>1322490.26</v>
      </c>
      <c r="H111" s="12">
        <f>H112</f>
        <v>91144.6</v>
      </c>
      <c r="I111" s="12">
        <f>I112</f>
        <v>607630.66</v>
      </c>
      <c r="J111" s="12">
        <f>J112</f>
        <v>607630.66</v>
      </c>
      <c r="K111" s="12">
        <f>K112</f>
        <v>16084.34</v>
      </c>
      <c r="L111" s="56" t="s">
        <v>85</v>
      </c>
      <c r="M111" s="15">
        <v>2021</v>
      </c>
      <c r="N111" s="15" t="s">
        <v>180</v>
      </c>
      <c r="O111" s="3" t="s">
        <v>36</v>
      </c>
    </row>
    <row r="112" spans="1:18" ht="144" customHeight="1" x14ac:dyDescent="0.2">
      <c r="A112" s="6"/>
      <c r="B112" s="7">
        <v>20.100000000000001</v>
      </c>
      <c r="C112" s="67" t="s">
        <v>176</v>
      </c>
      <c r="D112" s="98"/>
      <c r="E112" s="7" t="s">
        <v>16</v>
      </c>
      <c r="F112" s="7" t="s">
        <v>69</v>
      </c>
      <c r="G112" s="12">
        <f>SUM(H112:K112)</f>
        <v>1322490.26</v>
      </c>
      <c r="H112" s="12">
        <f>ROUND((714859.6*0.1275),2)</f>
        <v>91144.6</v>
      </c>
      <c r="I112" s="12">
        <f>780000-172369.34</f>
        <v>607630.66</v>
      </c>
      <c r="J112" s="12">
        <f>780000-172369.34</f>
        <v>607630.66</v>
      </c>
      <c r="K112" s="12">
        <f>ROUND((714859.6*0.0225),2)</f>
        <v>16084.34</v>
      </c>
      <c r="L112" s="56" t="s">
        <v>178</v>
      </c>
      <c r="M112" s="15" t="s">
        <v>179</v>
      </c>
      <c r="N112" s="15">
        <v>2022</v>
      </c>
      <c r="O112" s="3" t="s">
        <v>33</v>
      </c>
      <c r="Q112" s="45"/>
      <c r="R112" s="45"/>
    </row>
    <row r="113" spans="1:18" ht="42.75" customHeight="1" x14ac:dyDescent="0.2">
      <c r="A113" s="6"/>
      <c r="B113" s="87" t="s">
        <v>170</v>
      </c>
      <c r="C113" s="88"/>
      <c r="D113" s="88"/>
      <c r="E113" s="88"/>
      <c r="F113" s="88"/>
      <c r="G113" s="88"/>
      <c r="H113" s="88"/>
      <c r="I113" s="88"/>
      <c r="J113" s="88"/>
      <c r="K113" s="88"/>
      <c r="L113" s="88"/>
      <c r="M113" s="88"/>
      <c r="N113" s="88"/>
      <c r="O113" s="89"/>
    </row>
    <row r="114" spans="1:18" ht="100.5" customHeight="1" x14ac:dyDescent="0.2">
      <c r="A114" s="6"/>
      <c r="B114" s="84" t="s">
        <v>64</v>
      </c>
      <c r="C114" s="85"/>
      <c r="D114" s="85"/>
      <c r="E114" s="85"/>
      <c r="F114" s="85"/>
      <c r="G114" s="85"/>
      <c r="H114" s="85"/>
      <c r="I114" s="85"/>
      <c r="J114" s="85"/>
      <c r="K114" s="85"/>
      <c r="L114" s="85"/>
      <c r="M114" s="85"/>
      <c r="N114" s="85"/>
      <c r="O114" s="86"/>
    </row>
    <row r="115" spans="1:18" ht="120" customHeight="1" x14ac:dyDescent="0.2">
      <c r="A115" s="6"/>
      <c r="B115" s="64" t="s">
        <v>172</v>
      </c>
      <c r="C115" s="65"/>
      <c r="D115" s="65"/>
      <c r="E115" s="65"/>
      <c r="F115" s="65"/>
      <c r="G115" s="65"/>
      <c r="H115" s="65"/>
      <c r="I115" s="65"/>
      <c r="J115" s="65"/>
      <c r="K115" s="65"/>
      <c r="L115" s="65"/>
      <c r="M115" s="65"/>
      <c r="N115" s="65"/>
      <c r="O115" s="66"/>
    </row>
    <row r="116" spans="1:18" ht="261.75" customHeight="1" x14ac:dyDescent="0.2">
      <c r="A116" s="6"/>
      <c r="B116" s="7">
        <v>21</v>
      </c>
      <c r="C116" s="67" t="s">
        <v>268</v>
      </c>
      <c r="D116" s="77"/>
      <c r="E116" s="7" t="s">
        <v>21</v>
      </c>
      <c r="F116" s="7" t="s">
        <v>15</v>
      </c>
      <c r="G116" s="12">
        <f>SUM(H116:K116)</f>
        <v>10882352.949999999</v>
      </c>
      <c r="H116" s="12">
        <f>H117</f>
        <v>750000</v>
      </c>
      <c r="I116" s="12">
        <v>5000000</v>
      </c>
      <c r="J116" s="12">
        <v>5000000</v>
      </c>
      <c r="K116" s="12">
        <f>K117</f>
        <v>132352.95000000001</v>
      </c>
      <c r="L116" s="56" t="s">
        <v>60</v>
      </c>
      <c r="M116" s="15">
        <v>2021</v>
      </c>
      <c r="N116" s="15" t="s">
        <v>182</v>
      </c>
      <c r="O116" s="3" t="s">
        <v>37</v>
      </c>
    </row>
    <row r="117" spans="1:18" ht="114" customHeight="1" x14ac:dyDescent="0.2">
      <c r="A117" s="6"/>
      <c r="B117" s="7" t="s">
        <v>277</v>
      </c>
      <c r="C117" s="67" t="s">
        <v>173</v>
      </c>
      <c r="D117" s="77"/>
      <c r="E117" s="7" t="s">
        <v>21</v>
      </c>
      <c r="F117" s="7" t="s">
        <v>15</v>
      </c>
      <c r="G117" s="12">
        <f>SUM(H117:K117)</f>
        <v>10882352.949999999</v>
      </c>
      <c r="H117" s="12">
        <f>ROUND((5882352.94*0.1275),2)</f>
        <v>750000</v>
      </c>
      <c r="I117" s="12">
        <v>5000000</v>
      </c>
      <c r="J117" s="12">
        <v>5000000</v>
      </c>
      <c r="K117" s="12">
        <f>ROUND((5882352.94*0.0225),2)+0.01</f>
        <v>132352.95000000001</v>
      </c>
      <c r="L117" s="56" t="s">
        <v>175</v>
      </c>
      <c r="M117" s="15" t="s">
        <v>181</v>
      </c>
      <c r="N117" s="15">
        <v>2022</v>
      </c>
      <c r="O117" s="3" t="s">
        <v>33</v>
      </c>
    </row>
    <row r="118" spans="1:18" ht="26.25" customHeight="1" x14ac:dyDescent="0.2">
      <c r="A118" s="6"/>
      <c r="B118" s="87" t="s">
        <v>169</v>
      </c>
      <c r="C118" s="88"/>
      <c r="D118" s="88"/>
      <c r="E118" s="88"/>
      <c r="F118" s="88"/>
      <c r="G118" s="88"/>
      <c r="H118" s="88"/>
      <c r="I118" s="88"/>
      <c r="J118" s="88"/>
      <c r="K118" s="88"/>
      <c r="L118" s="88"/>
      <c r="M118" s="88"/>
      <c r="N118" s="88"/>
      <c r="O118" s="89"/>
    </row>
    <row r="119" spans="1:18" ht="144.75" customHeight="1" x14ac:dyDescent="0.2">
      <c r="A119" s="6"/>
      <c r="B119" s="71" t="s">
        <v>86</v>
      </c>
      <c r="C119" s="72"/>
      <c r="D119" s="72"/>
      <c r="E119" s="72"/>
      <c r="F119" s="72"/>
      <c r="G119" s="72"/>
      <c r="H119" s="72"/>
      <c r="I119" s="72"/>
      <c r="J119" s="72"/>
      <c r="K119" s="72"/>
      <c r="L119" s="72"/>
      <c r="M119" s="72"/>
      <c r="N119" s="72"/>
      <c r="O119" s="73"/>
    </row>
    <row r="120" spans="1:18" ht="74.25" customHeight="1" x14ac:dyDescent="0.2">
      <c r="A120" s="6"/>
      <c r="B120" s="71" t="s">
        <v>234</v>
      </c>
      <c r="C120" s="72"/>
      <c r="D120" s="72"/>
      <c r="E120" s="72"/>
      <c r="F120" s="72"/>
      <c r="G120" s="72"/>
      <c r="H120" s="72"/>
      <c r="I120" s="72"/>
      <c r="J120" s="72"/>
      <c r="K120" s="72"/>
      <c r="L120" s="72"/>
      <c r="M120" s="72"/>
      <c r="N120" s="72"/>
      <c r="O120" s="73"/>
    </row>
    <row r="121" spans="1:18" ht="273.75" customHeight="1" x14ac:dyDescent="0.2">
      <c r="A121" s="6"/>
      <c r="B121" s="32">
        <v>22</v>
      </c>
      <c r="C121" s="62" t="s">
        <v>265</v>
      </c>
      <c r="D121" s="74"/>
      <c r="E121" s="7" t="s">
        <v>57</v>
      </c>
      <c r="F121" s="7" t="s">
        <v>71</v>
      </c>
      <c r="G121" s="37">
        <f>G122</f>
        <v>187755.81000000003</v>
      </c>
      <c r="H121" s="37">
        <v>41306.83</v>
      </c>
      <c r="I121" s="37">
        <v>72268</v>
      </c>
      <c r="J121" s="37">
        <f>J122</f>
        <v>72268</v>
      </c>
      <c r="K121" s="37">
        <v>1912.98</v>
      </c>
      <c r="L121" s="50" t="s">
        <v>221</v>
      </c>
      <c r="M121" s="39">
        <v>2020</v>
      </c>
      <c r="N121" s="38" t="s">
        <v>146</v>
      </c>
      <c r="O121" s="24" t="s">
        <v>13</v>
      </c>
    </row>
    <row r="122" spans="1:18" ht="125.25" customHeight="1" x14ac:dyDescent="0.2">
      <c r="A122" s="6"/>
      <c r="B122" s="32">
        <v>22.1</v>
      </c>
      <c r="C122" s="75" t="s">
        <v>144</v>
      </c>
      <c r="D122" s="76"/>
      <c r="E122" s="7" t="s">
        <v>57</v>
      </c>
      <c r="F122" s="7" t="s">
        <v>71</v>
      </c>
      <c r="G122" s="37">
        <f>SUM(H122:K122)</f>
        <v>187755.81000000003</v>
      </c>
      <c r="H122" s="37">
        <f>ROUND((85021.18*0.1275),2)+19967.74+10498.89</f>
        <v>41306.83</v>
      </c>
      <c r="I122" s="37">
        <f>ROUND((85021.18*0.85),2)</f>
        <v>72268</v>
      </c>
      <c r="J122" s="37">
        <f>I122</f>
        <v>72268</v>
      </c>
      <c r="K122" s="37">
        <f>ROUND((85021.18*0.0225),2)</f>
        <v>1912.98</v>
      </c>
      <c r="L122" s="50" t="s">
        <v>174</v>
      </c>
      <c r="M122" s="38" t="s">
        <v>145</v>
      </c>
      <c r="N122" s="39">
        <v>2021</v>
      </c>
      <c r="O122" s="24" t="s">
        <v>13</v>
      </c>
    </row>
    <row r="123" spans="1:18" ht="41.25" customHeight="1" x14ac:dyDescent="0.2">
      <c r="B123" s="81" t="s">
        <v>44</v>
      </c>
      <c r="C123" s="82"/>
      <c r="D123" s="82"/>
      <c r="E123" s="82"/>
      <c r="F123" s="82"/>
      <c r="G123" s="82"/>
      <c r="H123" s="82"/>
      <c r="I123" s="82"/>
      <c r="J123" s="82"/>
      <c r="K123" s="82"/>
      <c r="L123" s="82"/>
      <c r="M123" s="82"/>
      <c r="N123" s="82"/>
      <c r="O123" s="83"/>
    </row>
    <row r="124" spans="1:18" ht="27" customHeight="1" x14ac:dyDescent="0.2">
      <c r="B124" s="78" t="s">
        <v>183</v>
      </c>
      <c r="C124" s="79"/>
      <c r="D124" s="79"/>
      <c r="E124" s="79"/>
      <c r="F124" s="79"/>
      <c r="G124" s="79"/>
      <c r="H124" s="79"/>
      <c r="I124" s="79"/>
      <c r="J124" s="79"/>
      <c r="K124" s="79"/>
      <c r="L124" s="79"/>
      <c r="M124" s="79"/>
      <c r="N124" s="79"/>
      <c r="O124" s="80"/>
    </row>
    <row r="125" spans="1:18" s="22" customFormat="1" ht="147" customHeight="1" x14ac:dyDescent="0.25">
      <c r="B125" s="124" t="s">
        <v>184</v>
      </c>
      <c r="C125" s="125"/>
      <c r="D125" s="125"/>
      <c r="E125" s="125"/>
      <c r="F125" s="125"/>
      <c r="G125" s="125"/>
      <c r="H125" s="125"/>
      <c r="I125" s="125"/>
      <c r="J125" s="125"/>
      <c r="K125" s="125"/>
      <c r="L125" s="125"/>
      <c r="M125" s="125"/>
      <c r="N125" s="125"/>
      <c r="O125" s="126"/>
    </row>
    <row r="126" spans="1:18" ht="240.75" customHeight="1" x14ac:dyDescent="0.2">
      <c r="B126" s="113" t="s">
        <v>254</v>
      </c>
      <c r="C126" s="85"/>
      <c r="D126" s="85"/>
      <c r="E126" s="85"/>
      <c r="F126" s="85"/>
      <c r="G126" s="85"/>
      <c r="H126" s="85"/>
      <c r="I126" s="85"/>
      <c r="J126" s="85"/>
      <c r="K126" s="85"/>
      <c r="L126" s="85"/>
      <c r="M126" s="85"/>
      <c r="N126" s="85"/>
      <c r="O126" s="86"/>
    </row>
    <row r="127" spans="1:18" s="14" customFormat="1" ht="237" customHeight="1" x14ac:dyDescent="0.2">
      <c r="B127" s="7">
        <v>23</v>
      </c>
      <c r="C127" s="62" t="s">
        <v>269</v>
      </c>
      <c r="D127" s="63"/>
      <c r="E127" s="7" t="s">
        <v>19</v>
      </c>
      <c r="F127" s="5" t="s">
        <v>15</v>
      </c>
      <c r="G127" s="51">
        <f>SUM(G128:G129)</f>
        <v>7676022.7300000004</v>
      </c>
      <c r="H127" s="51">
        <f t="shared" ref="H127:K127" si="2">SUM(H128:H129)</f>
        <v>1033060.24</v>
      </c>
      <c r="I127" s="51">
        <f t="shared" si="2"/>
        <v>6471654</v>
      </c>
      <c r="J127" s="51" t="s">
        <v>15</v>
      </c>
      <c r="K127" s="51">
        <f t="shared" si="2"/>
        <v>171308.49</v>
      </c>
      <c r="L127" s="4" t="s">
        <v>187</v>
      </c>
      <c r="M127" s="15">
        <v>2018</v>
      </c>
      <c r="N127" s="38" t="s">
        <v>188</v>
      </c>
      <c r="O127" s="7" t="s">
        <v>13</v>
      </c>
      <c r="P127" s="33"/>
      <c r="Q127" s="33"/>
      <c r="R127" s="33"/>
    </row>
    <row r="128" spans="1:18" s="14" customFormat="1" ht="107.25" customHeight="1" x14ac:dyDescent="0.2">
      <c r="B128" s="7">
        <v>23.1</v>
      </c>
      <c r="C128" s="67" t="s">
        <v>185</v>
      </c>
      <c r="D128" s="77"/>
      <c r="E128" s="7" t="s">
        <v>20</v>
      </c>
      <c r="F128" s="5" t="s">
        <v>15</v>
      </c>
      <c r="G128" s="51">
        <f>SUM(H128:K128)</f>
        <v>6534113.2800000003</v>
      </c>
      <c r="H128" s="51">
        <f>ROUND((6534113.28*0.1275),2)</f>
        <v>833099.44</v>
      </c>
      <c r="I128" s="51">
        <f>ROUND((6534113.28*0.85),2)</f>
        <v>5553996.29</v>
      </c>
      <c r="J128" s="51" t="s">
        <v>15</v>
      </c>
      <c r="K128" s="51">
        <f>ROUND((6534113.28*0.0225),2)</f>
        <v>147017.54999999999</v>
      </c>
      <c r="L128" s="4" t="s">
        <v>191</v>
      </c>
      <c r="M128" s="7" t="s">
        <v>189</v>
      </c>
      <c r="N128" s="15">
        <v>2020</v>
      </c>
      <c r="O128" s="7" t="s">
        <v>13</v>
      </c>
      <c r="P128" s="33"/>
      <c r="Q128" s="33"/>
      <c r="R128" s="33"/>
    </row>
    <row r="129" spans="1:18" s="14" customFormat="1" ht="107.25" customHeight="1" x14ac:dyDescent="0.2">
      <c r="B129" s="7">
        <v>23.2</v>
      </c>
      <c r="C129" s="67" t="s">
        <v>186</v>
      </c>
      <c r="D129" s="77"/>
      <c r="E129" s="7" t="s">
        <v>20</v>
      </c>
      <c r="F129" s="5" t="s">
        <v>15</v>
      </c>
      <c r="G129" s="51">
        <f>SUM(H129:K129)</f>
        <v>1141909.45</v>
      </c>
      <c r="H129" s="51">
        <f>ROUND((1079597.31*0.1275),2)+62312.14</f>
        <v>199960.8</v>
      </c>
      <c r="I129" s="51">
        <f>ROUND((1079597.31*0.85),2)</f>
        <v>917657.71</v>
      </c>
      <c r="J129" s="51" t="s">
        <v>15</v>
      </c>
      <c r="K129" s="51">
        <f>ROUND((1079597.31*0.0225),2)</f>
        <v>24290.94</v>
      </c>
      <c r="L129" s="4" t="s">
        <v>192</v>
      </c>
      <c r="M129" s="7" t="s">
        <v>190</v>
      </c>
      <c r="N129" s="15">
        <v>2020</v>
      </c>
      <c r="O129" s="7" t="s">
        <v>13</v>
      </c>
      <c r="P129" s="33"/>
      <c r="Q129" s="33"/>
      <c r="R129" s="33"/>
    </row>
    <row r="130" spans="1:18" ht="37.5" customHeight="1" x14ac:dyDescent="0.2">
      <c r="A130" s="2"/>
      <c r="B130" s="81" t="s">
        <v>41</v>
      </c>
      <c r="C130" s="82"/>
      <c r="D130" s="82"/>
      <c r="E130" s="82"/>
      <c r="F130" s="82"/>
      <c r="G130" s="82"/>
      <c r="H130" s="82"/>
      <c r="I130" s="82"/>
      <c r="J130" s="82"/>
      <c r="K130" s="82"/>
      <c r="L130" s="82"/>
      <c r="M130" s="82"/>
      <c r="N130" s="82"/>
      <c r="O130" s="83"/>
    </row>
    <row r="131" spans="1:18" ht="22.5" customHeight="1" x14ac:dyDescent="0.2">
      <c r="A131" s="2"/>
      <c r="B131" s="30" t="s">
        <v>193</v>
      </c>
      <c r="C131" s="26"/>
      <c r="D131" s="26"/>
      <c r="E131" s="26"/>
      <c r="F131" s="26"/>
      <c r="G131" s="26"/>
      <c r="H131" s="26"/>
      <c r="I131" s="26"/>
      <c r="J131" s="26"/>
      <c r="K131" s="26"/>
      <c r="L131" s="26"/>
      <c r="M131" s="26"/>
      <c r="N131" s="26"/>
      <c r="O131" s="27"/>
    </row>
    <row r="132" spans="1:18" ht="89.25" customHeight="1" x14ac:dyDescent="0.2">
      <c r="A132" s="2"/>
      <c r="B132" s="84" t="s">
        <v>26</v>
      </c>
      <c r="C132" s="85"/>
      <c r="D132" s="85"/>
      <c r="E132" s="85"/>
      <c r="F132" s="85"/>
      <c r="G132" s="85"/>
      <c r="H132" s="85"/>
      <c r="I132" s="85"/>
      <c r="J132" s="85"/>
      <c r="K132" s="85"/>
      <c r="L132" s="85"/>
      <c r="M132" s="85"/>
      <c r="N132" s="85"/>
      <c r="O132" s="86"/>
    </row>
    <row r="133" spans="1:18" ht="172.5" customHeight="1" x14ac:dyDescent="0.2">
      <c r="B133" s="121" t="s">
        <v>235</v>
      </c>
      <c r="C133" s="122"/>
      <c r="D133" s="122"/>
      <c r="E133" s="122"/>
      <c r="F133" s="122"/>
      <c r="G133" s="122"/>
      <c r="H133" s="122"/>
      <c r="I133" s="122"/>
      <c r="J133" s="122"/>
      <c r="K133" s="122"/>
      <c r="L133" s="122"/>
      <c r="M133" s="122"/>
      <c r="N133" s="122"/>
      <c r="O133" s="123"/>
    </row>
    <row r="134" spans="1:18" ht="123" customHeight="1" x14ac:dyDescent="0.2">
      <c r="B134" s="5">
        <v>24</v>
      </c>
      <c r="C134" s="69" t="s">
        <v>270</v>
      </c>
      <c r="D134" s="120"/>
      <c r="E134" s="3" t="s">
        <v>18</v>
      </c>
      <c r="F134" s="5" t="s">
        <v>15</v>
      </c>
      <c r="G134" s="21">
        <f>SUM(G135:G136)</f>
        <v>559829.41</v>
      </c>
      <c r="H134" s="21">
        <f t="shared" ref="H134:K134" si="3">SUM(H135:H136)</f>
        <v>71378.25</v>
      </c>
      <c r="I134" s="21">
        <f t="shared" si="3"/>
        <v>475855</v>
      </c>
      <c r="J134" s="21" t="s">
        <v>15</v>
      </c>
      <c r="K134" s="21">
        <f t="shared" si="3"/>
        <v>12596.16</v>
      </c>
      <c r="L134" s="56" t="s">
        <v>255</v>
      </c>
      <c r="M134" s="15">
        <v>2019</v>
      </c>
      <c r="N134" s="15" t="s">
        <v>210</v>
      </c>
      <c r="O134" s="24" t="s">
        <v>13</v>
      </c>
      <c r="P134" s="42"/>
    </row>
    <row r="135" spans="1:18" ht="107.25" customHeight="1" x14ac:dyDescent="0.2">
      <c r="B135" s="5">
        <v>24.1</v>
      </c>
      <c r="C135" s="69" t="s">
        <v>194</v>
      </c>
      <c r="D135" s="70"/>
      <c r="E135" s="3" t="s">
        <v>18</v>
      </c>
      <c r="F135" s="5" t="s">
        <v>15</v>
      </c>
      <c r="G135" s="21">
        <f>SUM(H135:K135)</f>
        <v>501005.88</v>
      </c>
      <c r="H135" s="21">
        <f>ROUND((501005.88*0.1275),2)</f>
        <v>63878.25</v>
      </c>
      <c r="I135" s="21">
        <f>ROUND((501005.88*0.85),2)</f>
        <v>425855</v>
      </c>
      <c r="J135" s="21" t="s">
        <v>15</v>
      </c>
      <c r="K135" s="21">
        <f>ROUND((501005.88*0.0225),2)</f>
        <v>11272.63</v>
      </c>
      <c r="L135" s="4" t="s">
        <v>205</v>
      </c>
      <c r="M135" s="11" t="s">
        <v>211</v>
      </c>
      <c r="N135" s="15">
        <v>2020</v>
      </c>
      <c r="O135" s="24" t="s">
        <v>13</v>
      </c>
      <c r="P135" s="47"/>
      <c r="Q135" s="45"/>
    </row>
    <row r="136" spans="1:18" ht="117" customHeight="1" x14ac:dyDescent="0.2">
      <c r="B136" s="5">
        <v>24.2</v>
      </c>
      <c r="C136" s="69" t="s">
        <v>195</v>
      </c>
      <c r="D136" s="70"/>
      <c r="E136" s="3" t="s">
        <v>18</v>
      </c>
      <c r="F136" s="5" t="s">
        <v>15</v>
      </c>
      <c r="G136" s="21">
        <f>SUM(H136:K136)</f>
        <v>58823.53</v>
      </c>
      <c r="H136" s="21">
        <f>ROUND((58823.53*0.1275),2)</f>
        <v>7500</v>
      </c>
      <c r="I136" s="21">
        <f>ROUND((58823.53*0.85),2)</f>
        <v>50000</v>
      </c>
      <c r="J136" s="21" t="s">
        <v>15</v>
      </c>
      <c r="K136" s="21">
        <f>ROUND((58823.53*0.0225),2)</f>
        <v>1323.53</v>
      </c>
      <c r="L136" s="4" t="s">
        <v>206</v>
      </c>
      <c r="M136" s="11" t="s">
        <v>211</v>
      </c>
      <c r="N136" s="15">
        <v>2020</v>
      </c>
      <c r="O136" s="24" t="s">
        <v>13</v>
      </c>
      <c r="P136" s="47"/>
      <c r="Q136" s="45"/>
    </row>
    <row r="137" spans="1:18" ht="37.5" customHeight="1" x14ac:dyDescent="0.2">
      <c r="B137" s="109" t="s">
        <v>196</v>
      </c>
      <c r="C137" s="109"/>
      <c r="D137" s="109"/>
      <c r="E137" s="109"/>
      <c r="F137" s="109"/>
      <c r="G137" s="109"/>
      <c r="H137" s="109"/>
      <c r="I137" s="109"/>
      <c r="J137" s="109"/>
      <c r="K137" s="109"/>
      <c r="L137" s="109"/>
      <c r="M137" s="109"/>
      <c r="N137" s="109"/>
      <c r="O137" s="109"/>
      <c r="P137" s="42"/>
    </row>
    <row r="138" spans="1:18" ht="101.25" customHeight="1" x14ac:dyDescent="0.2">
      <c r="B138" s="60" t="s">
        <v>197</v>
      </c>
      <c r="C138" s="60"/>
      <c r="D138" s="60"/>
      <c r="E138" s="60"/>
      <c r="F138" s="60"/>
      <c r="G138" s="60"/>
      <c r="H138" s="60"/>
      <c r="I138" s="60"/>
      <c r="J138" s="60"/>
      <c r="K138" s="60"/>
      <c r="L138" s="60"/>
      <c r="M138" s="60"/>
      <c r="N138" s="60"/>
      <c r="O138" s="60"/>
      <c r="P138" s="42"/>
    </row>
    <row r="139" spans="1:18" ht="96.75" customHeight="1" x14ac:dyDescent="0.2">
      <c r="B139" s="64" t="s">
        <v>236</v>
      </c>
      <c r="C139" s="65"/>
      <c r="D139" s="65"/>
      <c r="E139" s="65"/>
      <c r="F139" s="65"/>
      <c r="G139" s="65"/>
      <c r="H139" s="65"/>
      <c r="I139" s="65"/>
      <c r="J139" s="65"/>
      <c r="K139" s="65"/>
      <c r="L139" s="65"/>
      <c r="M139" s="65"/>
      <c r="N139" s="65"/>
      <c r="O139" s="66"/>
      <c r="P139" s="42"/>
    </row>
    <row r="140" spans="1:18" s="14" customFormat="1" ht="90" customHeight="1" x14ac:dyDescent="0.2">
      <c r="B140" s="7">
        <v>25</v>
      </c>
      <c r="C140" s="67" t="s">
        <v>271</v>
      </c>
      <c r="D140" s="68"/>
      <c r="E140" s="3" t="s">
        <v>18</v>
      </c>
      <c r="F140" s="7" t="s">
        <v>15</v>
      </c>
      <c r="G140" s="12">
        <f>SUM(H140:K140)</f>
        <v>186554.12</v>
      </c>
      <c r="H140" s="12">
        <f>H141</f>
        <v>23785.65</v>
      </c>
      <c r="I140" s="12">
        <f>I141</f>
        <v>158571</v>
      </c>
      <c r="J140" s="12" t="s">
        <v>15</v>
      </c>
      <c r="K140" s="12">
        <f>K141</f>
        <v>4197.47</v>
      </c>
      <c r="L140" s="56" t="s">
        <v>204</v>
      </c>
      <c r="M140" s="15">
        <v>2019</v>
      </c>
      <c r="N140" s="15" t="s">
        <v>212</v>
      </c>
      <c r="O140" s="24" t="s">
        <v>13</v>
      </c>
      <c r="P140" s="43"/>
    </row>
    <row r="141" spans="1:18" s="14" customFormat="1" ht="125.25" customHeight="1" x14ac:dyDescent="0.2">
      <c r="B141" s="5">
        <v>25.1</v>
      </c>
      <c r="C141" s="69" t="s">
        <v>198</v>
      </c>
      <c r="D141" s="70"/>
      <c r="E141" s="3" t="s">
        <v>18</v>
      </c>
      <c r="F141" s="5" t="s">
        <v>15</v>
      </c>
      <c r="G141" s="21">
        <f>SUM(H141:K141)</f>
        <v>186554.12</v>
      </c>
      <c r="H141" s="21">
        <f>ROUND((186554.12*0.1275),2)</f>
        <v>23785.65</v>
      </c>
      <c r="I141" s="21">
        <f>ROUND((186554.12*0.85),2)</f>
        <v>158571</v>
      </c>
      <c r="J141" s="21" t="s">
        <v>15</v>
      </c>
      <c r="K141" s="21">
        <f>ROUND((186554.12*0.0225),2)</f>
        <v>4197.47</v>
      </c>
      <c r="L141" s="4" t="s">
        <v>207</v>
      </c>
      <c r="M141" s="11" t="s">
        <v>211</v>
      </c>
      <c r="N141" s="15">
        <v>2020</v>
      </c>
      <c r="O141" s="24" t="s">
        <v>13</v>
      </c>
      <c r="P141" s="46"/>
    </row>
    <row r="142" spans="1:18" ht="37.5" customHeight="1" x14ac:dyDescent="0.2">
      <c r="B142" s="109" t="s">
        <v>200</v>
      </c>
      <c r="C142" s="109"/>
      <c r="D142" s="109"/>
      <c r="E142" s="109"/>
      <c r="F142" s="109"/>
      <c r="G142" s="109"/>
      <c r="H142" s="109"/>
      <c r="I142" s="109"/>
      <c r="J142" s="109"/>
      <c r="K142" s="109"/>
      <c r="L142" s="109"/>
      <c r="M142" s="109"/>
      <c r="N142" s="109"/>
      <c r="O142" s="109"/>
      <c r="P142" s="42"/>
    </row>
    <row r="143" spans="1:18" ht="101.25" customHeight="1" x14ac:dyDescent="0.2">
      <c r="B143" s="60" t="s">
        <v>199</v>
      </c>
      <c r="C143" s="60"/>
      <c r="D143" s="60"/>
      <c r="E143" s="60"/>
      <c r="F143" s="60"/>
      <c r="G143" s="60"/>
      <c r="H143" s="60"/>
      <c r="I143" s="60"/>
      <c r="J143" s="60"/>
      <c r="K143" s="60"/>
      <c r="L143" s="60"/>
      <c r="M143" s="60"/>
      <c r="N143" s="60"/>
      <c r="O143" s="60"/>
      <c r="P143" s="42"/>
    </row>
    <row r="144" spans="1:18" ht="138" customHeight="1" x14ac:dyDescent="0.2">
      <c r="B144" s="64" t="s">
        <v>237</v>
      </c>
      <c r="C144" s="65"/>
      <c r="D144" s="65"/>
      <c r="E144" s="65"/>
      <c r="F144" s="65"/>
      <c r="G144" s="65"/>
      <c r="H144" s="65"/>
      <c r="I144" s="65"/>
      <c r="J144" s="65"/>
      <c r="K144" s="65"/>
      <c r="L144" s="65"/>
      <c r="M144" s="65"/>
      <c r="N144" s="65"/>
      <c r="O144" s="66"/>
      <c r="P144" s="42"/>
    </row>
    <row r="145" spans="2:16" s="14" customFormat="1" ht="177.75" customHeight="1" x14ac:dyDescent="0.2">
      <c r="B145" s="7">
        <v>26</v>
      </c>
      <c r="C145" s="67" t="s">
        <v>272</v>
      </c>
      <c r="D145" s="68"/>
      <c r="E145" s="3" t="s">
        <v>18</v>
      </c>
      <c r="F145" s="7" t="s">
        <v>15</v>
      </c>
      <c r="G145" s="12">
        <f>SUM(G146:G147)</f>
        <v>666207.05999999994</v>
      </c>
      <c r="H145" s="12">
        <f t="shared" ref="H145:K145" si="4">SUM(H146:H147)</f>
        <v>84941.4</v>
      </c>
      <c r="I145" s="12">
        <f t="shared" si="4"/>
        <v>566276</v>
      </c>
      <c r="J145" s="12" t="s">
        <v>15</v>
      </c>
      <c r="K145" s="12">
        <f t="shared" si="4"/>
        <v>14989.66</v>
      </c>
      <c r="L145" s="56" t="s">
        <v>203</v>
      </c>
      <c r="M145" s="15">
        <v>2020</v>
      </c>
      <c r="N145" s="15" t="s">
        <v>213</v>
      </c>
      <c r="O145" s="24" t="s">
        <v>13</v>
      </c>
      <c r="P145" s="43"/>
    </row>
    <row r="146" spans="2:16" s="14" customFormat="1" ht="120.75" customHeight="1" x14ac:dyDescent="0.2">
      <c r="B146" s="5">
        <v>26.1</v>
      </c>
      <c r="C146" s="69" t="s">
        <v>201</v>
      </c>
      <c r="D146" s="70"/>
      <c r="E146" s="3" t="s">
        <v>18</v>
      </c>
      <c r="F146" s="5" t="s">
        <v>15</v>
      </c>
      <c r="G146" s="21">
        <f>SUM(H146:K146)</f>
        <v>525952.93999999994</v>
      </c>
      <c r="H146" s="21">
        <f>ROUND((525952.94*0.1275),2)</f>
        <v>67059</v>
      </c>
      <c r="I146" s="21">
        <f>ROUND((525952.94*0.85),2)</f>
        <v>447060</v>
      </c>
      <c r="J146" s="21" t="s">
        <v>15</v>
      </c>
      <c r="K146" s="21">
        <f>ROUND((525952.94*0.0225),2)</f>
        <v>11833.94</v>
      </c>
      <c r="L146" s="4" t="s">
        <v>208</v>
      </c>
      <c r="M146" s="15" t="s">
        <v>214</v>
      </c>
      <c r="N146" s="15">
        <v>2021</v>
      </c>
      <c r="O146" s="24" t="s">
        <v>13</v>
      </c>
      <c r="P146" s="46"/>
    </row>
    <row r="147" spans="2:16" s="14" customFormat="1" ht="123.75" customHeight="1" x14ac:dyDescent="0.2">
      <c r="B147" s="5">
        <v>26.2</v>
      </c>
      <c r="C147" s="69" t="s">
        <v>202</v>
      </c>
      <c r="D147" s="70"/>
      <c r="E147" s="3" t="s">
        <v>18</v>
      </c>
      <c r="F147" s="5" t="s">
        <v>15</v>
      </c>
      <c r="G147" s="21">
        <f>SUM(H147:K147)</f>
        <v>140254.12</v>
      </c>
      <c r="H147" s="21">
        <f>ROUND((140254.12*0.1275),2)</f>
        <v>17882.400000000001</v>
      </c>
      <c r="I147" s="21">
        <f>ROUND((140254.12*0.85),2)</f>
        <v>119216</v>
      </c>
      <c r="J147" s="21" t="s">
        <v>15</v>
      </c>
      <c r="K147" s="21">
        <f>ROUND((140254.12*0.0225),2)</f>
        <v>3155.72</v>
      </c>
      <c r="L147" s="4" t="s">
        <v>209</v>
      </c>
      <c r="M147" s="15" t="s">
        <v>214</v>
      </c>
      <c r="N147" s="15">
        <v>2021</v>
      </c>
      <c r="O147" s="24" t="s">
        <v>13</v>
      </c>
      <c r="P147" s="46"/>
    </row>
    <row r="148" spans="2:16" ht="12.75" customHeight="1" x14ac:dyDescent="0.2">
      <c r="B148" s="9" t="s">
        <v>215</v>
      </c>
      <c r="C148" s="9"/>
      <c r="D148" s="9"/>
      <c r="E148" s="9"/>
      <c r="F148" s="9"/>
      <c r="G148" s="9"/>
      <c r="H148" s="8"/>
      <c r="I148" s="8"/>
      <c r="J148" s="8"/>
      <c r="K148" s="8"/>
      <c r="L148" s="8"/>
      <c r="M148" s="8"/>
      <c r="N148" s="8"/>
      <c r="O148" s="8"/>
    </row>
    <row r="149" spans="2:16" x14ac:dyDescent="0.2">
      <c r="B149" s="9" t="s">
        <v>14</v>
      </c>
      <c r="C149" s="9"/>
      <c r="D149" s="9"/>
      <c r="E149" s="9"/>
      <c r="F149" s="9"/>
      <c r="G149" s="10"/>
      <c r="H149" s="10"/>
      <c r="I149" s="10"/>
      <c r="J149" s="10"/>
      <c r="K149" s="10"/>
      <c r="L149" s="10"/>
      <c r="M149" s="10"/>
      <c r="N149" s="10"/>
      <c r="O149" s="10"/>
    </row>
    <row r="150" spans="2:16" x14ac:dyDescent="0.2">
      <c r="B150" s="10" t="s">
        <v>43</v>
      </c>
      <c r="C150" s="9"/>
      <c r="D150" s="9"/>
      <c r="E150" s="9"/>
      <c r="F150" s="9"/>
      <c r="G150" s="10"/>
      <c r="H150" s="10"/>
      <c r="I150" s="10"/>
      <c r="J150" s="10"/>
      <c r="K150" s="10"/>
      <c r="L150" s="10"/>
      <c r="M150" s="10"/>
      <c r="N150" s="10"/>
      <c r="O150" s="10"/>
    </row>
    <row r="151" spans="2:16" x14ac:dyDescent="0.2">
      <c r="B151" s="10" t="s">
        <v>42</v>
      </c>
      <c r="C151" s="10"/>
      <c r="D151" s="10"/>
      <c r="E151" s="10"/>
      <c r="F151" s="10"/>
      <c r="G151" s="10"/>
      <c r="H151" s="10"/>
      <c r="I151" s="10"/>
      <c r="J151" s="10"/>
      <c r="K151" s="10"/>
      <c r="L151" s="10"/>
      <c r="M151" s="10"/>
      <c r="N151" s="10"/>
      <c r="O151" s="10"/>
    </row>
  </sheetData>
  <mergeCells count="153">
    <mergeCell ref="B81:O81"/>
    <mergeCell ref="B82:O82"/>
    <mergeCell ref="B62:O62"/>
    <mergeCell ref="C48:D48"/>
    <mergeCell ref="B45:O45"/>
    <mergeCell ref="C63:D63"/>
    <mergeCell ref="B75:O75"/>
    <mergeCell ref="B76:O76"/>
    <mergeCell ref="B77:O77"/>
    <mergeCell ref="C78:D78"/>
    <mergeCell ref="B55:O55"/>
    <mergeCell ref="B56:O56"/>
    <mergeCell ref="B57:O57"/>
    <mergeCell ref="C58:D58"/>
    <mergeCell ref="C59:D59"/>
    <mergeCell ref="C145:D145"/>
    <mergeCell ref="C134:D134"/>
    <mergeCell ref="B104:O104"/>
    <mergeCell ref="B108:O108"/>
    <mergeCell ref="C99:D99"/>
    <mergeCell ref="C101:D101"/>
    <mergeCell ref="B115:O115"/>
    <mergeCell ref="C116:D116"/>
    <mergeCell ref="C117:D117"/>
    <mergeCell ref="C105:D105"/>
    <mergeCell ref="C106:D106"/>
    <mergeCell ref="B113:O113"/>
    <mergeCell ref="B114:O114"/>
    <mergeCell ref="B109:O109"/>
    <mergeCell ref="B110:O110"/>
    <mergeCell ref="C111:D111"/>
    <mergeCell ref="B133:O133"/>
    <mergeCell ref="B126:O126"/>
    <mergeCell ref="B125:O125"/>
    <mergeCell ref="B137:O137"/>
    <mergeCell ref="C112:D112"/>
    <mergeCell ref="C107:D107"/>
    <mergeCell ref="B118:O118"/>
    <mergeCell ref="B119:O119"/>
    <mergeCell ref="C39:D39"/>
    <mergeCell ref="B71:O71"/>
    <mergeCell ref="B72:O72"/>
    <mergeCell ref="B96:O96"/>
    <mergeCell ref="B97:O97"/>
    <mergeCell ref="B50:O50"/>
    <mergeCell ref="B51:O51"/>
    <mergeCell ref="B52:O52"/>
    <mergeCell ref="C53:D53"/>
    <mergeCell ref="C54:D54"/>
    <mergeCell ref="C64:D64"/>
    <mergeCell ref="B40:O40"/>
    <mergeCell ref="B41:O41"/>
    <mergeCell ref="B42:O42"/>
    <mergeCell ref="B90:O90"/>
    <mergeCell ref="C83:D83"/>
    <mergeCell ref="B46:O46"/>
    <mergeCell ref="B47:O47"/>
    <mergeCell ref="B60:O60"/>
    <mergeCell ref="B61:O61"/>
    <mergeCell ref="C43:D43"/>
    <mergeCell ref="C84:D84"/>
    <mergeCell ref="B93:O93"/>
    <mergeCell ref="B80:O80"/>
    <mergeCell ref="B19:O19"/>
    <mergeCell ref="B20:O20"/>
    <mergeCell ref="B21:O21"/>
    <mergeCell ref="C22:D22"/>
    <mergeCell ref="C23:D23"/>
    <mergeCell ref="B35:O35"/>
    <mergeCell ref="B36:O36"/>
    <mergeCell ref="B37:O37"/>
    <mergeCell ref="C38:D38"/>
    <mergeCell ref="B34:O34"/>
    <mergeCell ref="B25:O25"/>
    <mergeCell ref="B29:O29"/>
    <mergeCell ref="B26:O26"/>
    <mergeCell ref="B30:O30"/>
    <mergeCell ref="B31:O31"/>
    <mergeCell ref="C28:D28"/>
    <mergeCell ref="C27:D27"/>
    <mergeCell ref="C32:D32"/>
    <mergeCell ref="C33:D33"/>
    <mergeCell ref="C147:D147"/>
    <mergeCell ref="B130:O130"/>
    <mergeCell ref="B132:O132"/>
    <mergeCell ref="B142:O142"/>
    <mergeCell ref="B143:O143"/>
    <mergeCell ref="B144:O144"/>
    <mergeCell ref="C135:D135"/>
    <mergeCell ref="H5:K5"/>
    <mergeCell ref="L5:L6"/>
    <mergeCell ref="M5:N5"/>
    <mergeCell ref="O5:O6"/>
    <mergeCell ref="B7:O7"/>
    <mergeCell ref="B8:O8"/>
    <mergeCell ref="C13:D13"/>
    <mergeCell ref="B9:O9"/>
    <mergeCell ref="B10:O10"/>
    <mergeCell ref="C11:D11"/>
    <mergeCell ref="C12:D12"/>
    <mergeCell ref="C128:D128"/>
    <mergeCell ref="C73:D73"/>
    <mergeCell ref="C74:D74"/>
    <mergeCell ref="C79:D79"/>
    <mergeCell ref="C94:D94"/>
    <mergeCell ref="C95:D95"/>
    <mergeCell ref="C146:D146"/>
    <mergeCell ref="L1:O1"/>
    <mergeCell ref="L2:O2"/>
    <mergeCell ref="L3:O3"/>
    <mergeCell ref="B65:O65"/>
    <mergeCell ref="B66:O66"/>
    <mergeCell ref="B67:O67"/>
    <mergeCell ref="B70:O70"/>
    <mergeCell ref="C49:D49"/>
    <mergeCell ref="C68:D68"/>
    <mergeCell ref="C69:D69"/>
    <mergeCell ref="C44:D44"/>
    <mergeCell ref="B4:O4"/>
    <mergeCell ref="B5:B6"/>
    <mergeCell ref="C5:D6"/>
    <mergeCell ref="E5:E6"/>
    <mergeCell ref="F5:F6"/>
    <mergeCell ref="G5:G6"/>
    <mergeCell ref="B14:O14"/>
    <mergeCell ref="B15:O15"/>
    <mergeCell ref="B16:O16"/>
    <mergeCell ref="C18:D18"/>
    <mergeCell ref="C17:D17"/>
    <mergeCell ref="B24:O24"/>
    <mergeCell ref="B85:O85"/>
    <mergeCell ref="B86:O86"/>
    <mergeCell ref="B87:O87"/>
    <mergeCell ref="C88:D88"/>
    <mergeCell ref="C89:D89"/>
    <mergeCell ref="B138:O138"/>
    <mergeCell ref="B139:O139"/>
    <mergeCell ref="C140:D140"/>
    <mergeCell ref="C141:D141"/>
    <mergeCell ref="C127:D127"/>
    <mergeCell ref="C136:D136"/>
    <mergeCell ref="B120:O120"/>
    <mergeCell ref="C121:D121"/>
    <mergeCell ref="C122:D122"/>
    <mergeCell ref="C100:D100"/>
    <mergeCell ref="C129:D129"/>
    <mergeCell ref="B124:O124"/>
    <mergeCell ref="B123:O123"/>
    <mergeCell ref="B103:O103"/>
    <mergeCell ref="B102:O102"/>
    <mergeCell ref="B98:O98"/>
    <mergeCell ref="B91:O91"/>
    <mergeCell ref="B92:O92"/>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Liene Zalkovska</cp:lastModifiedBy>
  <cp:lastPrinted>2018-07-23T08:57:35Z</cp:lastPrinted>
  <dcterms:created xsi:type="dcterms:W3CDTF">2015-12-03T10:23:45Z</dcterms:created>
  <dcterms:modified xsi:type="dcterms:W3CDTF">2018-07-30T08:32:26Z</dcterms:modified>
</cp:coreProperties>
</file>