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omes_sede\projekti\DS_2018_12_20\LAnteina_Investīciju_plans\"/>
    </mc:Choice>
  </mc:AlternateContent>
  <bookViews>
    <workbookView xWindow="0" yWindow="0" windowWidth="28800" windowHeight="11700"/>
  </bookViews>
  <sheets>
    <sheet name="2019-2022" sheetId="1" r:id="rId1"/>
  </sheets>
  <definedNames>
    <definedName name="_xlnm._FilterDatabase" localSheetId="0" hidden="1">'2019-2022'!$A$14:$CG$231</definedName>
    <definedName name="_xlnm.Print_Area" localSheetId="0">'2019-2022'!$A$1:$Q$233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4" i="1" l="1"/>
  <c r="I94" i="1" s="1"/>
  <c r="M94" i="1" s="1"/>
  <c r="I188" i="1"/>
  <c r="M188" i="1" s="1"/>
  <c r="I187" i="1"/>
  <c r="M187" i="1" s="1"/>
  <c r="I186" i="1"/>
  <c r="M186" i="1" s="1"/>
  <c r="M130" i="1" l="1"/>
  <c r="L130" i="1"/>
  <c r="K130" i="1"/>
  <c r="J130" i="1"/>
  <c r="I130" i="1"/>
  <c r="H130" i="1"/>
  <c r="G130" i="1"/>
  <c r="F130" i="1"/>
  <c r="E130" i="1"/>
  <c r="D130" i="1"/>
  <c r="M40" i="1"/>
  <c r="L40" i="1"/>
  <c r="K40" i="1"/>
  <c r="J40" i="1"/>
  <c r="I40" i="1"/>
  <c r="H40" i="1"/>
  <c r="G40" i="1"/>
  <c r="F40" i="1"/>
  <c r="E40" i="1"/>
  <c r="D40" i="1"/>
  <c r="M14" i="1"/>
  <c r="L14" i="1"/>
  <c r="K14" i="1"/>
  <c r="J14" i="1"/>
  <c r="I14" i="1"/>
  <c r="H14" i="1"/>
  <c r="G14" i="1"/>
  <c r="F14" i="1"/>
  <c r="E14" i="1"/>
  <c r="D14" i="1"/>
  <c r="D13" i="1" l="1"/>
  <c r="J224" i="1"/>
  <c r="H224" i="1"/>
  <c r="D224" i="1"/>
  <c r="I224" i="1" s="1"/>
  <c r="M224" i="1" l="1"/>
  <c r="M203" i="1" l="1"/>
  <c r="M202" i="1"/>
  <c r="I199" i="1"/>
  <c r="M199" i="1" s="1"/>
  <c r="I198" i="1"/>
  <c r="M198" i="1" s="1"/>
  <c r="D198" i="1"/>
  <c r="I161" i="1" l="1"/>
  <c r="M161" i="1" s="1"/>
  <c r="M127" i="1"/>
  <c r="M126" i="1"/>
  <c r="M18" i="1" l="1"/>
  <c r="J230" i="1" l="1"/>
  <c r="M230" i="1" s="1"/>
  <c r="J229" i="1"/>
  <c r="D39" i="1" l="1"/>
  <c r="D73" i="1"/>
  <c r="I97" i="1" l="1"/>
  <c r="M97" i="1" s="1"/>
  <c r="I96" i="1"/>
  <c r="M96" i="1" s="1"/>
  <c r="M27" i="1"/>
  <c r="I227" i="1"/>
  <c r="M227" i="1" s="1"/>
  <c r="M120" i="1"/>
  <c r="I152" i="1"/>
  <c r="M152" i="1" s="1"/>
  <c r="I140" i="1"/>
  <c r="M140" i="1" s="1"/>
  <c r="I201" i="1" l="1"/>
  <c r="M201" i="1" s="1"/>
  <c r="D200" i="1"/>
  <c r="I101" i="1" l="1"/>
  <c r="I211" i="1"/>
  <c r="M211" i="1" s="1"/>
  <c r="D232" i="1"/>
  <c r="D177" i="1"/>
  <c r="D173" i="1"/>
  <c r="D137" i="1" l="1"/>
  <c r="I137" i="1" s="1"/>
  <c r="M137" i="1" s="1"/>
  <c r="I125" i="1"/>
  <c r="M125" i="1" s="1"/>
  <c r="I119" i="1"/>
  <c r="M119" i="1" s="1"/>
  <c r="D61" i="1"/>
  <c r="D30" i="1"/>
  <c r="I61" i="1" l="1"/>
  <c r="I53" i="1"/>
  <c r="J209" i="1" l="1"/>
  <c r="D67" i="1" l="1"/>
  <c r="M25" i="1" l="1"/>
  <c r="M24" i="1"/>
  <c r="M229" i="1" l="1"/>
  <c r="I116" i="1" l="1"/>
  <c r="M116" i="1" s="1"/>
  <c r="I114" i="1"/>
  <c r="M114" i="1" s="1"/>
  <c r="M138" i="1"/>
  <c r="I142" i="1"/>
  <c r="M142" i="1" s="1"/>
  <c r="M93" i="1"/>
  <c r="I92" i="1"/>
  <c r="I85" i="1"/>
  <c r="M85" i="1" s="1"/>
  <c r="M74" i="1"/>
  <c r="I73" i="1"/>
  <c r="I76" i="1"/>
  <c r="I75" i="1"/>
  <c r="I32" i="1"/>
  <c r="M32" i="1" s="1"/>
  <c r="K30" i="1"/>
  <c r="J30" i="1"/>
  <c r="I30" i="1"/>
  <c r="M36" i="1"/>
  <c r="M35" i="1"/>
  <c r="M73" i="1" l="1"/>
  <c r="M92" i="1"/>
  <c r="I26" i="1"/>
  <c r="M26" i="1" s="1"/>
  <c r="M75" i="1"/>
  <c r="M76" i="1"/>
  <c r="M30" i="1"/>
  <c r="F99" i="1" l="1"/>
  <c r="H99" i="1"/>
  <c r="J99" i="1"/>
  <c r="I99" i="1" l="1"/>
  <c r="M99" i="1" s="1"/>
  <c r="I83" i="1"/>
  <c r="M83" i="1" s="1"/>
  <c r="M87" i="1"/>
  <c r="I86" i="1"/>
  <c r="M86" i="1" l="1"/>
  <c r="I232" i="1"/>
  <c r="M232" i="1" s="1"/>
  <c r="I191" i="1" l="1"/>
  <c r="D51" i="1"/>
  <c r="I52" i="1"/>
  <c r="M52" i="1" s="1"/>
  <c r="I51" i="1" l="1"/>
  <c r="M51" i="1" s="1"/>
  <c r="M178" i="1" l="1"/>
  <c r="I200" i="1" l="1"/>
  <c r="I54" i="1" l="1"/>
  <c r="M54" i="1" s="1"/>
  <c r="M53" i="1" l="1"/>
  <c r="I57" i="1"/>
  <c r="M57" i="1"/>
  <c r="M72" i="1" l="1"/>
  <c r="M71" i="1"/>
  <c r="M183" i="1"/>
  <c r="I62" i="1" l="1"/>
  <c r="I59" i="1"/>
  <c r="M59" i="1" s="1"/>
  <c r="I55" i="1"/>
  <c r="I50" i="1"/>
  <c r="M50" i="1" s="1"/>
  <c r="I49" i="1"/>
  <c r="M49" i="1" s="1"/>
  <c r="I47" i="1"/>
  <c r="I48" i="1"/>
  <c r="M48" i="1"/>
  <c r="I223" i="1"/>
  <c r="M223" i="1" s="1"/>
  <c r="I221" i="1"/>
  <c r="M221" i="1" s="1"/>
  <c r="I219" i="1"/>
  <c r="M219" i="1" s="1"/>
  <c r="I217" i="1"/>
  <c r="M217" i="1" s="1"/>
  <c r="I168" i="1"/>
  <c r="M168" i="1" s="1"/>
  <c r="I78" i="1"/>
  <c r="M78" i="1" s="1"/>
  <c r="I46" i="1"/>
  <c r="M46" i="1" s="1"/>
  <c r="I43" i="1"/>
  <c r="I177" i="1" l="1"/>
  <c r="I176" i="1" l="1"/>
  <c r="I196" i="1" l="1"/>
  <c r="M196" i="1" s="1"/>
  <c r="M200" i="1" l="1"/>
  <c r="M204" i="1" l="1"/>
  <c r="I194" i="1"/>
  <c r="M194" i="1" s="1"/>
  <c r="I193" i="1"/>
  <c r="M193" i="1" s="1"/>
  <c r="I192" i="1"/>
  <c r="I128" i="1"/>
  <c r="M128" i="1" s="1"/>
  <c r="I151" i="1"/>
  <c r="I173" i="1"/>
  <c r="I226" i="1"/>
  <c r="I216" i="1"/>
  <c r="M216" i="1" s="1"/>
  <c r="I218" i="1"/>
  <c r="I37" i="1"/>
  <c r="M226" i="1" l="1"/>
  <c r="M192" i="1"/>
  <c r="M173" i="1"/>
  <c r="I145" i="1"/>
  <c r="M37" i="1"/>
  <c r="M145" i="1" l="1"/>
  <c r="I20" i="1"/>
  <c r="M20" i="1" s="1"/>
  <c r="J19" i="1"/>
  <c r="H19" i="1"/>
  <c r="F19" i="1"/>
  <c r="M17" i="1"/>
  <c r="I90" i="1" l="1"/>
  <c r="M90" i="1" s="1"/>
  <c r="I111" i="1"/>
  <c r="M111" i="1" s="1"/>
  <c r="I109" i="1"/>
  <c r="M109" i="1" s="1"/>
  <c r="M107" i="1"/>
  <c r="I107" i="1"/>
  <c r="I105" i="1"/>
  <c r="M105" i="1" s="1"/>
  <c r="H103" i="1"/>
  <c r="I68" i="1"/>
  <c r="M68" i="1" s="1"/>
  <c r="I67" i="1"/>
  <c r="M67" i="1" s="1"/>
  <c r="I66" i="1"/>
  <c r="M66" i="1" s="1"/>
  <c r="I65" i="1"/>
  <c r="M65" i="1" s="1"/>
  <c r="I70" i="1"/>
  <c r="M70" i="1" s="1"/>
  <c r="I69" i="1"/>
  <c r="I124" i="1"/>
  <c r="I182" i="1"/>
  <c r="M182" i="1" s="1"/>
  <c r="H231" i="1"/>
  <c r="J231" i="1"/>
  <c r="M69" i="1" l="1"/>
  <c r="I103" i="1"/>
  <c r="M103" i="1" s="1"/>
  <c r="M124" i="1"/>
  <c r="I207" i="1"/>
  <c r="M207" i="1" s="1"/>
  <c r="I214" i="1"/>
  <c r="I39" i="1"/>
  <c r="M39" i="1" l="1"/>
  <c r="M214" i="1"/>
  <c r="I144" i="1" l="1"/>
  <c r="M144" i="1" s="1"/>
  <c r="I147" i="1"/>
  <c r="M147" i="1" s="1"/>
  <c r="M170" i="1" l="1"/>
  <c r="M169" i="1"/>
  <c r="I150" i="1"/>
  <c r="I149" i="1"/>
  <c r="I133" i="1"/>
  <c r="M28" i="1" l="1"/>
  <c r="I122" i="1"/>
  <c r="M122" i="1" l="1"/>
  <c r="M101" i="1"/>
  <c r="I222" i="1" l="1"/>
  <c r="I220" i="1"/>
  <c r="I215" i="1"/>
  <c r="M215" i="1" s="1"/>
  <c r="I190" i="1"/>
  <c r="M190" i="1" s="1"/>
  <c r="I167" i="1"/>
  <c r="I156" i="1"/>
  <c r="M156" i="1" s="1"/>
  <c r="I155" i="1"/>
  <c r="I118" i="1"/>
  <c r="I171" i="1"/>
  <c r="M220" i="1" l="1"/>
  <c r="M171" i="1"/>
  <c r="I159" i="1"/>
  <c r="I45" i="1"/>
  <c r="M118" i="1"/>
  <c r="I163" i="1"/>
  <c r="M222" i="1"/>
  <c r="M167" i="1"/>
  <c r="I157" i="1"/>
  <c r="I165" i="1"/>
  <c r="M45" i="1" l="1"/>
  <c r="M155" i="1"/>
  <c r="M163" i="1"/>
  <c r="M43" i="1"/>
  <c r="M157" i="1"/>
  <c r="M159" i="1"/>
  <c r="M165" i="1"/>
  <c r="I185" i="1"/>
  <c r="M185" i="1" s="1"/>
  <c r="I184" i="1"/>
  <c r="M177" i="1"/>
  <c r="M176" i="1" l="1"/>
  <c r="M184" i="1"/>
  <c r="M180" i="1"/>
  <c r="I153" i="1"/>
  <c r="M153" i="1" l="1"/>
  <c r="I231" i="1"/>
  <c r="M231" i="1" s="1"/>
  <c r="M209" i="1"/>
  <c r="M149" i="1"/>
  <c r="I136" i="1"/>
  <c r="I135" i="1"/>
  <c r="I134" i="1"/>
  <c r="I88" i="1"/>
  <c r="M88" i="1" s="1"/>
  <c r="I82" i="1"/>
  <c r="M82" i="1" s="1"/>
  <c r="I81" i="1"/>
  <c r="M81" i="1" s="1"/>
  <c r="I64" i="1"/>
  <c r="I63" i="1"/>
  <c r="M62" i="1"/>
  <c r="M61" i="1"/>
  <c r="I56" i="1"/>
  <c r="M56" i="1" s="1"/>
  <c r="I23" i="1"/>
  <c r="I22" i="1"/>
  <c r="M63" i="1" l="1"/>
  <c r="M218" i="1"/>
  <c r="M47" i="1"/>
  <c r="M55" i="1"/>
  <c r="E13" i="1"/>
  <c r="M151" i="1"/>
  <c r="M22" i="1"/>
  <c r="M135" i="1"/>
  <c r="M136" i="1"/>
  <c r="G13" i="1"/>
  <c r="F13" i="1"/>
  <c r="M133" i="1"/>
  <c r="I19" i="1"/>
  <c r="H13" i="1"/>
  <c r="M23" i="1"/>
  <c r="M134" i="1"/>
  <c r="M64" i="1"/>
  <c r="M19" i="1" l="1"/>
  <c r="K13" i="1"/>
  <c r="J13" i="1"/>
  <c r="L13" i="1" l="1"/>
  <c r="I13" i="1"/>
  <c r="M13" i="1" l="1"/>
</calcChain>
</file>

<file path=xl/sharedStrings.xml><?xml version="1.0" encoding="utf-8"?>
<sst xmlns="http://schemas.openxmlformats.org/spreadsheetml/2006/main" count="760" uniqueCount="389">
  <si>
    <t>N.p.k.</t>
  </si>
  <si>
    <t>Projekta nosaukums</t>
  </si>
  <si>
    <t>Projekta izmaksas KOPĀ</t>
  </si>
  <si>
    <t>Prognozējamie sagaidāmie projekta rezultāti/ piezīmes</t>
  </si>
  <si>
    <t>Projekta ieviešanas laiks</t>
  </si>
  <si>
    <t>Par projekta ieviešanu atbildīgā struktūrvienība, iestāde, kapitālsabiedrība</t>
  </si>
  <si>
    <t>Finanšu instrumenti</t>
  </si>
  <si>
    <t>Pašvaldības budžeta līdzekļi</t>
  </si>
  <si>
    <t>Pašvaldības ņemtie kredītlīdzekļi</t>
  </si>
  <si>
    <t>Eiropas Savienības un cits ārējais finansējums</t>
  </si>
  <si>
    <t>Valsts finansējums</t>
  </si>
  <si>
    <t>cits finansējums</t>
  </si>
  <si>
    <t xml:space="preserve">Kopā </t>
  </si>
  <si>
    <t>KOPĀ INVESTĪCIJAS</t>
  </si>
  <si>
    <t>M1 : Kūrorts un tikšanās vieta</t>
  </si>
  <si>
    <t>Veselības tūrisma attīstība</t>
  </si>
  <si>
    <t>P.1.5.</t>
  </si>
  <si>
    <t>Jūrmalas slimnīcas ēkas atjaunošana (Bauskas iela 5A, Jūrmala)</t>
  </si>
  <si>
    <t>Veikta Jūrmalas slimnīcas ēkas atjaunošana - nodrošināti rehabilitācijas pakalpojumi, kā arī attīstīti sportistu rehabilitācijas pakalpojumi.</t>
  </si>
  <si>
    <t>2016-2019</t>
  </si>
  <si>
    <t>SIA ''Jūrmalas slimnīca'', Īpašumu pārvaldes Kapitāla daļu pārvaldīšanas nodaļa</t>
  </si>
  <si>
    <t>t.sk.  projektēšana</t>
  </si>
  <si>
    <t>Veselības tūrisma infrastruktūras uzlabošana Jūrmalas slimnīcā</t>
  </si>
  <si>
    <t>2016-2020</t>
  </si>
  <si>
    <t>2019-2020</t>
  </si>
  <si>
    <t>Īpašumu pārvaldes Pilsētsaimniecības un labiekārtošanas nodaļa</t>
  </si>
  <si>
    <t>Aktīvā un dabas tūrisma attīstība</t>
  </si>
  <si>
    <t>P.1.6.</t>
  </si>
  <si>
    <t>2019</t>
  </si>
  <si>
    <t>Daudzfunkcionāla dabas tūrisma centra jaunbūve un meža parka labiekārtojums Ķemeros (ITI SAM 5.6.2.)</t>
  </si>
  <si>
    <t>2016-2021</t>
  </si>
  <si>
    <t>Sanitāro mezglu (WC) izveide un uzturēšana pilsētas viesu koncentrēšanās vietās, t.sk. ārpus vasaras sezonas</t>
  </si>
  <si>
    <t>Kultūras tūrisma attīstība</t>
  </si>
  <si>
    <t>P.1.7.</t>
  </si>
  <si>
    <t xml:space="preserve">Interaktīvā kioska izbūve </t>
  </si>
  <si>
    <t>Izbūvēts un uzstādīts interaktīvais kiosks pie Tūrisma informācijas centra (Lienes iela 5, Jūrmala).</t>
  </si>
  <si>
    <t>2020</t>
  </si>
  <si>
    <t>Ķemeru parka pārbūve un restaurācija (ITI SAM 5.6.2.)</t>
  </si>
  <si>
    <t>2017-2020</t>
  </si>
  <si>
    <t>M2 : Komunālā un transporta infrastruktūra</t>
  </si>
  <si>
    <t>Ceļu un ielu kvalitātes uzlabošana, satiksmes drošības uzlabojumi, veloceliņu un gājēju celiņu attīstība</t>
  </si>
  <si>
    <t>P2.1.</t>
  </si>
  <si>
    <t>t.sk. projektēšana</t>
  </si>
  <si>
    <t>2019-2021</t>
  </si>
  <si>
    <t>Ceļu infrastruktūras atjaunošana un autostāvvietas izbūve Ķemeros (ITI SAM 5.6.2.)</t>
  </si>
  <si>
    <t xml:space="preserve">Ielu asfalta seguma kapitālais remonts </t>
  </si>
  <si>
    <t>Pilsētas centrālās daļas ielu brauktuvju un gājēju celiņu atjaunošana un autostāvvietu izbūve (ITI SAM 3.3.1.)</t>
  </si>
  <si>
    <t>Grantēto ielu asfaltēšana</t>
  </si>
  <si>
    <t>Trotuāru izbūve un esošo trotuāru atjaunošana</t>
  </si>
  <si>
    <t>2017-2021</t>
  </si>
  <si>
    <t>Seguma remonts, atjaunošana publiskās vietās un pašvaldības teritorijās</t>
  </si>
  <si>
    <t>Seguma atjaunošana, teritorijas labiekārtošana pilsētas iekškvartālos</t>
  </si>
  <si>
    <t>2018-2021</t>
  </si>
  <si>
    <t>Jūrmalas pilsētas satiksmes drošības uzlabošana</t>
  </si>
  <si>
    <t>Tiltu atjaunošana</t>
  </si>
  <si>
    <t>Ielu apgaismošanas elektriskā tīkla renovācija</t>
  </si>
  <si>
    <t>SIA "Jūrmalas gaisma", Īpašumu pārvaldes Kapitāla daļu pārvaldīšanas nodaļa</t>
  </si>
  <si>
    <t>Ielu apgaismojuma ierīkošana Jūrmalas pilsētas neapgaismotajās ielās</t>
  </si>
  <si>
    <t>Jūrmalas ostas attīstība un kuģošanas infrastruktūras attīstība Lielupē</t>
  </si>
  <si>
    <t>P.2.4.</t>
  </si>
  <si>
    <t>Jūrmalas ostas pārvalde</t>
  </si>
  <si>
    <t>Jūrmalas ūdenstūrisma pakalpojumu infrastruktūras attīstība atbilstoši pilsētas ekonomiskajai specializācijai (ITI SAM 3.3.1.)</t>
  </si>
  <si>
    <t>Ūdensapgādes un notekūdeņu apsaimniekošanas sistēmu pilnveide</t>
  </si>
  <si>
    <t>P.2.5.</t>
  </si>
  <si>
    <t>2016-2022</t>
  </si>
  <si>
    <t>SIA "Jūrmalas ūdens", Īpašumu pārvaldes Kapitāla daļu pārvaldīšanas nodaļa</t>
  </si>
  <si>
    <t>Samazināta Slokas NAI hidrauliskā slodze un samazināts pārsūknējamo notekūdeņu apjoms uz Daugavgrīvas NAI.</t>
  </si>
  <si>
    <t>Lietus ūdens kanalizācijas sistēmas attīstība</t>
  </si>
  <si>
    <t>Ūdenssaimniecības infrastruktūras attīstība un uzturēšana</t>
  </si>
  <si>
    <t>Interaktīvas ūdenssaimniecības pārvaldības īstenošana (IWAMA projekts)</t>
  </si>
  <si>
    <t xml:space="preserve">Projekta mērķis - sadzīves notekūdeņu radīto dūņu pārstrāde. 2016. gadā veikta priekšizpēte Slokas notekūdeņu attīrīšanas ietaisēs dūņu apstrādes tehnoloģijām, izvērtējot dažādas iespējamās versijas dūņu apjoma samazināšanai Slokas notekūdeņu attīrīšanas ietaisēs. </t>
  </si>
  <si>
    <t>Energoapgādes un sakaru attīstība</t>
  </si>
  <si>
    <t>P2.6.</t>
  </si>
  <si>
    <t xml:space="preserve">Esošā datu centra modernizācija </t>
  </si>
  <si>
    <t>Modernizēts datu centrs Jomas ielā 1/5, Jūrmalā. Iegādātas papildus glabāšanas iekārtas iebraukšanas nodevas kontrolei.</t>
  </si>
  <si>
    <t>Informācijas un komunikācijas tehnoloģiju pārvalde</t>
  </si>
  <si>
    <t>Informācijas sistēmu un datu pārraides tīkla drošības nodrošināšana</t>
  </si>
  <si>
    <t>Siltumtīklu atjaunošana un pārbūve</t>
  </si>
  <si>
    <t>2018-2020</t>
  </si>
  <si>
    <t xml:space="preserve">SIA "Jūrmalas siltums", Īpašumu pārvaldes Kapitāla daļu pārvaldīšanas nodaļa </t>
  </si>
  <si>
    <t>Šķeldas katlu māju izbūve</t>
  </si>
  <si>
    <t>Katlu māju atjaunošana</t>
  </si>
  <si>
    <t>Jaunas norēķinu sistēmas ieviešana SIA "Jūrmalas siltums"</t>
  </si>
  <si>
    <t>Publiskās telpas labiekārtošana</t>
  </si>
  <si>
    <t>P.2.8.</t>
  </si>
  <si>
    <t>2017-2019</t>
  </si>
  <si>
    <t>2018-2019</t>
  </si>
  <si>
    <t>Daudzdzīvokļu dzīvojamo ēku energoefektivitātes pasākumu atbalsta programmas īstenošana</t>
  </si>
  <si>
    <t>Attīstības pārvaldes Stratēģiskās plānošanas nodaļa</t>
  </si>
  <si>
    <t>M3 : Sociālā infrastruktūra</t>
  </si>
  <si>
    <t>Uz nākotni orientēta pilsētas pārvaldība, kas atbalsta pilsonisko iniciatīvu</t>
  </si>
  <si>
    <t>P3.1.</t>
  </si>
  <si>
    <t>Lietotāju darbastaciju standartizācija, t.sk. lietojumu virtializācija, universālāka lietotāja darbastacija, lietojumu drošības paaugstināšana</t>
  </si>
  <si>
    <t>IP telefonijas izveide, lietotāju darbastaciju standartizācija un centralizēta pārvaldība</t>
  </si>
  <si>
    <t>Optiskā kabeļu tīkla izveide</t>
  </si>
  <si>
    <t>Domes administratīvo ēku infrastruktūras attīstība</t>
  </si>
  <si>
    <t>Administratīvās ēkas pārbūve sociālo funkciju nodrošināšanai</t>
  </si>
  <si>
    <t>Jūrmalas kartes ieviešana</t>
  </si>
  <si>
    <t>Iebraukšanas nodevas Jūrmalas pilsētā kontroles sistēmas ieviešana un attīstīšana</t>
  </si>
  <si>
    <t>Kvalitatīva un sociāli pieejama izglītība</t>
  </si>
  <si>
    <t>P3.2.</t>
  </si>
  <si>
    <t>Pirmsskolas izglītības iestāžu pieejamības uzlabošana</t>
  </si>
  <si>
    <t>Pieejamības nodrošināšana personām ar kustību traucējumiem PII ''Zvaniņš'', PII ''Lācītis'', PII ''Katrīna'', PII ''Saulīte''.</t>
  </si>
  <si>
    <t>Pirmsskolas izglītības iestādes ''Bitīte'' pārbūve</t>
  </si>
  <si>
    <t>Jūrmalas pilsētas Ķemeru pamatskolas ēkas pārbūve un energoefektivitātes paaugstināšana (ITI SAM 4.2.2.)</t>
  </si>
  <si>
    <t>Jūrmalas pilsētas Jaundubultu vidusskolas ēkas energoefektivitātes paaugstināšana (ITI SAM 4.2.2.)</t>
  </si>
  <si>
    <t>Jūrmalas pilsētas Jaundubultu vidusskolas ēkas k-1 (autoskolas ēka) energoefektivitātes paaugstināšana (ITI SAM 4.2.2.)</t>
  </si>
  <si>
    <t>Lielupes pamatskolas pārbūve un sporta zāles piebūve</t>
  </si>
  <si>
    <t>Jūrmalas pilsētas Kauguru vidusskolas ēkas  energoefektivitātes paaugstināšana un telpu atjaunošana (ITI SAM 4.2.2. un ITI SAM 8.1.2.)</t>
  </si>
  <si>
    <t>Jūrmalas Sporta skolas peldbaseinu ēkas pārbūve un energoefektivitātes paaugstināšana (ITI SAM 4.2.2.)</t>
  </si>
  <si>
    <t>Jūrmalas Valsts ģimnāzijas ēkas Raiņa ielā 55, Jūrmalā, pārbūve (ITI SAM 8.1.2.)</t>
  </si>
  <si>
    <t>Pieejamības uzlabošana personām ar kustību traucējumiem šādās izglītības iestādēs: sākumskola “Ābelīte”, sākumskola “Atvase”, sākumskola “Taurenītis”, Jūrmalas internātpamatskola, Kauguru vidusskola, Mežmalas vidusskola.</t>
  </si>
  <si>
    <t>Datortehnikas, sakaru un citas biroja tehnikas atjaunošana</t>
  </si>
  <si>
    <t>Informācijas un komunikācijas tehnoloģiju pārvalde sadarbībā ar attiecīgajām Jūrmalas pilsētas pašvaldības iestādēm</t>
  </si>
  <si>
    <t>Daudzveidīga kultūras un sporta vide</t>
  </si>
  <si>
    <t>P3.3.</t>
  </si>
  <si>
    <t>Dzintaru koncertzāles attīstība</t>
  </si>
  <si>
    <t xml:space="preserve">Jūrmalas teātra ēkas energoefektivitātes paaugstināšana (ITI SAM 4.2.2.) </t>
  </si>
  <si>
    <t>2015-2019</t>
  </si>
  <si>
    <t>Ķemeru ūdenstorņa pārbūve un restaurācija                     (SAM 5.5.1.)</t>
  </si>
  <si>
    <t>Droša dzīves vide</t>
  </si>
  <si>
    <t>P3.4.</t>
  </si>
  <si>
    <t>Jūrmalas pilsētas videonovērošanas sistēmas izveidošana</t>
  </si>
  <si>
    <t>Informācijas un komunikācijas tehnoloģiju pārvalde, Jūrmalas pilsētas Pašvaldības policija</t>
  </si>
  <si>
    <t>Kvalitatīvs sociālais atbalsts</t>
  </si>
  <si>
    <t>P3.5.</t>
  </si>
  <si>
    <t>Infrastruktūras pilnveide pakalpojumu sniegšanai bērniem ar funkcionāliem traucējumiem (ITI SAM 9.3.1.)</t>
  </si>
  <si>
    <t>SIA ''Veselības un sociālās aprūpes centrs - Sloka'', Īpašumu pārvaldes Kapitāla daļu pārvaldīšanas nodaļa</t>
  </si>
  <si>
    <t>Pakalpojuma infrastruktūras izveide personām ar demenci</t>
  </si>
  <si>
    <t>Infrastruktūras attīstība, pakalpojumu strukturēšana un nodrošināšana atbilstoši spēkā esošo normatīvo aktu prasībām un jaunākajiem zinātniskajiem atklājumiem medicīnā un sociālajā labklājībā. Klientu drošības un nodrošināšana.</t>
  </si>
  <si>
    <t>SIA ''Kauguru veselības centrs'' infrastruktūras uzlabošana</t>
  </si>
  <si>
    <t>SIA ''Kauguru veselības centrs'', Īpašumu pārvaldes Kapitāla daļu pārvaldīšanas nodaļa</t>
  </si>
  <si>
    <t>Pirmsskolas izglītības iestāžu atjaunošana</t>
  </si>
  <si>
    <t>Vispārējās izglītības iestāžu atjaunošana</t>
  </si>
  <si>
    <t>Interešu un profesionālās ievirzes izglītības iestāžu atjaunošana</t>
  </si>
  <si>
    <t xml:space="preserve">Pašvaldības dzīvojamā fonda remonts </t>
  </si>
  <si>
    <t>Pašvaldības īpašumā esošo dzīvokļu remondarbi.</t>
  </si>
  <si>
    <t>Jūrmalas pilsētas muzeja atjaunošana un paplašināšana</t>
  </si>
  <si>
    <t>Jūrmalas Kultūras centra ēku remonts</t>
  </si>
  <si>
    <t>Remontdarbi interešu un profesionālās ievirzes izglītības iestādēs: Jūrmalas Sporta skolā, Jūrmalas Bērnu un jauniešu interešu centrā Zemgales ielā 4.</t>
  </si>
  <si>
    <t>Pilsētas atpūtas parka un jauniešu mājas izveide Kauguros (ITI SAM 3.3.1.)</t>
  </si>
  <si>
    <t>Bērnu rotaļu laukumu izveide pirmsskolas izglītības iestādēs un vispārizglītojošās iestādēs</t>
  </si>
  <si>
    <t>Mellužu estrādes ēkas restaurācija un bāra ēkas pārbūve, teritorijas labiekārtojums (SAM 5.5.1.)</t>
  </si>
  <si>
    <t xml:space="preserve">Infrastruktūras izveide bez vecāku gādības palikušu bērnu un jauniešu aprūpei ģimeniskā vidē (ITI SAM 9.3.1.) </t>
  </si>
  <si>
    <t>Attīstības pārvaldes Stratēģiskās plānošanas nodaļa, Informācijas un komunikācijas tehnoloģiju pārvalde</t>
  </si>
  <si>
    <t>Informācijas un komunikācijas tehnoloģiju pārvalde, Administratīvi juridiskās pārvaldes Administratīvā nodaļa</t>
  </si>
  <si>
    <t>Attīstības pārvaldes Infrastruktūras investīciju projektu nodaļa</t>
  </si>
  <si>
    <t>Īpašumu pārvaldes Pašvaldības īpašumu nodaļa</t>
  </si>
  <si>
    <t>Jā</t>
  </si>
  <si>
    <t>Nē</t>
  </si>
  <si>
    <t xml:space="preserve">Jā </t>
  </si>
  <si>
    <t>Jūrmalas pilsētas domes</t>
  </si>
  <si>
    <t>Pielikums</t>
  </si>
  <si>
    <t>Pilsētplānošanas nodaļa, Attīstības pārvaldes Infrastruktūras investīciju projektu nodaļa, Stratēģiskās plānošanas nodaļa</t>
  </si>
  <si>
    <t>Attīstības pārvaldes Infrastruktūras investīciju projektu nodaļa, Jūrmalas ostas pārvalde</t>
  </si>
  <si>
    <t xml:space="preserve">Attīstības pārvaldes Vides nodaļa, Infrastruktūras investīciju projektu nodaļa, Jūrmalas ostas pārvalde  </t>
  </si>
  <si>
    <t>Attīstības pārvaldes Stratēģiskās plānošanas nodaļa, Infrastruktūras investīciju projektu nodaļa</t>
  </si>
  <si>
    <t>Attīstības pārvaldes Infrastruktūras investīciju projektu nodaļa, Izglītības pārvalde</t>
  </si>
  <si>
    <t>Attīstības pārvaldes Infrastruktūras investīciju projektu nodaļa, Kultūras nodaļa</t>
  </si>
  <si>
    <t>Īpašumu pārvaldes Pašvaldības īpašumu nodaļa, Kultūras nodaļa</t>
  </si>
  <si>
    <t>Attīstības pārvaldes Infrastruktūras investīciju projektu nodaļa, Labklājības pārvalde</t>
  </si>
  <si>
    <r>
      <t>Investīciju limits (kontrolskaitļi)</t>
    </r>
    <r>
      <rPr>
        <b/>
        <i/>
        <sz val="10"/>
        <rFont val="Arial"/>
        <family val="2"/>
        <charset val="186"/>
      </rPr>
      <t xml:space="preserve"> T.sk. atlikums no 2017.gada</t>
    </r>
  </si>
  <si>
    <t>"Jūrmalas pilsētas investīciju plāns" (tūkstoši EUR)</t>
  </si>
  <si>
    <t>Projekts iekļauts 2018.-2020.gada investīciju plānā (Jā/Nē)</t>
  </si>
  <si>
    <t xml:space="preserve">Biznesa inteliģences aplikāciju attīstība </t>
  </si>
  <si>
    <t xml:space="preserve">QlikSense licenču iegāde (2019.gadā 10 licences, 2020.gadā licenču kopa datu publicēšanai), datu noliktavas izveide. </t>
  </si>
  <si>
    <t>Informācijas un komunikācijas tehnoloģiju pārvalde, Attīstības pārvaldes Vides nodaļa, Īpašumu pārvalde, Jūrmalas pilsētas Pašvaldības policija</t>
  </si>
  <si>
    <t>Pašvaldības operatīvās informācijas centra izveide</t>
  </si>
  <si>
    <t xml:space="preserve">Akustiskās sistēmas uzstadīšana Jūrmalas Valsts ģimnāzijas sporta hallē, lai nodrošinātu pasākumu kvalitatīvu rīkošanu. </t>
  </si>
  <si>
    <t>Kapsētu izbūve un labiekārtošana</t>
  </si>
  <si>
    <t>Lielupes radīto plūdu un krasta erozijas risku apdraudējumu novēršanas pasākumi Dubultos–Majoros–Dzintaros (SAM 5.1.1.)</t>
  </si>
  <si>
    <t xml:space="preserve">Veloceliņu tīkla attīstība Jūrmalas pilsētā </t>
  </si>
  <si>
    <t>2018-2022</t>
  </si>
  <si>
    <t>Ielu apgaismošanas elektriskā tīkla renovācija sakarā ar AS Sadales tīklī" veikto rekonstrukciju</t>
  </si>
  <si>
    <t>2013-2022</t>
  </si>
  <si>
    <t>Īpašumu pārvaldes Pašvaldības īpašumu nodaļa, Jūrmalas Sporta servisa centrs</t>
  </si>
  <si>
    <t>Attīstības pārvaldes Tūrisma un uzņēmējdarbības attīstības  nodaļa, Infrastruktūras investīciju projektu nodaļa, SIA ''Dzintaru koncertzāle'', Īpašumu pārvaldes Kapitāla daļu pārvaldīšanas nodaļa</t>
  </si>
  <si>
    <t>Attīstības pārvaldes Infrastruktūras investīciju projektu nodaļa, Tūrisma un uzņēmējdarbības attīstības  nodaļa</t>
  </si>
  <si>
    <t>Attīstības pārvaldes Tūrisma un uzņēmējdarbības attīstības  nodaļa, Informācijas un komunikācijas tehnoloģiju pārvalde</t>
  </si>
  <si>
    <t>Atbalsts daudzdzīvokļu dzīvojamo ēku atjaunošanai atbilstoši JPD 26.07.2018. saistošajiem noteikumiem Nr.29 "Par līdzfinansējuma piešķiršanas kārtību energoefektivitātes pasākumu veikšanai daudzdzīvokļu dzīvojamās mājās Jūrmalas pilsētā". Projekta "Accelerate SUNShINE" ietvaros (kopā EUR 22500) sniegts līdzfinansējums energoaudita vai tehniskās apsekošanas veikšanai (aptuveni 20 ēkās). Pašvaldības budžeta ietvaros sniegts līdzfinansējums ēku pārbūves vai atjaunošanas būvniecības ieceres dokumentācijas izstrādei.</t>
  </si>
  <si>
    <t>Mežmalas vidusskolas āra sporta stadiona atjaunošana</t>
  </si>
  <si>
    <t>2017-2022</t>
  </si>
  <si>
    <t>2013-2021</t>
  </si>
  <si>
    <t>Kvalitatīvi veselības aprūpes pakalpojumi</t>
  </si>
  <si>
    <t>P3.6.</t>
  </si>
  <si>
    <t>Jomas ielas apgaismojuma atjaunošana (Interreg Baltijas jūras reģiona transnacionālās sadarbības programmas 2014.-2020.gadam projekts "LUCIA")</t>
  </si>
  <si>
    <t>Atjaunota Jomas ielas apgaismojuma līnija 1110 metru garumā, nomainot 109 gaismekļus pret energoefektīviem gaismekļiem</t>
  </si>
  <si>
    <t xml:space="preserve">SIA "Jūrmalas gaisma", Attīstības pārvaldes Projektu nodaļa </t>
  </si>
  <si>
    <t>2019-2022</t>
  </si>
  <si>
    <t>Jūrmalas bibliotēku atjaunošana un remonts</t>
  </si>
  <si>
    <t>Jaundubultu vidusskolas stadiona atjaunošana</t>
  </si>
  <si>
    <t>Jaundubultu vidusskolas stadiona atjaunošanas projekta izstrāde 2019.gadā un stadiona atjaunošana.</t>
  </si>
  <si>
    <t>Jaunas pastāvīgas vēstures ekspozīcijas izveide Jūrmalas pilsētas muzejā</t>
  </si>
  <si>
    <t xml:space="preserve">Kultūras nodaļa </t>
  </si>
  <si>
    <t>Lielupes kreisā krasta atbalstsienas atjaunošana</t>
  </si>
  <si>
    <t>Jaunu ielu izbūve</t>
  </si>
  <si>
    <r>
      <t>Pašvaldības ēkas Raiņa ielā 62, Jūrmalā pārbūve un energoefektivitātes paaugstināšana</t>
    </r>
    <r>
      <rPr>
        <sz val="10"/>
        <color rgb="FFFF0000"/>
        <rFont val="Arial"/>
        <family val="2"/>
        <charset val="186"/>
      </rPr>
      <t xml:space="preserve"> (ITI SAM 4.2.2.)</t>
    </r>
  </si>
  <si>
    <t>Jūrmalas veselības veicināšanas un sociālo pakalpojumu centra ēku pārbūve un energoefektivitātes paaugstināšana (alternatīva ITI SAM 4.2.2.)</t>
  </si>
  <si>
    <t>Jaunu autostāvvietu izbūve pilsētas satiksmes infrastruktūras pilnveidei</t>
  </si>
  <si>
    <t>2014-2021</t>
  </si>
  <si>
    <t>2019.gadā labiekārtoti bērnu rotaļu laukumi PII "Taurenītis",  PII "Ābelīte" un Jūrmalas bērnu un jauniešu interešu centrā, Zemgales ielā 4, Jūrmalā.</t>
  </si>
  <si>
    <t xml:space="preserve">2019.gadā ir plānota jaunās ekspozīcijas koncepcijas un satura izstrāde. 2020.gadā ekspozīcijas dizaina projekta izstrāde un ekspozīcijas izveide, kā arī uzsākti ekspozīcijas izveides darbi. 2021.gadā plānota ekspozīcijas izveides pabeigšana un atklāšana. </t>
  </si>
  <si>
    <t>Jūrmalas pilsētas attīstības programmas 2014.-2020.gadam prioritāte un rīcības virziens un aktivitāte</t>
  </si>
  <si>
    <t>RV.1.5.2._20</t>
  </si>
  <si>
    <t>RV.1.6.1_21</t>
  </si>
  <si>
    <t>RV.1.6.2._33</t>
  </si>
  <si>
    <t>RV.1.6.2._30</t>
  </si>
  <si>
    <t>RV.1.7.2_44</t>
  </si>
  <si>
    <t>RV.1.7.2_45</t>
  </si>
  <si>
    <t>RV.1.9.2_54</t>
  </si>
  <si>
    <t>RV.1.6.2_34</t>
  </si>
  <si>
    <t>RV.1.6.2_35</t>
  </si>
  <si>
    <t>RV.2.1.1._62</t>
  </si>
  <si>
    <t>RV.2.1.2_67</t>
  </si>
  <si>
    <t>RV.2.1.1._65</t>
  </si>
  <si>
    <t>RV.2.1.1._63</t>
  </si>
  <si>
    <t>RV.2.4.2._80</t>
  </si>
  <si>
    <t>RV.2.5.1._82</t>
  </si>
  <si>
    <t>RV.2.5.2_85</t>
  </si>
  <si>
    <t>RV.2.5.2._84</t>
  </si>
  <si>
    <t>RV.2.5.1_83</t>
  </si>
  <si>
    <t>RV.2.5.2._87</t>
  </si>
  <si>
    <t>RV.2.6.1._88</t>
  </si>
  <si>
    <t>RV.2.6.2_89</t>
  </si>
  <si>
    <t>RV.2.6.2._88</t>
  </si>
  <si>
    <t>RV.2.6.2._89</t>
  </si>
  <si>
    <t>RV.2.8.1._98</t>
  </si>
  <si>
    <t>RV.2.8.1._103</t>
  </si>
  <si>
    <t>RV.2.8.1._99</t>
  </si>
  <si>
    <t>RV.2.8.2_114</t>
  </si>
  <si>
    <t>RV.2.9.1_115</t>
  </si>
  <si>
    <t>RV.2.9.1._115</t>
  </si>
  <si>
    <t>RV.2.9.2._116</t>
  </si>
  <si>
    <t>RV.3.1.2._131</t>
  </si>
  <si>
    <t>RV.3.1.5._139</t>
  </si>
  <si>
    <t>Veikta pirmsskolas izglītības iestādes ēkas pilna pārbūve un tai piegulošās teritorijas labiekārtošana, realizējot būvprojektu “Bērnudārza ēka Lēdurgas ielā 20A”.</t>
  </si>
  <si>
    <t xml:space="preserve">Atjaunots valsts nozīmes kultūras piemineklis saglabājot tā pamatfunkciju, nodrošināta jaunradītu pakalpojumu - tūrisma informācijas punkta, galerijas un skatu platformas pieejamība, veicināts apmeklējumu skaita pieaugums. Projekta iznākuma rādītāji uz 31.12.2023. – objekta apmeklējumu skaita paredzamais pieaugums 8000 apmeklējumi; atbalstīts 1 kultūras mantojuma objekts; jaunradīti 3 pakalpojumi. SAM 5.5.1. projekts "Jaunu dabas un kultūras tūrisma pakalpojumu radīšana Rīgas jūras līča rietumu piekrastē”.
Projekts tiek īstenots pamatojoties uz Jūrmalas pilsētas domes 22.11.18. lēmumu Nr.557.                                                                                                                                                                                                                                                                                                                                             </t>
  </si>
  <si>
    <t>Veikta pašvaldībai piederošas ēkas Talsu šosejā 31, Jūrmalā pārbūve, to pielāgojot Labklājības pārvaldes funkciju izpildes nodrošināšanai.</t>
  </si>
  <si>
    <t>RV.3.2.2._155</t>
  </si>
  <si>
    <t>RV.3.2.3._165</t>
  </si>
  <si>
    <t>RV.3.2.4._173</t>
  </si>
  <si>
    <t>RV.3.3.1._192</t>
  </si>
  <si>
    <t>RV.3.3.1_197</t>
  </si>
  <si>
    <t>RV.3.3.1._195</t>
  </si>
  <si>
    <t>RV.3.3.1_196</t>
  </si>
  <si>
    <t>RV.3.3.3._206</t>
  </si>
  <si>
    <t>RV.3.6.2._227</t>
  </si>
  <si>
    <t>RV.3.4.1._209</t>
  </si>
  <si>
    <t>RV.3.4.1._210</t>
  </si>
  <si>
    <t>RV.3.5.1._216</t>
  </si>
  <si>
    <t>RV.3.5.1._220</t>
  </si>
  <si>
    <t>RV.3.5.1._223</t>
  </si>
  <si>
    <t>RV.3.6.1._226</t>
  </si>
  <si>
    <t>Glābšanas staciju atjaunošana</t>
  </si>
  <si>
    <t>Ģeogrāfiskās informācijas sistēmas attīstība un uzturēšana</t>
  </si>
  <si>
    <t>Atjaunojamo energoresursu izpēte centralizētajā siltumapgādes sistēmā</t>
  </si>
  <si>
    <t>Energoefektivitātes pasākumu ieviešana CO2 izmešu samazināšanai</t>
  </si>
  <si>
    <t xml:space="preserve">Bērnu rotaļu un sporta laukumu atjaunošana un izveide, t.sk. sintētiskā seguma ieklāšana </t>
  </si>
  <si>
    <t>Jaunu modernizētu autobusu pieturu izveide</t>
  </si>
  <si>
    <t xml:space="preserve">Majoru sporta laukuma atjaunošana </t>
  </si>
  <si>
    <t>Slokas stadiona labiekārtošana</t>
  </si>
  <si>
    <t>Jūrmalas Valsts ģimnāzijas sporta halles labiekārtošana</t>
  </si>
  <si>
    <t>2019.gadā Majoru sporta laukuma nesošo tērauda konstrukciju detalizētas izpētes, mehāniskās stiprības kontrolaprēķinu un pārseguma deformāciju tehniskās izpētes veikšana. 2020.gadā ledus saldēšanas gumijas paklāja nomaiņa pret iebūvētu ledus saldēšanas (betona pīrāgu) sistēmu.</t>
  </si>
  <si>
    <t>Daudzfunkcionāla dabas tūrisma centra pakalpojumu attīstība un meža parka labiekārtojuma pilnveide Ķemeros (ITI SAM 5.5.1.)</t>
  </si>
  <si>
    <t>Attīstības pārvaldes Infrastruktūras investīciju projektu nodaļa, Projektu nodaļa</t>
  </si>
  <si>
    <t xml:space="preserve">2019.gadā paredzēta regulējamas gājēju pārejas izbūve Lienes ielā pie J.Pliekšana ielas, Asaru prospektā pie Stacijas ielas, Dubultu prospektā pie Ceriņu ielas un Kļavu ielas.
2020.-2022.gada plānā iekļautas SIA “Jūrmalas gaisma” ieceres.
</t>
  </si>
  <si>
    <t>2019.gadā paredzēta brauktuvju un ietvju seguma atjaunošana Kauguru apkaimes iekškvartālos – Raiņa iela (gar Raiņa 87), Nometņu iela (gar Kauguru Tirgu), Lauku iela (no Rūpniecības ielas), Skolas iela (no Nometņu ielas līdz Skolas 65V un Skolas iela gar namiem Nr.23, 25, 27a, 29), Talsu šoseja (31/k8).</t>
  </si>
  <si>
    <t>2019.gadā paredzēta gājēju celiņu seguma atjaunošana - 5.līnija no kāpām līdz izejai uz pludmali, no Kr.Barona ielas līdz Vienības prospektam, no Lazdonas ielas līdz Kr.Barona ielai.</t>
  </si>
  <si>
    <t>2019.gadā paredzēta būvprojekta izstrāde Lapotnes ielas neizbūvētajam posmam.</t>
  </si>
  <si>
    <t>2019.gadā paredzēta būvprojekta izstrāde Dzintaru dzelzceļa pārvada pārbūvei un gājēju tilta pār Vecsloceni pārbūvei (Dzirnavu ielā).</t>
  </si>
  <si>
    <t>2019.gadā noteiktas jaunu sanitāro mezglu izveides vietas. 2020.gadā veikta projekta izstrāde jauno sanitāro mezglu izveidošanai. 2020.-2021.gadā sanitāro mezglu izbūve.</t>
  </si>
  <si>
    <t xml:space="preserve">Infrastruktūras atjaunošana izejās uz jūru  </t>
  </si>
  <si>
    <t>2019.gadā veikti kāpņu remonti izejās uz jūru 1.līnijā, Kaiju ielā un izejā uz jūru Rūjienas ielā, atjaunotas koka laipas izejās uz jūru. Iegādātas dzelzbetona plāksnes un uzstādītas izejās uz jūru Vēju un Turaidas ielā un 36.līnijā.</t>
  </si>
  <si>
    <t>Jūrmalas pilsētas muzeja atjaunošanas būvprojekta izstrāde, ekspertīze un būvdarbi, Tirgoņu ielā 29.</t>
  </si>
  <si>
    <t xml:space="preserve">Infrastruktūras pilnveide sabiedrībā balstītu sociālo pakalpojumu sniegšanai personām ar garīga rakstura traucējumiem (ITI SAM 9.3.1.)
</t>
  </si>
  <si>
    <t xml:space="preserve">Jaunu grupu dzīvokļu izveide sabiedrībā balstītu sociālo pakalpojumu sniegšanai personām ar garīga rakstura traucējumiem (ITI SAM 9.3.1.)
</t>
  </si>
  <si>
    <t xml:space="preserve">Veselīga dzīvesveida veicināšanas infrastruktūras izveide un atjaunošana </t>
  </si>
  <si>
    <t>Jūrmalas pilsētas Pašvaldības policijas infrastruktūras atjaunošana</t>
  </si>
  <si>
    <t>RV.3.3.1._213</t>
  </si>
  <si>
    <t>Jūrmalas pilsētas Pašvaldības policijas ēkas Smilšu ielā 7 atjaunošanas darbi - siltummezgla pārbūve, elektrotīklu remontdarbi, jauna ūdensvada pieslēguma izbūve.</t>
  </si>
  <si>
    <t>Īpašumu pārvaldes Pašvaldības īpašumu nodaļa, Jūrmalas pilsētas Pašvaldības policija</t>
  </si>
  <si>
    <t>Attīstības pārvaldes Infrastruktūras investīciju projektu nodaļa, Jūrmalas sporta skola</t>
  </si>
  <si>
    <t>Attīstības pārvaldes Infrastruktūras investīciju projektu nodaļa, Ķemeru pamatskola</t>
  </si>
  <si>
    <t>Attīstības pārvaldes Infrastruktūras investīciju projektu nodaļa, Jaundubultu vidusskola</t>
  </si>
  <si>
    <t>Attīstības pārvaldes Infrastruktūras investīciju projektu nodaļa, Kauguru vidusskola</t>
  </si>
  <si>
    <t xml:space="preserve">Attīstības pārvaldes Infrastruktūras investīciju projektu nodaļa, Jūrmalas Valsts ģimnāzija </t>
  </si>
  <si>
    <t>Attīstības pārvaldes Infrastruktūras investīciju projektu nodaļa, Tūrisma un uzņēmējdarbības attīstības  nodaļa, Īpašumu pārvaldes Pilsētsaimniecības un labiekārtošanas nodaļa</t>
  </si>
  <si>
    <t>Attīstības pārvaldes Infrastruktūras investīciju projektu nodaļa, pirmsskolas izglītības iestāde "Podziņa"</t>
  </si>
  <si>
    <t>SIA ''Veselības un sociālās aprūpes centrs - Sloka'', Īpašumu pārvaldes Kapitāla daļu pārvaldīšanas nodaļa, Labklājības pārvalde</t>
  </si>
  <si>
    <t>Attīstības pārvaldes Infrastruktūras investīciju projektu nodaļa, Kultūras nodaļa, Jūrmalas kultūras centrs</t>
  </si>
  <si>
    <t>Attīstības pārvaldes Infrastruktūras investīciju projektu nodaļa, Jūrmalas teātris</t>
  </si>
  <si>
    <t xml:space="preserve">2019.gadā lietus ūdens kanalizācijas tīklu izbūve no Upes ielas pa Dubultu prospektu un Mellužu prospektu līdz Puķu ielai. </t>
  </si>
  <si>
    <t>Meliorācijas sistēmu atjaunošana</t>
  </si>
  <si>
    <t>Nodrošināta kultūras pakalpojumu pieejamība un kvalitātes paaugstināšana. 2019.gadā organizēts metu konkurss. 2020.-2023.gadā veikta Dzintaru koncertzāles Lielās zāles pārbūves un teritorijas labiekārtošanas būvprojekta izstrāde, veikta pārbūve un labiekārtota teritorija.</t>
  </si>
  <si>
    <t>2017-2023</t>
  </si>
  <si>
    <t xml:space="preserve">Meža kapsētas Kolumbārija piebraucamā ceļa un ar kapsētu savienojošā ceļa izbūve. </t>
  </si>
  <si>
    <t>2019.gadā veikta detālplānojuma izstrāde. 2020.gadā veikta Dubultu glābšanas stacijas jaunbūves  projektēšana un uzsākta izbūve, izveidojot tajā telpas Dzimtsarakstu nodaļai.</t>
  </si>
  <si>
    <t>Videonovērošanas sistēmu uzstādīšana un paplašināšana sabiedriskās vietās, transporta mezglos un pašvaldības iestādēs. 2019.gadā 10 publisko videokameru ierīkošana Kauguros, tai skaitā Engures ielā 6.</t>
  </si>
  <si>
    <t>Jaunu notekūdeņu attīrīšanas iekārtu izbūve Lielupē vai esošā spiedvada Jūrmala-Rīga atjaunošana</t>
  </si>
  <si>
    <t>Pilsētplānošanas nodaļa, Īpašumu pārvaldes Pašvaldības īpašumu nodaļa</t>
  </si>
  <si>
    <t xml:space="preserve">IT platformas uzturēšana un attīstība infrastruktūras attīstības plānošanas vajadzībām (ielas un ceļi, ūdensapgāde, kanalizācija, ielu apgaismojums, siltumtrases, veloceliņi, meliorācijas grāvji un sistēmas, satiksmes drošības elementi, A/S "Sadales tīkli" investīciju projekti, datu pārraides tīkli u.tml.). IT platforma būs savietojama ar pašvaldības teritorijas plānojumu, kadastru, aktuālo ortofoto karti, Būvniecības informācijas sistēmu, citiem tiešsaistes datiem, kuri pieejami nacionālā līmenī.
</t>
  </si>
  <si>
    <t xml:space="preserve"> Attīstības pārvaldes Infrastruktūras investīciju projektu nodaļaJūrmalas Sporta servisa centrs</t>
  </si>
  <si>
    <t>2020-2022</t>
  </si>
  <si>
    <t>2019.gadā veikta laboratorijas, sonogrāfijas telpu renovācija. Iegādātas medicīniskās iekārtas, t.sk., endoskopijas pakalpojumu veikšanai un Dzemdību nodaļai, mēbeles un datorprogrammas. Medicīnisko iekārtu iegāde: ERAF projekts: rentgeniekārta EUR 217800, datortomogrāfs EUR 629200 un citas iekārtas EUR 39407.
2019.gadā veikta elektromobiļu iegāde (3 gab.) mājas aprūpes pakalpojumu nodrošināšanai, veikta 2020.gadā - ķirurģijas nodaļas telpu renovācija.
2020.gadā veikta slimnīcas C korpusa būvniecības tehniskā projekta izstrāde.</t>
  </si>
  <si>
    <t xml:space="preserve">Revitalizēta degradēta teritorija 17.1ha platībā. Izbūvēts Daudzfunkcionāls dabas tūrisma centrs un labiekārtota tā funkcionālā teritorija (E.Dārziņa ielā 28, Tūristu ielā 2B, Tūristu ielā 17).
Indikatīvā projekta kopsumma ITI SAM ietvaros 16 695 029.88 EUR, t.sk. ERAF 5 005 669.00 EUR un nefinanšu investīcijas 5 005 669.00 EUR. 
Projektā neiekļauto izmaksu kopsumma – 53 270.80 EUR.
Projekta idejas aprakstu skatīt 2.pielikumā “Integrētās teritoriju investīcijas”.
Projekta ideja precizēta, pamatojoties uz 31.10.2018. MK rīkojumu Nr.568.                                                                                                                                                                                                                                                                                                                 </t>
  </si>
  <si>
    <t xml:space="preserve">Labiekārtota centra teritorija, labiekārtota meža parka teritorija, izveidota centra pastāvīgā ekspozīcija (I kārta), t.sk. aprīkotas telpas, kas nepieciešamas pakalpojuma sniegšanai. Indikatīvā projekta kopsumma ITI SAM ietvaros 3 631 842,10 EUR, t.sk. ERAF 994331.00 EUR.                                                                Projekta idejas aprakstu skatīt 2.pielikumā “Integrētās teritoriju investīcijas”.
Projekta ideja iekļauta pamatojoties uz 31.10.2018. MK rīkojumu Nr.568.                                                                                                                                                                                                                                                                                                                                                                                                                                                                                                                                                                                                                                   </t>
  </si>
  <si>
    <t>Īpašumu pārvaldes Pilsētsaimniecības un labiekārtošanas nodaļa, Attīstības pārvaldes Tūrisma un uzņēmējdarbības attīstības nodaļa</t>
  </si>
  <si>
    <t>AĪpašumu pārvaldes Pilsētsaimniecības un labiekārtošanas nodaļa, Attīstības pārvaldes Tūrisma un uzņēmējdarbības attīstības nodaļa</t>
  </si>
  <si>
    <t xml:space="preserve">Īstenoti  Lielupes kreisā krasta nostiprināšanas pasākumi Tilta ielā zem dzelzceļa tilta, veicot jaunu materiālu piebērumu krasta posmos, kur atsegts stiprinājuma ģeorežģis, un atbalstsienas remonts, saskaņā ar 2016.gada apsekošanas darbu atskaiti. </t>
  </si>
  <si>
    <t>Informācijas un komunikācijas tehnoloģiju pārvalde, Attīstības pārvaldes Tūrisma un uzņēmējdarbības attīstības nodaļa, Tūrisma informācijas centrs</t>
  </si>
  <si>
    <t xml:space="preserve">Atjaunots Ķemeru kultūrvēsturiskais parks. Veikta degradētās teritorijas revitalizācija 20.4ha platībā. Indikatīvā projekta kopsumma ITI SAM ietvaros 14 544 121.69 EUR, t.sk. ERAF 5 780 000.00 EUR un nefinanšu investīcijas 5 780 000.00 EUR.
Projekta idejas aprakstu skatīt 2.pielikumā “Integrētās teritoriju investīcijas”.    </t>
  </si>
  <si>
    <t xml:space="preserve">Atjaunota Tūristu iela, t.sk. skvērs Tūristu ielā 2A un izbūvēta autostāvvieta E.Dārziņa ielā 17. Veikta degradētās teritorijas revitalizācija 4.3077ha platībā. Indikatīvā projekta kopsumma ITI SAM ietvaros 2 767 799.18 EUR, t.sk. ERAF 1 220 000.00 EUR un nefinanšu investīcijas 1 220 000.00 EUR. Divi būvprojekti - Stāvvietas izbūve Emīla Dārziņa ielā 17 un Tūristu ielas posma atjaunošana; Skvēra Tūristu ielā 2A, Ķemeros atjaunošana. 
Projekta idejas aprakstu skatīt 2.pielikumā “Integrētās teritoriju investīcijas”. </t>
  </si>
  <si>
    <t xml:space="preserve">Divu pilsētas centrālās daļas ielu – Teātra ielas un Viktorijas ielas (posmā no Jomas ielas līdz Lienes ielai) infrastruktūras atjaunošana,  t.sk. ielu brauktuvju, gājēju celiņu un ielu apgaismojuma atjaunošana un lietus ūdens kanalizācijas un autostāvvietu izbūve ielu malās. Indikatīvā projekta kopsumma ITI SAM ietvaros 607 475.38 EUR, t.sk. ERAF 279 110.31 EUR un nefinanšu investīcijas 279 110.31 EUR.
Būvprojekts - Teātra ielas un Viktorijas ielas infrastruktūras atjaunošana un autostāvvietu izbūve.
Projekta idejas aprakstu skatīt 2.pielikumā “Integrētās teritoriju investīcijas”. </t>
  </si>
  <si>
    <t>2019.gadā paredzēta Dubultu prospekta pārbūve (no Slokas ielas līdz Kļavu ielai un no Baznīcas ielas līdz dzelzceļa stacijai “Dubulti”), Aizputes ielas pārbūve (no Rēzeknes pulka ielas līdz Brīvības prospektam), Brīvības prospekta pārbūve (no Vienības prospekta līdz zemes vienībai Lielupe 6303), brauktuves seguma atjaunošana Raiņa ielā (no Satiksmes ielas līdz Tirzas ielai), Zvīņu ielā (no Kolkas ielas līdz kāpām), Strēlnieku prospektā (no Dārzu ielas līdz Upes ielai), 8.līnijā un 9.līnijā (no Meža prospekta līdz kāpām), 13.līnijā (no Meža prospekta līdz E.Birznieka Upīša ielai), Baltezera ielā (no Strēlnieku prospekta līdz Poruka prospektam). Papildus paredzēta būvprojekta izstrāde R.Blaumaņa ielas pārbūvei (no Baznīcas ielas līdz Ceriņu ielai), Ceriņu ielas pārbūvei (no R.Blaumaņa ielas līdz Ievu ielai), Kļavu ielas pārbūvei (no Dubultu prospekta līdz Strēlnieku prospektam) un Strēlnieku prospekta pārbūvei (no Kļavu ielas līdz Ogres ielai).</t>
  </si>
  <si>
    <t>2019.gadā paredzēta grantēto ielu asfaltēšana – Puķu iela (no Mētru ielas līdz dzelzceļam), Žubītes iela (no dzelzceļa līdz Mētru ielai), Albalss iela (no Asaru prospekta līdz dzelzceļam), Vidus prospekts (no 11.līnijas līdz 13.līnijai), Cīruļu iela (no Lapotnes ielas līdz Olgas ielai). Būvprojektu izstrāde ielu asfaltēšanai – Ausekļa iela (no Ezeru ielas līdz Kanālu ielai), Mežsargu iela (no dzelzceļa līdz Ģertrūdes ielai), Viņķu iela (no Zemgales ielas līdz Gulbju ielai).</t>
  </si>
  <si>
    <t>2019.gadā paredzēta jaunas autostāvvietas izbūve Poruka prospektā, Jomas ielā 17 un būvprojektu izstrāde stāvvietu izbūvei pie PII “Saulīte” un Mellužu estrādes (Mellužu prospektā 8).</t>
  </si>
  <si>
    <t>2019.gadā paredzēta gājēju ietves izbūve 5.līnijā (no Edinburgas prospekta līdz Vidus prospektam), gājēju ietves atjaunošana Dubultu prospektā (no Juglas ielas līdz Upes ielai), Strēlnieku prospektā (no Upes ielas līdz Lielupes ielai), Dzintaru prospektā (abas puses), Bulduru prospektā (no Jūrnieku ielas līdz 20.līnijai), Ceriņu ielā (no Pīlādžu ielas līdz Dubultu prospektam), Baznīcas ielā (no Blaumaņa ielas līdz stāvlaukumam), Skolas ielā (no Satiksmes ielas līdz Jurģu ielai).</t>
  </si>
  <si>
    <t>2019.gadā projektēšana Dubultu prospekts, Ormaņu iela, Vienības prospekts (no Bulduru prospekta līdz Viestura ielai); būvniecība Draudzības iela un Mazā Draudzības iela, Kaugurciema iela, Jūrkalnes iela (no Veidenbauma ielas līdz Kraukļukalna ielai).</t>
  </si>
  <si>
    <t>2019.gadā projektēšana Mangaļu ielā; būvniecība Rubeņu ielā (no Slokas ielas līdz Valteru prospektam).</t>
  </si>
  <si>
    <t>2019.gadā projektēšana K.Zolta ielai, būvniecība Jēkabpils ielā (no Dzirnavu ielas līdz Ventspils šosejai), Slokas ielā (no Salas iela līdz Lielupes ielas), Vēžu ielā.</t>
  </si>
  <si>
    <t>Nodrošināts tiesiskais regulējums un kontroles sistēmu pielāgojumi un attīstīšana. Izbūvēts datu pārraides tīkls.  Veikta elektropagādes un datu tīkla rekonstrukcija Priedainē. Izbūvēts elektropieslēgums Asaru prospekta kopnei.</t>
  </si>
  <si>
    <t>2018.-2020.gadā paredzēta Centrālās Baltijas jūras reģiona pārrobežu sadarbības projekta "HEAT" īstenošana. Projekta kopējais finansējums Jūrmalai 21 500.00 EUR, kur ERAF līdzfinansējums ir 18 275.00 EUR. Projekta ietvaros paredzēta velobraukšanas apmācību laukuma bērniem vizualizācijas izstrāde 2019.gadā ar finansējumu 6 500 EUR . 
2019.gadā paredzēta veloceliņa un autostāvvietu kabatu izbūve Babītes ielā no dzelzceļa līdz Priedaines satiksmes mezglam un būvprojekta izstrāde veloceliņa izbūvei posmā no Mūzikas ielas līdz Kāpu ielai.</t>
  </si>
  <si>
    <t>Izveidots ūdenstūrisma pakalpojumu centrs Straumes ielā 1a, un izbūvēta infrastruktūra atbilstoši pilsētas ekonomiskajai specializācijai. Indikatīvā projekta kopsumma ITI SAM ietvaros 2 519 819.16 EUR, t.sk. ERAF 629 310.21 EUR un nefinanšu investīcijas 629 310.21 EUR. 
Būvprojekts - Ūdenstūrisma pakalpojumu centrs "Majori".
Projekta idejas aprakstu skatīt 2.pielikumā “Integrētās teritoriju investīcijas”.</t>
  </si>
  <si>
    <r>
      <t>Jūrmalas ūdenssaimniecības attīstības projekta IV kārtas īstenošana</t>
    </r>
    <r>
      <rPr>
        <sz val="10"/>
        <color rgb="FFFF0000"/>
        <rFont val="Arial"/>
        <family val="2"/>
        <charset val="186"/>
      </rPr>
      <t xml:space="preserve"> (t.sk. tīklu izbūve Buļļuciemā)</t>
    </r>
  </si>
  <si>
    <t>Attīstīta un uzlabota ūdensapgādes un kanalizācijas sistēmas pakalpojumu kvalitāte un nodrošinātas pieslēgšanas iespējas. Projekta realizācija paredzēta līdz 28.06.2022:  1) ūdenssaimniecības tīklu paplašināšana Priedainē – Majoros, 2) ūdenssaimniecības tīklu paplašināšana Majoros – Krastciemā; 3) ūdenssaimniecības tīklu paplašināšana Krastciemā – Ķemeros). Kopējās projekta izmaksas no 2016.gada līdz 2021.gadam ir 47 649 00 EUR.</t>
  </si>
  <si>
    <t>Ūdenssaimniecības infrastruktūras attīstības un uzturēšanas darbu veikšana, t.sk.:
1) kanalizācijas pārsūknēšanas staciju atjaunošana;
2) ūdensvada un kanalizācijas tīklu atjaunošana;
3)  sūkņu atjaunošana artēziskajās akās; 
4) jaunas moduļa tipa biroja ēkas izveide pie Slokas NAI;
5) automašīnu un biroja tehnikas iegāde.</t>
  </si>
  <si>
    <t>Atmosfēras nokrišņu infiltrācijas sistēmas sakārtošana</t>
  </si>
  <si>
    <t xml:space="preserve">
Šobrīd ~24% no Jūrmalā savāktajiem notekūdeņiem tiek pārsūknēti pa spiedvadu Jūrmala-Rīga attīrīšanai uz Rīgas Daugavgrīvas notekūdeņu attīrīšanas iekārtām, atlikušie ~76% tiek attīrīti Jūrmalas Slokas  notekūdeņu attīrīšanas iekārtās. Lai pēc 2022.gada attīrītu pieaugošo notekūdeņu apjomu pilsētas austrumu daļā, kas plānota pēc tīklu paplašināšanas projekta IV kārtā, plānots izbūvēt jaunas notekūdeņu attīrīšanas iekārtas Lielupē vai kā alternatīvs variants tiek izskatīts esošā spiedvada Jūrmala-Rīga atjaunošana. 
2018.gadā uzsākti dažādi pētījumi un izvērtējumi, lai noskaidrotu, kurš no variantiem – jaunu notekūdeņu attīrīšanas iekārtu izbūve vai  esošā Jūrmala-Rīga spiedvada rekonstrukcija ilgtermiņā ir izdevīgāks variants SIA “Jūrmalas ūdens”.
</t>
  </si>
  <si>
    <t xml:space="preserve">2019.gadā esošās grāvja sistēmas atjaunošana, betona teknes izbūve posmā no Lielupes līdz Gulbju ielai un meliorācijas novadgrāvja atjaunošana Lapotnes ielā. </t>
  </si>
  <si>
    <t xml:space="preserve">Būvprojekta un būvprojekta ekspertīzes iztrāde  
Lielupes krasta joslas nostiprināšanai un aizsardzībai pret krasta eroziju orientējoši ~117,3 m garā posmā Tīklu ielā 10, Jūrmalā. </t>
  </si>
  <si>
    <t>Krasta stiprinājuma izbūve Jūrmalas ostas teritorijā</t>
  </si>
  <si>
    <t xml:space="preserve">Siltumtīklu atjaunošana Brīvības prospektā, Aizputes ielā, Rēzeknes pulka ielā, Saldus ielā, Ceriņu ielā 29, 31, Slokas ielā 36, 42, Drosmas ielā 2, Ievu ielā 6, no Slokas ielas 47a līdz Slokas 61, no Slokas ielas 47a līdz siltumkamerai pie Slokas iela 48. 
 Siltumtīklu pārbūve Slokas ielā 63 korp. 1-8; 65 korp.1.
Siltumtīklu atjaunošana Jūras, Teātra un Jomas ielās.
Siltumtīklu pārbūve no siltumkameras 3 Slokas ielā līdz siltumkamerai 4 un no siltumkameras 3 līdz siltumkamerai 3A-3 pie Baznīcas ielas; Skolas ielā no  Aspazijas ielas līdz siltumkamerai pie Jomas ielas 1/5. 
Siltumtīklu atjaunošana Slokas ielā no siltumkameras 4A gar Baznīcas ielu līdz Zgfrīda Meierovica propektam11; no siltumkameras 4 Tallinas ielas rajonā.
Siltumtīklu pārbūve Oškalna ielā, Nometņu ielā un Engures ielā; Lībiešu, Mazā Nometņu, Tērbatas, Tallinas, Rūpniecības ielā.
</t>
  </si>
  <si>
    <t>Izbūvētas 2 šķeldas katlu mājas 1.5 MW un 5 MW.  Siltumenerģija tiks ražota ar atjaunojamajiem energoresursiem, kā rezultātā samazinās dabasgāzes saražotais apjoms par 7 256 MWh, CO2 emisiju samazinājums gadā - 1980t.</t>
  </si>
  <si>
    <t>Katlu mājas atjaunošana Pliekšāna ielā un Aizputes ielā. Gāzes katlu nomaiņa Lībiešu ielā 9.</t>
  </si>
  <si>
    <t>Administratīvo telpu (klientu apkalpošana) izbūve Slokas sielā 47a, SIA "Jūrmalas siltums"</t>
  </si>
  <si>
    <t>Piekļuve klientu apkalpošanas speciālistiem visām iedzīvotāju grupām, kas veicinātu proaktīvu sadarbību  starp pakalpojuma sniedzēju un klientu.</t>
  </si>
  <si>
    <t>Debitoru uzskaites modernizācija, debitoru parādu piedziņas uzlabošana.</t>
  </si>
  <si>
    <t>Atjaunojamās energoenerģijas izmantošanas iespēju izpēte centralizētajā siltumapgādes sistēmā (eksperimentālo saules paneļu uzstādīšana), kas ļautu būtiski kompensēt siltuma zudumums un elektronerģijas ražošanu.</t>
  </si>
  <si>
    <t>Piesārņojuma zonējuma kartes izstrāde, energoefektivitātes platformas izstrāde, ISO 5001 uzturēšana, apmācība.</t>
  </si>
  <si>
    <t xml:space="preserve">2019.gadā plānots uzstādīt jaunus rotaļu laukumus: pludmalē - Mellužos pie Rožu ielas izejas uz jūru, Dubultos pie Baznīcas ielas, Lielupē starp 12.-18.līnijām un iekšpagalmos Kauguri 1820; Kauguri 3305.
2019.gadā atjaunot rotaļu laukumus: Kauguri 1106; Kauguri 0726;  "Zīmuļu parks",  Dubultos - Ievu ielā 6, Ķemeros - Robežu ielā 19. </t>
  </si>
  <si>
    <t>2019.gadā plānots metu konkurss par autobusa pieturu dizainu. 2020.gadā - tehniskā projekta izstrāde jaunu modernizētu autobusu pieturu izbūvei atbilstoši izstrādātajam Jūrmalas sabiedriskā transporta pieturvietu modernizācijas dizaina projektam. 2020.-2022.gada pieturu izbūve.</t>
  </si>
  <si>
    <t>Izbūvēta atpūtai, mazo un vidējo komersantu komercdarbības īstenošanai nepieciešamā infrastruktūra, kā arī jauniešu mājas izbūve uzņēmējdarbības vides attīstībai, jauniešu nodarbinātībai un brīvā laika pavadīšanai. Indikatīvā projekta kopsumma ITI SAM ietvaros 9 713 156.49 EUR, t.sk. ERAF 1 091 579.48 EUR un nefinanšu investīcijas 1 091 579.48 EUR.
Projekta idejas aprakstu skatīt 2.pielikumā “Integrētās teritoriju investīcijas”.</t>
  </si>
  <si>
    <t xml:space="preserve">Attīstības pārvaldes Infrastruktūras investīciju projektu nodaļa, Tūrisma un uzņēmējdarbības attīstības  nodaļa, Īpašumu pārvaldes Pilsētsaimniecības un labiekārtošanasnodaļa, Jūrmalas Bērnu un jauniešu centrs   </t>
  </si>
  <si>
    <t>Pašvaldības iestāde "Jūrmalas kapi", Attīstības pārvaldes Infrastruktūras investīciju projektu nodaļa</t>
  </si>
  <si>
    <t>2020-2021</t>
  </si>
  <si>
    <t>Veikta pašvaldībai piederošas ēkas pārbūve un īstenoti pasākumi ēkas energoefektivitātes paaugstināšanai, izveidojot īres namu pašvaldības speciālistiem.
Indikatīvā projekta kopsumma ITI SAM ietvaros 3 000 000.00 EUR, t.sk. ERAF 840 774.26 EUR.
Būvprojekts – Pašvaldības ēkas Raiņa ielā 62, Jūrmalā pārbūve un energoefektivitātes paaugstināšana. 
Projekta idejas aprakstu skatīt 2.pielikumā “Integrētās teritoriju investīcijas”.
Papildus paredzēti energoefektivitātes paaugstināšanas pasākumi projekta "Accelerate SUNShINE" ietvaros.</t>
  </si>
  <si>
    <t xml:space="preserve">Pašvaldības dzīvojamās mājas Nometņu ielā 2A pārbūve palīdzības dzīvokļu jautājumu risināšanai nodrošināšanai </t>
  </si>
  <si>
    <t>Veikta pašvaldībai piederošas dzīvojamās ēkas pārbūve, to izveidojot par atbilstošu palīdzības dzīvokļu jautājumu risināšanai nodrošināšanai noteiktām palīdzības saņēmēju kategorijām (bez vecāku gādības palikušiem bērniem; repatriantiem; politiski represētām personām; denacionalizēto namu īrniekiem; ģimenēm ar bērniem; personām ar kustību traucējumiem).</t>
  </si>
  <si>
    <t>Attīstības pārvaldes Infrastruktūras investīciju projektu nodaļa, Īpašumu pārvaldes Dzīvokļu nodaļa</t>
  </si>
  <si>
    <t>Īpašumu pārvaldes Pašvaldības īpašumu nodaļa, Dzīvokļu nodaļa</t>
  </si>
  <si>
    <t>2019.gadā optiskā tīkla izbūve no Raiņa ielas 79 līdz kopnei Valtera prospektā. 
Projektēšana un izbūve: no Jomas 1/5 līdz Smilšu 7; Strēlnieku prospektā līdz Pumpuru vidusskolai;  Jaundubultu vidusskolas iekšējais tīkls; no Jaundubultu vidusskolas/PII "Taurenītis" līdz Strēlnieku prospektam; Labklājības pārvalde (Talsu šoseja), PII"Podziņa", PII"Zvaniņš" - Kauguru optiskais tīkls.</t>
  </si>
  <si>
    <t>Centralizētās gaisa kondicionēšanas sistēmas izbūves 2.kārta Jomas ielā 1/5. Būvprojekta "Administratīvās ēkas jumta konstrukcijas. Mehāniskās stiprības un stabilitātes pastiprināšanai" izstrāde. Griesta segumu defektu novēršana Jomas ielā 1/5.</t>
  </si>
  <si>
    <t>2019.gadā nodrošināti datortīkla komutātori un maršrutētāji attālinātās JPD nodaļās, iegādāti 17 jaunu datori.</t>
  </si>
  <si>
    <t>2019.gadā veikta 1 ugunsmūra iekārtas iegāde, nodrošināta centralizēta drošības informācijas un notikumu pārvaldības sistēma.</t>
  </si>
  <si>
    <t>Ieviesta Jūrmalas iedzīvotāja kartes sistēma. 2019.gadā uzstādīti turniketi 3 skolās - Kauguru vidusskolā, ķemeru pamatskolā un Jūrmalas Valsts ģimnāzijā). Iegādātas Jūrmalas iedzīvotāja kartes un veikta to apdruka atbilstoši apstiprinātajam dizainam. Veikti ieviestās sistēmas papildinājumi pašvaldības dotāciju uzskaitei.</t>
  </si>
  <si>
    <t xml:space="preserve">2019.gadā veikti remontdarbi pirmsskolas izglītības iestādēs:  "Katrīna", "Madara", "Mārīte", "Podziņa", "Saulīte", "Zvaniņš", "Namiņš" un "Lācītis". </t>
  </si>
  <si>
    <t>Veikta skolas ēkas pārbūve un īstenoti pasākumi ēkas energoefektivitātes paaugstināšanai. 
Indikatīvā projekta kopsumma ITI SAM ietvaros 1 284 703.13 EUR, t.sk. ERAF 150 611.80 EUR.
Būvprojekts - Ķemeru pamatskolas ēka Tukuma ielā 10, Jūrmalā.
Projekta idejas aprakstu skatīt 2.pielikumā “Integrētās teritoriju investīcijas”.</t>
  </si>
  <si>
    <t>Īstenoti pasākumi skolas ēkas energoefektivitātes paaugstināšanai. Indikatīvā projekta kopsumma ITI SAM ietvaros 1 095 092.73 EUR, t.sk. ERAF 613 490.14 EUR. 
Būvprojekts - Jūrmalas pilsētas Jaundubultu vidusskolas ēkas vienkāršotās fasādes atjaunošanas un iekšējo inženiertīklu vienkāršotās atjaunošanas projekts. 
Projekta idejas aprakstu skatīt 2.pielikumā “Integrētās teritoriju investīcijas”.</t>
  </si>
  <si>
    <t>Īstenoti pasākumi skolas ēkas k-1 (autoskola) energoefektivitātes paaugstināšanai. 
Indikatīvā projekta kopsumma ITI SAM ietvaros 167 876.54 EUR, t.sk. ERAF 78 773.39 EUR. 
Būvprojekts - Jūrmalas pilsētas Jaundubultu vidusskolas ēkas k-1 (autoskolas ēka) vienkāršotās fasādes atjaunošanas un iekšējo inženiertīklu vienkāršotās atjaunošanas projekts.
Projekta idejas aprakstu skatīt 2.pielikumā “Integrētās teritoriju investīcijas”.</t>
  </si>
  <si>
    <t>Veikta Jūrmalas pilsētas Lielupes pamatskolas skolas ēkas pārbūve un sporta zāles piebūves izbūve, realizējot būvprojektu “Lielupes pamatskolas pārbūves un sporta zāles piebūve”.
2019.gadā paredzēta būvprojekta izstrāde un ekspertīze.</t>
  </si>
  <si>
    <t>Īstenoti pasākumi skolas ēkas energoefektivitātes paaugstināšanai un veikta skolas ēkas telpu modernizācija, izveidojot ergonomisku un mūsdienīgu mācību vidi. 
Indikatīvā projekta kopsumma ITI SAM 4.2.2. ietvaros 1 097 483.56 EUR, t.sk. ERAF 512 648.60 EUR, projekta nosaukums "Jūrmalas pilsētas Kauguru vidusskolas ēkas energoefektivitātes paaugstināšana".
Indikatīvā projekta darbības kopsumma ITI SAM 8.1.2. ietvaros 1 178 608.89 EUR, t.sk. ERAF 959 610.18 EUR, projekta nosaukums "Jūrmalas pilsētas vispārējās vidējās izglītības iestāžu infrastruktūras pilnveide". 
Divi būvprojekti - Jūrmalas pilsētas Kauguru vidusskolas ēkas vienkāršotās fasādes atjaunošana un iekšējo inženiertīklu vienkāršotās atjaunošana; Jūrmalas pilsētas Kauguru vidusskolas telpu atjaunošana.
Projekta idejas aprakstu skatīt 2.pielikumā “Integrētās teritoriju investīcijas”.</t>
  </si>
  <si>
    <t>Veikta Jūrmalas Sporta skolas ēkas, t.sk. peldbaseinu pārbūve un īstenoti pasākumi energoefektivitātes paaugstināšanai. 
Indikatīvā projekta kopsumma ITI SAM ietvaros 2 817 286.06 EUR, t.sk. ERAF 471 756.78 EUR. Būvprojekts - Jūrmalas Sporta skolas peldbaseina ēkas Rūpniecības ielā 13, k-4, Jūrmalā, pārbūve.
Projekta idejas aprakstu skatīt 2.pielikumā “Integrētās teritoriju investīcijas”.</t>
  </si>
  <si>
    <t>Veikta skolas ēkas pārbūve un infrastruktūras pilnveide, radot pilnībā modernizētu un ergonomisku mācību vidi. Izveidots metodiskais centrs. 
Indikatīvā projekta darbības kopsumma ITI SAM ietvaros 6 849 686.68 EUR, t.sk. ERAF 5 143 283.82 EUR. ITI projekta nosaukums "Jūrmalas pilsētas vispārējās vidējās izglītības iestāžu infrastruktūras pilnveide".
Būvprojekts - Jūrmalas Valsts ģimnāzijas ēkas Raiņa ielā 55, Jūrmalā pārbūve.
Projekta idejas aprakstu skatīt 2.pielikumā “Integrētās teritoriju investīcijas”.</t>
  </si>
  <si>
    <t>Vispārējās izglītības iestāžu pieejamības uzlabošana</t>
  </si>
  <si>
    <t xml:space="preserve">2019.gadā veikti remontdarbi vispārējās izglītības iestādēs: Jūmalas pilsētas Pumpuru vidusskolā, Jūmalas pilsētas Mežmalas vidusskolā, Jūrmalas pilsētas  Slokas pamatskolā, Jūrmalas pilsētas Majoru vidusskolā, Jūrmalas pilsētas Kauguru vidusskolā, Jūrmalas pilsētas Jaundubultu vidusskolā, Ķemeru pamatskolā, Jūrmalas sākumskolā "Ābelīte", Jūrmalas sākumskolā "Atvase", Jūrmalas sākumskolā "Taurenītis". </t>
  </si>
  <si>
    <t xml:space="preserve"> Jūrmalas bibliotēku ēku atjaunošana un remontdarbi.</t>
  </si>
  <si>
    <t>2019.gadā veikti Kauguru kultūras nama, Jūrmalas kultūras centra un Jūrmalas teātra remontdarbi.</t>
  </si>
  <si>
    <t xml:space="preserve">Atjaunots vietējas nozīmes kultūras piemineklis un veikta teritorijas labiekārtošana - nodrošināta kultūras pakalpojumu pieejamība un kvalitātes pilnveide, veicināts apmeklējumu skaita pieaugums. Projekta iznākuma rādītāji uz 31.12.2023. – objekta apmeklējumu skaita paredzamais pieaugums 6000 apmeklējumi; atbalstīts 1 kultūras mantojuma objekts; jaunradīts 1 pakalpojums. SAM 5.5.1. projekts "Jaunu dabas un kultūras tūrisma pakalpojumu radīšana Rīgas jūras līča rietumu piekrastē".
Projekts tiek īstenots, pamatojoties uz Jūrmalas pilsētas domes 22.11.18. lēmumu Nr.557.                                                                                                                                                                                                                                                                                                                                                    </t>
  </si>
  <si>
    <t>Īstenoti pasākumi Jūrmalas teātra ēkas energoefektivitātes paaugstināšanai.
Indikatīvā projekta kopsumma ITI SAM ietvaros 154 792.13 EUR, t.sk. ERAF 84 156.03 EUR. 
Būvprojekts - Jūrmalas teātra ēkas vienkāršotās fasādes atjaunošanas un iekšējo inženiertīklu vienkāršotās atjaunošanas projekts.
Projekta idejas aprakstu skatīt 2.pielikumā “Integrētās teritoriju investīcijas”.</t>
  </si>
  <si>
    <t xml:space="preserve"> 2019.gadā Jūrmalas pilsētas stadiona ''Sloka'' skrejceliņu seguma atjaunošana Skolas ielā 5, Jūrmalā. </t>
  </si>
  <si>
    <t>Kauguru vidusskolas sintētiskā futbola laukuma apgaismojuma uzstādīšana</t>
  </si>
  <si>
    <t>Apgaismojuma izveide sintetiskajā futbola laukumā atbilstoši Latvijas Futbola federācijas standartiem.</t>
  </si>
  <si>
    <t>Āra sporta stadiona būvprojekta izstrāde 2019.gadā un atjaunošana.</t>
  </si>
  <si>
    <t>Mežmalas vidusskolas sporta zāles pārbūve</t>
  </si>
  <si>
    <t xml:space="preserve">2019.gadā ēkas tehniskā apsekošana un būvprojekta izstrāde. 2020.gadā sporta zāles atjaunošanas darbi. </t>
  </si>
  <si>
    <t>Pašvaldības operatīvās informācijas centrs (POIC) dos iespēju piedalīties projektos ES fondu finansējuma saņemšanai, kas saistīti ar civilo aizsardzību, vides monitoringu un "gudrās" pilsētas risinājumiem. Izdevumos ir paredzēta programmnodrošinājuma un sistēmu ieviešana 2020.gadā; sistēmu iegāde, uzstādīšana un pamatlīdzekļu (POIC un Pašvaldības policijas telpu aprīkojums, serveru un komunikācijas iekārtas) iegāde 2021.-2022.gadā.</t>
  </si>
  <si>
    <t>Izveidota ģimeniskai videi pietuvināta pakalpojuma infrastruktūra 8 bērniem un 8 jauniešiem Jūrmalā, Sēravotu ielā 9, veicot esošās PI "Sprīdītis" ēkas pārbūvi, telpu aprīkošanu un teritorijas labiekārtošanu.
Indikatīvā projekta darbības kopsumma ITI SAM ietvaros 683 496.48 EUR, t.sk. ERAF 580 972.00 EUR.  ITI projekta nosaukums " Infrastruktūras pilnveide sabiedrībā balstītu sociālo pakalpojumu nodrošināšanai".
Projekta idejas aprakstu skatīt 2.pielikumā “Integrētās teritoriju investīcijas”.</t>
  </si>
  <si>
    <t>Paplašināts Dienas aprūpes centrā pieejamo sociālo pakalpojumu klāsts, veicot telpu pārbūvi, atjaunošanu un aprīkošanu un nodrošinot pakalpojumu pieejamību 30 personām ar garīga rakstura traucējumiem, Dūņu ceļā 2, Jūrmalā.
Indikatīvā projekta darbību kopsumma ITI SAM ietvaros 263 345.87 EUR, t.sk. ERAF 223 529.49 EUR. ITI projekta nosaukums " Infrastruktūras pilnveide sabiedrībā balstītu sociālo pakalpojumu nodrošināšanai".
Projekta idejas aprakstu skatīt 2.pielikumā “Integrētās teritoriju investīcijas”.</t>
  </si>
  <si>
    <t>Izveidots jauns Grupu dzīvoklis 8 personām ar garīga rakstura traucējumiem Dzirnavu ielā 36, Jūrmalā.
Indikatīvā projekta darbību kopsumma ITI SAM ietvaros 342 118.24 EUR, t.sk. ERAF 290 486.00 EUR.  ITI projekta nosaukums "Infrastruktūras pilnveide sabiedrībā balstītu sociālo pakalpojumu nodrošināšanai".
Projekta idejas aprakstu skatīt 2.pielikumā “Integrētās teritoriju investīcijas”.</t>
  </si>
  <si>
    <t>Izveidota rehabilitācijas pakalpojumu infrastruktūra 63 bērniem ar funkcionāliem traucējumiem PII "Podziņa", Lībiešu ielā 21, Jūrmalā, veicot telpu aprīkošanu, teritorijas labiekārtošanu, t.sk. nojumju izbūvi.
Indikatīvā projekta darbības kopsumma ITI SAM ietvaros 124 369.41 EUR, t.sk. ERAF 105 714.00 EUR. ITI projekta nosaukums "Infrastruktūras pilnveide sabiedrībā balstītu sociālo pakalpojumu nodrošināšanai".
Projekta idejas aprakstu skatīt 2.pielikumā “Integrētās teritoriju investīcijas”.</t>
  </si>
  <si>
    <t>Veikta Jūrmalas veselības veicināšanas un sociālo pakalpojumu centra ēku, t.sk. baseina pārbūve un īstenoti pasākumi energoefektivitātes paaugstināšanai. 
Indikatīvā alternatīvā SAM 4.2.2. projekta kopsumma ITI SAM ietvaros 3 000 000.00 EUR, t.sk. ERAF 840 774.26 EUR. Būvprojekts - Jūrmalas pilsētas pašvaldības iestādes “Jūrmalas veselības veicināšanas un sociālo pakalpojumu centrs” ēku energoefektivitātes paaugstināšanas pasākumi un ēku pārbūve.
Projekta idejas aprakstu skatīt 2.pielikumā “Integrētās teritoriju investīcijas”.</t>
  </si>
  <si>
    <t>SIA ''Veselības un sociālās aprūpes centrs - Sloka'' infrastruktūras un sniegto pakalpojumu uzlabošana</t>
  </si>
  <si>
    <t xml:space="preserve">Metāla ugunsdrošības durvju uzstādīšana 2019.gadā. Ārējo ūdensvadu un kanalizācijas atjaunošanas 2019.gadā. Gaisa attīrīšanas un jonizācijas iekārtu iegāde 2020.gadā. Klientu pacēlāju iegāde un uzstādīšana 2020.gadā. </t>
  </si>
  <si>
    <t xml:space="preserve">Funkcionālās diagnostikas izmeklējumu iekārtas 2019.gadā:1) veloergometra iegāde;
2) elektrokardiogrāfa iegāde.
Pakalpojumu sniegšanas apjoma palielināšana 2019.gadā: 1)Sterilizācijas pakalpojumu uzlabošana (autoklāvs); 2) Koalgulatoru iegāde; 3) Ehinoskopa iegāde.
Ultrasonogrāfijas pakalpojumu sniegšanas apjoma palielināšana 2020.gadā: Ultrasonogrāfa iegāde.
Infrastruktūras uzlabošana 2019. un 2020.gadā:1)mēbeļu iegāde; 2) telpu remonts.
Zobārstniecības iekārtu iegāde: viena iekārta 2019.gadā, otra - 2020.gadā.
</t>
  </si>
  <si>
    <t xml:space="preserve">Jaunas aizsargbūves izveide un esošās pārbūve Lielupes krasta nostiprināšanai pilsētas centrālajā daļā (Dubulti - Majori-Dzintari), krasta erozijas un plūdu draudu novēršanai. 
Projekta kopsumma SAM  5.1.1. ietvaros 4 640 132.60 EUR, t.sk. ERAF 3 230 000EUR. Būvprojekts - Lielupes radīto plūdu un krasta erozijas risku apdraudējumu novēršanas pasākumi Dzintaros un Majoros. Otrs būvprojekts Lielupes gultnes/ zemūdens nogāzes nostiprināšana (atjaunošana) pie esošā krasta stiprinājuma posmā Majori-Dubulti, Jūrmalas pilsētā.
Projekts tiek īstenots, pamatojoties uz Jūrmalas pilsētas domes 23.08.18. lēmumu Nr.394.
</t>
  </si>
  <si>
    <t xml:space="preserve"> 2019. un 2020.gadā gadā izveidoti norobežoti peldceliņi Lielupē. 2019.gadā plānota Dzintaru Mežaparka skeitparka koka tribīņu atjaunošana. Izveidoti āra trenažieri pludmalē: Jaundubultos starp Baznīcas un Kļavu ielu; Mellužos - Rožu ielas galā pie glābšanas stacijas. Plānotās aktivitātes 2019.gadā tiks īstenotas budžeta pārpalikuma gadījumā.</t>
  </si>
  <si>
    <t>2018.gada 18.decembra lēmumam Nr.600</t>
  </si>
  <si>
    <t>(protokols Nr.17, 1.punkts)</t>
  </si>
  <si>
    <t xml:space="preserve">Jūrmalas pilsētas attīstības programmas 2014.–2020.gadam 2.daļas „Stratēģiskā daļa un rīcības plāns” II.nodaļas "Rīcības plāns" h) apakšnodaļa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</si>
</sst>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_-;\-* #,##0.00\ _€_-;_-* &quot;-&quot;??\ _€_-;_-@_-"/>
    <numFmt numFmtId="164" formatCode="_-* #,##0.0_-;\-* #,##0.0_-;_-* &quot;-&quot;??_-;_-@_-"/>
    <numFmt numFmtId="165" formatCode="0_ ;\-0\ "/>
    <numFmt numFmtId="166" formatCode="#,##0.0"/>
    <numFmt numFmtId="167" formatCode="_-* #,##0_-;\-* #,##0_-;_-* &quot;-&quot;??_-;_-@_-"/>
    <numFmt numFmtId="168" formatCode="#,##0.000"/>
  </numFmts>
  <fonts count="18" x14ac:knownFonts="1">
    <font>
      <sz val="11"/>
      <color theme="1"/>
      <name val="Calibri"/>
      <family val="2"/>
      <charset val="186"/>
      <scheme val="minor"/>
    </font>
    <font>
      <sz val="11"/>
      <color theme="1"/>
      <name val="Calibri"/>
      <family val="2"/>
      <charset val="186"/>
      <scheme val="minor"/>
    </font>
    <font>
      <sz val="12"/>
      <name val="Arial"/>
      <family val="2"/>
      <charset val="186"/>
    </font>
    <font>
      <sz val="10"/>
      <name val="Arial"/>
      <family val="2"/>
      <charset val="186"/>
    </font>
    <font>
      <b/>
      <sz val="10"/>
      <name val="Arial"/>
      <family val="2"/>
      <charset val="186"/>
    </font>
    <font>
      <i/>
      <sz val="10"/>
      <name val="Arial"/>
      <family val="2"/>
      <charset val="186"/>
    </font>
    <font>
      <sz val="14"/>
      <name val="Calibri Light"/>
      <family val="2"/>
      <charset val="186"/>
      <scheme val="major"/>
    </font>
    <font>
      <sz val="10"/>
      <name val="Calibri Light"/>
      <family val="1"/>
      <charset val="186"/>
      <scheme val="major"/>
    </font>
    <font>
      <b/>
      <sz val="14"/>
      <name val="Arial"/>
      <family val="2"/>
      <charset val="186"/>
    </font>
    <font>
      <sz val="9"/>
      <name val="Arial"/>
      <family val="2"/>
      <charset val="186"/>
    </font>
    <font>
      <b/>
      <sz val="9"/>
      <name val="Arial"/>
      <family val="2"/>
      <charset val="186"/>
    </font>
    <font>
      <b/>
      <i/>
      <sz val="10"/>
      <name val="Arial"/>
      <family val="2"/>
      <charset val="186"/>
    </font>
    <font>
      <sz val="11"/>
      <name val="Calibri"/>
      <family val="2"/>
      <charset val="186"/>
      <scheme val="minor"/>
    </font>
    <font>
      <sz val="10"/>
      <color theme="1"/>
      <name val="Arial"/>
      <family val="2"/>
      <charset val="186"/>
    </font>
    <font>
      <sz val="10"/>
      <color rgb="FFFF0000"/>
      <name val="Arial"/>
      <family val="2"/>
      <charset val="186"/>
    </font>
    <font>
      <i/>
      <sz val="10"/>
      <color theme="1"/>
      <name val="Arial"/>
      <family val="2"/>
      <charset val="186"/>
    </font>
    <font>
      <b/>
      <sz val="11"/>
      <name val="Arial"/>
      <family val="2"/>
      <charset val="186"/>
    </font>
    <font>
      <strike/>
      <sz val="10"/>
      <color rgb="FFFF0000"/>
      <name val="Arial"/>
      <family val="2"/>
      <charset val="186"/>
    </font>
  </fonts>
  <fills count="8">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C000"/>
        <bgColor indexed="64"/>
      </patternFill>
    </fill>
    <fill>
      <patternFill patternType="solid">
        <fgColor theme="7"/>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style="hair">
        <color indexed="64"/>
      </left>
      <right/>
      <top/>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43" fontId="1" fillId="0" borderId="0" applyFont="0" applyFill="0" applyBorder="0" applyAlignment="0" applyProtection="0"/>
  </cellStyleXfs>
  <cellXfs count="362">
    <xf numFmtId="0" fontId="0" fillId="0" borderId="0" xfId="0"/>
    <xf numFmtId="164" fontId="3" fillId="2" borderId="0" xfId="0" applyNumberFormat="1" applyFont="1" applyFill="1" applyBorder="1" applyAlignment="1">
      <alignment horizontal="center" vertical="center" wrapText="1"/>
    </xf>
    <xf numFmtId="164" fontId="3" fillId="0" borderId="0" xfId="0" applyNumberFormat="1" applyFont="1" applyFill="1" applyBorder="1" applyAlignment="1">
      <alignment vertical="center"/>
    </xf>
    <xf numFmtId="164" fontId="3" fillId="0" borderId="0" xfId="0" applyNumberFormat="1" applyFont="1" applyBorder="1" applyAlignment="1">
      <alignment vertical="center"/>
    </xf>
    <xf numFmtId="164" fontId="4" fillId="0" borderId="0" xfId="0" applyNumberFormat="1" applyFont="1" applyFill="1" applyBorder="1" applyAlignment="1">
      <alignment vertical="center"/>
    </xf>
    <xf numFmtId="164" fontId="4" fillId="2" borderId="0" xfId="0" applyNumberFormat="1" applyFont="1" applyFill="1" applyBorder="1" applyAlignment="1">
      <alignment vertical="center"/>
    </xf>
    <xf numFmtId="164" fontId="3" fillId="2" borderId="0" xfId="0" applyNumberFormat="1" applyFont="1" applyFill="1" applyBorder="1" applyAlignment="1">
      <alignment vertical="center"/>
    </xf>
    <xf numFmtId="164" fontId="3" fillId="0" borderId="0" xfId="0" applyNumberFormat="1" applyFont="1" applyFill="1" applyBorder="1"/>
    <xf numFmtId="164" fontId="3" fillId="0" borderId="0" xfId="0" applyNumberFormat="1" applyFont="1" applyBorder="1"/>
    <xf numFmtId="164" fontId="3" fillId="0" borderId="0" xfId="2" applyNumberFormat="1" applyFont="1" applyFill="1" applyBorder="1"/>
    <xf numFmtId="164" fontId="3" fillId="2" borderId="0" xfId="2" applyNumberFormat="1" applyFont="1" applyFill="1" applyBorder="1"/>
    <xf numFmtId="164" fontId="3" fillId="0" borderId="0" xfId="2" applyNumberFormat="1" applyFont="1" applyBorder="1"/>
    <xf numFmtId="166" fontId="3" fillId="0" borderId="0" xfId="2" applyNumberFormat="1" applyFont="1" applyFill="1" applyBorder="1" applyAlignment="1">
      <alignment horizontal="center" vertical="center"/>
    </xf>
    <xf numFmtId="166" fontId="3" fillId="0" borderId="0" xfId="0" applyNumberFormat="1" applyFont="1" applyBorder="1" applyAlignment="1">
      <alignment horizontal="center" vertical="center"/>
    </xf>
    <xf numFmtId="49" fontId="3" fillId="2" borderId="0" xfId="0" applyNumberFormat="1" applyFont="1" applyFill="1" applyBorder="1" applyAlignment="1">
      <alignment horizontal="center" vertical="center" wrapText="1"/>
    </xf>
    <xf numFmtId="167" fontId="3" fillId="2" borderId="0" xfId="0" applyNumberFormat="1" applyFont="1" applyFill="1" applyBorder="1" applyAlignment="1">
      <alignment horizontal="center" vertical="center" wrapText="1"/>
    </xf>
    <xf numFmtId="165" fontId="3" fillId="0" borderId="0" xfId="0" applyNumberFormat="1" applyFont="1" applyBorder="1" applyAlignment="1">
      <alignment horizontal="center" vertical="center"/>
    </xf>
    <xf numFmtId="164" fontId="3" fillId="0" borderId="0" xfId="0" applyNumberFormat="1" applyFont="1" applyBorder="1" applyAlignment="1">
      <alignment vertical="center" wrapText="1"/>
    </xf>
    <xf numFmtId="164" fontId="3" fillId="0" borderId="0" xfId="0" applyNumberFormat="1" applyFont="1" applyFill="1" applyBorder="1" applyAlignment="1">
      <alignment vertical="center" wrapText="1"/>
    </xf>
    <xf numFmtId="164" fontId="3" fillId="0" borderId="1" xfId="2" applyNumberFormat="1" applyFont="1" applyFill="1" applyBorder="1" applyAlignment="1">
      <alignment vertical="top" wrapText="1"/>
    </xf>
    <xf numFmtId="164" fontId="5" fillId="2" borderId="1" xfId="2" applyNumberFormat="1" applyFont="1" applyFill="1" applyBorder="1" applyAlignment="1">
      <alignment horizontal="right" vertical="top" wrapText="1"/>
    </xf>
    <xf numFmtId="166" fontId="3" fillId="0" borderId="7" xfId="2" applyNumberFormat="1" applyFont="1" applyFill="1" applyBorder="1" applyAlignment="1">
      <alignment horizontal="center" vertical="center"/>
    </xf>
    <xf numFmtId="166" fontId="3" fillId="0" borderId="1" xfId="2" applyNumberFormat="1" applyFont="1" applyFill="1" applyBorder="1" applyAlignment="1">
      <alignment horizontal="center" vertical="center"/>
    </xf>
    <xf numFmtId="166" fontId="3" fillId="0" borderId="8" xfId="1" applyNumberFormat="1" applyFont="1" applyFill="1" applyBorder="1" applyAlignment="1">
      <alignment horizontal="center" vertical="center"/>
    </xf>
    <xf numFmtId="166" fontId="3" fillId="0" borderId="6" xfId="2" applyNumberFormat="1" applyFont="1" applyFill="1" applyBorder="1" applyAlignment="1">
      <alignment horizontal="center" vertical="center"/>
    </xf>
    <xf numFmtId="164" fontId="7" fillId="0" borderId="0" xfId="0" applyNumberFormat="1" applyFont="1" applyFill="1" applyBorder="1" applyAlignment="1">
      <alignment vertical="center"/>
    </xf>
    <xf numFmtId="164" fontId="7" fillId="0" borderId="0" xfId="0" applyNumberFormat="1" applyFont="1" applyBorder="1" applyAlignment="1">
      <alignment vertical="center"/>
    </xf>
    <xf numFmtId="165" fontId="3" fillId="3" borderId="1" xfId="0" applyNumberFormat="1" applyFont="1" applyFill="1" applyBorder="1" applyAlignment="1">
      <alignment horizontal="center" vertical="center" textRotation="90" wrapText="1"/>
    </xf>
    <xf numFmtId="164" fontId="4" fillId="3" borderId="1" xfId="0" applyNumberFormat="1" applyFont="1" applyFill="1" applyBorder="1" applyAlignment="1">
      <alignment horizontal="left" vertical="center" wrapText="1"/>
    </xf>
    <xf numFmtId="164" fontId="4" fillId="3" borderId="2" xfId="0" applyNumberFormat="1" applyFont="1" applyFill="1" applyBorder="1" applyAlignment="1">
      <alignment horizontal="center" vertical="center" wrapText="1"/>
    </xf>
    <xf numFmtId="166" fontId="4" fillId="3" borderId="3" xfId="0" applyNumberFormat="1" applyFont="1" applyFill="1" applyBorder="1" applyAlignment="1">
      <alignment horizontal="center" vertical="center" wrapText="1"/>
    </xf>
    <xf numFmtId="166" fontId="4" fillId="3" borderId="1" xfId="0" applyNumberFormat="1" applyFont="1" applyFill="1" applyBorder="1" applyAlignment="1">
      <alignment horizontal="center" vertical="center" wrapText="1"/>
    </xf>
    <xf numFmtId="166" fontId="4" fillId="3" borderId="2" xfId="0" applyNumberFormat="1" applyFont="1" applyFill="1" applyBorder="1" applyAlignment="1">
      <alignment horizontal="center" vertical="center" wrapText="1"/>
    </xf>
    <xf numFmtId="166" fontId="4" fillId="3" borderId="8" xfId="0" applyNumberFormat="1" applyFont="1" applyFill="1" applyBorder="1" applyAlignment="1">
      <alignment horizontal="center" vertical="center" wrapText="1"/>
    </xf>
    <xf numFmtId="166" fontId="4" fillId="3" borderId="6" xfId="0" applyNumberFormat="1" applyFont="1" applyFill="1" applyBorder="1" applyAlignment="1">
      <alignment horizontal="center" vertical="center" wrapText="1"/>
    </xf>
    <xf numFmtId="166" fontId="3" fillId="3" borderId="1"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xf>
    <xf numFmtId="164" fontId="4" fillId="3" borderId="1" xfId="0" applyNumberFormat="1" applyFont="1" applyFill="1" applyBorder="1" applyAlignment="1">
      <alignment vertical="center" wrapText="1"/>
    </xf>
    <xf numFmtId="164" fontId="3" fillId="3" borderId="2" xfId="0" applyNumberFormat="1" applyFont="1" applyFill="1" applyBorder="1" applyAlignment="1">
      <alignment vertical="center"/>
    </xf>
    <xf numFmtId="166" fontId="4" fillId="3" borderId="7" xfId="0" applyNumberFormat="1" applyFont="1" applyFill="1" applyBorder="1" applyAlignment="1">
      <alignment horizontal="center" vertical="center"/>
    </xf>
    <xf numFmtId="166" fontId="4" fillId="3" borderId="1" xfId="0" applyNumberFormat="1" applyFont="1" applyFill="1" applyBorder="1" applyAlignment="1">
      <alignment horizontal="center" vertical="center"/>
    </xf>
    <xf numFmtId="166" fontId="4" fillId="3" borderId="8" xfId="0" applyNumberFormat="1" applyFont="1" applyFill="1" applyBorder="1" applyAlignment="1">
      <alignment horizontal="center" vertical="center"/>
    </xf>
    <xf numFmtId="166" fontId="4" fillId="3" borderId="6" xfId="0" applyNumberFormat="1" applyFont="1" applyFill="1" applyBorder="1" applyAlignment="1">
      <alignment horizontal="center" vertical="center"/>
    </xf>
    <xf numFmtId="164" fontId="4" fillId="4" borderId="2" xfId="0" applyNumberFormat="1" applyFont="1" applyFill="1" applyBorder="1" applyAlignment="1">
      <alignment vertical="center"/>
    </xf>
    <xf numFmtId="166" fontId="4" fillId="4" borderId="15" xfId="0" applyNumberFormat="1" applyFont="1" applyFill="1" applyBorder="1" applyAlignment="1">
      <alignment horizontal="center" vertical="center"/>
    </xf>
    <xf numFmtId="166" fontId="4" fillId="4" borderId="1" xfId="0" applyNumberFormat="1" applyFont="1" applyFill="1" applyBorder="1" applyAlignment="1">
      <alignment horizontal="center" vertical="center"/>
    </xf>
    <xf numFmtId="166" fontId="4" fillId="4" borderId="16"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wrapText="1"/>
    </xf>
    <xf numFmtId="167" fontId="4" fillId="4"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164" fontId="4" fillId="5" borderId="2" xfId="0" applyNumberFormat="1" applyFont="1" applyFill="1" applyBorder="1" applyAlignment="1">
      <alignment vertical="center"/>
    </xf>
    <xf numFmtId="166" fontId="4" fillId="5" borderId="9" xfId="0" applyNumberFormat="1" applyFont="1" applyFill="1" applyBorder="1" applyAlignment="1">
      <alignment horizontal="center" vertical="center"/>
    </xf>
    <xf numFmtId="166" fontId="4" fillId="5" borderId="1" xfId="0" applyNumberFormat="1" applyFont="1" applyFill="1" applyBorder="1" applyAlignment="1">
      <alignment horizontal="center" vertical="center"/>
    </xf>
    <xf numFmtId="166" fontId="4" fillId="5" borderId="2" xfId="0" applyNumberFormat="1" applyFont="1" applyFill="1" applyBorder="1" applyAlignment="1">
      <alignment horizontal="center" vertical="center"/>
    </xf>
    <xf numFmtId="166" fontId="4" fillId="5" borderId="10" xfId="0" applyNumberFormat="1" applyFont="1" applyFill="1" applyBorder="1" applyAlignment="1">
      <alignment horizontal="center" vertical="center"/>
    </xf>
    <xf numFmtId="166" fontId="4" fillId="5" borderId="6" xfId="0" applyNumberFormat="1" applyFont="1" applyFill="1" applyBorder="1" applyAlignment="1">
      <alignment horizontal="center" vertical="center"/>
    </xf>
    <xf numFmtId="49" fontId="4" fillId="5" borderId="1" xfId="0" applyNumberFormat="1" applyFont="1" applyFill="1" applyBorder="1" applyAlignment="1">
      <alignment horizontal="center" vertical="center" wrapText="1"/>
    </xf>
    <xf numFmtId="167" fontId="4" fillId="5" borderId="1" xfId="0" applyNumberFormat="1" applyFont="1" applyFill="1" applyBorder="1" applyAlignment="1">
      <alignment horizontal="center" vertical="center" wrapText="1"/>
    </xf>
    <xf numFmtId="0" fontId="4" fillId="5"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164" fontId="3" fillId="6" borderId="1" xfId="0" applyNumberFormat="1" applyFont="1" applyFill="1" applyBorder="1" applyAlignment="1">
      <alignment horizontal="left" vertical="center" wrapText="1"/>
    </xf>
    <xf numFmtId="164" fontId="3" fillId="6" borderId="2" xfId="1" applyNumberFormat="1" applyFont="1" applyFill="1" applyBorder="1" applyAlignment="1">
      <alignment horizontal="center" vertical="center" wrapText="1"/>
    </xf>
    <xf numFmtId="166" fontId="3" fillId="6" borderId="7" xfId="1" applyNumberFormat="1" applyFont="1" applyFill="1" applyBorder="1" applyAlignment="1">
      <alignment horizontal="center" vertical="center"/>
    </xf>
    <xf numFmtId="166" fontId="3" fillId="6" borderId="1" xfId="1" applyNumberFormat="1" applyFont="1" applyFill="1" applyBorder="1" applyAlignment="1">
      <alignment horizontal="center" vertical="center"/>
    </xf>
    <xf numFmtId="166" fontId="3" fillId="6" borderId="10" xfId="1" applyNumberFormat="1" applyFont="1" applyFill="1" applyBorder="1" applyAlignment="1">
      <alignment horizontal="center" vertical="center"/>
    </xf>
    <xf numFmtId="166" fontId="3" fillId="6" borderId="6" xfId="1" applyNumberFormat="1" applyFont="1" applyFill="1" applyBorder="1" applyAlignment="1">
      <alignment horizontal="center" vertical="center"/>
    </xf>
    <xf numFmtId="49" fontId="3" fillId="6" borderId="1" xfId="0" applyNumberFormat="1" applyFont="1" applyFill="1" applyBorder="1" applyAlignment="1">
      <alignment horizontal="center" vertical="center" wrapText="1"/>
    </xf>
    <xf numFmtId="167" fontId="3" fillId="6" borderId="1" xfId="0" applyNumberFormat="1" applyFont="1" applyFill="1" applyBorder="1" applyAlignment="1">
      <alignment horizontal="center" vertical="center" wrapText="1"/>
    </xf>
    <xf numFmtId="0" fontId="3" fillId="6" borderId="1" xfId="0" applyNumberFormat="1" applyFont="1" applyFill="1" applyBorder="1" applyAlignment="1">
      <alignment horizontal="center" vertical="center" wrapText="1"/>
    </xf>
    <xf numFmtId="164" fontId="3" fillId="6" borderId="1" xfId="0" applyNumberFormat="1" applyFont="1" applyFill="1" applyBorder="1" applyAlignment="1">
      <alignment horizontal="center" vertical="center" wrapText="1"/>
    </xf>
    <xf numFmtId="164" fontId="3" fillId="2" borderId="1" xfId="2" applyNumberFormat="1" applyFont="1" applyFill="1" applyBorder="1" applyAlignment="1">
      <alignment vertical="top" wrapText="1"/>
    </xf>
    <xf numFmtId="166" fontId="3" fillId="2" borderId="8" xfId="1" applyNumberFormat="1" applyFont="1" applyFill="1" applyBorder="1" applyAlignment="1">
      <alignment horizontal="center" vertical="center"/>
    </xf>
    <xf numFmtId="164" fontId="5" fillId="0" borderId="1" xfId="2" applyNumberFormat="1" applyFont="1" applyFill="1" applyBorder="1" applyAlignment="1">
      <alignment horizontal="right" vertical="top" wrapText="1"/>
    </xf>
    <xf numFmtId="166" fontId="3" fillId="6" borderId="8" xfId="1" applyNumberFormat="1" applyFont="1" applyFill="1" applyBorder="1" applyAlignment="1">
      <alignment horizontal="center" vertical="center"/>
    </xf>
    <xf numFmtId="166" fontId="3" fillId="6" borderId="1" xfId="2" applyNumberFormat="1" applyFont="1" applyFill="1" applyBorder="1" applyAlignment="1">
      <alignment horizontal="center" vertical="center"/>
    </xf>
    <xf numFmtId="164" fontId="5" fillId="2" borderId="1" xfId="0" applyNumberFormat="1" applyFont="1" applyFill="1" applyBorder="1" applyAlignment="1">
      <alignment horizontal="right" vertical="center" wrapText="1"/>
    </xf>
    <xf numFmtId="166" fontId="4" fillId="5" borderId="11" xfId="0" applyNumberFormat="1" applyFont="1" applyFill="1" applyBorder="1" applyAlignment="1">
      <alignment horizontal="center" vertical="center"/>
    </xf>
    <xf numFmtId="166" fontId="4" fillId="5" borderId="1" xfId="2" applyNumberFormat="1" applyFont="1" applyFill="1" applyBorder="1" applyAlignment="1">
      <alignment horizontal="center" vertical="center"/>
    </xf>
    <xf numFmtId="164" fontId="3" fillId="0" borderId="1" xfId="2" applyNumberFormat="1" applyFont="1" applyFill="1" applyBorder="1" applyAlignment="1">
      <alignment horizontal="left" vertical="top" wrapText="1"/>
    </xf>
    <xf numFmtId="164" fontId="3" fillId="0" borderId="1" xfId="0" applyNumberFormat="1" applyFont="1" applyFill="1" applyBorder="1" applyAlignment="1">
      <alignment horizontal="left" vertical="center" wrapText="1"/>
    </xf>
    <xf numFmtId="166" fontId="3" fillId="0" borderId="7" xfId="1" applyNumberFormat="1" applyFont="1" applyFill="1" applyBorder="1" applyAlignment="1">
      <alignment horizontal="center" vertical="center"/>
    </xf>
    <xf numFmtId="166" fontId="3" fillId="0" borderId="1" xfId="1" applyNumberFormat="1" applyFont="1" applyFill="1" applyBorder="1" applyAlignment="1">
      <alignment horizontal="center" vertical="center"/>
    </xf>
    <xf numFmtId="166" fontId="3" fillId="0" borderId="6" xfId="1" applyNumberFormat="1" applyFont="1" applyFill="1" applyBorder="1" applyAlignment="1">
      <alignment horizontal="center" vertical="center"/>
    </xf>
    <xf numFmtId="164" fontId="5" fillId="0" borderId="1" xfId="0" applyNumberFormat="1" applyFont="1" applyFill="1" applyBorder="1" applyAlignment="1">
      <alignment horizontal="right" vertical="center" wrapText="1"/>
    </xf>
    <xf numFmtId="164" fontId="3" fillId="0" borderId="1" xfId="0" applyNumberFormat="1" applyFont="1" applyFill="1" applyBorder="1" applyAlignment="1">
      <alignment vertical="center" wrapText="1"/>
    </xf>
    <xf numFmtId="0" fontId="12" fillId="0" borderId="0" xfId="0" applyFont="1" applyFill="1"/>
    <xf numFmtId="166" fontId="3" fillId="0" borderId="3" xfId="1" applyNumberFormat="1" applyFont="1" applyFill="1" applyBorder="1" applyAlignment="1">
      <alignment horizontal="center" vertical="center"/>
    </xf>
    <xf numFmtId="166" fontId="3" fillId="0" borderId="4" xfId="1" applyNumberFormat="1" applyFont="1" applyFill="1" applyBorder="1" applyAlignment="1">
      <alignment horizontal="center" vertical="center"/>
    </xf>
    <xf numFmtId="166" fontId="3" fillId="0" borderId="5" xfId="1" applyNumberFormat="1" applyFont="1" applyFill="1" applyBorder="1" applyAlignment="1">
      <alignment horizontal="center" vertical="center"/>
    </xf>
    <xf numFmtId="164" fontId="3" fillId="0" borderId="2" xfId="2" applyNumberFormat="1" applyFont="1" applyFill="1" applyBorder="1" applyAlignment="1">
      <alignment vertical="center" wrapText="1"/>
    </xf>
    <xf numFmtId="164" fontId="3" fillId="6" borderId="1" xfId="0" applyNumberFormat="1" applyFont="1" applyFill="1" applyBorder="1" applyAlignment="1">
      <alignment vertical="center" wrapText="1"/>
    </xf>
    <xf numFmtId="164" fontId="3" fillId="6" borderId="2" xfId="0" applyNumberFormat="1" applyFont="1" applyFill="1" applyBorder="1" applyAlignment="1">
      <alignment horizontal="center" vertical="center"/>
    </xf>
    <xf numFmtId="166" fontId="3" fillId="2" borderId="1" xfId="2" applyNumberFormat="1" applyFont="1" applyFill="1" applyBorder="1" applyAlignment="1">
      <alignment horizontal="center" vertical="center" wrapText="1"/>
    </xf>
    <xf numFmtId="165" fontId="3" fillId="7" borderId="1" xfId="0" applyNumberFormat="1" applyFont="1" applyFill="1" applyBorder="1" applyAlignment="1">
      <alignment horizontal="center" vertical="center" wrapText="1"/>
    </xf>
    <xf numFmtId="164" fontId="3" fillId="7" borderId="1" xfId="0" applyNumberFormat="1" applyFont="1" applyFill="1" applyBorder="1" applyAlignment="1">
      <alignment vertical="center" wrapText="1"/>
    </xf>
    <xf numFmtId="164" fontId="3" fillId="7" borderId="2" xfId="0" applyNumberFormat="1" applyFont="1" applyFill="1" applyBorder="1" applyAlignment="1">
      <alignment horizontal="center" vertical="center"/>
    </xf>
    <xf numFmtId="166" fontId="3" fillId="7" borderId="7" xfId="1" applyNumberFormat="1" applyFont="1" applyFill="1" applyBorder="1" applyAlignment="1">
      <alignment horizontal="center" vertical="center"/>
    </xf>
    <xf numFmtId="166" fontId="3" fillId="7" borderId="1" xfId="1" applyNumberFormat="1" applyFont="1" applyFill="1" applyBorder="1" applyAlignment="1">
      <alignment horizontal="center" vertical="center"/>
    </xf>
    <xf numFmtId="166" fontId="3" fillId="7" borderId="8" xfId="1" applyNumberFormat="1" applyFont="1" applyFill="1" applyBorder="1" applyAlignment="1">
      <alignment horizontal="center" vertical="center"/>
    </xf>
    <xf numFmtId="166" fontId="3" fillId="7" borderId="6" xfId="1" applyNumberFormat="1" applyFont="1" applyFill="1" applyBorder="1" applyAlignment="1">
      <alignment horizontal="center" vertical="center"/>
    </xf>
    <xf numFmtId="166" fontId="3" fillId="7" borderId="1" xfId="2" applyNumberFormat="1" applyFont="1" applyFill="1" applyBorder="1" applyAlignment="1">
      <alignment horizontal="center" vertical="center"/>
    </xf>
    <xf numFmtId="49" fontId="3" fillId="7" borderId="1" xfId="0" applyNumberFormat="1" applyFont="1" applyFill="1" applyBorder="1" applyAlignment="1">
      <alignment horizontal="center" vertical="center" wrapText="1"/>
    </xf>
    <xf numFmtId="167" fontId="3" fillId="7" borderId="1" xfId="0" applyNumberFormat="1" applyFont="1" applyFill="1" applyBorder="1" applyAlignment="1">
      <alignment horizontal="center" vertical="center" wrapText="1"/>
    </xf>
    <xf numFmtId="0" fontId="3" fillId="7" borderId="1" xfId="0" applyNumberFormat="1"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164" fontId="3" fillId="2" borderId="1" xfId="2" applyNumberFormat="1" applyFont="1" applyFill="1" applyBorder="1" applyAlignment="1">
      <alignment horizontal="center" vertical="center" wrapText="1"/>
    </xf>
    <xf numFmtId="0" fontId="3" fillId="2" borderId="1" xfId="2" applyNumberFormat="1" applyFont="1" applyFill="1" applyBorder="1" applyAlignment="1">
      <alignment horizontal="center" vertical="center" wrapText="1"/>
    </xf>
    <xf numFmtId="164" fontId="3" fillId="2" borderId="2" xfId="2" applyNumberFormat="1" applyFont="1" applyFill="1" applyBorder="1" applyAlignment="1">
      <alignment horizontal="center" vertical="center" wrapText="1"/>
    </xf>
    <xf numFmtId="167" fontId="3" fillId="2" borderId="1" xfId="2" applyNumberFormat="1" applyFont="1" applyFill="1" applyBorder="1" applyAlignment="1">
      <alignment horizontal="center" vertical="center" wrapText="1"/>
    </xf>
    <xf numFmtId="166" fontId="3" fillId="2" borderId="7" xfId="2" applyNumberFormat="1" applyFont="1" applyFill="1" applyBorder="1" applyAlignment="1">
      <alignment horizontal="center" vertical="center"/>
    </xf>
    <xf numFmtId="166" fontId="3" fillId="2" borderId="1" xfId="2" applyNumberFormat="1" applyFont="1" applyFill="1" applyBorder="1" applyAlignment="1">
      <alignment horizontal="center" vertical="center"/>
    </xf>
    <xf numFmtId="166" fontId="3" fillId="2" borderId="6" xfId="2" applyNumberFormat="1" applyFont="1" applyFill="1" applyBorder="1" applyAlignment="1">
      <alignment horizontal="center" vertical="center"/>
    </xf>
    <xf numFmtId="164" fontId="13" fillId="2" borderId="1" xfId="2" applyNumberFormat="1" applyFont="1" applyFill="1" applyBorder="1" applyAlignment="1">
      <alignment vertical="top" wrapText="1"/>
    </xf>
    <xf numFmtId="166" fontId="13" fillId="2" borderId="7" xfId="2" applyNumberFormat="1" applyFont="1" applyFill="1" applyBorder="1" applyAlignment="1">
      <alignment horizontal="center" vertical="center"/>
    </xf>
    <xf numFmtId="166" fontId="13" fillId="2" borderId="1" xfId="2" applyNumberFormat="1" applyFont="1" applyFill="1" applyBorder="1" applyAlignment="1">
      <alignment horizontal="center" vertical="center"/>
    </xf>
    <xf numFmtId="166" fontId="13" fillId="2" borderId="8" xfId="1" applyNumberFormat="1" applyFont="1" applyFill="1" applyBorder="1" applyAlignment="1">
      <alignment horizontal="center" vertical="center"/>
    </xf>
    <xf numFmtId="166" fontId="13" fillId="2" borderId="6" xfId="2" applyNumberFormat="1" applyFont="1" applyFill="1" applyBorder="1" applyAlignment="1">
      <alignment horizontal="center" vertical="center"/>
    </xf>
    <xf numFmtId="164" fontId="15" fillId="2" borderId="1" xfId="2" applyNumberFormat="1" applyFont="1" applyFill="1" applyBorder="1" applyAlignment="1">
      <alignment horizontal="right" vertical="top" wrapText="1"/>
    </xf>
    <xf numFmtId="166" fontId="3" fillId="2" borderId="1" xfId="2" applyNumberFormat="1" applyFont="1" applyFill="1" applyBorder="1" applyAlignment="1">
      <alignment horizontal="center" vertical="center"/>
    </xf>
    <xf numFmtId="166" fontId="3" fillId="2" borderId="6" xfId="2" applyNumberFormat="1" applyFont="1" applyFill="1" applyBorder="1" applyAlignment="1">
      <alignment horizontal="center" vertical="center"/>
    </xf>
    <xf numFmtId="166" fontId="3" fillId="2" borderId="7" xfId="2" applyNumberFormat="1" applyFont="1" applyFill="1" applyBorder="1" applyAlignment="1">
      <alignment horizontal="center" vertical="center"/>
    </xf>
    <xf numFmtId="164" fontId="7" fillId="0" borderId="0" xfId="0" applyNumberFormat="1" applyFont="1" applyBorder="1" applyAlignment="1">
      <alignment vertical="center" wrapText="1"/>
    </xf>
    <xf numFmtId="166" fontId="3" fillId="2" borderId="7" xfId="1" applyNumberFormat="1" applyFont="1" applyFill="1" applyBorder="1" applyAlignment="1">
      <alignment horizontal="center" vertical="center"/>
    </xf>
    <xf numFmtId="166" fontId="3" fillId="2" borderId="1" xfId="1" applyNumberFormat="1" applyFont="1" applyFill="1" applyBorder="1" applyAlignment="1">
      <alignment horizontal="center" vertical="center"/>
    </xf>
    <xf numFmtId="166" fontId="3" fillId="2" borderId="6" xfId="1" applyNumberFormat="1" applyFont="1" applyFill="1" applyBorder="1" applyAlignment="1">
      <alignment horizontal="center" vertical="center"/>
    </xf>
    <xf numFmtId="167" fontId="3" fillId="0" borderId="1" xfId="2" applyNumberFormat="1" applyFont="1" applyFill="1" applyBorder="1" applyAlignment="1">
      <alignment horizontal="center" vertical="center" wrapText="1"/>
    </xf>
    <xf numFmtId="164" fontId="3" fillId="0" borderId="4" xfId="2" applyNumberFormat="1" applyFont="1" applyFill="1" applyBorder="1" applyAlignment="1">
      <alignment horizontal="center" vertical="center" wrapText="1"/>
    </xf>
    <xf numFmtId="166" fontId="3" fillId="2" borderId="1" xfId="2" applyNumberFormat="1" applyFont="1" applyFill="1" applyBorder="1" applyAlignment="1">
      <alignment horizontal="center" vertical="center"/>
    </xf>
    <xf numFmtId="166" fontId="3" fillId="2" borderId="6" xfId="2" applyNumberFormat="1" applyFont="1" applyFill="1" applyBorder="1" applyAlignment="1">
      <alignment horizontal="center" vertical="center"/>
    </xf>
    <xf numFmtId="166" fontId="3" fillId="2" borderId="7" xfId="2" applyNumberFormat="1" applyFont="1" applyFill="1" applyBorder="1" applyAlignment="1">
      <alignment horizontal="center" vertical="center"/>
    </xf>
    <xf numFmtId="49" fontId="3" fillId="0" borderId="4" xfId="2" applyNumberFormat="1" applyFont="1" applyFill="1" applyBorder="1" applyAlignment="1">
      <alignment horizontal="center" vertical="center" wrapText="1"/>
    </xf>
    <xf numFmtId="0" fontId="3" fillId="0" borderId="4" xfId="2" applyNumberFormat="1" applyFont="1" applyFill="1" applyBorder="1" applyAlignment="1">
      <alignment horizontal="center" vertical="center" wrapText="1"/>
    </xf>
    <xf numFmtId="164" fontId="3" fillId="2" borderId="1" xfId="0" applyNumberFormat="1" applyFont="1" applyFill="1" applyBorder="1" applyAlignment="1">
      <alignment horizontal="left" vertical="center" wrapText="1"/>
    </xf>
    <xf numFmtId="166" fontId="3" fillId="2" borderId="7" xfId="2" applyNumberFormat="1" applyFont="1" applyFill="1" applyBorder="1" applyAlignment="1">
      <alignment horizontal="center" vertical="center"/>
    </xf>
    <xf numFmtId="166" fontId="3" fillId="2" borderId="1" xfId="2" applyNumberFormat="1" applyFont="1" applyFill="1" applyBorder="1" applyAlignment="1">
      <alignment horizontal="center" vertical="center"/>
    </xf>
    <xf numFmtId="166" fontId="3" fillId="2" borderId="6" xfId="2" applyNumberFormat="1" applyFont="1" applyFill="1" applyBorder="1" applyAlignment="1">
      <alignment horizontal="center" vertical="center"/>
    </xf>
    <xf numFmtId="164" fontId="3" fillId="0" borderId="8" xfId="2" applyNumberFormat="1" applyFont="1" applyFill="1" applyBorder="1" applyAlignment="1">
      <alignment horizontal="center" vertical="center" wrapText="1"/>
    </xf>
    <xf numFmtId="166" fontId="3" fillId="2" borderId="1" xfId="2" applyNumberFormat="1" applyFont="1" applyFill="1" applyBorder="1" applyAlignment="1">
      <alignment horizontal="center" vertical="center"/>
    </xf>
    <xf numFmtId="166" fontId="3" fillId="2" borderId="6" xfId="2" applyNumberFormat="1" applyFont="1" applyFill="1" applyBorder="1" applyAlignment="1">
      <alignment horizontal="center" vertical="center"/>
    </xf>
    <xf numFmtId="164" fontId="3" fillId="2" borderId="1" xfId="2" applyNumberFormat="1" applyFont="1" applyFill="1" applyBorder="1" applyAlignment="1">
      <alignment horizontal="left" vertical="top" wrapText="1"/>
    </xf>
    <xf numFmtId="166" fontId="3" fillId="2" borderId="7" xfId="2" applyNumberFormat="1" applyFont="1" applyFill="1" applyBorder="1" applyAlignment="1">
      <alignment horizontal="center" vertical="center"/>
    </xf>
    <xf numFmtId="0" fontId="13" fillId="0" borderId="1" xfId="0" applyNumberFormat="1" applyFont="1" applyFill="1" applyBorder="1" applyAlignment="1">
      <alignment horizontal="left" vertical="center" wrapText="1"/>
    </xf>
    <xf numFmtId="166" fontId="13" fillId="0" borderId="7" xfId="1" applyNumberFormat="1" applyFont="1" applyFill="1" applyBorder="1" applyAlignment="1">
      <alignment horizontal="center" vertical="center"/>
    </xf>
    <xf numFmtId="166" fontId="13" fillId="0" borderId="1" xfId="1" applyNumberFormat="1" applyFont="1" applyFill="1" applyBorder="1" applyAlignment="1">
      <alignment horizontal="center" vertical="center"/>
    </xf>
    <xf numFmtId="166" fontId="13" fillId="0" borderId="8" xfId="1" applyNumberFormat="1" applyFont="1" applyFill="1" applyBorder="1" applyAlignment="1">
      <alignment horizontal="center" vertical="center"/>
    </xf>
    <xf numFmtId="166" fontId="13" fillId="0" borderId="6" xfId="1" applyNumberFormat="1" applyFont="1" applyFill="1" applyBorder="1" applyAlignment="1">
      <alignment horizontal="center" vertical="center"/>
    </xf>
    <xf numFmtId="166" fontId="13" fillId="0" borderId="1" xfId="2" applyNumberFormat="1" applyFont="1" applyFill="1" applyBorder="1" applyAlignment="1">
      <alignment horizontal="center" vertical="center"/>
    </xf>
    <xf numFmtId="164" fontId="15" fillId="0" borderId="1" xfId="0" applyNumberFormat="1" applyFont="1" applyFill="1" applyBorder="1" applyAlignment="1">
      <alignment horizontal="right" vertical="center" wrapText="1"/>
    </xf>
    <xf numFmtId="166" fontId="13" fillId="0" borderId="7" xfId="2" applyNumberFormat="1" applyFont="1" applyFill="1" applyBorder="1" applyAlignment="1">
      <alignment horizontal="center" vertical="center"/>
    </xf>
    <xf numFmtId="166" fontId="13" fillId="0" borderId="6" xfId="2" applyNumberFormat="1" applyFont="1" applyFill="1" applyBorder="1" applyAlignment="1">
      <alignment horizontal="center" vertical="center"/>
    </xf>
    <xf numFmtId="166" fontId="13" fillId="2" borderId="5" xfId="1" applyNumberFormat="1" applyFont="1" applyFill="1" applyBorder="1" applyAlignment="1">
      <alignment horizontal="center" vertical="center"/>
    </xf>
    <xf numFmtId="166" fontId="13" fillId="2" borderId="7" xfId="1" applyNumberFormat="1" applyFont="1" applyFill="1" applyBorder="1" applyAlignment="1">
      <alignment horizontal="center" vertical="center"/>
    </xf>
    <xf numFmtId="166" fontId="13" fillId="2" borderId="1" xfId="1" applyNumberFormat="1" applyFont="1" applyFill="1" applyBorder="1" applyAlignment="1">
      <alignment horizontal="center" vertical="center"/>
    </xf>
    <xf numFmtId="166" fontId="13" fillId="2" borderId="6" xfId="1" applyNumberFormat="1" applyFont="1" applyFill="1" applyBorder="1" applyAlignment="1">
      <alignment horizontal="center" vertical="center"/>
    </xf>
    <xf numFmtId="164" fontId="13" fillId="0" borderId="1" xfId="0" applyNumberFormat="1" applyFont="1" applyFill="1" applyBorder="1" applyAlignment="1">
      <alignment horizontal="left" vertical="center" wrapText="1"/>
    </xf>
    <xf numFmtId="166" fontId="13" fillId="2" borderId="3" xfId="1" applyNumberFormat="1" applyFont="1" applyFill="1" applyBorder="1" applyAlignment="1">
      <alignment horizontal="center" vertical="center"/>
    </xf>
    <xf numFmtId="166" fontId="13" fillId="2" borderId="4" xfId="1" applyNumberFormat="1" applyFont="1" applyFill="1" applyBorder="1" applyAlignment="1">
      <alignment horizontal="center" vertical="center"/>
    </xf>
    <xf numFmtId="164" fontId="13" fillId="2" borderId="1" xfId="0" applyNumberFormat="1" applyFont="1" applyFill="1" applyBorder="1" applyAlignment="1">
      <alignment horizontal="left" vertical="center" wrapText="1"/>
    </xf>
    <xf numFmtId="166" fontId="4" fillId="5" borderId="18" xfId="0" applyNumberFormat="1" applyFont="1" applyFill="1" applyBorder="1" applyAlignment="1">
      <alignment horizontal="center" vertical="center"/>
    </xf>
    <xf numFmtId="166" fontId="13" fillId="2" borderId="1" xfId="2" applyNumberFormat="1" applyFont="1" applyFill="1" applyBorder="1" applyAlignment="1">
      <alignment horizontal="center" vertical="center"/>
    </xf>
    <xf numFmtId="165" fontId="3" fillId="2" borderId="1" xfId="2" applyNumberFormat="1" applyFont="1" applyFill="1" applyBorder="1" applyAlignment="1">
      <alignment horizontal="center" vertical="center"/>
    </xf>
    <xf numFmtId="165" fontId="3" fillId="0" borderId="1" xfId="2"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165" fontId="3" fillId="6" borderId="1" xfId="0" applyNumberFormat="1" applyFont="1" applyFill="1" applyBorder="1" applyAlignment="1">
      <alignment horizontal="center" vertical="center"/>
    </xf>
    <xf numFmtId="165" fontId="3" fillId="6" borderId="1" xfId="0" applyNumberFormat="1" applyFont="1" applyFill="1" applyBorder="1" applyAlignment="1">
      <alignment horizontal="center" vertical="center" wrapText="1"/>
    </xf>
    <xf numFmtId="164" fontId="2" fillId="2" borderId="0" xfId="0" applyNumberFormat="1" applyFont="1" applyFill="1" applyBorder="1" applyAlignment="1">
      <alignment vertical="top" wrapText="1"/>
    </xf>
    <xf numFmtId="164" fontId="2" fillId="0" borderId="0" xfId="0" applyNumberFormat="1" applyFont="1" applyBorder="1" applyAlignment="1">
      <alignment vertical="center" wrapText="1"/>
    </xf>
    <xf numFmtId="164" fontId="2" fillId="2" borderId="0" xfId="0" applyNumberFormat="1" applyFont="1" applyFill="1" applyBorder="1" applyAlignment="1">
      <alignment vertical="center" wrapText="1"/>
    </xf>
    <xf numFmtId="49" fontId="3" fillId="2" borderId="1" xfId="2" applyNumberFormat="1" applyFont="1" applyFill="1" applyBorder="1" applyAlignment="1">
      <alignment horizontal="center" vertical="center" wrapText="1"/>
    </xf>
    <xf numFmtId="166" fontId="13" fillId="2" borderId="1" xfId="2" applyNumberFormat="1" applyFont="1" applyFill="1" applyBorder="1" applyAlignment="1">
      <alignment horizontal="center" vertical="center"/>
    </xf>
    <xf numFmtId="166" fontId="13" fillId="2" borderId="6" xfId="2" applyNumberFormat="1" applyFont="1" applyFill="1" applyBorder="1" applyAlignment="1">
      <alignment horizontal="center" vertical="center"/>
    </xf>
    <xf numFmtId="166" fontId="13" fillId="2" borderId="7" xfId="2" applyNumberFormat="1" applyFont="1" applyFill="1" applyBorder="1" applyAlignment="1">
      <alignment horizontal="center" vertical="center"/>
    </xf>
    <xf numFmtId="0" fontId="3" fillId="2" borderId="1" xfId="2" applyNumberFormat="1" applyFont="1" applyFill="1" applyBorder="1" applyAlignment="1">
      <alignment horizontal="left" vertical="top" wrapText="1"/>
    </xf>
    <xf numFmtId="164" fontId="15" fillId="2" borderId="1" xfId="0" applyNumberFormat="1" applyFont="1" applyFill="1" applyBorder="1" applyAlignment="1">
      <alignment horizontal="right" vertical="center" wrapText="1"/>
    </xf>
    <xf numFmtId="166" fontId="13" fillId="2" borderId="7" xfId="2" applyNumberFormat="1" applyFont="1" applyFill="1" applyBorder="1" applyAlignment="1">
      <alignment horizontal="center" vertical="center"/>
    </xf>
    <xf numFmtId="166" fontId="13" fillId="2" borderId="1" xfId="2" applyNumberFormat="1" applyFont="1" applyFill="1" applyBorder="1" applyAlignment="1">
      <alignment horizontal="center" vertical="center"/>
    </xf>
    <xf numFmtId="166" fontId="13" fillId="2" borderId="6" xfId="2" applyNumberFormat="1" applyFont="1" applyFill="1" applyBorder="1" applyAlignment="1">
      <alignment horizontal="center" vertical="center"/>
    </xf>
    <xf numFmtId="164" fontId="6" fillId="0" borderId="0" xfId="0" applyNumberFormat="1" applyFont="1" applyBorder="1" applyAlignment="1">
      <alignment horizontal="right" vertical="center" wrapText="1"/>
    </xf>
    <xf numFmtId="164" fontId="11" fillId="5" borderId="6" xfId="0" applyNumberFormat="1" applyFont="1" applyFill="1" applyBorder="1" applyAlignment="1">
      <alignment horizontal="right" vertical="center" wrapText="1"/>
    </xf>
    <xf numFmtId="0" fontId="3" fillId="0" borderId="1" xfId="2"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13" fillId="0" borderId="1" xfId="2" applyNumberFormat="1" applyFont="1" applyFill="1" applyBorder="1" applyAlignment="1">
      <alignment horizontal="center" vertical="center" wrapText="1"/>
    </xf>
    <xf numFmtId="164" fontId="3" fillId="0" borderId="2" xfId="2" applyNumberFormat="1" applyFont="1" applyFill="1" applyBorder="1" applyAlignment="1">
      <alignment horizontal="center" vertical="center" wrapText="1"/>
    </xf>
    <xf numFmtId="167" fontId="3" fillId="0" borderId="1" xfId="2" applyNumberFormat="1" applyFont="1" applyFill="1" applyBorder="1" applyAlignment="1">
      <alignment horizontal="center" vertical="center" wrapText="1"/>
    </xf>
    <xf numFmtId="165" fontId="3" fillId="0" borderId="1" xfId="2"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165" fontId="3" fillId="0" borderId="1" xfId="2" applyNumberFormat="1" applyFont="1" applyFill="1" applyBorder="1" applyAlignment="1">
      <alignment horizontal="center" vertical="center" wrapText="1"/>
    </xf>
    <xf numFmtId="164" fontId="3" fillId="0" borderId="4" xfId="2"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3" fillId="0" borderId="1" xfId="2"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49" fontId="3" fillId="0" borderId="4" xfId="2" applyNumberFormat="1" applyFont="1" applyFill="1" applyBorder="1" applyAlignment="1">
      <alignment horizontal="center" vertical="center" wrapText="1"/>
    </xf>
    <xf numFmtId="164" fontId="3" fillId="0" borderId="1" xfId="2"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xf>
    <xf numFmtId="4" fontId="3" fillId="0" borderId="7" xfId="2" applyNumberFormat="1" applyFont="1" applyFill="1" applyBorder="1" applyAlignment="1">
      <alignment horizontal="center" vertical="center"/>
    </xf>
    <xf numFmtId="168" fontId="3" fillId="0" borderId="1" xfId="2" applyNumberFormat="1" applyFont="1" applyFill="1" applyBorder="1" applyAlignment="1">
      <alignment horizontal="center" vertical="center"/>
    </xf>
    <xf numFmtId="4" fontId="3" fillId="0" borderId="1" xfId="2" applyNumberFormat="1" applyFont="1" applyFill="1" applyBorder="1" applyAlignment="1">
      <alignment horizontal="center" vertical="center"/>
    </xf>
    <xf numFmtId="4" fontId="3" fillId="0" borderId="8" xfId="1" applyNumberFormat="1" applyFont="1" applyFill="1" applyBorder="1" applyAlignment="1">
      <alignment horizontal="center" vertical="center"/>
    </xf>
    <xf numFmtId="168" fontId="3" fillId="0" borderId="7" xfId="2" applyNumberFormat="1" applyFont="1" applyFill="1" applyBorder="1" applyAlignment="1">
      <alignment horizontal="center" vertical="center"/>
    </xf>
    <xf numFmtId="166" fontId="13" fillId="0" borderId="8" xfId="2" applyNumberFormat="1" applyFont="1" applyFill="1" applyBorder="1" applyAlignment="1">
      <alignment horizontal="center" vertical="center"/>
    </xf>
    <xf numFmtId="166" fontId="3" fillId="0" borderId="8" xfId="2" applyNumberFormat="1" applyFont="1" applyFill="1" applyBorder="1" applyAlignment="1">
      <alignment horizontal="center" vertical="center"/>
    </xf>
    <xf numFmtId="164" fontId="3" fillId="0" borderId="1" xfId="0" applyNumberFormat="1" applyFont="1" applyFill="1" applyBorder="1" applyAlignment="1">
      <alignment horizontal="left" vertical="top" wrapText="1"/>
    </xf>
    <xf numFmtId="166" fontId="3" fillId="0" borderId="7" xfId="1" applyNumberFormat="1" applyFont="1" applyFill="1" applyBorder="1" applyAlignment="1">
      <alignment horizontal="center" vertical="center" wrapText="1"/>
    </xf>
    <xf numFmtId="166" fontId="3" fillId="0" borderId="1" xfId="1" applyNumberFormat="1" applyFont="1" applyFill="1" applyBorder="1" applyAlignment="1">
      <alignment horizontal="center" vertical="center" wrapText="1"/>
    </xf>
    <xf numFmtId="166" fontId="3" fillId="0" borderId="6" xfId="1" applyNumberFormat="1" applyFont="1" applyFill="1" applyBorder="1" applyAlignment="1">
      <alignment horizontal="center" vertical="center" wrapText="1"/>
    </xf>
    <xf numFmtId="49" fontId="3" fillId="0" borderId="1" xfId="0" applyNumberFormat="1" applyFont="1" applyFill="1" applyBorder="1" applyAlignment="1">
      <alignment vertical="center" wrapText="1"/>
    </xf>
    <xf numFmtId="164" fontId="13" fillId="0" borderId="1" xfId="0" applyNumberFormat="1" applyFont="1" applyFill="1" applyBorder="1" applyAlignment="1">
      <alignment vertical="center" wrapText="1"/>
    </xf>
    <xf numFmtId="0" fontId="13" fillId="0" borderId="1" xfId="0" applyNumberFormat="1" applyFont="1" applyFill="1" applyBorder="1" applyAlignment="1">
      <alignment vertical="top" wrapText="1"/>
    </xf>
    <xf numFmtId="164" fontId="13" fillId="0" borderId="1" xfId="2" applyNumberFormat="1" applyFont="1" applyFill="1" applyBorder="1" applyAlignment="1">
      <alignment vertical="top" wrapText="1"/>
    </xf>
    <xf numFmtId="166" fontId="13" fillId="0" borderId="1" xfId="2"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NumberFormat="1" applyFont="1" applyFill="1" applyBorder="1" applyAlignment="1">
      <alignment horizontal="center" vertical="center" wrapText="1"/>
    </xf>
    <xf numFmtId="166" fontId="3" fillId="0" borderId="6" xfId="2" applyNumberFormat="1" applyFont="1" applyFill="1" applyBorder="1" applyAlignment="1">
      <alignment horizontal="left" vertical="center" wrapText="1"/>
    </xf>
    <xf numFmtId="166" fontId="3" fillId="0" borderId="6" xfId="2" applyNumberFormat="1" applyFont="1" applyFill="1" applyBorder="1" applyAlignment="1">
      <alignment horizontal="right" vertical="center"/>
    </xf>
    <xf numFmtId="164" fontId="13" fillId="0" borderId="1" xfId="2" applyNumberFormat="1" applyFont="1" applyFill="1" applyBorder="1" applyAlignment="1">
      <alignment horizontal="left" vertical="center" wrapText="1"/>
    </xf>
    <xf numFmtId="164" fontId="5" fillId="0" borderId="1" xfId="2" applyNumberFormat="1" applyFont="1" applyFill="1" applyBorder="1" applyAlignment="1">
      <alignment horizontal="right" vertical="center" wrapText="1"/>
    </xf>
    <xf numFmtId="168" fontId="3" fillId="0" borderId="6" xfId="2" applyNumberFormat="1" applyFont="1" applyFill="1" applyBorder="1" applyAlignment="1">
      <alignment horizontal="center" vertical="center"/>
    </xf>
    <xf numFmtId="164" fontId="15" fillId="0" borderId="1" xfId="2" applyNumberFormat="1" applyFont="1" applyFill="1" applyBorder="1" applyAlignment="1">
      <alignment horizontal="right" vertical="top" wrapText="1"/>
    </xf>
    <xf numFmtId="49" fontId="14" fillId="0" borderId="1" xfId="2" applyNumberFormat="1" applyFont="1" applyFill="1" applyBorder="1" applyAlignment="1">
      <alignment horizontal="center" vertical="center" wrapText="1"/>
    </xf>
    <xf numFmtId="166" fontId="3" fillId="0" borderId="1" xfId="2"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xf>
    <xf numFmtId="49" fontId="3" fillId="0" borderId="1" xfId="2" applyNumberFormat="1" applyFont="1" applyFill="1" applyBorder="1" applyAlignment="1">
      <alignment vertical="top" wrapText="1"/>
    </xf>
    <xf numFmtId="166" fontId="14" fillId="0" borderId="7" xfId="2" applyNumberFormat="1" applyFont="1" applyFill="1" applyBorder="1" applyAlignment="1">
      <alignment horizontal="center" vertical="center"/>
    </xf>
    <xf numFmtId="164" fontId="3" fillId="0" borderId="0" xfId="2" applyNumberFormat="1" applyFont="1" applyFill="1" applyBorder="1" applyAlignment="1">
      <alignment vertical="center"/>
    </xf>
    <xf numFmtId="166" fontId="14" fillId="0" borderId="1" xfId="2" applyNumberFormat="1" applyFont="1" applyFill="1" applyBorder="1" applyAlignment="1">
      <alignment horizontal="center" vertical="center"/>
    </xf>
    <xf numFmtId="166" fontId="14" fillId="0" borderId="8" xfId="1" applyNumberFormat="1" applyFont="1" applyFill="1" applyBorder="1" applyAlignment="1">
      <alignment horizontal="center" vertical="center"/>
    </xf>
    <xf numFmtId="164" fontId="13" fillId="0" borderId="1" xfId="0" applyNumberFormat="1" applyFont="1" applyFill="1" applyBorder="1" applyAlignment="1">
      <alignment horizontal="left" vertical="top" wrapText="1"/>
    </xf>
    <xf numFmtId="166" fontId="13" fillId="0" borderId="7" xfId="1" applyNumberFormat="1" applyFont="1" applyFill="1" applyBorder="1" applyAlignment="1">
      <alignment horizontal="center" vertical="center" wrapText="1"/>
    </xf>
    <xf numFmtId="166" fontId="13" fillId="0" borderId="1" xfId="1" applyNumberFormat="1" applyFont="1" applyFill="1" applyBorder="1" applyAlignment="1">
      <alignment horizontal="center" vertical="center" wrapText="1"/>
    </xf>
    <xf numFmtId="166" fontId="13" fillId="0" borderId="6" xfId="1" applyNumberFormat="1" applyFont="1" applyFill="1" applyBorder="1" applyAlignment="1">
      <alignment horizontal="center" vertical="center" wrapText="1"/>
    </xf>
    <xf numFmtId="0" fontId="13" fillId="0" borderId="0" xfId="0" applyFont="1" applyFill="1" applyBorder="1" applyAlignment="1">
      <alignment horizontal="left" vertical="top" wrapText="1"/>
    </xf>
    <xf numFmtId="166" fontId="14" fillId="0" borderId="6" xfId="2" applyNumberFormat="1" applyFont="1" applyFill="1" applyBorder="1" applyAlignment="1">
      <alignment horizontal="center" vertical="center"/>
    </xf>
    <xf numFmtId="0" fontId="13" fillId="0" borderId="0" xfId="0" applyFont="1" applyFill="1" applyAlignment="1">
      <alignment vertical="top" wrapText="1"/>
    </xf>
    <xf numFmtId="166" fontId="17" fillId="0" borderId="6" xfId="2" applyNumberFormat="1" applyFont="1" applyFill="1" applyBorder="1" applyAlignment="1">
      <alignment horizontal="center" vertical="center"/>
    </xf>
    <xf numFmtId="0" fontId="13" fillId="0" borderId="1" xfId="2" applyNumberFormat="1" applyFont="1" applyFill="1" applyBorder="1" applyAlignment="1">
      <alignment vertical="top" wrapText="1"/>
    </xf>
    <xf numFmtId="164" fontId="3" fillId="0" borderId="1" xfId="2"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xf>
    <xf numFmtId="164" fontId="3" fillId="0" borderId="2" xfId="2"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65" fontId="3" fillId="0" borderId="1" xfId="2" applyNumberFormat="1" applyFont="1" applyFill="1" applyBorder="1" applyAlignment="1">
      <alignment horizontal="center" vertical="center" wrapText="1"/>
    </xf>
    <xf numFmtId="0" fontId="3" fillId="0" borderId="1" xfId="2" applyNumberFormat="1" applyFont="1" applyFill="1" applyBorder="1" applyAlignment="1">
      <alignment horizontal="center" vertical="center" wrapText="1"/>
    </xf>
    <xf numFmtId="164" fontId="3" fillId="0" borderId="4" xfId="2" applyNumberFormat="1" applyFont="1" applyFill="1" applyBorder="1" applyAlignment="1">
      <alignment horizontal="center" vertical="center" wrapText="1"/>
    </xf>
    <xf numFmtId="164" fontId="3" fillId="0" borderId="11" xfId="2" applyNumberFormat="1" applyFont="1" applyFill="1" applyBorder="1" applyAlignment="1">
      <alignment horizontal="center" vertical="center" wrapText="1"/>
    </xf>
    <xf numFmtId="165" fontId="3" fillId="2" borderId="4" xfId="2" applyNumberFormat="1" applyFont="1" applyFill="1" applyBorder="1" applyAlignment="1">
      <alignment horizontal="center" vertical="center"/>
    </xf>
    <xf numFmtId="165" fontId="3" fillId="2" borderId="11" xfId="2" applyNumberFormat="1" applyFont="1" applyFill="1" applyBorder="1" applyAlignment="1">
      <alignment horizontal="center" vertical="center"/>
    </xf>
    <xf numFmtId="165" fontId="3" fillId="2" borderId="1" xfId="2" applyNumberFormat="1" applyFont="1" applyFill="1" applyBorder="1" applyAlignment="1">
      <alignment horizontal="center" vertical="center"/>
    </xf>
    <xf numFmtId="165" fontId="3" fillId="0" borderId="1" xfId="2" applyNumberFormat="1" applyFont="1" applyFill="1" applyBorder="1" applyAlignment="1">
      <alignment horizontal="center" vertical="center"/>
    </xf>
    <xf numFmtId="165" fontId="13" fillId="2" borderId="1" xfId="2" applyNumberFormat="1" applyFont="1" applyFill="1" applyBorder="1" applyAlignment="1">
      <alignment horizontal="center" vertical="center"/>
    </xf>
    <xf numFmtId="49" fontId="13" fillId="0" borderId="1" xfId="2" applyNumberFormat="1"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164" fontId="3" fillId="0" borderId="2" xfId="1"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164" fontId="4" fillId="4" borderId="2" xfId="0" applyNumberFormat="1" applyFont="1" applyFill="1" applyBorder="1" applyAlignment="1">
      <alignment horizontal="center" vertical="center"/>
    </xf>
    <xf numFmtId="164" fontId="4" fillId="4" borderId="6" xfId="0" applyNumberFormat="1" applyFont="1" applyFill="1" applyBorder="1" applyAlignment="1">
      <alignment horizontal="center" vertical="center"/>
    </xf>
    <xf numFmtId="165" fontId="3" fillId="2" borderId="1" xfId="0" applyNumberFormat="1" applyFont="1" applyFill="1" applyBorder="1" applyAlignment="1">
      <alignment horizontal="center" vertical="center"/>
    </xf>
    <xf numFmtId="165" fontId="13" fillId="2" borderId="4" xfId="0" applyNumberFormat="1" applyFont="1" applyFill="1" applyBorder="1" applyAlignment="1">
      <alignment horizontal="center" vertical="center"/>
    </xf>
    <xf numFmtId="165" fontId="13" fillId="2" borderId="11" xfId="0" applyNumberFormat="1" applyFont="1" applyFill="1" applyBorder="1" applyAlignment="1">
      <alignment horizontal="center" vertical="center"/>
    </xf>
    <xf numFmtId="165" fontId="13" fillId="0" borderId="1" xfId="0" applyNumberFormat="1" applyFont="1" applyFill="1" applyBorder="1" applyAlignment="1">
      <alignment horizontal="center" vertical="center"/>
    </xf>
    <xf numFmtId="165" fontId="3" fillId="0" borderId="4" xfId="0" applyNumberFormat="1" applyFont="1" applyFill="1" applyBorder="1" applyAlignment="1">
      <alignment horizontal="center" vertical="center"/>
    </xf>
    <xf numFmtId="165" fontId="3" fillId="0" borderId="11" xfId="0" applyNumberFormat="1" applyFont="1" applyFill="1" applyBorder="1" applyAlignment="1">
      <alignment horizontal="center" vertical="center"/>
    </xf>
    <xf numFmtId="165" fontId="16" fillId="0" borderId="1" xfId="0" applyNumberFormat="1" applyFont="1" applyFill="1" applyBorder="1" applyAlignment="1">
      <alignment horizontal="center" vertical="center" wrapText="1"/>
    </xf>
    <xf numFmtId="165" fontId="3" fillId="2" borderId="4" xfId="0" applyNumberFormat="1" applyFont="1" applyFill="1" applyBorder="1" applyAlignment="1">
      <alignment horizontal="center" vertical="center"/>
    </xf>
    <xf numFmtId="165" fontId="3" fillId="2" borderId="11" xfId="0" applyNumberFormat="1" applyFont="1" applyFill="1" applyBorder="1" applyAlignment="1">
      <alignment horizontal="center" vertical="center"/>
    </xf>
    <xf numFmtId="164" fontId="4" fillId="4" borderId="16" xfId="0" applyNumberFormat="1" applyFont="1" applyFill="1" applyBorder="1" applyAlignment="1">
      <alignment horizontal="center" vertical="center"/>
    </xf>
    <xf numFmtId="164" fontId="3" fillId="2" borderId="2" xfId="2" applyNumberFormat="1" applyFont="1" applyFill="1" applyBorder="1" applyAlignment="1">
      <alignment horizontal="center" vertical="center" wrapText="1"/>
    </xf>
    <xf numFmtId="164" fontId="3" fillId="2" borderId="1" xfId="2" applyNumberFormat="1" applyFont="1" applyFill="1" applyBorder="1" applyAlignment="1">
      <alignment horizontal="center" vertical="center" wrapText="1"/>
    </xf>
    <xf numFmtId="165" fontId="3" fillId="2" borderId="1" xfId="2" applyNumberFormat="1" applyFont="1" applyFill="1" applyBorder="1" applyAlignment="1">
      <alignment horizontal="center" vertical="center" wrapText="1"/>
    </xf>
    <xf numFmtId="0" fontId="3" fillId="2" borderId="1" xfId="2" applyNumberFormat="1" applyFont="1" applyFill="1" applyBorder="1" applyAlignment="1">
      <alignment horizontal="center" vertical="center" wrapText="1"/>
    </xf>
    <xf numFmtId="164" fontId="13" fillId="0" borderId="2" xfId="2"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49" fontId="13" fillId="2" borderId="1" xfId="2" applyNumberFormat="1" applyFont="1" applyFill="1" applyBorder="1" applyAlignment="1">
      <alignment horizontal="center" vertical="center" wrapText="1"/>
    </xf>
    <xf numFmtId="49" fontId="14" fillId="2" borderId="1" xfId="2" applyNumberFormat="1" applyFont="1" applyFill="1" applyBorder="1" applyAlignment="1">
      <alignment horizontal="center" vertical="center" wrapText="1"/>
    </xf>
    <xf numFmtId="167" fontId="3" fillId="0" borderId="1" xfId="2"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49" fontId="14" fillId="0" borderId="1" xfId="2" applyNumberFormat="1" applyFont="1" applyFill="1" applyBorder="1" applyAlignment="1">
      <alignment horizontal="center" vertical="center" wrapText="1"/>
    </xf>
    <xf numFmtId="164" fontId="13" fillId="2" borderId="2" xfId="2"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9" fontId="3" fillId="2" borderId="1" xfId="2"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3" fillId="0" borderId="1" xfId="2" applyNumberFormat="1" applyFont="1" applyFill="1" applyBorder="1" applyAlignment="1">
      <alignment horizontal="center" vertical="center"/>
    </xf>
    <xf numFmtId="164" fontId="13" fillId="2" borderId="1" xfId="2" applyNumberFormat="1" applyFont="1" applyFill="1" applyBorder="1" applyAlignment="1">
      <alignment horizontal="center" vertical="center" wrapText="1"/>
    </xf>
    <xf numFmtId="164" fontId="3" fillId="2" borderId="1" xfId="2" applyNumberFormat="1" applyFont="1" applyFill="1" applyBorder="1" applyAlignment="1">
      <alignment horizontal="center" vertical="center"/>
    </xf>
    <xf numFmtId="164" fontId="3" fillId="2"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64" fontId="13" fillId="0" borderId="4" xfId="2" applyNumberFormat="1" applyFont="1" applyFill="1" applyBorder="1" applyAlignment="1">
      <alignment horizontal="center" vertical="center" wrapText="1"/>
    </xf>
    <xf numFmtId="164" fontId="13" fillId="0" borderId="11" xfId="2" applyNumberFormat="1" applyFont="1" applyFill="1" applyBorder="1" applyAlignment="1">
      <alignment horizontal="center" vertical="center" wrapText="1"/>
    </xf>
    <xf numFmtId="164" fontId="13" fillId="2" borderId="4" xfId="2" applyNumberFormat="1" applyFont="1" applyFill="1" applyBorder="1" applyAlignment="1">
      <alignment horizontal="center" vertical="center" wrapText="1"/>
    </xf>
    <xf numFmtId="164" fontId="13" fillId="2" borderId="11" xfId="2" applyNumberFormat="1" applyFont="1" applyFill="1" applyBorder="1" applyAlignment="1">
      <alignment horizontal="center" vertical="center" wrapText="1"/>
    </xf>
    <xf numFmtId="164" fontId="3" fillId="2" borderId="4" xfId="2" applyNumberFormat="1" applyFont="1" applyFill="1" applyBorder="1" applyAlignment="1">
      <alignment horizontal="center" vertical="center" wrapText="1"/>
    </xf>
    <xf numFmtId="164" fontId="3" fillId="2" borderId="11" xfId="2" applyNumberFormat="1" applyFont="1" applyFill="1" applyBorder="1" applyAlignment="1">
      <alignment horizontal="center" vertical="center" wrapText="1"/>
    </xf>
    <xf numFmtId="164" fontId="6" fillId="0" borderId="0" xfId="0" applyNumberFormat="1" applyFont="1" applyBorder="1" applyAlignment="1">
      <alignment horizontal="right" vertical="center" wrapText="1"/>
    </xf>
    <xf numFmtId="164" fontId="4" fillId="0" borderId="7"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4" fillId="0" borderId="8" xfId="0" applyNumberFormat="1" applyFont="1" applyFill="1" applyBorder="1" applyAlignment="1">
      <alignment horizontal="center" vertical="center" wrapText="1"/>
    </xf>
    <xf numFmtId="166" fontId="9" fillId="0" borderId="7" xfId="0" applyNumberFormat="1" applyFont="1" applyFill="1" applyBorder="1" applyAlignment="1">
      <alignment horizontal="center" vertical="center" wrapText="1"/>
    </xf>
    <xf numFmtId="166" fontId="9" fillId="0" borderId="1" xfId="2" applyNumberFormat="1"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67"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165" fontId="4" fillId="0" borderId="3" xfId="0" applyNumberFormat="1" applyFont="1" applyFill="1" applyBorder="1" applyAlignment="1">
      <alignment horizontal="center" vertical="center" wrapText="1"/>
    </xf>
    <xf numFmtId="165" fontId="4" fillId="0" borderId="4" xfId="0" applyNumberFormat="1" applyFont="1" applyFill="1" applyBorder="1" applyAlignment="1">
      <alignment horizontal="center" vertical="center" wrapText="1"/>
    </xf>
    <xf numFmtId="165" fontId="4" fillId="0" borderId="5"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164" fontId="6" fillId="2" borderId="0" xfId="0" applyNumberFormat="1" applyFont="1" applyFill="1" applyBorder="1" applyAlignment="1">
      <alignment horizontal="right" vertical="center" wrapText="1"/>
    </xf>
    <xf numFmtId="164" fontId="8" fillId="0" borderId="0" xfId="0" applyNumberFormat="1" applyFont="1" applyBorder="1" applyAlignment="1">
      <alignment horizontal="center" vertical="center"/>
    </xf>
    <xf numFmtId="164" fontId="8" fillId="0" borderId="0" xfId="0" applyNumberFormat="1" applyFont="1" applyBorder="1" applyAlignment="1">
      <alignment horizontal="center" vertical="center" wrapText="1"/>
    </xf>
    <xf numFmtId="166" fontId="10" fillId="0" borderId="8" xfId="0" applyNumberFormat="1" applyFont="1" applyFill="1" applyBorder="1" applyAlignment="1">
      <alignment horizontal="center" vertical="center" wrapText="1"/>
    </xf>
    <xf numFmtId="166" fontId="10"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164" fontId="3" fillId="0" borderId="8" xfId="2" applyNumberFormat="1" applyFont="1" applyFill="1" applyBorder="1" applyAlignment="1">
      <alignment horizontal="center" vertical="center" wrapText="1"/>
    </xf>
    <xf numFmtId="49" fontId="3" fillId="0" borderId="4" xfId="2" applyNumberFormat="1" applyFont="1" applyFill="1" applyBorder="1" applyAlignment="1">
      <alignment horizontal="center" vertical="center" wrapText="1"/>
    </xf>
    <xf numFmtId="49" fontId="3" fillId="0" borderId="11" xfId="2"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49" fontId="13" fillId="0" borderId="4" xfId="2" applyNumberFormat="1" applyFont="1" applyFill="1" applyBorder="1" applyAlignment="1">
      <alignment horizontal="center" vertical="center" wrapText="1"/>
    </xf>
    <xf numFmtId="49" fontId="13" fillId="0" borderId="11" xfId="2" applyNumberFormat="1" applyFont="1" applyFill="1" applyBorder="1" applyAlignment="1">
      <alignment horizontal="center" vertical="center" wrapText="1"/>
    </xf>
    <xf numFmtId="0" fontId="13" fillId="0" borderId="1" xfId="2" applyNumberFormat="1" applyFont="1" applyFill="1" applyBorder="1" applyAlignment="1">
      <alignment horizontal="center" vertical="center" wrapText="1"/>
    </xf>
    <xf numFmtId="49" fontId="3" fillId="2" borderId="4" xfId="2" applyNumberFormat="1" applyFont="1" applyFill="1" applyBorder="1" applyAlignment="1">
      <alignment horizontal="center" vertical="center" wrapText="1"/>
    </xf>
    <xf numFmtId="49" fontId="3" fillId="2" borderId="11" xfId="2"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49" fontId="3" fillId="2" borderId="1" xfId="2" applyNumberFormat="1" applyFont="1" applyFill="1" applyBorder="1" applyAlignment="1">
      <alignment horizontal="center" vertical="top" wrapText="1"/>
    </xf>
    <xf numFmtId="167" fontId="13" fillId="2" borderId="1" xfId="0" applyNumberFormat="1" applyFont="1" applyFill="1" applyBorder="1" applyAlignment="1">
      <alignment horizontal="center" vertical="center" wrapText="1"/>
    </xf>
    <xf numFmtId="0" fontId="13" fillId="2" borderId="1" xfId="2" applyNumberFormat="1" applyFont="1" applyFill="1" applyBorder="1" applyAlignment="1">
      <alignment horizontal="center" vertical="center" wrapText="1"/>
    </xf>
    <xf numFmtId="0" fontId="3" fillId="0" borderId="4" xfId="2" applyNumberFormat="1" applyFont="1" applyFill="1" applyBorder="1" applyAlignment="1">
      <alignment horizontal="center" vertical="center" wrapText="1"/>
    </xf>
    <xf numFmtId="0" fontId="3" fillId="0" borderId="11" xfId="2"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0" xfId="3" applyNumberFormat="1" applyFont="1" applyFill="1" applyAlignment="1">
      <alignment horizontal="center" vertical="center" wrapText="1"/>
    </xf>
    <xf numFmtId="165" fontId="13" fillId="2" borderId="1" xfId="2" applyNumberFormat="1" applyFont="1" applyFill="1" applyBorder="1" applyAlignment="1">
      <alignment horizontal="center" vertical="center" wrapText="1"/>
    </xf>
    <xf numFmtId="167" fontId="3" fillId="2" borderId="1" xfId="2" applyNumberFormat="1" applyFont="1" applyFill="1" applyBorder="1" applyAlignment="1">
      <alignment horizontal="center" vertical="center" wrapText="1"/>
    </xf>
    <xf numFmtId="165" fontId="13" fillId="0" borderId="1" xfId="2"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1" xfId="0" applyFont="1" applyFill="1" applyBorder="1" applyAlignment="1">
      <alignment horizontal="center" vertical="center" wrapText="1"/>
    </xf>
    <xf numFmtId="164" fontId="3" fillId="0" borderId="5" xfId="2" applyNumberFormat="1" applyFont="1" applyFill="1" applyBorder="1" applyAlignment="1">
      <alignment horizontal="center" vertical="center" wrapText="1"/>
    </xf>
    <xf numFmtId="164" fontId="3" fillId="0" borderId="10" xfId="2" applyNumberFormat="1" applyFont="1" applyFill="1" applyBorder="1" applyAlignment="1">
      <alignment horizontal="center" vertical="center" wrapText="1"/>
    </xf>
    <xf numFmtId="165" fontId="3" fillId="0" borderId="4" xfId="2" applyNumberFormat="1" applyFont="1" applyFill="1" applyBorder="1" applyAlignment="1">
      <alignment horizontal="center" vertical="center"/>
    </xf>
    <xf numFmtId="165" fontId="3" fillId="0" borderId="11" xfId="2" applyNumberFormat="1" applyFont="1" applyFill="1" applyBorder="1" applyAlignment="1">
      <alignment horizontal="center" vertical="center"/>
    </xf>
    <xf numFmtId="165" fontId="13" fillId="0" borderId="1" xfId="2" applyNumberFormat="1" applyFont="1" applyFill="1" applyBorder="1" applyAlignment="1">
      <alignment horizontal="center" vertical="center"/>
    </xf>
    <xf numFmtId="164" fontId="13" fillId="2" borderId="8" xfId="2" applyNumberFormat="1" applyFont="1" applyFill="1" applyBorder="1" applyAlignment="1">
      <alignment horizontal="center" vertical="center" wrapText="1"/>
    </xf>
    <xf numFmtId="49" fontId="13" fillId="2" borderId="4" xfId="2" applyNumberFormat="1" applyFont="1" applyFill="1" applyBorder="1" applyAlignment="1">
      <alignment horizontal="center" vertical="center" wrapText="1"/>
    </xf>
    <xf numFmtId="49" fontId="13" fillId="2" borderId="11" xfId="2"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164" fontId="13" fillId="2" borderId="1" xfId="2" applyNumberFormat="1"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13" xfId="0" applyFont="1" applyFill="1" applyBorder="1" applyAlignment="1">
      <alignment horizontal="center" vertical="center" wrapText="1"/>
    </xf>
    <xf numFmtId="49" fontId="3" fillId="0" borderId="14"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cellXfs>
  <cellStyles count="5">
    <cellStyle name="Comma" xfId="1" builtinId="3"/>
    <cellStyle name="Comma 2" xfId="4"/>
    <cellStyle name="Normal" xfId="0" builtinId="0"/>
    <cellStyle name="Normal 2" xfId="3"/>
    <cellStyle name="Normal 3" xfId="2"/>
  </cellStyles>
  <dxfs count="0"/>
  <tableStyles count="0" defaultTableStyle="TableStyleMedium2" defaultPivotStyle="PivotStyleLight16"/>
  <colors>
    <mruColors>
      <color rgb="FFFFCCFF"/>
      <color rgb="FFC2F6C8"/>
      <color rgb="FFE6F4FE"/>
      <color rgb="FFFFFF99"/>
      <color rgb="FFFF9933"/>
      <color rgb="FFFFCCCC"/>
      <color rgb="FF9933FF"/>
      <color rgb="FFCCCCFF"/>
      <color rgb="FFCCFFFF"/>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33"/>
  <sheetViews>
    <sheetView tabSelected="1" view="pageBreakPreview" zoomScale="85" zoomScaleNormal="73" zoomScaleSheetLayoutView="85" workbookViewId="0">
      <selection activeCell="A6" sqref="A6:Q6"/>
    </sheetView>
  </sheetViews>
  <sheetFormatPr defaultColWidth="9.140625" defaultRowHeight="12.75" x14ac:dyDescent="0.25"/>
  <cols>
    <col min="1" max="1" width="6.140625" style="16" customWidth="1"/>
    <col min="2" max="2" width="42.5703125" style="17" customWidth="1"/>
    <col min="3" max="3" width="14.28515625" style="3" customWidth="1"/>
    <col min="4" max="4" width="17.7109375" style="13" customWidth="1"/>
    <col min="5" max="5" width="11.28515625" style="12" customWidth="1"/>
    <col min="6" max="9" width="11.28515625" style="13" customWidth="1"/>
    <col min="10" max="12" width="12.7109375" style="13" customWidth="1"/>
    <col min="13" max="13" width="15.5703125" style="13" customWidth="1"/>
    <col min="14" max="14" width="45.7109375" style="14" customWidth="1"/>
    <col min="15" max="15" width="12.28515625" style="15" customWidth="1"/>
    <col min="16" max="16" width="23.42578125" style="105" customWidth="1"/>
    <col min="17" max="17" width="13.42578125" style="1" customWidth="1"/>
    <col min="18" max="18" width="16.5703125" style="2" customWidth="1"/>
    <col min="19" max="44" width="9.140625" style="2"/>
    <col min="45" max="16384" width="9.140625" style="3"/>
  </cols>
  <sheetData>
    <row r="1" spans="1:50" s="26" customFormat="1" ht="24.75" customHeight="1" x14ac:dyDescent="0.25">
      <c r="A1" s="122"/>
      <c r="B1" s="295" t="s">
        <v>152</v>
      </c>
      <c r="C1" s="295"/>
      <c r="D1" s="295"/>
      <c r="E1" s="295"/>
      <c r="F1" s="295"/>
      <c r="G1" s="295"/>
      <c r="H1" s="295"/>
      <c r="I1" s="295"/>
      <c r="J1" s="295"/>
      <c r="K1" s="295"/>
      <c r="L1" s="295"/>
      <c r="M1" s="295"/>
      <c r="N1" s="295"/>
      <c r="O1" s="295"/>
      <c r="P1" s="295"/>
      <c r="Q1" s="29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row>
    <row r="2" spans="1:50" s="26" customFormat="1" ht="24.75" customHeight="1" x14ac:dyDescent="0.25">
      <c r="A2" s="178"/>
      <c r="B2" s="178"/>
      <c r="C2" s="178"/>
      <c r="D2" s="178"/>
      <c r="E2" s="178"/>
      <c r="F2" s="178"/>
      <c r="G2" s="178"/>
      <c r="H2" s="178"/>
      <c r="I2" s="178"/>
      <c r="J2" s="178"/>
      <c r="K2" s="178"/>
      <c r="L2" s="178"/>
      <c r="M2" s="178"/>
      <c r="N2" s="178"/>
      <c r="O2" s="295" t="s">
        <v>151</v>
      </c>
      <c r="P2" s="295"/>
      <c r="Q2" s="29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row>
    <row r="3" spans="1:50" s="26" customFormat="1" ht="19.5" customHeight="1" x14ac:dyDescent="0.25">
      <c r="A3" s="122"/>
      <c r="B3" s="313" t="s">
        <v>386</v>
      </c>
      <c r="C3" s="313"/>
      <c r="D3" s="313"/>
      <c r="E3" s="313"/>
      <c r="F3" s="313"/>
      <c r="G3" s="313"/>
      <c r="H3" s="313"/>
      <c r="I3" s="313"/>
      <c r="J3" s="313"/>
      <c r="K3" s="313"/>
      <c r="L3" s="313"/>
      <c r="M3" s="313"/>
      <c r="N3" s="313"/>
      <c r="O3" s="313"/>
      <c r="P3" s="313"/>
      <c r="Q3" s="313"/>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row>
    <row r="4" spans="1:50" s="26" customFormat="1" ht="20.25" customHeight="1" x14ac:dyDescent="0.25">
      <c r="A4" s="122"/>
      <c r="B4" s="313" t="s">
        <v>387</v>
      </c>
      <c r="C4" s="313"/>
      <c r="D4" s="313"/>
      <c r="E4" s="313"/>
      <c r="F4" s="313"/>
      <c r="G4" s="313"/>
      <c r="H4" s="313"/>
      <c r="I4" s="313"/>
      <c r="J4" s="313"/>
      <c r="K4" s="313"/>
      <c r="L4" s="313"/>
      <c r="M4" s="313"/>
      <c r="N4" s="313"/>
      <c r="O4" s="313"/>
      <c r="P4" s="313"/>
      <c r="Q4" s="313"/>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row>
    <row r="5" spans="1:50" ht="17.25" customHeight="1" x14ac:dyDescent="0.25">
      <c r="A5" s="17"/>
      <c r="B5" s="167"/>
      <c r="C5" s="167"/>
      <c r="D5" s="167"/>
      <c r="E5" s="167"/>
      <c r="F5" s="167"/>
      <c r="G5" s="167"/>
      <c r="H5" s="167"/>
      <c r="I5" s="167"/>
      <c r="J5" s="167"/>
      <c r="K5" s="167"/>
      <c r="L5" s="167"/>
      <c r="M5" s="167"/>
      <c r="N5" s="167"/>
      <c r="O5" s="167"/>
      <c r="P5" s="167"/>
      <c r="Q5" s="167"/>
      <c r="R5" s="167"/>
      <c r="S5" s="167"/>
      <c r="T5" s="167"/>
      <c r="U5" s="167"/>
      <c r="V5" s="1"/>
      <c r="AS5" s="2"/>
      <c r="AT5" s="2"/>
      <c r="AU5" s="2"/>
      <c r="AV5" s="2"/>
      <c r="AW5" s="2"/>
    </row>
    <row r="6" spans="1:50" ht="16.5" customHeight="1" x14ac:dyDescent="0.25">
      <c r="A6" s="314" t="s">
        <v>388</v>
      </c>
      <c r="B6" s="314"/>
      <c r="C6" s="314"/>
      <c r="D6" s="314"/>
      <c r="E6" s="314"/>
      <c r="F6" s="314"/>
      <c r="G6" s="314"/>
      <c r="H6" s="314"/>
      <c r="I6" s="314"/>
      <c r="J6" s="314"/>
      <c r="K6" s="314"/>
      <c r="L6" s="314"/>
      <c r="M6" s="314"/>
      <c r="N6" s="314"/>
      <c r="O6" s="314"/>
      <c r="P6" s="314"/>
      <c r="Q6" s="314"/>
      <c r="R6" s="168"/>
      <c r="S6" s="168"/>
      <c r="T6" s="168"/>
      <c r="U6" s="168"/>
      <c r="V6" s="1"/>
      <c r="AS6" s="2"/>
      <c r="AT6" s="2"/>
      <c r="AU6" s="2"/>
      <c r="AV6" s="2"/>
      <c r="AW6" s="2"/>
    </row>
    <row r="7" spans="1:50" ht="60" customHeight="1" x14ac:dyDescent="0.25">
      <c r="A7" s="315" t="s">
        <v>162</v>
      </c>
      <c r="B7" s="315"/>
      <c r="C7" s="315"/>
      <c r="D7" s="315"/>
      <c r="E7" s="315"/>
      <c r="F7" s="315"/>
      <c r="G7" s="315"/>
      <c r="H7" s="315"/>
      <c r="I7" s="315"/>
      <c r="J7" s="315"/>
      <c r="K7" s="315"/>
      <c r="L7" s="315"/>
      <c r="M7" s="315"/>
      <c r="N7" s="315"/>
      <c r="O7" s="315"/>
      <c r="P7" s="315"/>
      <c r="Q7" s="315"/>
      <c r="R7" s="166"/>
      <c r="S7" s="166"/>
      <c r="T7" s="166"/>
      <c r="U7" s="166"/>
      <c r="V7" s="1"/>
      <c r="AS7" s="2"/>
      <c r="AT7" s="2"/>
      <c r="AU7" s="2"/>
      <c r="AV7" s="2"/>
      <c r="AW7" s="2"/>
    </row>
    <row r="8" spans="1:50" ht="12.75" customHeight="1" x14ac:dyDescent="0.25">
      <c r="A8" s="263" t="s">
        <v>0</v>
      </c>
      <c r="B8" s="310" t="s">
        <v>1</v>
      </c>
      <c r="C8" s="311" t="s">
        <v>202</v>
      </c>
      <c r="D8" s="307">
        <v>2019</v>
      </c>
      <c r="E8" s="308"/>
      <c r="F8" s="308"/>
      <c r="G8" s="308"/>
      <c r="H8" s="308"/>
      <c r="I8" s="309"/>
      <c r="J8" s="318">
        <v>2020</v>
      </c>
      <c r="K8" s="302">
        <v>2021</v>
      </c>
      <c r="L8" s="302">
        <v>2022</v>
      </c>
      <c r="M8" s="303" t="s">
        <v>2</v>
      </c>
      <c r="N8" s="304" t="s">
        <v>3</v>
      </c>
      <c r="O8" s="305" t="s">
        <v>4</v>
      </c>
      <c r="P8" s="306" t="s">
        <v>5</v>
      </c>
      <c r="Q8" s="312" t="s">
        <v>163</v>
      </c>
    </row>
    <row r="9" spans="1:50" ht="12.75" customHeight="1" x14ac:dyDescent="0.25">
      <c r="A9" s="263"/>
      <c r="B9" s="310"/>
      <c r="C9" s="311"/>
      <c r="D9" s="296" t="s">
        <v>6</v>
      </c>
      <c r="E9" s="297"/>
      <c r="F9" s="297"/>
      <c r="G9" s="297"/>
      <c r="H9" s="297"/>
      <c r="I9" s="298"/>
      <c r="J9" s="318"/>
      <c r="K9" s="302"/>
      <c r="L9" s="302"/>
      <c r="M9" s="303"/>
      <c r="N9" s="304"/>
      <c r="O9" s="305"/>
      <c r="P9" s="306"/>
      <c r="Q9" s="312"/>
    </row>
    <row r="10" spans="1:50" ht="15" customHeight="1" x14ac:dyDescent="0.25">
      <c r="A10" s="263"/>
      <c r="B10" s="310"/>
      <c r="C10" s="311"/>
      <c r="D10" s="299" t="s">
        <v>7</v>
      </c>
      <c r="E10" s="300" t="s">
        <v>8</v>
      </c>
      <c r="F10" s="301" t="s">
        <v>9</v>
      </c>
      <c r="G10" s="301" t="s">
        <v>10</v>
      </c>
      <c r="H10" s="301" t="s">
        <v>11</v>
      </c>
      <c r="I10" s="316" t="s">
        <v>12</v>
      </c>
      <c r="J10" s="318"/>
      <c r="K10" s="302"/>
      <c r="L10" s="302"/>
      <c r="M10" s="303"/>
      <c r="N10" s="304"/>
      <c r="O10" s="305"/>
      <c r="P10" s="306"/>
      <c r="Q10" s="312"/>
    </row>
    <row r="11" spans="1:50" ht="107.25" customHeight="1" x14ac:dyDescent="0.25">
      <c r="A11" s="263"/>
      <c r="B11" s="310"/>
      <c r="C11" s="311"/>
      <c r="D11" s="299"/>
      <c r="E11" s="300"/>
      <c r="F11" s="301"/>
      <c r="G11" s="301"/>
      <c r="H11" s="301"/>
      <c r="I11" s="317"/>
      <c r="J11" s="318"/>
      <c r="K11" s="302"/>
      <c r="L11" s="302"/>
      <c r="M11" s="303"/>
      <c r="N11" s="304"/>
      <c r="O11" s="305"/>
      <c r="P11" s="306"/>
      <c r="Q11" s="312"/>
    </row>
    <row r="12" spans="1:50" s="5" customFormat="1" ht="26.25" customHeight="1" x14ac:dyDescent="0.25">
      <c r="A12" s="27"/>
      <c r="B12" s="28" t="s">
        <v>161</v>
      </c>
      <c r="C12" s="29"/>
      <c r="D12" s="30"/>
      <c r="E12" s="31"/>
      <c r="F12" s="31"/>
      <c r="G12" s="31"/>
      <c r="H12" s="32"/>
      <c r="I12" s="33"/>
      <c r="J12" s="34"/>
      <c r="K12" s="31"/>
      <c r="L12" s="31"/>
      <c r="M12" s="35"/>
      <c r="N12" s="304"/>
      <c r="O12" s="305"/>
      <c r="P12" s="306"/>
      <c r="Q12" s="312"/>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row>
    <row r="13" spans="1:50" s="6" customFormat="1" ht="16.5" customHeight="1" x14ac:dyDescent="0.25">
      <c r="A13" s="36"/>
      <c r="B13" s="37" t="s">
        <v>13</v>
      </c>
      <c r="C13" s="38"/>
      <c r="D13" s="39">
        <f>D14+D40+D130</f>
        <v>9348.77</v>
      </c>
      <c r="E13" s="40">
        <f t="shared" ref="E13:M13" si="0">E14+E40+E130</f>
        <v>11792.009999999998</v>
      </c>
      <c r="F13" s="40">
        <f t="shared" si="0"/>
        <v>26154.149999999998</v>
      </c>
      <c r="G13" s="40">
        <f t="shared" si="0"/>
        <v>596.78</v>
      </c>
      <c r="H13" s="40">
        <f t="shared" si="0"/>
        <v>19753.900000000001</v>
      </c>
      <c r="I13" s="41">
        <f t="shared" si="0"/>
        <v>67645.610000000015</v>
      </c>
      <c r="J13" s="42">
        <f t="shared" si="0"/>
        <v>78207.492999999988</v>
      </c>
      <c r="K13" s="40">
        <f t="shared" si="0"/>
        <v>62010.39</v>
      </c>
      <c r="L13" s="40">
        <f t="shared" si="0"/>
        <v>7127</v>
      </c>
      <c r="M13" s="40">
        <f t="shared" si="0"/>
        <v>223668.76300000001</v>
      </c>
      <c r="N13" s="304"/>
      <c r="O13" s="305"/>
      <c r="P13" s="306"/>
      <c r="Q13" s="31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50" s="6" customFormat="1" ht="27.75" customHeight="1" x14ac:dyDescent="0.25">
      <c r="A14" s="266" t="s">
        <v>14</v>
      </c>
      <c r="B14" s="256"/>
      <c r="C14" s="43"/>
      <c r="D14" s="44">
        <f t="shared" ref="D14:I14" si="1">D17+D19+D22+D26+D28+D30+D32+D35+D37+D39</f>
        <v>662.9</v>
      </c>
      <c r="E14" s="45">
        <f t="shared" si="1"/>
        <v>573.4</v>
      </c>
      <c r="F14" s="45">
        <f t="shared" si="1"/>
        <v>2975.8999999999996</v>
      </c>
      <c r="G14" s="45">
        <f t="shared" si="1"/>
        <v>58.9</v>
      </c>
      <c r="H14" s="45">
        <f t="shared" si="1"/>
        <v>406.8</v>
      </c>
      <c r="I14" s="46">
        <f t="shared" si="1"/>
        <v>4677.8999999999996</v>
      </c>
      <c r="J14" s="44">
        <f>J17+J19+J22+J24+J26+J28+J30+J32+J35+J37+J39</f>
        <v>11284.393</v>
      </c>
      <c r="K14" s="45">
        <f>K17+K19+K22+K24+K26+K28+K30+K32+K35+K37+K39</f>
        <v>24733.58</v>
      </c>
      <c r="L14" s="45">
        <f>L17+L19+L22+L26+L28+L30+L32+L35+L37+L39</f>
        <v>219.5</v>
      </c>
      <c r="M14" s="46">
        <f>M17+M19+M22+M24+M26+M28+M30+M32+M35+M37+M39</f>
        <v>40891.173000000003</v>
      </c>
      <c r="N14" s="47"/>
      <c r="O14" s="48"/>
      <c r="P14" s="49"/>
      <c r="Q14" s="50"/>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row>
    <row r="15" spans="1:50" s="6" customFormat="1" ht="15" customHeight="1" x14ac:dyDescent="0.25">
      <c r="A15" s="51"/>
      <c r="B15" s="179"/>
      <c r="C15" s="51"/>
      <c r="D15" s="52"/>
      <c r="E15" s="53"/>
      <c r="F15" s="53"/>
      <c r="G15" s="53"/>
      <c r="H15" s="54"/>
      <c r="I15" s="55"/>
      <c r="J15" s="56"/>
      <c r="K15" s="53"/>
      <c r="L15" s="53"/>
      <c r="M15" s="53"/>
      <c r="N15" s="57"/>
      <c r="O15" s="58"/>
      <c r="P15" s="59"/>
      <c r="Q15" s="60"/>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50" s="6" customFormat="1" ht="26.25" customHeight="1" x14ac:dyDescent="0.25">
      <c r="A16" s="164"/>
      <c r="B16" s="61" t="s">
        <v>15</v>
      </c>
      <c r="C16" s="62" t="s">
        <v>16</v>
      </c>
      <c r="D16" s="63"/>
      <c r="E16" s="64"/>
      <c r="F16" s="64"/>
      <c r="G16" s="64"/>
      <c r="H16" s="64"/>
      <c r="I16" s="65"/>
      <c r="J16" s="66"/>
      <c r="K16" s="64"/>
      <c r="L16" s="64"/>
      <c r="M16" s="64"/>
      <c r="N16" s="67"/>
      <c r="O16" s="68"/>
      <c r="P16" s="69"/>
      <c r="Q16" s="70"/>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s="2" customFormat="1" ht="80.25" customHeight="1" x14ac:dyDescent="0.25">
      <c r="A17" s="238">
        <v>1</v>
      </c>
      <c r="B17" s="19" t="s">
        <v>17</v>
      </c>
      <c r="C17" s="239" t="s">
        <v>203</v>
      </c>
      <c r="D17" s="21"/>
      <c r="E17" s="22"/>
      <c r="F17" s="22"/>
      <c r="G17" s="22"/>
      <c r="H17" s="22"/>
      <c r="I17" s="23"/>
      <c r="J17" s="24">
        <v>561.16300000000001</v>
      </c>
      <c r="K17" s="22"/>
      <c r="L17" s="22"/>
      <c r="M17" s="22">
        <f>I17+J17+K17+L17+11.7</f>
        <v>572.86300000000006</v>
      </c>
      <c r="N17" s="251" t="s">
        <v>18</v>
      </c>
      <c r="O17" s="241">
        <v>2020</v>
      </c>
      <c r="P17" s="242" t="s">
        <v>20</v>
      </c>
      <c r="Q17" s="237" t="s">
        <v>148</v>
      </c>
    </row>
    <row r="18" spans="1:44" s="2" customFormat="1" x14ac:dyDescent="0.25">
      <c r="A18" s="238"/>
      <c r="B18" s="73" t="s">
        <v>21</v>
      </c>
      <c r="C18" s="239"/>
      <c r="D18" s="21"/>
      <c r="E18" s="22"/>
      <c r="F18" s="22"/>
      <c r="G18" s="22"/>
      <c r="H18" s="22"/>
      <c r="I18" s="23"/>
      <c r="J18" s="24">
        <v>23.8</v>
      </c>
      <c r="K18" s="22"/>
      <c r="L18" s="22"/>
      <c r="M18" s="22">
        <f>J18</f>
        <v>23.8</v>
      </c>
      <c r="N18" s="251"/>
      <c r="O18" s="241"/>
      <c r="P18" s="242"/>
      <c r="Q18" s="237"/>
    </row>
    <row r="19" spans="1:44" s="7" customFormat="1" ht="138.75" customHeight="1" x14ac:dyDescent="0.2">
      <c r="A19" s="238">
        <v>2</v>
      </c>
      <c r="B19" s="19" t="s">
        <v>22</v>
      </c>
      <c r="C19" s="239" t="s">
        <v>203</v>
      </c>
      <c r="D19" s="195"/>
      <c r="E19" s="196"/>
      <c r="F19" s="197">
        <f>71.1+83.3+833.2+81</f>
        <v>1068.5999999999999</v>
      </c>
      <c r="G19" s="22"/>
      <c r="H19" s="197">
        <f>226.8+4.5+5.3+53.2+100+8+9</f>
        <v>406.8</v>
      </c>
      <c r="I19" s="198">
        <f>H19+F19+D19</f>
        <v>1475.3999999999999</v>
      </c>
      <c r="J19" s="24">
        <f>300+50</f>
        <v>350</v>
      </c>
      <c r="K19" s="22"/>
      <c r="L19" s="22"/>
      <c r="M19" s="22">
        <f>I19+J19+K19+L19+64.2+10+32.4</f>
        <v>1932</v>
      </c>
      <c r="N19" s="251" t="s">
        <v>303</v>
      </c>
      <c r="O19" s="241" t="s">
        <v>23</v>
      </c>
      <c r="P19" s="242" t="s">
        <v>20</v>
      </c>
      <c r="Q19" s="237" t="s">
        <v>148</v>
      </c>
    </row>
    <row r="20" spans="1:44" s="7" customFormat="1" ht="27" customHeight="1" x14ac:dyDescent="0.2">
      <c r="A20" s="238"/>
      <c r="B20" s="73" t="s">
        <v>21</v>
      </c>
      <c r="C20" s="239"/>
      <c r="D20" s="199"/>
      <c r="E20" s="22"/>
      <c r="F20" s="197"/>
      <c r="G20" s="22"/>
      <c r="H20" s="197">
        <v>8</v>
      </c>
      <c r="I20" s="198">
        <f>H20</f>
        <v>8</v>
      </c>
      <c r="J20" s="24">
        <v>50</v>
      </c>
      <c r="K20" s="22"/>
      <c r="L20" s="22"/>
      <c r="M20" s="197">
        <f>I20+J20+10.6</f>
        <v>68.599999999999994</v>
      </c>
      <c r="N20" s="251"/>
      <c r="O20" s="241"/>
      <c r="P20" s="242"/>
      <c r="Q20" s="237"/>
    </row>
    <row r="21" spans="1:44" s="6" customFormat="1" ht="26.25" customHeight="1" x14ac:dyDescent="0.25">
      <c r="A21" s="164"/>
      <c r="B21" s="61" t="s">
        <v>26</v>
      </c>
      <c r="C21" s="62" t="s">
        <v>27</v>
      </c>
      <c r="D21" s="63"/>
      <c r="E21" s="64"/>
      <c r="F21" s="64"/>
      <c r="G21" s="64"/>
      <c r="H21" s="64"/>
      <c r="I21" s="74"/>
      <c r="J21" s="66"/>
      <c r="K21" s="64"/>
      <c r="L21" s="64"/>
      <c r="M21" s="75"/>
      <c r="N21" s="67"/>
      <c r="O21" s="68"/>
      <c r="P21" s="69"/>
      <c r="Q21" s="70"/>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s="2" customFormat="1" ht="153.75" customHeight="1" x14ac:dyDescent="0.25">
      <c r="A22" s="238">
        <v>3</v>
      </c>
      <c r="B22" s="19" t="s">
        <v>29</v>
      </c>
      <c r="C22" s="319" t="s">
        <v>204</v>
      </c>
      <c r="D22" s="150">
        <v>379</v>
      </c>
      <c r="E22" s="147"/>
      <c r="F22" s="147"/>
      <c r="G22" s="147"/>
      <c r="H22" s="147"/>
      <c r="I22" s="200">
        <f t="shared" ref="I22:I23" si="2">SUM(D22:H22)</f>
        <v>379</v>
      </c>
      <c r="J22" s="147">
        <v>4483.5200000000004</v>
      </c>
      <c r="K22" s="147">
        <v>11730.95</v>
      </c>
      <c r="L22" s="147"/>
      <c r="M22" s="147">
        <f>SUM(I22:L22)</f>
        <v>16593.47</v>
      </c>
      <c r="N22" s="250" t="s">
        <v>304</v>
      </c>
      <c r="O22" s="276" t="s">
        <v>30</v>
      </c>
      <c r="P22" s="242" t="s">
        <v>177</v>
      </c>
      <c r="Q22" s="284" t="s">
        <v>148</v>
      </c>
    </row>
    <row r="23" spans="1:44" s="2" customFormat="1" ht="34.15" customHeight="1" x14ac:dyDescent="0.25">
      <c r="A23" s="238"/>
      <c r="B23" s="73" t="s">
        <v>21</v>
      </c>
      <c r="C23" s="319"/>
      <c r="D23" s="150">
        <v>350</v>
      </c>
      <c r="E23" s="147"/>
      <c r="F23" s="147"/>
      <c r="G23" s="147"/>
      <c r="H23" s="147"/>
      <c r="I23" s="200">
        <f t="shared" si="2"/>
        <v>350</v>
      </c>
      <c r="J23" s="147"/>
      <c r="K23" s="147"/>
      <c r="L23" s="147"/>
      <c r="M23" s="147">
        <f>I23+J23</f>
        <v>350</v>
      </c>
      <c r="N23" s="250"/>
      <c r="O23" s="276"/>
      <c r="P23" s="242"/>
      <c r="Q23" s="284"/>
    </row>
    <row r="24" spans="1:44" s="2" customFormat="1" ht="143.25" customHeight="1" x14ac:dyDescent="0.25">
      <c r="A24" s="238">
        <v>4</v>
      </c>
      <c r="B24" s="19" t="s">
        <v>263</v>
      </c>
      <c r="C24" s="319" t="s">
        <v>204</v>
      </c>
      <c r="D24" s="24"/>
      <c r="E24" s="22"/>
      <c r="F24" s="22"/>
      <c r="G24" s="22"/>
      <c r="H24" s="22"/>
      <c r="I24" s="201"/>
      <c r="J24" s="22">
        <v>832.51</v>
      </c>
      <c r="K24" s="22">
        <v>2763.03</v>
      </c>
      <c r="L24" s="22"/>
      <c r="M24" s="22">
        <f>SUM(I24:L24)</f>
        <v>3595.54</v>
      </c>
      <c r="N24" s="251" t="s">
        <v>305</v>
      </c>
      <c r="O24" s="276" t="s">
        <v>52</v>
      </c>
      <c r="P24" s="242" t="s">
        <v>264</v>
      </c>
      <c r="Q24" s="284" t="s">
        <v>148</v>
      </c>
    </row>
    <row r="25" spans="1:44" s="2" customFormat="1" x14ac:dyDescent="0.25">
      <c r="A25" s="238"/>
      <c r="B25" s="73" t="s">
        <v>21</v>
      </c>
      <c r="C25" s="319"/>
      <c r="D25" s="24"/>
      <c r="E25" s="22"/>
      <c r="F25" s="22"/>
      <c r="G25" s="22"/>
      <c r="H25" s="22"/>
      <c r="I25" s="201"/>
      <c r="J25" s="22"/>
      <c r="K25" s="22"/>
      <c r="L25" s="22"/>
      <c r="M25" s="22">
        <f>I25+J25</f>
        <v>0</v>
      </c>
      <c r="N25" s="251"/>
      <c r="O25" s="276"/>
      <c r="P25" s="242"/>
      <c r="Q25" s="284"/>
    </row>
    <row r="26" spans="1:44" s="10" customFormat="1" ht="55.5" customHeight="1" x14ac:dyDescent="0.2">
      <c r="A26" s="163">
        <v>5</v>
      </c>
      <c r="B26" s="79" t="s">
        <v>253</v>
      </c>
      <c r="C26" s="239" t="s">
        <v>206</v>
      </c>
      <c r="D26" s="149">
        <v>30</v>
      </c>
      <c r="E26" s="147"/>
      <c r="F26" s="147"/>
      <c r="G26" s="147"/>
      <c r="H26" s="147"/>
      <c r="I26" s="145">
        <f>D26</f>
        <v>30</v>
      </c>
      <c r="J26" s="150">
        <v>710</v>
      </c>
      <c r="K26" s="147">
        <v>2290</v>
      </c>
      <c r="L26" s="147"/>
      <c r="M26" s="147">
        <f>L26+K26+J26+I26</f>
        <v>3030</v>
      </c>
      <c r="N26" s="324" t="s">
        <v>296</v>
      </c>
      <c r="O26" s="320" t="s">
        <v>24</v>
      </c>
      <c r="P26" s="326" t="s">
        <v>299</v>
      </c>
      <c r="Q26" s="284" t="s">
        <v>148</v>
      </c>
    </row>
    <row r="27" spans="1:44" s="6" customFormat="1" x14ac:dyDescent="0.25">
      <c r="A27" s="163"/>
      <c r="B27" s="73" t="s">
        <v>21</v>
      </c>
      <c r="C27" s="239"/>
      <c r="D27" s="149"/>
      <c r="E27" s="147"/>
      <c r="F27" s="147"/>
      <c r="G27" s="147"/>
      <c r="H27" s="147"/>
      <c r="I27" s="145"/>
      <c r="J27" s="150">
        <v>110</v>
      </c>
      <c r="K27" s="147"/>
      <c r="L27" s="147"/>
      <c r="M27" s="147">
        <f>J27</f>
        <v>110</v>
      </c>
      <c r="N27" s="325"/>
      <c r="O27" s="321"/>
      <c r="P27" s="326"/>
      <c r="Q27" s="284"/>
    </row>
    <row r="28" spans="1:44" s="9" customFormat="1" ht="55.5" customHeight="1" x14ac:dyDescent="0.2">
      <c r="A28" s="261">
        <v>6</v>
      </c>
      <c r="B28" s="79" t="s">
        <v>31</v>
      </c>
      <c r="C28" s="239" t="s">
        <v>205</v>
      </c>
      <c r="D28" s="21"/>
      <c r="E28" s="22"/>
      <c r="F28" s="22"/>
      <c r="G28" s="22"/>
      <c r="H28" s="22"/>
      <c r="I28" s="23"/>
      <c r="J28" s="24">
        <v>15</v>
      </c>
      <c r="K28" s="24">
        <v>157.5</v>
      </c>
      <c r="L28" s="82">
        <v>142.5</v>
      </c>
      <c r="M28" s="24">
        <f>I28+J28+K28</f>
        <v>172.5</v>
      </c>
      <c r="N28" s="320" t="s">
        <v>270</v>
      </c>
      <c r="O28" s="320" t="s">
        <v>188</v>
      </c>
      <c r="P28" s="322" t="s">
        <v>306</v>
      </c>
      <c r="Q28" s="284" t="s">
        <v>148</v>
      </c>
    </row>
    <row r="29" spans="1:44" s="2" customFormat="1" ht="28.15" customHeight="1" x14ac:dyDescent="0.25">
      <c r="A29" s="262"/>
      <c r="B29" s="73" t="s">
        <v>21</v>
      </c>
      <c r="C29" s="239"/>
      <c r="D29" s="21"/>
      <c r="E29" s="22"/>
      <c r="F29" s="22"/>
      <c r="G29" s="22"/>
      <c r="H29" s="22"/>
      <c r="I29" s="23"/>
      <c r="J29" s="24">
        <v>15</v>
      </c>
      <c r="K29" s="22"/>
      <c r="L29" s="22"/>
      <c r="M29" s="22">
        <v>15</v>
      </c>
      <c r="N29" s="321"/>
      <c r="O29" s="321"/>
      <c r="P29" s="323"/>
      <c r="Q29" s="284"/>
    </row>
    <row r="30" spans="1:44" s="10" customFormat="1" ht="63.75" customHeight="1" x14ac:dyDescent="0.2">
      <c r="A30" s="264">
        <v>7</v>
      </c>
      <c r="B30" s="173" t="s">
        <v>271</v>
      </c>
      <c r="C30" s="267" t="s">
        <v>210</v>
      </c>
      <c r="D30" s="141">
        <f>35+115.8</f>
        <v>150.80000000000001</v>
      </c>
      <c r="E30" s="138"/>
      <c r="F30" s="138"/>
      <c r="G30" s="138"/>
      <c r="H30" s="138"/>
      <c r="I30" s="72">
        <f>D30</f>
        <v>150.80000000000001</v>
      </c>
      <c r="J30" s="139">
        <f>35+20</f>
        <v>55</v>
      </c>
      <c r="K30" s="138">
        <f>35+20</f>
        <v>55</v>
      </c>
      <c r="L30" s="138">
        <v>55</v>
      </c>
      <c r="M30" s="138">
        <f>L30+K30+J30+I30</f>
        <v>315.8</v>
      </c>
      <c r="N30" s="327" t="s">
        <v>272</v>
      </c>
      <c r="O30" s="327" t="s">
        <v>188</v>
      </c>
      <c r="P30" s="329" t="s">
        <v>307</v>
      </c>
      <c r="Q30" s="286" t="s">
        <v>148</v>
      </c>
    </row>
    <row r="31" spans="1:44" s="6" customFormat="1" ht="30.6" customHeight="1" x14ac:dyDescent="0.25">
      <c r="A31" s="265"/>
      <c r="B31" s="20" t="s">
        <v>21</v>
      </c>
      <c r="C31" s="267"/>
      <c r="D31" s="141"/>
      <c r="E31" s="138"/>
      <c r="F31" s="138"/>
      <c r="G31" s="138"/>
      <c r="H31" s="138"/>
      <c r="I31" s="72"/>
      <c r="J31" s="139"/>
      <c r="K31" s="138"/>
      <c r="L31" s="138"/>
      <c r="M31" s="138"/>
      <c r="N31" s="328"/>
      <c r="O31" s="328"/>
      <c r="P31" s="330"/>
      <c r="Q31" s="286"/>
    </row>
    <row r="32" spans="1:44" s="2" customFormat="1" ht="60.75" customHeight="1" x14ac:dyDescent="0.25">
      <c r="A32" s="247">
        <v>8</v>
      </c>
      <c r="B32" s="158" t="s">
        <v>194</v>
      </c>
      <c r="C32" s="267" t="s">
        <v>211</v>
      </c>
      <c r="D32" s="123">
        <v>50</v>
      </c>
      <c r="E32" s="124"/>
      <c r="F32" s="124"/>
      <c r="G32" s="124"/>
      <c r="H32" s="124"/>
      <c r="I32" s="72">
        <f>D32</f>
        <v>50</v>
      </c>
      <c r="J32" s="125"/>
      <c r="K32" s="124"/>
      <c r="L32" s="124"/>
      <c r="M32" s="138">
        <f>I32</f>
        <v>50</v>
      </c>
      <c r="N32" s="272" t="s">
        <v>308</v>
      </c>
      <c r="O32" s="281">
        <v>2019</v>
      </c>
      <c r="P32" s="270" t="s">
        <v>146</v>
      </c>
      <c r="Q32" s="268" t="s">
        <v>148</v>
      </c>
    </row>
    <row r="33" spans="1:44" s="2" customFormat="1" x14ac:dyDescent="0.25">
      <c r="A33" s="247"/>
      <c r="B33" s="76" t="s">
        <v>42</v>
      </c>
      <c r="C33" s="267"/>
      <c r="D33" s="123"/>
      <c r="E33" s="124"/>
      <c r="F33" s="124"/>
      <c r="G33" s="124"/>
      <c r="H33" s="124"/>
      <c r="I33" s="72"/>
      <c r="J33" s="125"/>
      <c r="K33" s="124"/>
      <c r="L33" s="124"/>
      <c r="M33" s="138"/>
      <c r="N33" s="272"/>
      <c r="O33" s="281"/>
      <c r="P33" s="270"/>
      <c r="Q33" s="268"/>
    </row>
    <row r="34" spans="1:44" s="6" customFormat="1" ht="26.25" customHeight="1" x14ac:dyDescent="0.25">
      <c r="A34" s="164"/>
      <c r="B34" s="61" t="s">
        <v>32</v>
      </c>
      <c r="C34" s="62" t="s">
        <v>33</v>
      </c>
      <c r="D34" s="63"/>
      <c r="E34" s="64"/>
      <c r="F34" s="64"/>
      <c r="G34" s="64"/>
      <c r="H34" s="64"/>
      <c r="I34" s="74"/>
      <c r="J34" s="66"/>
      <c r="K34" s="64"/>
      <c r="L34" s="64"/>
      <c r="M34" s="75"/>
      <c r="N34" s="67"/>
      <c r="O34" s="68"/>
      <c r="P34" s="69"/>
      <c r="Q34" s="70"/>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spans="1:44" s="9" customFormat="1" ht="86.45" customHeight="1" x14ac:dyDescent="0.2">
      <c r="A35" s="248">
        <v>9</v>
      </c>
      <c r="B35" s="202" t="s">
        <v>34</v>
      </c>
      <c r="C35" s="239" t="s">
        <v>207</v>
      </c>
      <c r="D35" s="203"/>
      <c r="E35" s="204"/>
      <c r="F35" s="204"/>
      <c r="G35" s="204"/>
      <c r="H35" s="204"/>
      <c r="I35" s="23"/>
      <c r="J35" s="205">
        <v>22.5</v>
      </c>
      <c r="K35" s="204"/>
      <c r="L35" s="204"/>
      <c r="M35" s="22">
        <f>L35+K35+J35</f>
        <v>22.5</v>
      </c>
      <c r="N35" s="240" t="s">
        <v>35</v>
      </c>
      <c r="O35" s="240" t="s">
        <v>36</v>
      </c>
      <c r="P35" s="288" t="s">
        <v>309</v>
      </c>
      <c r="Q35" s="283" t="s">
        <v>148</v>
      </c>
    </row>
    <row r="36" spans="1:44" s="9" customFormat="1" ht="15" customHeight="1" x14ac:dyDescent="0.2">
      <c r="A36" s="248"/>
      <c r="B36" s="84" t="s">
        <v>21</v>
      </c>
      <c r="C36" s="239"/>
      <c r="D36" s="203"/>
      <c r="E36" s="204"/>
      <c r="F36" s="204"/>
      <c r="G36" s="204"/>
      <c r="H36" s="204"/>
      <c r="I36" s="23"/>
      <c r="J36" s="205">
        <v>5</v>
      </c>
      <c r="K36" s="204"/>
      <c r="L36" s="204"/>
      <c r="M36" s="22">
        <f>L36+K36+J36</f>
        <v>5</v>
      </c>
      <c r="N36" s="240"/>
      <c r="O36" s="240"/>
      <c r="P36" s="288"/>
      <c r="Q36" s="283"/>
    </row>
    <row r="37" spans="1:44" s="9" customFormat="1" ht="97.5" customHeight="1" x14ac:dyDescent="0.2">
      <c r="A37" s="238">
        <v>10</v>
      </c>
      <c r="B37" s="19" t="s">
        <v>37</v>
      </c>
      <c r="C37" s="319" t="s">
        <v>208</v>
      </c>
      <c r="D37" s="24"/>
      <c r="E37" s="22">
        <v>573.4</v>
      </c>
      <c r="F37" s="22">
        <v>1907.3</v>
      </c>
      <c r="G37" s="22">
        <v>58.9</v>
      </c>
      <c r="H37" s="22"/>
      <c r="I37" s="23">
        <f>D37+E37+F37+G37</f>
        <v>2539.6</v>
      </c>
      <c r="J37" s="24">
        <v>4232.7</v>
      </c>
      <c r="K37" s="22">
        <v>7715.1</v>
      </c>
      <c r="L37" s="22"/>
      <c r="M37" s="22">
        <f>J37+I37+K37+L37</f>
        <v>14487.4</v>
      </c>
      <c r="N37" s="251" t="s">
        <v>310</v>
      </c>
      <c r="O37" s="276" t="s">
        <v>49</v>
      </c>
      <c r="P37" s="242" t="s">
        <v>286</v>
      </c>
      <c r="Q37" s="284" t="s">
        <v>148</v>
      </c>
    </row>
    <row r="38" spans="1:44" s="9" customFormat="1" ht="15" customHeight="1" x14ac:dyDescent="0.2">
      <c r="A38" s="238"/>
      <c r="B38" s="73" t="s">
        <v>21</v>
      </c>
      <c r="C38" s="319"/>
      <c r="D38" s="24"/>
      <c r="E38" s="22"/>
      <c r="F38" s="22"/>
      <c r="G38" s="22"/>
      <c r="H38" s="22"/>
      <c r="I38" s="201"/>
      <c r="J38" s="24"/>
      <c r="K38" s="22"/>
      <c r="L38" s="22"/>
      <c r="M38" s="22"/>
      <c r="N38" s="251"/>
      <c r="O38" s="276"/>
      <c r="P38" s="242"/>
      <c r="Q38" s="284"/>
    </row>
    <row r="39" spans="1:44" s="9" customFormat="1" ht="147" customHeight="1" x14ac:dyDescent="0.2">
      <c r="A39" s="162">
        <v>11</v>
      </c>
      <c r="B39" s="79" t="s">
        <v>254</v>
      </c>
      <c r="C39" s="137" t="s">
        <v>209</v>
      </c>
      <c r="D39" s="21">
        <f>12+11.1+21+9</f>
        <v>53.1</v>
      </c>
      <c r="E39" s="24"/>
      <c r="F39" s="22"/>
      <c r="G39" s="22"/>
      <c r="H39" s="24"/>
      <c r="I39" s="23">
        <f t="shared" ref="I39" si="3">SUM(D39:H39)</f>
        <v>53.1</v>
      </c>
      <c r="J39" s="21">
        <v>22</v>
      </c>
      <c r="K39" s="22">
        <v>22</v>
      </c>
      <c r="L39" s="22">
        <v>22</v>
      </c>
      <c r="M39" s="24">
        <f>SUM(I39:L39)</f>
        <v>119.1</v>
      </c>
      <c r="N39" s="131" t="s">
        <v>300</v>
      </c>
      <c r="O39" s="126" t="s">
        <v>172</v>
      </c>
      <c r="P39" s="132" t="s">
        <v>144</v>
      </c>
      <c r="Q39" s="127" t="s">
        <v>148</v>
      </c>
    </row>
    <row r="40" spans="1:44" ht="39" customHeight="1" x14ac:dyDescent="0.25">
      <c r="A40" s="266" t="s">
        <v>39</v>
      </c>
      <c r="B40" s="256"/>
      <c r="C40" s="43"/>
      <c r="D40" s="44">
        <f>D43+D45+D47+D49+D51+D53+D55+D57+D59+D61+D63+D65+D67+D69+D71+D73+D75+D78+D81+D83+D85+D86+D88+D90+D92+D94+D96+D99+D101+D103+D105+D107+D109+D111+D114+D116+D118+D120+D122+D124+D128</f>
        <v>4787.5100000000011</v>
      </c>
      <c r="E40" s="45">
        <f>E43+E45+E47+E49+E51+E53+E55+E57+E59+E61+E63+E65+E67+E69+E71+E73+E75+E78+E81+E83+E85+E86+E88+E90+E92+E94+E99+E101+E103+E105+E107+E109+E111+E114+E116+E118+E120+E122+E124+E128</f>
        <v>6197.19</v>
      </c>
      <c r="F40" s="45">
        <f>F43+F45+F47+F49+F51+F53+F55+F57+F59+F61+F63+F65+F67+F69+F71+F73+F75+F78+F81+F83+F85+F86+F88+F90+F92+F94+F99+F101+F103+F105+F107+F109+F111+F114+F116+F118+F120+F122+F124+F128</f>
        <v>20143.55</v>
      </c>
      <c r="G40" s="45">
        <f>G43+G45+G47+G49+G51+G53+G55+G57+G59+G61+G63+G65+G67+G69+G71+G73+G75+G78+G81+G83+G85+G86+G88+G90+G92+G94+G99+G101+G103+G105+G107+G109+G111+G114+G116+G118+G120+G122+G124+G128</f>
        <v>128.11000000000001</v>
      </c>
      <c r="H40" s="45">
        <f>H43+H45+H47+H49+H51+H53+H55+H57+H59+H61+H63+H65+H67+H69+H71+H73+H75+H78+H81+H83+H85+H86+H88+H90+H92+H94+H99+H101+H103+H105+H107+H109+H111+H114+H116+H118+H120+H122+H124+H128</f>
        <v>19257.400000000001</v>
      </c>
      <c r="I40" s="46">
        <f>I43+I45+I47+I49+I51+I53+I55+I57+I59+I61+I63+I65+I67+I69+I71+I73+I75+I78+I81+I83+I85+I86+I88+I90+I92+I94+I96+I99+I101+I103+I105+I107+I109+I111+I114+I116+I118+I120+I122+I124+I128</f>
        <v>50513.760000000009</v>
      </c>
      <c r="J40" s="44">
        <f>J43+J45+J47+J49+J51+J53+J55+J57+J59+J61+J63+J65+J67+J69+J71+J73+J75+J78+J81+J83+J85+J86+J88+J90+J92+J94+J96+J99+J101+J103+J105+J107+J109+J111+J114+J116+J118+J120+J122+J124+J126+J128</f>
        <v>45029.19</v>
      </c>
      <c r="K40" s="45">
        <f>K43+K45+K47+K49+K51+K53+K55+K57+K59+K61+K63+K65+K67+K69+K71+K73+K75+K78+K81+K83+K85+K86+K88+K90+K92+K94+K99+K101+K103+K105+K107+K109+K111+K114+K116+K118+K120+K122+K124+K126+K128</f>
        <v>22350.6</v>
      </c>
      <c r="L40" s="45">
        <f>L43+L45+L47+L49+L51+L53+L55+L57+L59+L61+L63+L65+L67+L69+L71+L73+L75+L78+L81+L83+L85+L86+L88+L90+L92+L94+L99+L101+L103+L105+L107+L109+L111+L114+L116+L118+L120+L122+L124+L126+L128</f>
        <v>5631.9</v>
      </c>
      <c r="M40" s="46">
        <f>M43+M45+M47+M49+M51+M53+M55+M57+M59+M61+M63+M65+M67+M69+M71+M73+M75+M78+M81+M83+M85+M86+M88+M90+M92+M94+M96+M99+M101+M103+M105+M107+M109+M111+M114+M116+M118+M120+M122+M124+M126+M128</f>
        <v>131867.32</v>
      </c>
      <c r="N40" s="47"/>
      <c r="O40" s="48"/>
      <c r="P40" s="49"/>
      <c r="Q40" s="50"/>
    </row>
    <row r="41" spans="1:44" s="11" customFormat="1" ht="12.75" customHeight="1" x14ac:dyDescent="0.2">
      <c r="A41" s="51"/>
      <c r="B41" s="179"/>
      <c r="C41" s="51"/>
      <c r="D41" s="52"/>
      <c r="E41" s="77"/>
      <c r="F41" s="77"/>
      <c r="G41" s="77"/>
      <c r="H41" s="77"/>
      <c r="I41" s="159"/>
      <c r="J41" s="56"/>
      <c r="K41" s="53"/>
      <c r="L41" s="53"/>
      <c r="M41" s="78"/>
      <c r="N41" s="57"/>
      <c r="O41" s="58"/>
      <c r="P41" s="59"/>
      <c r="Q41" s="60"/>
    </row>
    <row r="42" spans="1:44" s="6" customFormat="1" ht="39.75" customHeight="1" x14ac:dyDescent="0.25">
      <c r="A42" s="164"/>
      <c r="B42" s="61" t="s">
        <v>40</v>
      </c>
      <c r="C42" s="62" t="s">
        <v>41</v>
      </c>
      <c r="D42" s="63"/>
      <c r="E42" s="64"/>
      <c r="F42" s="64"/>
      <c r="G42" s="64"/>
      <c r="H42" s="64"/>
      <c r="I42" s="74"/>
      <c r="J42" s="66"/>
      <c r="K42" s="64"/>
      <c r="L42" s="64"/>
      <c r="M42" s="75"/>
      <c r="N42" s="67"/>
      <c r="O42" s="68"/>
      <c r="P42" s="69"/>
      <c r="Q42" s="70"/>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row>
    <row r="43" spans="1:44" s="2" customFormat="1" ht="138.75" customHeight="1" x14ac:dyDescent="0.25">
      <c r="A43" s="248">
        <v>12</v>
      </c>
      <c r="B43" s="85" t="s">
        <v>44</v>
      </c>
      <c r="C43" s="239" t="s">
        <v>212</v>
      </c>
      <c r="D43" s="21"/>
      <c r="E43" s="82">
        <v>47.7</v>
      </c>
      <c r="F43" s="82">
        <v>523.9</v>
      </c>
      <c r="G43" s="82">
        <v>18.399999999999999</v>
      </c>
      <c r="H43" s="82"/>
      <c r="I43" s="23">
        <f t="shared" ref="I43" si="4">SUM(D43:H43)</f>
        <v>590</v>
      </c>
      <c r="J43" s="83">
        <v>2102.6999999999998</v>
      </c>
      <c r="K43" s="82"/>
      <c r="L43" s="82"/>
      <c r="M43" s="22">
        <f>I43+J43+K43</f>
        <v>2692.7</v>
      </c>
      <c r="N43" s="240" t="s">
        <v>311</v>
      </c>
      <c r="O43" s="277" t="s">
        <v>38</v>
      </c>
      <c r="P43" s="242" t="s">
        <v>177</v>
      </c>
      <c r="Q43" s="237" t="s">
        <v>148</v>
      </c>
    </row>
    <row r="44" spans="1:44" s="2" customFormat="1" ht="15" customHeight="1" x14ac:dyDescent="0.25">
      <c r="A44" s="248"/>
      <c r="B44" s="84" t="s">
        <v>21</v>
      </c>
      <c r="C44" s="239"/>
      <c r="D44" s="21"/>
      <c r="E44" s="82"/>
      <c r="F44" s="82"/>
      <c r="G44" s="82"/>
      <c r="H44" s="82"/>
      <c r="I44" s="23"/>
      <c r="J44" s="83"/>
      <c r="K44" s="82"/>
      <c r="L44" s="82"/>
      <c r="M44" s="22"/>
      <c r="N44" s="240"/>
      <c r="O44" s="277"/>
      <c r="P44" s="242"/>
      <c r="Q44" s="237"/>
    </row>
    <row r="45" spans="1:44" s="2" customFormat="1" ht="155.25" customHeight="1" x14ac:dyDescent="0.25">
      <c r="A45" s="248">
        <v>13</v>
      </c>
      <c r="B45" s="206" t="s">
        <v>46</v>
      </c>
      <c r="C45" s="239" t="s">
        <v>212</v>
      </c>
      <c r="D45" s="143">
        <v>19.2</v>
      </c>
      <c r="E45" s="144">
        <v>3.1</v>
      </c>
      <c r="F45" s="82">
        <v>175.4</v>
      </c>
      <c r="G45" s="82">
        <v>4.5999999999999996</v>
      </c>
      <c r="H45" s="82"/>
      <c r="I45" s="23">
        <f>SUM(D45:H45)</f>
        <v>202.3</v>
      </c>
      <c r="J45" s="83">
        <v>401.2</v>
      </c>
      <c r="K45" s="82"/>
      <c r="L45" s="82"/>
      <c r="M45" s="22">
        <f>I45+J45+K45</f>
        <v>603.5</v>
      </c>
      <c r="N45" s="240" t="s">
        <v>312</v>
      </c>
      <c r="O45" s="277" t="s">
        <v>38</v>
      </c>
      <c r="P45" s="242" t="s">
        <v>177</v>
      </c>
      <c r="Q45" s="283" t="s">
        <v>150</v>
      </c>
    </row>
    <row r="46" spans="1:44" s="2" customFormat="1" ht="15" customHeight="1" x14ac:dyDescent="0.25">
      <c r="A46" s="248"/>
      <c r="B46" s="84" t="s">
        <v>21</v>
      </c>
      <c r="C46" s="239"/>
      <c r="D46" s="143">
        <v>19.21</v>
      </c>
      <c r="E46" s="144"/>
      <c r="F46" s="82"/>
      <c r="G46" s="82"/>
      <c r="H46" s="82"/>
      <c r="I46" s="23">
        <f>SUM(D46:H46)</f>
        <v>19.21</v>
      </c>
      <c r="J46" s="83"/>
      <c r="K46" s="82"/>
      <c r="L46" s="82"/>
      <c r="M46" s="22">
        <f>I46+J46+K46+L46</f>
        <v>19.21</v>
      </c>
      <c r="N46" s="240"/>
      <c r="O46" s="277"/>
      <c r="P46" s="242"/>
      <c r="Q46" s="283"/>
    </row>
    <row r="47" spans="1:44" s="2" customFormat="1" ht="246" customHeight="1" x14ac:dyDescent="0.25">
      <c r="A47" s="247">
        <v>14</v>
      </c>
      <c r="B47" s="85" t="s">
        <v>45</v>
      </c>
      <c r="C47" s="239" t="s">
        <v>212</v>
      </c>
      <c r="D47" s="143">
        <v>664.4</v>
      </c>
      <c r="E47" s="144">
        <v>1677.1</v>
      </c>
      <c r="F47" s="82"/>
      <c r="G47" s="82"/>
      <c r="H47" s="82"/>
      <c r="I47" s="23">
        <f>SUM(D47:H47)</f>
        <v>2341.5</v>
      </c>
      <c r="J47" s="83">
        <v>2861</v>
      </c>
      <c r="K47" s="82">
        <v>1636</v>
      </c>
      <c r="L47" s="82"/>
      <c r="M47" s="22">
        <f>I47+J47+K47+L47</f>
        <v>6838.5</v>
      </c>
      <c r="N47" s="240" t="s">
        <v>313</v>
      </c>
      <c r="O47" s="277" t="s">
        <v>30</v>
      </c>
      <c r="P47" s="270" t="s">
        <v>146</v>
      </c>
      <c r="Q47" s="283" t="s">
        <v>150</v>
      </c>
    </row>
    <row r="48" spans="1:44" s="2" customFormat="1" ht="15" customHeight="1" x14ac:dyDescent="0.25">
      <c r="A48" s="247"/>
      <c r="B48" s="84" t="s">
        <v>21</v>
      </c>
      <c r="C48" s="239"/>
      <c r="D48" s="143">
        <v>62.4</v>
      </c>
      <c r="E48" s="144"/>
      <c r="F48" s="82"/>
      <c r="G48" s="82"/>
      <c r="H48" s="82"/>
      <c r="I48" s="23">
        <f>D48</f>
        <v>62.4</v>
      </c>
      <c r="J48" s="83"/>
      <c r="K48" s="82"/>
      <c r="L48" s="82"/>
      <c r="M48" s="22">
        <f>D48</f>
        <v>62.4</v>
      </c>
      <c r="N48" s="240"/>
      <c r="O48" s="277"/>
      <c r="P48" s="270"/>
      <c r="Q48" s="283"/>
    </row>
    <row r="49" spans="1:17" s="2" customFormat="1" ht="110.45" customHeight="1" x14ac:dyDescent="0.25">
      <c r="A49" s="248">
        <v>15</v>
      </c>
      <c r="B49" s="85" t="s">
        <v>47</v>
      </c>
      <c r="C49" s="239" t="s">
        <v>212</v>
      </c>
      <c r="D49" s="143">
        <v>293.54000000000002</v>
      </c>
      <c r="E49" s="144">
        <v>1349.1</v>
      </c>
      <c r="F49" s="82"/>
      <c r="G49" s="82"/>
      <c r="H49" s="82"/>
      <c r="I49" s="23">
        <f>D49+E49</f>
        <v>1642.6399999999999</v>
      </c>
      <c r="J49" s="83">
        <v>1786.5</v>
      </c>
      <c r="K49" s="82">
        <v>1318.6</v>
      </c>
      <c r="L49" s="82"/>
      <c r="M49" s="22">
        <f>I49+J49+K49</f>
        <v>4747.74</v>
      </c>
      <c r="N49" s="240" t="s">
        <v>314</v>
      </c>
      <c r="O49" s="240" t="s">
        <v>30</v>
      </c>
      <c r="P49" s="242" t="s">
        <v>146</v>
      </c>
      <c r="Q49" s="283" t="s">
        <v>150</v>
      </c>
    </row>
    <row r="50" spans="1:17" s="9" customFormat="1" x14ac:dyDescent="0.2">
      <c r="A50" s="248"/>
      <c r="B50" s="84" t="s">
        <v>21</v>
      </c>
      <c r="C50" s="239"/>
      <c r="D50" s="143">
        <v>40.67</v>
      </c>
      <c r="E50" s="144"/>
      <c r="F50" s="82"/>
      <c r="G50" s="82"/>
      <c r="H50" s="82"/>
      <c r="I50" s="23">
        <f>D50</f>
        <v>40.67</v>
      </c>
      <c r="J50" s="83">
        <v>37</v>
      </c>
      <c r="K50" s="82">
        <v>60</v>
      </c>
      <c r="L50" s="82"/>
      <c r="M50" s="22">
        <f>I50+J50+K50</f>
        <v>137.67000000000002</v>
      </c>
      <c r="N50" s="240"/>
      <c r="O50" s="240"/>
      <c r="P50" s="242"/>
      <c r="Q50" s="283"/>
    </row>
    <row r="51" spans="1:17" s="2" customFormat="1" ht="32.25" customHeight="1" x14ac:dyDescent="0.25">
      <c r="A51" s="248">
        <v>16</v>
      </c>
      <c r="B51" s="207" t="s">
        <v>195</v>
      </c>
      <c r="C51" s="239" t="s">
        <v>212</v>
      </c>
      <c r="D51" s="143">
        <f>D52</f>
        <v>10</v>
      </c>
      <c r="E51" s="144"/>
      <c r="F51" s="82"/>
      <c r="G51" s="82"/>
      <c r="H51" s="82"/>
      <c r="I51" s="23">
        <f>D51+E51</f>
        <v>10</v>
      </c>
      <c r="J51" s="83">
        <v>182.5</v>
      </c>
      <c r="K51" s="82">
        <v>827.5</v>
      </c>
      <c r="L51" s="82"/>
      <c r="M51" s="22">
        <f>I51+J51+K51</f>
        <v>1020</v>
      </c>
      <c r="N51" s="240" t="s">
        <v>268</v>
      </c>
      <c r="O51" s="240" t="s">
        <v>30</v>
      </c>
      <c r="P51" s="242" t="s">
        <v>146</v>
      </c>
      <c r="Q51" s="283" t="s">
        <v>150</v>
      </c>
    </row>
    <row r="52" spans="1:17" s="9" customFormat="1" x14ac:dyDescent="0.2">
      <c r="A52" s="248"/>
      <c r="B52" s="84" t="s">
        <v>21</v>
      </c>
      <c r="C52" s="239"/>
      <c r="D52" s="143">
        <v>10</v>
      </c>
      <c r="E52" s="144"/>
      <c r="F52" s="82"/>
      <c r="G52" s="82"/>
      <c r="H52" s="82"/>
      <c r="I52" s="23">
        <f>D52</f>
        <v>10</v>
      </c>
      <c r="J52" s="83">
        <v>30</v>
      </c>
      <c r="K52" s="82">
        <v>20</v>
      </c>
      <c r="L52" s="82"/>
      <c r="M52" s="22">
        <f>I52+J52+K52</f>
        <v>60</v>
      </c>
      <c r="N52" s="240"/>
      <c r="O52" s="240"/>
      <c r="P52" s="242"/>
      <c r="Q52" s="283"/>
    </row>
    <row r="53" spans="1:17" s="2" customFormat="1" ht="61.5" customHeight="1" x14ac:dyDescent="0.25">
      <c r="A53" s="249">
        <v>17</v>
      </c>
      <c r="B53" s="207" t="s">
        <v>198</v>
      </c>
      <c r="C53" s="279" t="s">
        <v>212</v>
      </c>
      <c r="D53" s="143">
        <v>113.2</v>
      </c>
      <c r="E53" s="144">
        <v>114.7</v>
      </c>
      <c r="F53" s="144"/>
      <c r="G53" s="144"/>
      <c r="H53" s="144"/>
      <c r="I53" s="145">
        <f>SUM(D53:H53)</f>
        <v>227.9</v>
      </c>
      <c r="J53" s="146">
        <v>92</v>
      </c>
      <c r="K53" s="144">
        <v>250</v>
      </c>
      <c r="L53" s="144"/>
      <c r="M53" s="147">
        <f>I53+J53+K53+L53</f>
        <v>569.9</v>
      </c>
      <c r="N53" s="280" t="s">
        <v>315</v>
      </c>
      <c r="O53" s="332" t="s">
        <v>43</v>
      </c>
      <c r="P53" s="333" t="s">
        <v>177</v>
      </c>
      <c r="Q53" s="285" t="s">
        <v>148</v>
      </c>
    </row>
    <row r="54" spans="1:17" s="2" customFormat="1" x14ac:dyDescent="0.25">
      <c r="A54" s="249"/>
      <c r="B54" s="174" t="s">
        <v>21</v>
      </c>
      <c r="C54" s="279"/>
      <c r="D54" s="152">
        <v>34.799999999999997</v>
      </c>
      <c r="E54" s="153"/>
      <c r="F54" s="153"/>
      <c r="G54" s="153"/>
      <c r="H54" s="153"/>
      <c r="I54" s="116">
        <f>D54</f>
        <v>34.799999999999997</v>
      </c>
      <c r="J54" s="154">
        <v>25</v>
      </c>
      <c r="K54" s="153"/>
      <c r="L54" s="153"/>
      <c r="M54" s="170">
        <f>I54+J54+K54+L54</f>
        <v>59.8</v>
      </c>
      <c r="N54" s="280"/>
      <c r="O54" s="332"/>
      <c r="P54" s="333"/>
      <c r="Q54" s="285"/>
    </row>
    <row r="55" spans="1:17" s="9" customFormat="1" ht="114" customHeight="1" x14ac:dyDescent="0.2">
      <c r="A55" s="247">
        <v>18</v>
      </c>
      <c r="B55" s="155" t="s">
        <v>48</v>
      </c>
      <c r="C55" s="271" t="s">
        <v>212</v>
      </c>
      <c r="D55" s="143">
        <v>281.3</v>
      </c>
      <c r="E55" s="144">
        <v>1267.5</v>
      </c>
      <c r="F55" s="144"/>
      <c r="G55" s="144"/>
      <c r="H55" s="144"/>
      <c r="I55" s="145">
        <f>SUM(D55:H55)</f>
        <v>1548.8</v>
      </c>
      <c r="J55" s="146">
        <v>1691</v>
      </c>
      <c r="K55" s="144">
        <v>896</v>
      </c>
      <c r="L55" s="144"/>
      <c r="M55" s="147">
        <f>I55+L55+K55+J55</f>
        <v>4135.8</v>
      </c>
      <c r="N55" s="280" t="s">
        <v>316</v>
      </c>
      <c r="O55" s="332" t="s">
        <v>49</v>
      </c>
      <c r="P55" s="333" t="s">
        <v>146</v>
      </c>
      <c r="Q55" s="285" t="s">
        <v>148</v>
      </c>
    </row>
    <row r="56" spans="1:17" s="9" customFormat="1" x14ac:dyDescent="0.2">
      <c r="A56" s="247"/>
      <c r="B56" s="148" t="s">
        <v>21</v>
      </c>
      <c r="C56" s="271"/>
      <c r="D56" s="143">
        <v>18.32</v>
      </c>
      <c r="E56" s="144"/>
      <c r="F56" s="144"/>
      <c r="G56" s="144"/>
      <c r="H56" s="144"/>
      <c r="I56" s="145">
        <f t="shared" ref="I56" si="5">SUM(D56:H56)</f>
        <v>18.32</v>
      </c>
      <c r="J56" s="146">
        <v>15</v>
      </c>
      <c r="K56" s="144">
        <v>0</v>
      </c>
      <c r="L56" s="144"/>
      <c r="M56" s="147">
        <f>I56+J56+K56</f>
        <v>33.32</v>
      </c>
      <c r="N56" s="280"/>
      <c r="O56" s="332"/>
      <c r="P56" s="333"/>
      <c r="Q56" s="285"/>
    </row>
    <row r="57" spans="1:17" s="2" customFormat="1" ht="43.5" customHeight="1" x14ac:dyDescent="0.25">
      <c r="A57" s="247">
        <v>19</v>
      </c>
      <c r="B57" s="133" t="s">
        <v>50</v>
      </c>
      <c r="C57" s="267" t="s">
        <v>212</v>
      </c>
      <c r="D57" s="143">
        <v>350.7</v>
      </c>
      <c r="E57" s="144"/>
      <c r="F57" s="144"/>
      <c r="G57" s="144"/>
      <c r="H57" s="144"/>
      <c r="I57" s="145">
        <f t="shared" ref="I57" si="6">SUM(D57:H57)</f>
        <v>350.7</v>
      </c>
      <c r="J57" s="146">
        <v>333</v>
      </c>
      <c r="K57" s="144"/>
      <c r="L57" s="144"/>
      <c r="M57" s="147">
        <f>D57+L57+K57+J57</f>
        <v>683.7</v>
      </c>
      <c r="N57" s="280" t="s">
        <v>267</v>
      </c>
      <c r="O57" s="273" t="s">
        <v>23</v>
      </c>
      <c r="P57" s="270" t="s">
        <v>146</v>
      </c>
      <c r="Q57" s="268" t="s">
        <v>148</v>
      </c>
    </row>
    <row r="58" spans="1:17" s="2" customFormat="1" x14ac:dyDescent="0.25">
      <c r="A58" s="247"/>
      <c r="B58" s="76" t="s">
        <v>21</v>
      </c>
      <c r="C58" s="267"/>
      <c r="D58" s="143"/>
      <c r="E58" s="144"/>
      <c r="F58" s="144"/>
      <c r="G58" s="144"/>
      <c r="H58" s="144"/>
      <c r="I58" s="145"/>
      <c r="J58" s="146"/>
      <c r="K58" s="144"/>
      <c r="L58" s="144"/>
      <c r="M58" s="147"/>
      <c r="N58" s="280"/>
      <c r="O58" s="273"/>
      <c r="P58" s="270"/>
      <c r="Q58" s="268"/>
    </row>
    <row r="59" spans="1:17" s="2" customFormat="1" ht="84" customHeight="1" x14ac:dyDescent="0.25">
      <c r="A59" s="247">
        <v>20</v>
      </c>
      <c r="B59" s="133" t="s">
        <v>51</v>
      </c>
      <c r="C59" s="267" t="s">
        <v>212</v>
      </c>
      <c r="D59" s="152">
        <v>527.5</v>
      </c>
      <c r="E59" s="153">
        <v>62</v>
      </c>
      <c r="F59" s="153"/>
      <c r="G59" s="153"/>
      <c r="H59" s="153"/>
      <c r="I59" s="116">
        <f>SUM(D59:H59)</f>
        <v>589.5</v>
      </c>
      <c r="J59" s="154">
        <v>125</v>
      </c>
      <c r="K59" s="153">
        <v>160</v>
      </c>
      <c r="L59" s="153"/>
      <c r="M59" s="170">
        <f>I59+J59+K59+L59</f>
        <v>874.5</v>
      </c>
      <c r="N59" s="280" t="s">
        <v>266</v>
      </c>
      <c r="O59" s="281" t="s">
        <v>49</v>
      </c>
      <c r="P59" s="270" t="s">
        <v>146</v>
      </c>
      <c r="Q59" s="268" t="s">
        <v>148</v>
      </c>
    </row>
    <row r="60" spans="1:17" s="2" customFormat="1" x14ac:dyDescent="0.25">
      <c r="A60" s="247"/>
      <c r="B60" s="76" t="s">
        <v>21</v>
      </c>
      <c r="C60" s="267"/>
      <c r="D60" s="152"/>
      <c r="E60" s="153"/>
      <c r="F60" s="153"/>
      <c r="G60" s="153"/>
      <c r="H60" s="153"/>
      <c r="I60" s="116"/>
      <c r="J60" s="154"/>
      <c r="K60" s="153"/>
      <c r="L60" s="153"/>
      <c r="M60" s="170"/>
      <c r="N60" s="280"/>
      <c r="O60" s="281"/>
      <c r="P60" s="270"/>
      <c r="Q60" s="268"/>
    </row>
    <row r="61" spans="1:17" s="2" customFormat="1" ht="78.599999999999994" customHeight="1" x14ac:dyDescent="0.25">
      <c r="A61" s="245">
        <v>21</v>
      </c>
      <c r="B61" s="140" t="s">
        <v>53</v>
      </c>
      <c r="C61" s="239" t="s">
        <v>212</v>
      </c>
      <c r="D61" s="149">
        <f>108.07+69</f>
        <v>177.07</v>
      </c>
      <c r="E61" s="147"/>
      <c r="F61" s="22"/>
      <c r="G61" s="22"/>
      <c r="H61" s="22"/>
      <c r="I61" s="23">
        <f>SUM(D61:H61)</f>
        <v>177.07</v>
      </c>
      <c r="J61" s="83">
        <v>30</v>
      </c>
      <c r="K61" s="82">
        <v>112.3</v>
      </c>
      <c r="L61" s="82">
        <v>98.2</v>
      </c>
      <c r="M61" s="22">
        <f>L61+K61+J61+I61+23.9</f>
        <v>441.46999999999997</v>
      </c>
      <c r="N61" s="331" t="s">
        <v>265</v>
      </c>
      <c r="O61" s="276" t="s">
        <v>172</v>
      </c>
      <c r="P61" s="270" t="s">
        <v>146</v>
      </c>
      <c r="Q61" s="283" t="s">
        <v>148</v>
      </c>
    </row>
    <row r="62" spans="1:17" s="2" customFormat="1" x14ac:dyDescent="0.25">
      <c r="A62" s="246"/>
      <c r="B62" s="73" t="s">
        <v>21</v>
      </c>
      <c r="C62" s="239"/>
      <c r="D62" s="149">
        <v>8.07</v>
      </c>
      <c r="E62" s="147"/>
      <c r="F62" s="22"/>
      <c r="G62" s="22"/>
      <c r="H62" s="22"/>
      <c r="I62" s="23">
        <f>SUM(D62:H62)</f>
        <v>8.07</v>
      </c>
      <c r="J62" s="83">
        <v>3</v>
      </c>
      <c r="K62" s="82"/>
      <c r="L62" s="82"/>
      <c r="M62" s="22">
        <f>L62+K62+J62+I62+2.7</f>
        <v>13.77</v>
      </c>
      <c r="N62" s="331"/>
      <c r="O62" s="276"/>
      <c r="P62" s="270"/>
      <c r="Q62" s="283"/>
    </row>
    <row r="63" spans="1:17" s="2" customFormat="1" ht="41.25" customHeight="1" x14ac:dyDescent="0.25">
      <c r="A63" s="247">
        <v>22</v>
      </c>
      <c r="B63" s="80" t="s">
        <v>54</v>
      </c>
      <c r="C63" s="239" t="s">
        <v>212</v>
      </c>
      <c r="D63" s="81">
        <v>125</v>
      </c>
      <c r="E63" s="82"/>
      <c r="F63" s="82"/>
      <c r="G63" s="82"/>
      <c r="H63" s="82"/>
      <c r="I63" s="23">
        <f t="shared" ref="I63" si="7">SUM(D63:H63)</f>
        <v>125</v>
      </c>
      <c r="J63" s="83">
        <v>2052</v>
      </c>
      <c r="K63" s="82">
        <v>2512</v>
      </c>
      <c r="L63" s="22"/>
      <c r="M63" s="22">
        <f>I63+J63+K63+L63</f>
        <v>4689</v>
      </c>
      <c r="N63" s="280" t="s">
        <v>269</v>
      </c>
      <c r="O63" s="277" t="s">
        <v>52</v>
      </c>
      <c r="P63" s="270" t="s">
        <v>146</v>
      </c>
      <c r="Q63" s="283" t="s">
        <v>148</v>
      </c>
    </row>
    <row r="64" spans="1:17" s="2" customFormat="1" x14ac:dyDescent="0.25">
      <c r="A64" s="247"/>
      <c r="B64" s="84" t="s">
        <v>42</v>
      </c>
      <c r="C64" s="239"/>
      <c r="D64" s="81">
        <v>125</v>
      </c>
      <c r="E64" s="82"/>
      <c r="F64" s="82"/>
      <c r="G64" s="82"/>
      <c r="H64" s="82"/>
      <c r="I64" s="23">
        <f t="shared" ref="I64:I70" si="8">D64</f>
        <v>125</v>
      </c>
      <c r="J64" s="83">
        <v>41</v>
      </c>
      <c r="K64" s="82">
        <v>73</v>
      </c>
      <c r="L64" s="22"/>
      <c r="M64" s="22">
        <f>I64+J64+K64+L64</f>
        <v>239</v>
      </c>
      <c r="N64" s="280"/>
      <c r="O64" s="277"/>
      <c r="P64" s="270"/>
      <c r="Q64" s="283"/>
    </row>
    <row r="65" spans="1:18" s="2" customFormat="1" ht="62.25" customHeight="1" x14ac:dyDescent="0.25">
      <c r="A65" s="247">
        <v>23</v>
      </c>
      <c r="B65" s="71" t="s">
        <v>55</v>
      </c>
      <c r="C65" s="267" t="s">
        <v>215</v>
      </c>
      <c r="D65" s="121">
        <v>122.9</v>
      </c>
      <c r="E65" s="93"/>
      <c r="F65" s="119"/>
      <c r="G65" s="119"/>
      <c r="H65" s="119"/>
      <c r="I65" s="72">
        <f t="shared" si="8"/>
        <v>122.9</v>
      </c>
      <c r="J65" s="120">
        <v>174.3</v>
      </c>
      <c r="K65" s="119">
        <v>202.4</v>
      </c>
      <c r="L65" s="119">
        <v>729.3</v>
      </c>
      <c r="M65" s="119">
        <f>382.8+L65+K65+J65+I65</f>
        <v>1611.7</v>
      </c>
      <c r="N65" s="274" t="s">
        <v>317</v>
      </c>
      <c r="O65" s="282" t="s">
        <v>64</v>
      </c>
      <c r="P65" s="270" t="s">
        <v>56</v>
      </c>
      <c r="Q65" s="286" t="s">
        <v>148</v>
      </c>
    </row>
    <row r="66" spans="1:18" s="2" customFormat="1" x14ac:dyDescent="0.25">
      <c r="A66" s="247"/>
      <c r="B66" s="20" t="s">
        <v>21</v>
      </c>
      <c r="C66" s="267"/>
      <c r="D66" s="121">
        <v>15.4</v>
      </c>
      <c r="E66" s="119"/>
      <c r="F66" s="119"/>
      <c r="G66" s="119"/>
      <c r="H66" s="119"/>
      <c r="I66" s="72">
        <f t="shared" si="8"/>
        <v>15.4</v>
      </c>
      <c r="J66" s="120">
        <v>2.9</v>
      </c>
      <c r="K66" s="119">
        <v>33.799999999999997</v>
      </c>
      <c r="L66" s="119">
        <v>3.7</v>
      </c>
      <c r="M66" s="119">
        <f>23+L66+K66+J66+I66</f>
        <v>78.8</v>
      </c>
      <c r="N66" s="275"/>
      <c r="O66" s="282"/>
      <c r="P66" s="270"/>
      <c r="Q66" s="286"/>
    </row>
    <row r="67" spans="1:18" s="2" customFormat="1" ht="44.25" customHeight="1" x14ac:dyDescent="0.25">
      <c r="A67" s="248">
        <v>24</v>
      </c>
      <c r="B67" s="19" t="s">
        <v>57</v>
      </c>
      <c r="C67" s="239" t="s">
        <v>215</v>
      </c>
      <c r="D67" s="21">
        <f>66.9-3.6-2.3</f>
        <v>61.000000000000007</v>
      </c>
      <c r="E67" s="22"/>
      <c r="F67" s="22"/>
      <c r="G67" s="22"/>
      <c r="H67" s="22"/>
      <c r="I67" s="23">
        <f t="shared" si="8"/>
        <v>61.000000000000007</v>
      </c>
      <c r="J67" s="24">
        <v>88.4</v>
      </c>
      <c r="K67" s="22">
        <v>88.4</v>
      </c>
      <c r="L67" s="22">
        <v>793.1</v>
      </c>
      <c r="M67" s="22">
        <f>494+I67+J67+L67+K67</f>
        <v>1524.9</v>
      </c>
      <c r="N67" s="274" t="s">
        <v>318</v>
      </c>
      <c r="O67" s="276" t="s">
        <v>64</v>
      </c>
      <c r="P67" s="242" t="s">
        <v>56</v>
      </c>
      <c r="Q67" s="284" t="s">
        <v>148</v>
      </c>
    </row>
    <row r="68" spans="1:18" s="2" customFormat="1" x14ac:dyDescent="0.25">
      <c r="A68" s="248"/>
      <c r="B68" s="73" t="s">
        <v>21</v>
      </c>
      <c r="C68" s="239"/>
      <c r="D68" s="21">
        <v>2.6</v>
      </c>
      <c r="E68" s="22"/>
      <c r="F68" s="22"/>
      <c r="G68" s="22"/>
      <c r="H68" s="22"/>
      <c r="I68" s="23">
        <f t="shared" si="8"/>
        <v>2.6</v>
      </c>
      <c r="J68" s="24">
        <v>6.8</v>
      </c>
      <c r="K68" s="22">
        <v>1.6</v>
      </c>
      <c r="L68" s="22">
        <v>74</v>
      </c>
      <c r="M68" s="22">
        <f>30.7+L68+K68+J68+I68</f>
        <v>115.69999999999999</v>
      </c>
      <c r="N68" s="275"/>
      <c r="O68" s="276"/>
      <c r="P68" s="242"/>
      <c r="Q68" s="284"/>
    </row>
    <row r="69" spans="1:18" s="2" customFormat="1" ht="54.75" customHeight="1" x14ac:dyDescent="0.25">
      <c r="A69" s="248">
        <v>25</v>
      </c>
      <c r="B69" s="19" t="s">
        <v>173</v>
      </c>
      <c r="C69" s="239" t="s">
        <v>215</v>
      </c>
      <c r="D69" s="21">
        <v>121.6</v>
      </c>
      <c r="E69" s="22"/>
      <c r="F69" s="22"/>
      <c r="G69" s="22"/>
      <c r="H69" s="22"/>
      <c r="I69" s="23">
        <f t="shared" si="8"/>
        <v>121.6</v>
      </c>
      <c r="J69" s="24">
        <v>365.9</v>
      </c>
      <c r="K69" s="22">
        <v>454.8</v>
      </c>
      <c r="L69" s="22">
        <v>1321.3</v>
      </c>
      <c r="M69" s="22">
        <f>440.1+L69+K69+J69+I69</f>
        <v>2703.7000000000003</v>
      </c>
      <c r="N69" s="250" t="s">
        <v>319</v>
      </c>
      <c r="O69" s="276" t="s">
        <v>64</v>
      </c>
      <c r="P69" s="242" t="s">
        <v>56</v>
      </c>
      <c r="Q69" s="284" t="s">
        <v>148</v>
      </c>
    </row>
    <row r="70" spans="1:18" s="2" customFormat="1" x14ac:dyDescent="0.25">
      <c r="A70" s="248"/>
      <c r="B70" s="73" t="s">
        <v>21</v>
      </c>
      <c r="C70" s="239"/>
      <c r="D70" s="21">
        <v>4.2</v>
      </c>
      <c r="E70" s="22"/>
      <c r="F70" s="22"/>
      <c r="G70" s="22"/>
      <c r="H70" s="22"/>
      <c r="I70" s="23">
        <f t="shared" si="8"/>
        <v>4.2</v>
      </c>
      <c r="J70" s="24">
        <v>37.700000000000003</v>
      </c>
      <c r="K70" s="22">
        <v>25.5</v>
      </c>
      <c r="L70" s="22">
        <v>36.799999999999997</v>
      </c>
      <c r="M70" s="22">
        <f>L70+K70+J70+I70+29.4</f>
        <v>133.6</v>
      </c>
      <c r="N70" s="278"/>
      <c r="O70" s="276"/>
      <c r="P70" s="242"/>
      <c r="Q70" s="284"/>
    </row>
    <row r="71" spans="1:18" s="2" customFormat="1" ht="42.75" customHeight="1" x14ac:dyDescent="0.25">
      <c r="A71" s="248">
        <v>26</v>
      </c>
      <c r="B71" s="208" t="s">
        <v>185</v>
      </c>
      <c r="C71" s="271" t="s">
        <v>215</v>
      </c>
      <c r="D71" s="143"/>
      <c r="E71" s="144"/>
      <c r="F71" s="144"/>
      <c r="G71" s="144"/>
      <c r="H71" s="144"/>
      <c r="I71" s="145"/>
      <c r="J71" s="146">
        <v>74</v>
      </c>
      <c r="K71" s="144">
        <v>20</v>
      </c>
      <c r="L71" s="144"/>
      <c r="M71" s="147">
        <f>J71+K71</f>
        <v>94</v>
      </c>
      <c r="N71" s="240" t="s">
        <v>186</v>
      </c>
      <c r="O71" s="277" t="s">
        <v>43</v>
      </c>
      <c r="P71" s="242" t="s">
        <v>187</v>
      </c>
      <c r="Q71" s="283" t="s">
        <v>149</v>
      </c>
    </row>
    <row r="72" spans="1:18" s="2" customFormat="1" x14ac:dyDescent="0.25">
      <c r="A72" s="248"/>
      <c r="B72" s="73" t="s">
        <v>21</v>
      </c>
      <c r="C72" s="271"/>
      <c r="D72" s="143"/>
      <c r="E72" s="144"/>
      <c r="F72" s="144"/>
      <c r="G72" s="144"/>
      <c r="H72" s="144"/>
      <c r="I72" s="145"/>
      <c r="J72" s="146">
        <v>14</v>
      </c>
      <c r="K72" s="144"/>
      <c r="L72" s="144"/>
      <c r="M72" s="147">
        <f>J72</f>
        <v>14</v>
      </c>
      <c r="N72" s="240"/>
      <c r="O72" s="277"/>
      <c r="P72" s="242"/>
      <c r="Q72" s="283"/>
    </row>
    <row r="73" spans="1:18" s="2" customFormat="1" ht="65.45" customHeight="1" x14ac:dyDescent="0.25">
      <c r="A73" s="249">
        <v>27</v>
      </c>
      <c r="B73" s="209" t="s">
        <v>98</v>
      </c>
      <c r="C73" s="279" t="s">
        <v>214</v>
      </c>
      <c r="D73" s="149">
        <f>56+6.6+16+13.5+14</f>
        <v>106.1</v>
      </c>
      <c r="E73" s="210"/>
      <c r="F73" s="147"/>
      <c r="G73" s="147"/>
      <c r="H73" s="147"/>
      <c r="I73" s="145">
        <f t="shared" ref="I73" si="9">SUM(D73:H73)</f>
        <v>106.1</v>
      </c>
      <c r="J73" s="150">
        <v>50</v>
      </c>
      <c r="K73" s="147">
        <v>50</v>
      </c>
      <c r="L73" s="147">
        <v>50</v>
      </c>
      <c r="M73" s="147">
        <f>L73+K73+J73+I73</f>
        <v>256.10000000000002</v>
      </c>
      <c r="N73" s="274" t="s">
        <v>320</v>
      </c>
      <c r="O73" s="269" t="s">
        <v>172</v>
      </c>
      <c r="P73" s="270" t="s">
        <v>145</v>
      </c>
      <c r="Q73" s="293" t="s">
        <v>148</v>
      </c>
    </row>
    <row r="74" spans="1:18" s="6" customFormat="1" x14ac:dyDescent="0.25">
      <c r="A74" s="249"/>
      <c r="B74" s="118" t="s">
        <v>21</v>
      </c>
      <c r="C74" s="279"/>
      <c r="D74" s="175"/>
      <c r="E74" s="176"/>
      <c r="F74" s="176"/>
      <c r="G74" s="176"/>
      <c r="H74" s="176"/>
      <c r="I74" s="116"/>
      <c r="J74" s="177"/>
      <c r="K74" s="176"/>
      <c r="L74" s="176"/>
      <c r="M74" s="176">
        <f>I74</f>
        <v>0</v>
      </c>
      <c r="N74" s="275"/>
      <c r="O74" s="269"/>
      <c r="P74" s="270"/>
      <c r="Q74" s="294"/>
    </row>
    <row r="75" spans="1:18" s="2" customFormat="1" ht="151.5" customHeight="1" x14ac:dyDescent="0.25">
      <c r="A75" s="247">
        <v>28</v>
      </c>
      <c r="B75" s="142" t="s">
        <v>171</v>
      </c>
      <c r="C75" s="271" t="s">
        <v>213</v>
      </c>
      <c r="D75" s="152">
        <v>23.34</v>
      </c>
      <c r="E75" s="153">
        <v>453.69</v>
      </c>
      <c r="F75" s="153">
        <v>6.5</v>
      </c>
      <c r="G75" s="153"/>
      <c r="H75" s="153"/>
      <c r="I75" s="116">
        <f>D75+E75+F75</f>
        <v>483.53</v>
      </c>
      <c r="J75" s="146">
        <v>156</v>
      </c>
      <c r="K75" s="144">
        <v>815</v>
      </c>
      <c r="L75" s="144"/>
      <c r="M75" s="147">
        <f>L75+K75+J75+I75</f>
        <v>1454.53</v>
      </c>
      <c r="N75" s="272" t="s">
        <v>321</v>
      </c>
      <c r="O75" s="273" t="s">
        <v>52</v>
      </c>
      <c r="P75" s="270" t="s">
        <v>153</v>
      </c>
      <c r="Q75" s="287" t="s">
        <v>148</v>
      </c>
    </row>
    <row r="76" spans="1:18" s="2" customFormat="1" x14ac:dyDescent="0.25">
      <c r="A76" s="247"/>
      <c r="B76" s="148" t="s">
        <v>42</v>
      </c>
      <c r="C76" s="271"/>
      <c r="D76" s="152">
        <v>23.3</v>
      </c>
      <c r="E76" s="153"/>
      <c r="F76" s="153"/>
      <c r="G76" s="153"/>
      <c r="H76" s="153"/>
      <c r="I76" s="116">
        <f>D76</f>
        <v>23.3</v>
      </c>
      <c r="J76" s="146">
        <v>50</v>
      </c>
      <c r="K76" s="144"/>
      <c r="L76" s="144"/>
      <c r="M76" s="147">
        <f>L76+K76+J76+I76</f>
        <v>73.3</v>
      </c>
      <c r="N76" s="272"/>
      <c r="O76" s="273"/>
      <c r="P76" s="270"/>
      <c r="Q76" s="287"/>
    </row>
    <row r="77" spans="1:18" ht="29.25" customHeight="1" x14ac:dyDescent="0.25">
      <c r="A77" s="164"/>
      <c r="B77" s="61" t="s">
        <v>58</v>
      </c>
      <c r="C77" s="62" t="s">
        <v>59</v>
      </c>
      <c r="D77" s="63"/>
      <c r="E77" s="64"/>
      <c r="F77" s="64"/>
      <c r="G77" s="64"/>
      <c r="H77" s="64"/>
      <c r="I77" s="74"/>
      <c r="J77" s="66"/>
      <c r="K77" s="64"/>
      <c r="L77" s="64"/>
      <c r="M77" s="75"/>
      <c r="N77" s="67"/>
      <c r="O77" s="68"/>
      <c r="P77" s="69"/>
      <c r="Q77" s="70"/>
    </row>
    <row r="78" spans="1:18" s="2" customFormat="1" ht="127.5" customHeight="1" x14ac:dyDescent="0.25">
      <c r="A78" s="238">
        <v>29</v>
      </c>
      <c r="B78" s="79" t="s">
        <v>61</v>
      </c>
      <c r="C78" s="239" t="s">
        <v>216</v>
      </c>
      <c r="D78" s="21"/>
      <c r="E78" s="22">
        <v>719.6</v>
      </c>
      <c r="F78" s="22">
        <v>383.5</v>
      </c>
      <c r="G78" s="22">
        <v>9.8000000000000007</v>
      </c>
      <c r="H78" s="22"/>
      <c r="I78" s="23">
        <f>D78+E78+F78+G78</f>
        <v>1112.8999999999999</v>
      </c>
      <c r="J78" s="24">
        <v>1362.1</v>
      </c>
      <c r="K78" s="22"/>
      <c r="L78" s="22"/>
      <c r="M78" s="22">
        <f>I78+J78</f>
        <v>2475</v>
      </c>
      <c r="N78" s="251" t="s">
        <v>322</v>
      </c>
      <c r="O78" s="276" t="s">
        <v>23</v>
      </c>
      <c r="P78" s="242" t="s">
        <v>154</v>
      </c>
      <c r="Q78" s="237" t="s">
        <v>148</v>
      </c>
      <c r="R78" s="18"/>
    </row>
    <row r="79" spans="1:18" s="2" customFormat="1" x14ac:dyDescent="0.25">
      <c r="A79" s="238"/>
      <c r="B79" s="73" t="s">
        <v>21</v>
      </c>
      <c r="C79" s="239"/>
      <c r="D79" s="21"/>
      <c r="E79" s="22"/>
      <c r="F79" s="22"/>
      <c r="G79" s="22"/>
      <c r="H79" s="22"/>
      <c r="I79" s="23"/>
      <c r="J79" s="24"/>
      <c r="K79" s="22"/>
      <c r="L79" s="22"/>
      <c r="M79" s="22"/>
      <c r="N79" s="251"/>
      <c r="O79" s="276"/>
      <c r="P79" s="242"/>
      <c r="Q79" s="237"/>
    </row>
    <row r="80" spans="1:18" ht="30" customHeight="1" x14ac:dyDescent="0.25">
      <c r="A80" s="164"/>
      <c r="B80" s="61" t="s">
        <v>62</v>
      </c>
      <c r="C80" s="62" t="s">
        <v>63</v>
      </c>
      <c r="D80" s="63"/>
      <c r="E80" s="64"/>
      <c r="F80" s="64"/>
      <c r="G80" s="64"/>
      <c r="H80" s="64"/>
      <c r="I80" s="74"/>
      <c r="J80" s="66"/>
      <c r="K80" s="64"/>
      <c r="L80" s="64"/>
      <c r="M80" s="75"/>
      <c r="N80" s="67"/>
      <c r="O80" s="68"/>
      <c r="P80" s="69"/>
      <c r="Q80" s="70"/>
    </row>
    <row r="81" spans="1:17" s="2" customFormat="1" ht="141.75" customHeight="1" x14ac:dyDescent="0.25">
      <c r="A81" s="238">
        <v>30</v>
      </c>
      <c r="B81" s="19" t="s">
        <v>323</v>
      </c>
      <c r="C81" s="239" t="s">
        <v>217</v>
      </c>
      <c r="D81" s="81"/>
      <c r="E81" s="82"/>
      <c r="F81" s="82">
        <v>14988</v>
      </c>
      <c r="G81" s="22"/>
      <c r="H81" s="22">
        <v>13723</v>
      </c>
      <c r="I81" s="23">
        <f t="shared" ref="I81:I82" si="10">SUM(D81:H81)</f>
        <v>28711</v>
      </c>
      <c r="J81" s="24">
        <v>13486</v>
      </c>
      <c r="K81" s="22">
        <v>2640</v>
      </c>
      <c r="L81" s="22"/>
      <c r="M81" s="22">
        <f>I81+J81+K81+L81+2812</f>
        <v>47649</v>
      </c>
      <c r="N81" s="250" t="s">
        <v>324</v>
      </c>
      <c r="O81" s="241" t="s">
        <v>64</v>
      </c>
      <c r="P81" s="242" t="s">
        <v>65</v>
      </c>
      <c r="Q81" s="284" t="s">
        <v>148</v>
      </c>
    </row>
    <row r="82" spans="1:17" s="2" customFormat="1" x14ac:dyDescent="0.25">
      <c r="A82" s="238"/>
      <c r="B82" s="73" t="s">
        <v>21</v>
      </c>
      <c r="C82" s="239"/>
      <c r="D82" s="21"/>
      <c r="E82" s="22"/>
      <c r="F82" s="22"/>
      <c r="G82" s="22"/>
      <c r="H82" s="22">
        <v>254</v>
      </c>
      <c r="I82" s="23">
        <f t="shared" si="10"/>
        <v>254</v>
      </c>
      <c r="J82" s="24"/>
      <c r="K82" s="22"/>
      <c r="L82" s="22"/>
      <c r="M82" s="22">
        <f>I82+1261</f>
        <v>1515</v>
      </c>
      <c r="N82" s="250"/>
      <c r="O82" s="241"/>
      <c r="P82" s="242"/>
      <c r="Q82" s="284"/>
    </row>
    <row r="83" spans="1:17" s="2" customFormat="1" ht="103.5" customHeight="1" x14ac:dyDescent="0.25">
      <c r="A83" s="261">
        <v>31</v>
      </c>
      <c r="B83" s="79" t="s">
        <v>68</v>
      </c>
      <c r="C83" s="239" t="s">
        <v>217</v>
      </c>
      <c r="D83" s="21"/>
      <c r="E83" s="22"/>
      <c r="F83" s="22"/>
      <c r="G83" s="22"/>
      <c r="H83" s="22">
        <v>480</v>
      </c>
      <c r="I83" s="23">
        <f>H83</f>
        <v>480</v>
      </c>
      <c r="J83" s="24">
        <v>550</v>
      </c>
      <c r="K83" s="22">
        <v>580</v>
      </c>
      <c r="L83" s="22">
        <v>600</v>
      </c>
      <c r="M83" s="22">
        <f>I83+J83+K83+L83+1515</f>
        <v>3725</v>
      </c>
      <c r="N83" s="320" t="s">
        <v>325</v>
      </c>
      <c r="O83" s="320" t="s">
        <v>172</v>
      </c>
      <c r="P83" s="334" t="s">
        <v>65</v>
      </c>
      <c r="Q83" s="283" t="s">
        <v>148</v>
      </c>
    </row>
    <row r="84" spans="1:17" s="2" customFormat="1" ht="15" customHeight="1" x14ac:dyDescent="0.25">
      <c r="A84" s="262"/>
      <c r="B84" s="73" t="s">
        <v>21</v>
      </c>
      <c r="C84" s="239"/>
      <c r="D84" s="21"/>
      <c r="E84" s="22"/>
      <c r="F84" s="22"/>
      <c r="G84" s="22"/>
      <c r="H84" s="22"/>
      <c r="I84" s="23"/>
      <c r="J84" s="24"/>
      <c r="K84" s="22"/>
      <c r="L84" s="22"/>
      <c r="M84" s="22"/>
      <c r="N84" s="321"/>
      <c r="O84" s="321"/>
      <c r="P84" s="335"/>
      <c r="Q84" s="283"/>
    </row>
    <row r="85" spans="1:17" s="2" customFormat="1" ht="90" customHeight="1" x14ac:dyDescent="0.25">
      <c r="A85" s="194">
        <v>32</v>
      </c>
      <c r="B85" s="79" t="s">
        <v>69</v>
      </c>
      <c r="C85" s="183" t="s">
        <v>220</v>
      </c>
      <c r="D85" s="21"/>
      <c r="E85" s="22"/>
      <c r="F85" s="22">
        <v>112</v>
      </c>
      <c r="G85" s="22"/>
      <c r="H85" s="22">
        <v>20</v>
      </c>
      <c r="I85" s="23">
        <f t="shared" ref="I85" si="11">F85+H85</f>
        <v>132</v>
      </c>
      <c r="J85" s="24"/>
      <c r="K85" s="22"/>
      <c r="L85" s="22"/>
      <c r="M85" s="22">
        <f t="shared" ref="M85" si="12">I85+J85+116</f>
        <v>248</v>
      </c>
      <c r="N85" s="192" t="s">
        <v>70</v>
      </c>
      <c r="O85" s="211" t="s">
        <v>19</v>
      </c>
      <c r="P85" s="212" t="s">
        <v>65</v>
      </c>
      <c r="Q85" s="211" t="s">
        <v>148</v>
      </c>
    </row>
    <row r="86" spans="1:17" s="2" customFormat="1" ht="51" customHeight="1" x14ac:dyDescent="0.25">
      <c r="A86" s="238">
        <v>33</v>
      </c>
      <c r="B86" s="19" t="s">
        <v>67</v>
      </c>
      <c r="C86" s="239" t="s">
        <v>219</v>
      </c>
      <c r="D86" s="21">
        <v>551.79999999999995</v>
      </c>
      <c r="E86" s="22"/>
      <c r="F86" s="22"/>
      <c r="G86" s="22"/>
      <c r="H86" s="22"/>
      <c r="I86" s="23">
        <f t="shared" ref="I86" si="13">SUM(D86:H86)</f>
        <v>551.79999999999995</v>
      </c>
      <c r="J86" s="24"/>
      <c r="K86" s="22"/>
      <c r="L86" s="22"/>
      <c r="M86" s="22">
        <f>I86+J86+K86+L86</f>
        <v>551.79999999999995</v>
      </c>
      <c r="N86" s="251" t="s">
        <v>291</v>
      </c>
      <c r="O86" s="251" t="s">
        <v>28</v>
      </c>
      <c r="P86" s="242" t="s">
        <v>65</v>
      </c>
      <c r="Q86" s="283" t="s">
        <v>148</v>
      </c>
    </row>
    <row r="87" spans="1:17" s="2" customFormat="1" x14ac:dyDescent="0.25">
      <c r="A87" s="238"/>
      <c r="B87" s="73" t="s">
        <v>21</v>
      </c>
      <c r="C87" s="239"/>
      <c r="D87" s="21"/>
      <c r="E87" s="22"/>
      <c r="F87" s="22"/>
      <c r="G87" s="22"/>
      <c r="H87" s="22"/>
      <c r="I87" s="23"/>
      <c r="J87" s="24"/>
      <c r="K87" s="22"/>
      <c r="L87" s="22"/>
      <c r="M87" s="22">
        <f>I87</f>
        <v>0</v>
      </c>
      <c r="N87" s="251"/>
      <c r="O87" s="251"/>
      <c r="P87" s="242"/>
      <c r="Q87" s="283"/>
    </row>
    <row r="88" spans="1:17" s="2" customFormat="1" ht="55.5" customHeight="1" x14ac:dyDescent="0.25">
      <c r="A88" s="238">
        <v>34</v>
      </c>
      <c r="B88" s="19" t="s">
        <v>326</v>
      </c>
      <c r="C88" s="239" t="s">
        <v>219</v>
      </c>
      <c r="D88" s="21"/>
      <c r="E88" s="22"/>
      <c r="F88" s="22"/>
      <c r="G88" s="22"/>
      <c r="H88" s="22">
        <v>20</v>
      </c>
      <c r="I88" s="23">
        <f t="shared" ref="I88" si="14">SUM(D88:H88)</f>
        <v>20</v>
      </c>
      <c r="J88" s="24">
        <v>100</v>
      </c>
      <c r="K88" s="22">
        <v>95</v>
      </c>
      <c r="L88" s="22"/>
      <c r="M88" s="22">
        <f>I88+J88+K88+20</f>
        <v>235</v>
      </c>
      <c r="N88" s="251" t="s">
        <v>66</v>
      </c>
      <c r="O88" s="251" t="s">
        <v>182</v>
      </c>
      <c r="P88" s="242" t="s">
        <v>65</v>
      </c>
      <c r="Q88" s="283" t="s">
        <v>148</v>
      </c>
    </row>
    <row r="89" spans="1:17" s="2" customFormat="1" ht="12.75" customHeight="1" x14ac:dyDescent="0.25">
      <c r="A89" s="238"/>
      <c r="B89" s="73" t="s">
        <v>21</v>
      </c>
      <c r="C89" s="239"/>
      <c r="D89" s="21"/>
      <c r="E89" s="22"/>
      <c r="F89" s="22"/>
      <c r="G89" s="22"/>
      <c r="H89" s="22"/>
      <c r="I89" s="23"/>
      <c r="J89" s="24"/>
      <c r="K89" s="22"/>
      <c r="L89" s="22"/>
      <c r="M89" s="22"/>
      <c r="N89" s="251"/>
      <c r="O89" s="251"/>
      <c r="P89" s="242"/>
      <c r="Q89" s="283"/>
    </row>
    <row r="90" spans="1:17" s="2" customFormat="1" ht="203.25" customHeight="1" x14ac:dyDescent="0.25">
      <c r="A90" s="261">
        <v>35</v>
      </c>
      <c r="B90" s="79" t="s">
        <v>298</v>
      </c>
      <c r="C90" s="239" t="s">
        <v>219</v>
      </c>
      <c r="D90" s="21"/>
      <c r="E90" s="22"/>
      <c r="F90" s="22"/>
      <c r="G90" s="22"/>
      <c r="H90" s="22">
        <v>650</v>
      </c>
      <c r="I90" s="23">
        <f>H90</f>
        <v>650</v>
      </c>
      <c r="J90" s="24">
        <v>4550</v>
      </c>
      <c r="K90" s="22">
        <v>1300</v>
      </c>
      <c r="L90" s="22"/>
      <c r="M90" s="22">
        <f>I90+J90+K90+L90+24</f>
        <v>6524</v>
      </c>
      <c r="N90" s="324" t="s">
        <v>327</v>
      </c>
      <c r="O90" s="320" t="s">
        <v>52</v>
      </c>
      <c r="P90" s="334" t="s">
        <v>65</v>
      </c>
      <c r="Q90" s="283" t="s">
        <v>149</v>
      </c>
    </row>
    <row r="91" spans="1:17" s="2" customFormat="1" ht="15" customHeight="1" x14ac:dyDescent="0.25">
      <c r="A91" s="262"/>
      <c r="B91" s="73" t="s">
        <v>21</v>
      </c>
      <c r="C91" s="239"/>
      <c r="D91" s="21"/>
      <c r="E91" s="22"/>
      <c r="F91" s="22"/>
      <c r="G91" s="22"/>
      <c r="H91" s="22"/>
      <c r="I91" s="23"/>
      <c r="J91" s="24"/>
      <c r="K91" s="22"/>
      <c r="L91" s="22"/>
      <c r="M91" s="22"/>
      <c r="N91" s="321"/>
      <c r="O91" s="321"/>
      <c r="P91" s="335"/>
      <c r="Q91" s="283"/>
    </row>
    <row r="92" spans="1:17" s="2" customFormat="1" ht="63" customHeight="1" x14ac:dyDescent="0.25">
      <c r="A92" s="238">
        <v>36</v>
      </c>
      <c r="B92" s="19" t="s">
        <v>292</v>
      </c>
      <c r="C92" s="239" t="s">
        <v>218</v>
      </c>
      <c r="D92" s="21">
        <v>214.8</v>
      </c>
      <c r="E92" s="22"/>
      <c r="F92" s="22"/>
      <c r="G92" s="22"/>
      <c r="H92" s="22"/>
      <c r="I92" s="23">
        <f t="shared" ref="I92" si="15">SUM(D92:H92)</f>
        <v>214.8</v>
      </c>
      <c r="J92" s="24">
        <v>200</v>
      </c>
      <c r="K92" s="22">
        <v>200</v>
      </c>
      <c r="L92" s="22">
        <v>200</v>
      </c>
      <c r="M92" s="22">
        <f>I92+J92+K92+L92+1798</f>
        <v>2612.8000000000002</v>
      </c>
      <c r="N92" s="250" t="s">
        <v>328</v>
      </c>
      <c r="O92" s="251" t="s">
        <v>174</v>
      </c>
      <c r="P92" s="242" t="s">
        <v>65</v>
      </c>
      <c r="Q92" s="284" t="s">
        <v>148</v>
      </c>
    </row>
    <row r="93" spans="1:17" s="2" customFormat="1" ht="18" customHeight="1" x14ac:dyDescent="0.25">
      <c r="A93" s="238"/>
      <c r="B93" s="73" t="s">
        <v>21</v>
      </c>
      <c r="C93" s="239"/>
      <c r="D93" s="21"/>
      <c r="E93" s="22"/>
      <c r="F93" s="22"/>
      <c r="G93" s="22"/>
      <c r="H93" s="22"/>
      <c r="I93" s="23"/>
      <c r="J93" s="24"/>
      <c r="K93" s="22"/>
      <c r="L93" s="22"/>
      <c r="M93" s="22">
        <f>I93+18</f>
        <v>18</v>
      </c>
      <c r="N93" s="250"/>
      <c r="O93" s="251"/>
      <c r="P93" s="242"/>
      <c r="Q93" s="284"/>
    </row>
    <row r="94" spans="1:17" s="2" customFormat="1" ht="185.45" customHeight="1" x14ac:dyDescent="0.25">
      <c r="A94" s="238">
        <v>37</v>
      </c>
      <c r="B94" s="213" t="s">
        <v>170</v>
      </c>
      <c r="C94" s="239" t="s">
        <v>221</v>
      </c>
      <c r="D94" s="21">
        <f>5.4+93.06</f>
        <v>98.460000000000008</v>
      </c>
      <c r="E94" s="22">
        <v>502.7</v>
      </c>
      <c r="F94" s="22">
        <v>1454.25</v>
      </c>
      <c r="G94" s="22">
        <v>95.31</v>
      </c>
      <c r="H94" s="22"/>
      <c r="I94" s="23">
        <f>D94+E94+F94+G94</f>
        <v>2150.7199999999998</v>
      </c>
      <c r="J94" s="24">
        <v>1781.92</v>
      </c>
      <c r="K94" s="22">
        <v>1137.8</v>
      </c>
      <c r="L94" s="22"/>
      <c r="M94" s="22">
        <f>L94+K94+J94+I94</f>
        <v>5070.4400000000005</v>
      </c>
      <c r="N94" s="251" t="s">
        <v>384</v>
      </c>
      <c r="O94" s="251" t="s">
        <v>30</v>
      </c>
      <c r="P94" s="242" t="s">
        <v>155</v>
      </c>
      <c r="Q94" s="284" t="s">
        <v>148</v>
      </c>
    </row>
    <row r="95" spans="1:17" s="2" customFormat="1" ht="15" customHeight="1" x14ac:dyDescent="0.25">
      <c r="A95" s="238"/>
      <c r="B95" s="214" t="s">
        <v>21</v>
      </c>
      <c r="C95" s="239"/>
      <c r="D95" s="21">
        <v>5.44</v>
      </c>
      <c r="E95" s="22"/>
      <c r="F95" s="22"/>
      <c r="G95" s="22"/>
      <c r="H95" s="22"/>
      <c r="I95" s="23"/>
      <c r="J95" s="24"/>
      <c r="K95" s="22"/>
      <c r="L95" s="22"/>
      <c r="M95" s="22"/>
      <c r="N95" s="251"/>
      <c r="O95" s="251"/>
      <c r="P95" s="242"/>
      <c r="Q95" s="284"/>
    </row>
    <row r="96" spans="1:17" s="2" customFormat="1" ht="68.25" customHeight="1" x14ac:dyDescent="0.25">
      <c r="A96" s="238">
        <v>38</v>
      </c>
      <c r="B96" s="215" t="s">
        <v>330</v>
      </c>
      <c r="C96" s="239" t="s">
        <v>221</v>
      </c>
      <c r="D96" s="21">
        <v>20</v>
      </c>
      <c r="E96" s="22"/>
      <c r="F96" s="22"/>
      <c r="G96" s="22"/>
      <c r="H96" s="22"/>
      <c r="I96" s="23">
        <f t="shared" ref="I96" si="16">SUM(D96:H96)</f>
        <v>20</v>
      </c>
      <c r="J96" s="24">
        <v>20</v>
      </c>
      <c r="K96" s="22"/>
      <c r="L96" s="22"/>
      <c r="M96" s="22">
        <f>I96+J96</f>
        <v>40</v>
      </c>
      <c r="N96" s="250" t="s">
        <v>329</v>
      </c>
      <c r="O96" s="251" t="s">
        <v>24</v>
      </c>
      <c r="P96" s="242" t="s">
        <v>60</v>
      </c>
      <c r="Q96" s="237" t="s">
        <v>149</v>
      </c>
    </row>
    <row r="97" spans="1:44" s="2" customFormat="1" x14ac:dyDescent="0.25">
      <c r="A97" s="238"/>
      <c r="B97" s="216" t="s">
        <v>21</v>
      </c>
      <c r="C97" s="239"/>
      <c r="D97" s="21">
        <v>20</v>
      </c>
      <c r="E97" s="22"/>
      <c r="F97" s="22"/>
      <c r="G97" s="22"/>
      <c r="H97" s="22"/>
      <c r="I97" s="23">
        <f>D97</f>
        <v>20</v>
      </c>
      <c r="J97" s="24"/>
      <c r="K97" s="22"/>
      <c r="L97" s="22"/>
      <c r="M97" s="22">
        <f>I97</f>
        <v>20</v>
      </c>
      <c r="N97" s="250"/>
      <c r="O97" s="251"/>
      <c r="P97" s="242"/>
      <c r="Q97" s="237"/>
    </row>
    <row r="98" spans="1:44" s="6" customFormat="1" ht="30" customHeight="1" x14ac:dyDescent="0.25">
      <c r="A98" s="164"/>
      <c r="B98" s="61" t="s">
        <v>71</v>
      </c>
      <c r="C98" s="62" t="s">
        <v>72</v>
      </c>
      <c r="D98" s="63"/>
      <c r="E98" s="64"/>
      <c r="F98" s="64"/>
      <c r="G98" s="64"/>
      <c r="H98" s="64"/>
      <c r="I98" s="74"/>
      <c r="J98" s="66"/>
      <c r="K98" s="64"/>
      <c r="L98" s="64"/>
      <c r="M98" s="75"/>
      <c r="N98" s="67"/>
      <c r="O98" s="68"/>
      <c r="P98" s="69"/>
      <c r="Q98" s="70"/>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1:44" s="2" customFormat="1" ht="253.9" customHeight="1" x14ac:dyDescent="0.25">
      <c r="A99" s="248">
        <v>39</v>
      </c>
      <c r="B99" s="79" t="s">
        <v>77</v>
      </c>
      <c r="C99" s="252" t="s">
        <v>222</v>
      </c>
      <c r="D99" s="21"/>
      <c r="E99" s="22"/>
      <c r="F99" s="22">
        <f>68+233.4+114.5+236.1+78+975</f>
        <v>1705</v>
      </c>
      <c r="G99" s="22"/>
      <c r="H99" s="22">
        <f>73.8+253+145.8+536.5+695.3+616</f>
        <v>2320.4</v>
      </c>
      <c r="I99" s="23">
        <f>F99+H99</f>
        <v>4025.4</v>
      </c>
      <c r="J99" s="217">
        <f>45+239.2+312.4+680</f>
        <v>1276.5999999999999</v>
      </c>
      <c r="K99" s="196"/>
      <c r="L99" s="22"/>
      <c r="M99" s="22">
        <f>I99+J99+11.2+3.77+3.77+3.77+3.77+3.77+310.8+3.77+3.77+3.77+3.77+3.77+3.77</f>
        <v>5665.4700000000048</v>
      </c>
      <c r="N99" s="320" t="s">
        <v>331</v>
      </c>
      <c r="O99" s="241" t="s">
        <v>78</v>
      </c>
      <c r="P99" s="242" t="s">
        <v>79</v>
      </c>
      <c r="Q99" s="237" t="s">
        <v>148</v>
      </c>
    </row>
    <row r="100" spans="1:44" s="2" customFormat="1" x14ac:dyDescent="0.25">
      <c r="A100" s="248"/>
      <c r="B100" s="73" t="s">
        <v>21</v>
      </c>
      <c r="C100" s="252"/>
      <c r="D100" s="21"/>
      <c r="E100" s="22"/>
      <c r="F100" s="22"/>
      <c r="G100" s="22"/>
      <c r="H100" s="22"/>
      <c r="I100" s="23"/>
      <c r="J100" s="24"/>
      <c r="K100" s="22"/>
      <c r="L100" s="22"/>
      <c r="M100" s="22"/>
      <c r="N100" s="321"/>
      <c r="O100" s="241"/>
      <c r="P100" s="242"/>
      <c r="Q100" s="237"/>
    </row>
    <row r="101" spans="1:44" s="2" customFormat="1" ht="74.25" customHeight="1" x14ac:dyDescent="0.25">
      <c r="A101" s="248">
        <v>40</v>
      </c>
      <c r="B101" s="79" t="s">
        <v>80</v>
      </c>
      <c r="C101" s="252" t="s">
        <v>222</v>
      </c>
      <c r="D101" s="21"/>
      <c r="E101" s="22"/>
      <c r="F101" s="22">
        <v>750</v>
      </c>
      <c r="G101" s="22"/>
      <c r="H101" s="22">
        <v>185.2</v>
      </c>
      <c r="I101" s="23">
        <f>F101+H101</f>
        <v>935.2</v>
      </c>
      <c r="J101" s="22">
        <v>2250</v>
      </c>
      <c r="K101" s="22"/>
      <c r="L101" s="22"/>
      <c r="M101" s="22">
        <f>I101+J101+K101+L101</f>
        <v>3185.2</v>
      </c>
      <c r="N101" s="251" t="s">
        <v>332</v>
      </c>
      <c r="O101" s="241" t="s">
        <v>188</v>
      </c>
      <c r="P101" s="242" t="s">
        <v>79</v>
      </c>
      <c r="Q101" s="237" t="s">
        <v>148</v>
      </c>
    </row>
    <row r="102" spans="1:44" s="2" customFormat="1" x14ac:dyDescent="0.25">
      <c r="A102" s="248"/>
      <c r="B102" s="73" t="s">
        <v>21</v>
      </c>
      <c r="C102" s="252"/>
      <c r="D102" s="21"/>
      <c r="E102" s="22"/>
      <c r="F102" s="22"/>
      <c r="G102" s="22"/>
      <c r="H102" s="22"/>
      <c r="I102" s="23"/>
      <c r="J102" s="24"/>
      <c r="K102" s="22"/>
      <c r="L102" s="22"/>
      <c r="M102" s="22"/>
      <c r="N102" s="251"/>
      <c r="O102" s="241"/>
      <c r="P102" s="242"/>
      <c r="Q102" s="237"/>
    </row>
    <row r="103" spans="1:44" s="2" customFormat="1" ht="39" customHeight="1" x14ac:dyDescent="0.25">
      <c r="A103" s="248">
        <v>41</v>
      </c>
      <c r="B103" s="79" t="s">
        <v>81</v>
      </c>
      <c r="C103" s="252" t="s">
        <v>222</v>
      </c>
      <c r="D103" s="21"/>
      <c r="E103" s="22"/>
      <c r="F103" s="22">
        <v>35</v>
      </c>
      <c r="G103" s="22"/>
      <c r="H103" s="22">
        <f>35+529.8+1141</f>
        <v>1705.8</v>
      </c>
      <c r="I103" s="23">
        <f>F103+H103</f>
        <v>1740.8</v>
      </c>
      <c r="J103" s="24"/>
      <c r="K103" s="22"/>
      <c r="L103" s="22"/>
      <c r="M103" s="22">
        <f>I103+J103+K103+41.4+70.2+59</f>
        <v>1911.4</v>
      </c>
      <c r="N103" s="251" t="s">
        <v>333</v>
      </c>
      <c r="O103" s="241" t="s">
        <v>78</v>
      </c>
      <c r="P103" s="242" t="s">
        <v>79</v>
      </c>
      <c r="Q103" s="237" t="s">
        <v>148</v>
      </c>
    </row>
    <row r="104" spans="1:44" s="2" customFormat="1" x14ac:dyDescent="0.25">
      <c r="A104" s="248"/>
      <c r="B104" s="73" t="s">
        <v>21</v>
      </c>
      <c r="C104" s="252"/>
      <c r="D104" s="21"/>
      <c r="E104" s="22"/>
      <c r="F104" s="22"/>
      <c r="G104" s="22"/>
      <c r="H104" s="22"/>
      <c r="I104" s="23"/>
      <c r="J104" s="24"/>
      <c r="K104" s="22"/>
      <c r="L104" s="22"/>
      <c r="M104" s="22"/>
      <c r="N104" s="251"/>
      <c r="O104" s="241"/>
      <c r="P104" s="242"/>
      <c r="Q104" s="237"/>
    </row>
    <row r="105" spans="1:44" s="2" customFormat="1" ht="43.5" customHeight="1" x14ac:dyDescent="0.25">
      <c r="A105" s="248">
        <v>42</v>
      </c>
      <c r="B105" s="79" t="s">
        <v>334</v>
      </c>
      <c r="C105" s="252" t="s">
        <v>222</v>
      </c>
      <c r="D105" s="21"/>
      <c r="E105" s="22"/>
      <c r="F105" s="22"/>
      <c r="G105" s="22"/>
      <c r="H105" s="22">
        <v>55</v>
      </c>
      <c r="I105" s="23">
        <f>H105</f>
        <v>55</v>
      </c>
      <c r="J105" s="24"/>
      <c r="K105" s="22"/>
      <c r="L105" s="22"/>
      <c r="M105" s="22">
        <f>I105+45</f>
        <v>100</v>
      </c>
      <c r="N105" s="251" t="s">
        <v>335</v>
      </c>
      <c r="O105" s="241">
        <v>2019</v>
      </c>
      <c r="P105" s="242" t="s">
        <v>79</v>
      </c>
      <c r="Q105" s="237" t="s">
        <v>148</v>
      </c>
    </row>
    <row r="106" spans="1:44" s="2" customFormat="1" x14ac:dyDescent="0.25">
      <c r="A106" s="248"/>
      <c r="B106" s="73" t="s">
        <v>21</v>
      </c>
      <c r="C106" s="252"/>
      <c r="D106" s="21"/>
      <c r="E106" s="22"/>
      <c r="F106" s="22"/>
      <c r="G106" s="22"/>
      <c r="H106" s="22"/>
      <c r="I106" s="23"/>
      <c r="J106" s="24"/>
      <c r="K106" s="22"/>
      <c r="L106" s="22"/>
      <c r="M106" s="22"/>
      <c r="N106" s="251"/>
      <c r="O106" s="241"/>
      <c r="P106" s="242"/>
      <c r="Q106" s="237"/>
    </row>
    <row r="107" spans="1:44" s="2" customFormat="1" ht="38.25" customHeight="1" x14ac:dyDescent="0.25">
      <c r="A107" s="248">
        <v>43</v>
      </c>
      <c r="B107" s="79" t="s">
        <v>82</v>
      </c>
      <c r="C107" s="252" t="s">
        <v>224</v>
      </c>
      <c r="D107" s="21"/>
      <c r="E107" s="22"/>
      <c r="F107" s="22"/>
      <c r="G107" s="22"/>
      <c r="H107" s="22">
        <v>28</v>
      </c>
      <c r="I107" s="23">
        <f>H107</f>
        <v>28</v>
      </c>
      <c r="J107" s="24"/>
      <c r="K107" s="22"/>
      <c r="L107" s="22"/>
      <c r="M107" s="22">
        <f>28+22</f>
        <v>50</v>
      </c>
      <c r="N107" s="251" t="s">
        <v>336</v>
      </c>
      <c r="O107" s="241">
        <v>2019</v>
      </c>
      <c r="P107" s="242" t="s">
        <v>79</v>
      </c>
      <c r="Q107" s="237" t="s">
        <v>148</v>
      </c>
    </row>
    <row r="108" spans="1:44" s="2" customFormat="1" x14ac:dyDescent="0.25">
      <c r="A108" s="248"/>
      <c r="B108" s="73" t="s">
        <v>21</v>
      </c>
      <c r="C108" s="252"/>
      <c r="D108" s="21"/>
      <c r="E108" s="22"/>
      <c r="F108" s="22"/>
      <c r="G108" s="22"/>
      <c r="H108" s="22"/>
      <c r="I108" s="23"/>
      <c r="J108" s="24"/>
      <c r="K108" s="22"/>
      <c r="L108" s="22"/>
      <c r="M108" s="22"/>
      <c r="N108" s="251"/>
      <c r="O108" s="241"/>
      <c r="P108" s="242"/>
      <c r="Q108" s="237"/>
    </row>
    <row r="109" spans="1:44" s="2" customFormat="1" ht="55.5" customHeight="1" x14ac:dyDescent="0.25">
      <c r="A109" s="248">
        <v>44</v>
      </c>
      <c r="B109" s="79" t="s">
        <v>255</v>
      </c>
      <c r="C109" s="252" t="s">
        <v>225</v>
      </c>
      <c r="D109" s="21"/>
      <c r="E109" s="22"/>
      <c r="F109" s="22"/>
      <c r="G109" s="22"/>
      <c r="H109" s="22">
        <v>40</v>
      </c>
      <c r="I109" s="23">
        <f>H109</f>
        <v>40</v>
      </c>
      <c r="J109" s="24"/>
      <c r="K109" s="22"/>
      <c r="L109" s="22"/>
      <c r="M109" s="22">
        <f>I109+80</f>
        <v>120</v>
      </c>
      <c r="N109" s="251" t="s">
        <v>337</v>
      </c>
      <c r="O109" s="241">
        <v>2019</v>
      </c>
      <c r="P109" s="242" t="s">
        <v>79</v>
      </c>
      <c r="Q109" s="237" t="s">
        <v>148</v>
      </c>
    </row>
    <row r="110" spans="1:44" s="2" customFormat="1" x14ac:dyDescent="0.25">
      <c r="A110" s="248"/>
      <c r="B110" s="73" t="s">
        <v>21</v>
      </c>
      <c r="C110" s="252"/>
      <c r="D110" s="21"/>
      <c r="E110" s="22"/>
      <c r="F110" s="22"/>
      <c r="G110" s="22"/>
      <c r="H110" s="22"/>
      <c r="I110" s="23"/>
      <c r="J110" s="24"/>
      <c r="K110" s="22"/>
      <c r="L110" s="22"/>
      <c r="M110" s="22"/>
      <c r="N110" s="251"/>
      <c r="O110" s="241"/>
      <c r="P110" s="242"/>
      <c r="Q110" s="237"/>
    </row>
    <row r="111" spans="1:44" s="2" customFormat="1" ht="48.75" customHeight="1" x14ac:dyDescent="0.25">
      <c r="A111" s="248">
        <v>45</v>
      </c>
      <c r="B111" s="19" t="s">
        <v>256</v>
      </c>
      <c r="C111" s="252" t="s">
        <v>223</v>
      </c>
      <c r="D111" s="21"/>
      <c r="E111" s="22"/>
      <c r="F111" s="22"/>
      <c r="G111" s="22"/>
      <c r="H111" s="22">
        <v>30</v>
      </c>
      <c r="I111" s="23">
        <f>H111</f>
        <v>30</v>
      </c>
      <c r="J111" s="24">
        <v>15</v>
      </c>
      <c r="K111" s="22"/>
      <c r="L111" s="22"/>
      <c r="M111" s="22">
        <f>I111+J111+35</f>
        <v>80</v>
      </c>
      <c r="N111" s="251" t="s">
        <v>338</v>
      </c>
      <c r="O111" s="241" t="s">
        <v>38</v>
      </c>
      <c r="P111" s="242" t="s">
        <v>79</v>
      </c>
      <c r="Q111" s="237" t="s">
        <v>148</v>
      </c>
    </row>
    <row r="112" spans="1:44" s="2" customFormat="1" x14ac:dyDescent="0.25">
      <c r="A112" s="248"/>
      <c r="B112" s="73" t="s">
        <v>21</v>
      </c>
      <c r="C112" s="252"/>
      <c r="D112" s="21"/>
      <c r="E112" s="22"/>
      <c r="F112" s="22"/>
      <c r="G112" s="22"/>
      <c r="H112" s="22"/>
      <c r="I112" s="23"/>
      <c r="J112" s="24"/>
      <c r="K112" s="22"/>
      <c r="L112" s="22"/>
      <c r="M112" s="22"/>
      <c r="N112" s="251"/>
      <c r="O112" s="241"/>
      <c r="P112" s="242"/>
      <c r="Q112" s="237"/>
    </row>
    <row r="113" spans="1:44" s="8" customFormat="1" ht="24.75" customHeight="1" x14ac:dyDescent="0.2">
      <c r="A113" s="164"/>
      <c r="B113" s="61" t="s">
        <v>83</v>
      </c>
      <c r="C113" s="62" t="s">
        <v>84</v>
      </c>
      <c r="D113" s="63"/>
      <c r="E113" s="64"/>
      <c r="F113" s="64"/>
      <c r="G113" s="64"/>
      <c r="H113" s="64"/>
      <c r="I113" s="74"/>
      <c r="J113" s="66"/>
      <c r="K113" s="64"/>
      <c r="L113" s="64"/>
      <c r="M113" s="75"/>
      <c r="N113" s="67"/>
      <c r="O113" s="68"/>
      <c r="P113" s="69"/>
      <c r="Q113" s="70"/>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row>
    <row r="114" spans="1:44" s="9" customFormat="1" ht="105" customHeight="1" x14ac:dyDescent="0.2">
      <c r="A114" s="247">
        <v>46</v>
      </c>
      <c r="B114" s="71" t="s">
        <v>257</v>
      </c>
      <c r="C114" s="267" t="s">
        <v>226</v>
      </c>
      <c r="D114" s="141">
        <v>400</v>
      </c>
      <c r="E114" s="138"/>
      <c r="F114" s="138"/>
      <c r="G114" s="138"/>
      <c r="H114" s="138"/>
      <c r="I114" s="72">
        <f t="shared" ref="I114" si="17">SUM(D114:H114)</f>
        <v>400</v>
      </c>
      <c r="J114" s="139">
        <v>400</v>
      </c>
      <c r="K114" s="138"/>
      <c r="L114" s="138"/>
      <c r="M114" s="138">
        <f>I114+J114+K114+L114</f>
        <v>800</v>
      </c>
      <c r="N114" s="250" t="s">
        <v>339</v>
      </c>
      <c r="O114" s="282" t="s">
        <v>24</v>
      </c>
      <c r="P114" s="281" t="s">
        <v>25</v>
      </c>
      <c r="Q114" s="268" t="s">
        <v>148</v>
      </c>
    </row>
    <row r="115" spans="1:44" s="9" customFormat="1" x14ac:dyDescent="0.2">
      <c r="A115" s="247"/>
      <c r="B115" s="20" t="s">
        <v>21</v>
      </c>
      <c r="C115" s="267"/>
      <c r="D115" s="141"/>
      <c r="E115" s="138"/>
      <c r="F115" s="138"/>
      <c r="G115" s="138"/>
      <c r="H115" s="138"/>
      <c r="I115" s="72"/>
      <c r="J115" s="139"/>
      <c r="K115" s="138"/>
      <c r="L115" s="138"/>
      <c r="M115" s="138"/>
      <c r="N115" s="250"/>
      <c r="O115" s="282"/>
      <c r="P115" s="281"/>
      <c r="Q115" s="268"/>
    </row>
    <row r="116" spans="1:44" s="86" customFormat="1" ht="72.599999999999994" customHeight="1" x14ac:dyDescent="0.25">
      <c r="A116" s="257">
        <v>47</v>
      </c>
      <c r="B116" s="71" t="s">
        <v>258</v>
      </c>
      <c r="C116" s="267" t="s">
        <v>228</v>
      </c>
      <c r="D116" s="152">
        <v>10</v>
      </c>
      <c r="E116" s="153"/>
      <c r="F116" s="153"/>
      <c r="G116" s="153"/>
      <c r="H116" s="153"/>
      <c r="I116" s="116">
        <f>D116</f>
        <v>10</v>
      </c>
      <c r="J116" s="154">
        <v>40</v>
      </c>
      <c r="K116" s="153">
        <v>40</v>
      </c>
      <c r="L116" s="153">
        <v>40</v>
      </c>
      <c r="M116" s="176">
        <f>J116+K116+L116+I116</f>
        <v>130</v>
      </c>
      <c r="N116" s="280" t="s">
        <v>340</v>
      </c>
      <c r="O116" s="269" t="s">
        <v>43</v>
      </c>
      <c r="P116" s="329" t="s">
        <v>306</v>
      </c>
      <c r="Q116" s="268" t="s">
        <v>148</v>
      </c>
    </row>
    <row r="117" spans="1:44" s="86" customFormat="1" ht="24" customHeight="1" x14ac:dyDescent="0.25">
      <c r="A117" s="257"/>
      <c r="B117" s="20" t="s">
        <v>21</v>
      </c>
      <c r="C117" s="267"/>
      <c r="D117" s="156"/>
      <c r="E117" s="157"/>
      <c r="F117" s="157"/>
      <c r="G117" s="157"/>
      <c r="H117" s="157"/>
      <c r="I117" s="151"/>
      <c r="J117" s="154">
        <v>10</v>
      </c>
      <c r="K117" s="153"/>
      <c r="L117" s="153"/>
      <c r="M117" s="176">
        <v>10</v>
      </c>
      <c r="N117" s="280"/>
      <c r="O117" s="269"/>
      <c r="P117" s="330"/>
      <c r="Q117" s="268"/>
    </row>
    <row r="118" spans="1:44" s="7" customFormat="1" ht="127.5" customHeight="1" x14ac:dyDescent="0.2">
      <c r="A118" s="248">
        <v>48</v>
      </c>
      <c r="B118" s="19" t="s">
        <v>140</v>
      </c>
      <c r="C118" s="239" t="s">
        <v>227</v>
      </c>
      <c r="D118" s="21">
        <v>282.5</v>
      </c>
      <c r="E118" s="22"/>
      <c r="F118" s="22"/>
      <c r="G118" s="22"/>
      <c r="H118" s="22"/>
      <c r="I118" s="23">
        <f>SUM(D118:H118)</f>
        <v>282.5</v>
      </c>
      <c r="J118" s="24">
        <v>5002.8999999999996</v>
      </c>
      <c r="K118" s="22">
        <v>4426.8999999999996</v>
      </c>
      <c r="L118" s="22"/>
      <c r="M118" s="22">
        <f>I118+J118+K118+L118</f>
        <v>9712.2999999999993</v>
      </c>
      <c r="N118" s="251" t="s">
        <v>341</v>
      </c>
      <c r="O118" s="242" t="s">
        <v>30</v>
      </c>
      <c r="P118" s="326" t="s">
        <v>342</v>
      </c>
      <c r="Q118" s="237" t="s">
        <v>148</v>
      </c>
    </row>
    <row r="119" spans="1:44" s="7" customFormat="1" x14ac:dyDescent="0.2">
      <c r="A119" s="248"/>
      <c r="B119" s="73" t="s">
        <v>21</v>
      </c>
      <c r="C119" s="239"/>
      <c r="D119" s="21">
        <v>282.52999999999997</v>
      </c>
      <c r="E119" s="22"/>
      <c r="F119" s="22"/>
      <c r="G119" s="22"/>
      <c r="H119" s="22"/>
      <c r="I119" s="23">
        <f>D119</f>
        <v>282.52999999999997</v>
      </c>
      <c r="J119" s="24"/>
      <c r="K119" s="22"/>
      <c r="L119" s="22"/>
      <c r="M119" s="22">
        <f>I119</f>
        <v>282.52999999999997</v>
      </c>
      <c r="N119" s="251"/>
      <c r="O119" s="242"/>
      <c r="P119" s="326"/>
      <c r="Q119" s="237" t="s">
        <v>148</v>
      </c>
    </row>
    <row r="120" spans="1:44" s="9" customFormat="1" ht="54" customHeight="1" x14ac:dyDescent="0.2">
      <c r="A120" s="248">
        <v>49</v>
      </c>
      <c r="B120" s="209" t="s">
        <v>169</v>
      </c>
      <c r="C120" s="271" t="s">
        <v>229</v>
      </c>
      <c r="D120" s="149"/>
      <c r="E120" s="147"/>
      <c r="F120" s="147"/>
      <c r="G120" s="147"/>
      <c r="H120" s="147"/>
      <c r="I120" s="145"/>
      <c r="J120" s="150">
        <v>25</v>
      </c>
      <c r="K120" s="147">
        <v>25</v>
      </c>
      <c r="L120" s="147"/>
      <c r="M120" s="147">
        <f>J120+K120</f>
        <v>50</v>
      </c>
      <c r="N120" s="250" t="s">
        <v>295</v>
      </c>
      <c r="O120" s="251" t="s">
        <v>344</v>
      </c>
      <c r="P120" s="242" t="s">
        <v>343</v>
      </c>
      <c r="Q120" s="237" t="s">
        <v>149</v>
      </c>
    </row>
    <row r="121" spans="1:44" s="9" customFormat="1" x14ac:dyDescent="0.2">
      <c r="A121" s="248"/>
      <c r="B121" s="218" t="s">
        <v>21</v>
      </c>
      <c r="C121" s="271"/>
      <c r="D121" s="149"/>
      <c r="E121" s="147"/>
      <c r="F121" s="147"/>
      <c r="G121" s="147"/>
      <c r="H121" s="147"/>
      <c r="I121" s="145"/>
      <c r="J121" s="150"/>
      <c r="K121" s="147"/>
      <c r="L121" s="147"/>
      <c r="M121" s="147"/>
      <c r="N121" s="250"/>
      <c r="O121" s="251"/>
      <c r="P121" s="242"/>
      <c r="Q121" s="237"/>
    </row>
    <row r="122" spans="1:44" s="86" customFormat="1" ht="27.6" customHeight="1" x14ac:dyDescent="0.25">
      <c r="A122" s="238">
        <v>50</v>
      </c>
      <c r="B122" s="19" t="s">
        <v>135</v>
      </c>
      <c r="C122" s="183" t="s">
        <v>230</v>
      </c>
      <c r="D122" s="81">
        <v>101</v>
      </c>
      <c r="E122" s="82"/>
      <c r="F122" s="82"/>
      <c r="G122" s="82"/>
      <c r="H122" s="82"/>
      <c r="I122" s="23">
        <f t="shared" ref="I122" si="18">SUM(D122:H122)</f>
        <v>101</v>
      </c>
      <c r="J122" s="83">
        <v>100</v>
      </c>
      <c r="K122" s="82">
        <v>100</v>
      </c>
      <c r="L122" s="82">
        <v>100</v>
      </c>
      <c r="M122" s="22">
        <f>I122+J122+K122+L122</f>
        <v>401</v>
      </c>
      <c r="N122" s="240" t="s">
        <v>136</v>
      </c>
      <c r="O122" s="241" t="s">
        <v>172</v>
      </c>
      <c r="P122" s="242" t="s">
        <v>349</v>
      </c>
      <c r="Q122" s="237" t="s">
        <v>148</v>
      </c>
    </row>
    <row r="123" spans="1:44" s="86" customFormat="1" ht="15" x14ac:dyDescent="0.25">
      <c r="A123" s="238"/>
      <c r="B123" s="73" t="s">
        <v>21</v>
      </c>
      <c r="C123" s="90"/>
      <c r="D123" s="87"/>
      <c r="E123" s="88"/>
      <c r="F123" s="88"/>
      <c r="G123" s="88"/>
      <c r="H123" s="88"/>
      <c r="I123" s="89"/>
      <c r="J123" s="83"/>
      <c r="K123" s="82"/>
      <c r="L123" s="82"/>
      <c r="M123" s="22"/>
      <c r="N123" s="240"/>
      <c r="O123" s="241"/>
      <c r="P123" s="242"/>
      <c r="Q123" s="237"/>
    </row>
    <row r="124" spans="1:44" s="86" customFormat="1" ht="165" customHeight="1" x14ac:dyDescent="0.25">
      <c r="A124" s="238">
        <v>51</v>
      </c>
      <c r="B124" s="19" t="s">
        <v>196</v>
      </c>
      <c r="C124" s="239" t="s">
        <v>231</v>
      </c>
      <c r="D124" s="143">
        <v>62.1</v>
      </c>
      <c r="E124" s="144"/>
      <c r="F124" s="144"/>
      <c r="G124" s="144"/>
      <c r="H124" s="144"/>
      <c r="I124" s="145">
        <f>D124</f>
        <v>62.1</v>
      </c>
      <c r="J124" s="83">
        <v>1175.3</v>
      </c>
      <c r="K124" s="82">
        <v>1762.9</v>
      </c>
      <c r="L124" s="82"/>
      <c r="M124" s="22">
        <f>I124+J124+K124+L124</f>
        <v>3000.3</v>
      </c>
      <c r="N124" s="240" t="s">
        <v>345</v>
      </c>
      <c r="O124" s="241" t="s">
        <v>52</v>
      </c>
      <c r="P124" s="242" t="s">
        <v>156</v>
      </c>
      <c r="Q124" s="243" t="s">
        <v>148</v>
      </c>
    </row>
    <row r="125" spans="1:44" s="86" customFormat="1" ht="15" x14ac:dyDescent="0.25">
      <c r="A125" s="238"/>
      <c r="B125" s="73" t="s">
        <v>21</v>
      </c>
      <c r="C125" s="239"/>
      <c r="D125" s="143">
        <v>61.7</v>
      </c>
      <c r="E125" s="144"/>
      <c r="F125" s="144"/>
      <c r="G125" s="144"/>
      <c r="H125" s="144"/>
      <c r="I125" s="145">
        <f>D125</f>
        <v>61.7</v>
      </c>
      <c r="J125" s="83"/>
      <c r="K125" s="82"/>
      <c r="L125" s="82"/>
      <c r="M125" s="22">
        <f>I125</f>
        <v>61.7</v>
      </c>
      <c r="N125" s="240"/>
      <c r="O125" s="241"/>
      <c r="P125" s="242"/>
      <c r="Q125" s="244"/>
    </row>
    <row r="126" spans="1:44" s="86" customFormat="1" ht="87" customHeight="1" x14ac:dyDescent="0.25">
      <c r="A126" s="238">
        <v>52</v>
      </c>
      <c r="B126" s="19" t="s">
        <v>346</v>
      </c>
      <c r="C126" s="239" t="s">
        <v>231</v>
      </c>
      <c r="D126" s="143"/>
      <c r="E126" s="144"/>
      <c r="F126" s="144"/>
      <c r="G126" s="144"/>
      <c r="H126" s="144"/>
      <c r="I126" s="145"/>
      <c r="J126" s="83">
        <v>70</v>
      </c>
      <c r="K126" s="82">
        <v>650</v>
      </c>
      <c r="L126" s="82">
        <v>1700</v>
      </c>
      <c r="M126" s="22">
        <f>I126+J126+K126+L126</f>
        <v>2420</v>
      </c>
      <c r="N126" s="240" t="s">
        <v>347</v>
      </c>
      <c r="O126" s="241" t="s">
        <v>302</v>
      </c>
      <c r="P126" s="242" t="s">
        <v>348</v>
      </c>
      <c r="Q126" s="243" t="s">
        <v>149</v>
      </c>
    </row>
    <row r="127" spans="1:44" s="86" customFormat="1" ht="15" x14ac:dyDescent="0.25">
      <c r="A127" s="238"/>
      <c r="B127" s="73" t="s">
        <v>21</v>
      </c>
      <c r="C127" s="239"/>
      <c r="D127" s="143"/>
      <c r="E127" s="144"/>
      <c r="F127" s="144"/>
      <c r="G127" s="144"/>
      <c r="H127" s="144"/>
      <c r="I127" s="145"/>
      <c r="J127" s="83">
        <v>70</v>
      </c>
      <c r="K127" s="82"/>
      <c r="L127" s="82"/>
      <c r="M127" s="22">
        <f>J127</f>
        <v>70</v>
      </c>
      <c r="N127" s="240"/>
      <c r="O127" s="241"/>
      <c r="P127" s="242"/>
      <c r="Q127" s="244"/>
    </row>
    <row r="128" spans="1:44" s="86" customFormat="1" ht="136.9" customHeight="1" x14ac:dyDescent="0.25">
      <c r="A128" s="238">
        <v>53</v>
      </c>
      <c r="B128" s="19" t="s">
        <v>87</v>
      </c>
      <c r="C128" s="183" t="s">
        <v>232</v>
      </c>
      <c r="D128" s="81">
        <v>50</v>
      </c>
      <c r="E128" s="82"/>
      <c r="F128" s="82">
        <v>10</v>
      </c>
      <c r="G128" s="82"/>
      <c r="H128" s="82"/>
      <c r="I128" s="23">
        <f t="shared" ref="I128" si="19">SUM(D128:H128)</f>
        <v>60</v>
      </c>
      <c r="J128" s="83">
        <v>58.87</v>
      </c>
      <c r="K128" s="82">
        <v>50</v>
      </c>
      <c r="L128" s="82"/>
      <c r="M128" s="22">
        <f>I128+J128+K128+L128</f>
        <v>168.87</v>
      </c>
      <c r="N128" s="240" t="s">
        <v>179</v>
      </c>
      <c r="O128" s="241" t="s">
        <v>52</v>
      </c>
      <c r="P128" s="242" t="s">
        <v>88</v>
      </c>
      <c r="Q128" s="237" t="s">
        <v>148</v>
      </c>
    </row>
    <row r="129" spans="1:17" s="86" customFormat="1" ht="15" customHeight="1" x14ac:dyDescent="0.25">
      <c r="A129" s="238"/>
      <c r="B129" s="73" t="s">
        <v>21</v>
      </c>
      <c r="C129" s="90"/>
      <c r="D129" s="87"/>
      <c r="E129" s="88"/>
      <c r="F129" s="88"/>
      <c r="G129" s="88"/>
      <c r="H129" s="88"/>
      <c r="I129" s="89"/>
      <c r="J129" s="83"/>
      <c r="K129" s="82"/>
      <c r="L129" s="82"/>
      <c r="M129" s="22"/>
      <c r="N129" s="240"/>
      <c r="O129" s="241"/>
      <c r="P129" s="242"/>
      <c r="Q129" s="237"/>
    </row>
    <row r="130" spans="1:17" ht="27.75" customHeight="1" x14ac:dyDescent="0.25">
      <c r="A130" s="255" t="s">
        <v>89</v>
      </c>
      <c r="B130" s="256"/>
      <c r="C130" s="43"/>
      <c r="D130" s="44">
        <f>D133+D134+D136+D138+D138+D140+D142+D144+D145+D147+D149+D151+D153+D155+D157+D159+D161+D163+D165+D167+D169+D171+D173+D176+D178+D180+D182+D184+D186+D188+D190+D192+D194+D196+D198+D200+D202+D204+D207+D209+D211+D214+D216+D218+D220+D222+D224+D226+D229+D231+D232</f>
        <v>3898.3600000000006</v>
      </c>
      <c r="E130" s="45">
        <f>E133+E134+E136+E138+E138+E140+E142+E144+E145+E147+E149+E151+E153+E155+E157+E159+E161+E163+E165+E167+E169+E171+E173+E176+E178+E180+E182+E184+E186+E188+E190+E192+E194+E196+E198+E200+E202+E204+E207+E209+E214+E216+E218+E220+E224+E226+E229+E231+E232</f>
        <v>5021.42</v>
      </c>
      <c r="F130" s="45">
        <f>F133+F134+F136+F138+F138+F140+F142+F144+F145+F147+F149+F151+F153+F155+F157+F159+F161+F163+F165+F167+F169+F171+F173+F176+F178+F180+F182+F184+F186+F188+F190+F192+F194+F196+F198+F200+F202+F204+F207+F209+F214+F216+F218+F220+F224+F226+F229+F231+F232</f>
        <v>3034.7</v>
      </c>
      <c r="G130" s="45">
        <f>G133+G134+G136+G138+G138+G140+G142+G144+G145+G147+G149+G151+G153+G155+G157+G159+G161+G163+G165+G167+G169+G171+G173+G176+G178+G180+G182+G184+G186+G188+G190+G192+G194+G196+G198+G200+G202+G204+G207+G209+G214+G216+G218+G220+G224+G226+G229+G231+G232</f>
        <v>409.77</v>
      </c>
      <c r="H130" s="45">
        <f>H133+H134+H136+H138+H138+H140+H142+H144+H145+H147+H149+H151+H153+H155+H157+H159+H161+H163+H165+H167+H169+H171+H173+H176+H178+H180+H182+H184+H186+H188+H190+H192+H194+H196+H198+H200+H202+H204+H207+H209+H214+H216+H218+H220+H224+H226+H229+H231+H232</f>
        <v>89.7</v>
      </c>
      <c r="I130" s="46">
        <f>I133+I134+I136+I138+I138+I140+I142+I144+I145+I147+I149+I151+I153+I155+I157+I159+I161+I163+I165+I167+I169+I171+I173+I176+I178+I180+I182+I184+I186+I188+I190+I192+I194+I196+I198+I200+I202+I204+I207+I209+I211+I214+I216+I218+I220+I222+I224+I226+I229+I231+I232</f>
        <v>12453.949999999997</v>
      </c>
      <c r="J130" s="44">
        <f>J133+J134+J136+J138+J138+J140+J142+J144+J145+J147+J149+J151+J153+J155+J157+J159+J161+J163+J165+J167+J169+J171+J173+J176+J178+J180+J182+J184+J186+J188+J190+J192+J194+J196+J198+J200+J202+J204+J207+J209+J214+J216+J218+J220+J222+J224+J226+J229+J231+J232</f>
        <v>21893.909999999993</v>
      </c>
      <c r="K130" s="45">
        <f>K133+K134+K136+K138+K138+K140+K142+K144+K145+K147+K149+K151+K153+K155+K157+K159+K161+K163+K165+K167+K169+K171+K173+K176+K178+K180+K182+K184+K186+K188+K190+K192+K194+K196+K198+K200+K202+K204+K207+K209+K214+K216+K218+K220+K222+K224+K226+K229+K231+K232</f>
        <v>14926.21</v>
      </c>
      <c r="L130" s="45">
        <f>L133+L134+L136+L138+L138+L140+L142+L144+L145+L147+L149+L151+L153+L155+L157+L159+L161+L163+L165+L167+L169+L171+L173+L176+L178+L180+L182+L184+L186+L188+L190+L192+L194+L196+L198+L200+L202+L204+L207+L209+L214+L216+L218+L220+L224+L226+L229+L231+L232</f>
        <v>1275.5999999999999</v>
      </c>
      <c r="M130" s="46">
        <f>M133+M134+M136+M138+M138+M140+M142+M144+M145+M147+M149+M151+M153+M155+M157+M159+M161+M163+M165+M167+M169+M171+M173+M176+M178+M180+M182+M184+M186+M188+M190+M192+M194+M196+M198+M200+M202+M204+M207+M209+M211+M214+M216+M218+M220+M222+M224+M226+M229+M231+M232</f>
        <v>50910.27</v>
      </c>
      <c r="N130" s="47"/>
      <c r="O130" s="48"/>
      <c r="P130" s="49"/>
      <c r="Q130" s="50"/>
    </row>
    <row r="131" spans="1:17" s="11" customFormat="1" ht="14.25" customHeight="1" x14ac:dyDescent="0.2">
      <c r="A131" s="51"/>
      <c r="B131" s="179"/>
      <c r="C131" s="51"/>
      <c r="D131" s="52"/>
      <c r="E131" s="77"/>
      <c r="F131" s="77"/>
      <c r="G131" s="77"/>
      <c r="H131" s="77"/>
      <c r="I131" s="55"/>
      <c r="J131" s="56"/>
      <c r="K131" s="53"/>
      <c r="L131" s="53"/>
      <c r="M131" s="78"/>
      <c r="N131" s="57"/>
      <c r="O131" s="58"/>
      <c r="P131" s="59"/>
      <c r="Q131" s="60"/>
    </row>
    <row r="132" spans="1:17" s="11" customFormat="1" ht="25.5" x14ac:dyDescent="0.2">
      <c r="A132" s="165"/>
      <c r="B132" s="91" t="s">
        <v>90</v>
      </c>
      <c r="C132" s="92" t="s">
        <v>91</v>
      </c>
      <c r="D132" s="63"/>
      <c r="E132" s="64"/>
      <c r="F132" s="64"/>
      <c r="G132" s="64"/>
      <c r="H132" s="64"/>
      <c r="I132" s="74"/>
      <c r="J132" s="66"/>
      <c r="K132" s="64"/>
      <c r="L132" s="64"/>
      <c r="M132" s="75"/>
      <c r="N132" s="67"/>
      <c r="O132" s="68"/>
      <c r="P132" s="69"/>
      <c r="Q132" s="70"/>
    </row>
    <row r="133" spans="1:17" s="11" customFormat="1" ht="44.25" customHeight="1" x14ac:dyDescent="0.2">
      <c r="A133" s="161">
        <v>54</v>
      </c>
      <c r="B133" s="71" t="s">
        <v>92</v>
      </c>
      <c r="C133" s="108" t="s">
        <v>233</v>
      </c>
      <c r="D133" s="141">
        <v>10</v>
      </c>
      <c r="E133" s="138"/>
      <c r="F133" s="138"/>
      <c r="G133" s="138"/>
      <c r="H133" s="138"/>
      <c r="I133" s="72">
        <f>D133</f>
        <v>10</v>
      </c>
      <c r="J133" s="139">
        <v>20</v>
      </c>
      <c r="K133" s="138">
        <v>20</v>
      </c>
      <c r="L133" s="138">
        <v>20</v>
      </c>
      <c r="M133" s="138">
        <f>SUM(I133:L133)</f>
        <v>70</v>
      </c>
      <c r="N133" s="169" t="s">
        <v>93</v>
      </c>
      <c r="O133" s="109" t="s">
        <v>188</v>
      </c>
      <c r="P133" s="107" t="s">
        <v>75</v>
      </c>
      <c r="Q133" s="106" t="s">
        <v>148</v>
      </c>
    </row>
    <row r="134" spans="1:17" s="9" customFormat="1" ht="84" customHeight="1" x14ac:dyDescent="0.2">
      <c r="A134" s="248">
        <v>55</v>
      </c>
      <c r="B134" s="19" t="s">
        <v>94</v>
      </c>
      <c r="C134" s="239" t="s">
        <v>233</v>
      </c>
      <c r="D134" s="21">
        <v>160.1</v>
      </c>
      <c r="E134" s="22"/>
      <c r="F134" s="22"/>
      <c r="G134" s="22"/>
      <c r="H134" s="22"/>
      <c r="I134" s="23">
        <f t="shared" ref="I134:I135" si="20">SUM(D134:H134)</f>
        <v>160.1</v>
      </c>
      <c r="J134" s="24">
        <v>130</v>
      </c>
      <c r="K134" s="22">
        <v>140</v>
      </c>
      <c r="L134" s="22">
        <v>30</v>
      </c>
      <c r="M134" s="22">
        <f>L134+K134+J134+I134</f>
        <v>460.1</v>
      </c>
      <c r="N134" s="250" t="s">
        <v>350</v>
      </c>
      <c r="O134" s="276" t="s">
        <v>172</v>
      </c>
      <c r="P134" s="242" t="s">
        <v>75</v>
      </c>
      <c r="Q134" s="237" t="s">
        <v>148</v>
      </c>
    </row>
    <row r="135" spans="1:17" s="9" customFormat="1" ht="27" customHeight="1" x14ac:dyDescent="0.2">
      <c r="A135" s="248"/>
      <c r="B135" s="73" t="s">
        <v>21</v>
      </c>
      <c r="C135" s="239"/>
      <c r="D135" s="21">
        <v>16</v>
      </c>
      <c r="E135" s="22"/>
      <c r="F135" s="22"/>
      <c r="G135" s="22"/>
      <c r="H135" s="22"/>
      <c r="I135" s="23">
        <f t="shared" si="20"/>
        <v>16</v>
      </c>
      <c r="J135" s="24"/>
      <c r="K135" s="22"/>
      <c r="L135" s="22"/>
      <c r="M135" s="22">
        <f>I135</f>
        <v>16</v>
      </c>
      <c r="N135" s="278"/>
      <c r="O135" s="276"/>
      <c r="P135" s="242"/>
      <c r="Q135" s="237"/>
    </row>
    <row r="136" spans="1:17" s="9" customFormat="1" ht="60.75" customHeight="1" x14ac:dyDescent="0.2">
      <c r="A136" s="248">
        <v>56</v>
      </c>
      <c r="B136" s="209" t="s">
        <v>95</v>
      </c>
      <c r="C136" s="239" t="s">
        <v>233</v>
      </c>
      <c r="D136" s="149">
        <v>202.1</v>
      </c>
      <c r="E136" s="147"/>
      <c r="F136" s="147"/>
      <c r="G136" s="147"/>
      <c r="H136" s="147"/>
      <c r="I136" s="145">
        <f t="shared" ref="I136" si="21">SUM(D136:H136)</f>
        <v>202.1</v>
      </c>
      <c r="J136" s="150"/>
      <c r="K136" s="147"/>
      <c r="L136" s="147"/>
      <c r="M136" s="147">
        <f>I136</f>
        <v>202.1</v>
      </c>
      <c r="N136" s="250" t="s">
        <v>351</v>
      </c>
      <c r="O136" s="251" t="s">
        <v>28</v>
      </c>
      <c r="P136" s="242" t="s">
        <v>147</v>
      </c>
      <c r="Q136" s="237" t="s">
        <v>148</v>
      </c>
    </row>
    <row r="137" spans="1:17" s="9" customFormat="1" x14ac:dyDescent="0.2">
      <c r="A137" s="248"/>
      <c r="B137" s="73" t="s">
        <v>21</v>
      </c>
      <c r="C137" s="239"/>
      <c r="D137" s="21">
        <f>1+32+5.6</f>
        <v>38.6</v>
      </c>
      <c r="E137" s="22"/>
      <c r="F137" s="22"/>
      <c r="G137" s="22"/>
      <c r="H137" s="22"/>
      <c r="I137" s="23">
        <f>D137</f>
        <v>38.6</v>
      </c>
      <c r="J137" s="24"/>
      <c r="K137" s="22"/>
      <c r="L137" s="22"/>
      <c r="M137" s="22">
        <f>I137</f>
        <v>38.6</v>
      </c>
      <c r="N137" s="250"/>
      <c r="O137" s="251"/>
      <c r="P137" s="242"/>
      <c r="Q137" s="237"/>
    </row>
    <row r="138" spans="1:17" s="2" customFormat="1" ht="58.5" customHeight="1" x14ac:dyDescent="0.25">
      <c r="A138" s="248">
        <v>57</v>
      </c>
      <c r="B138" s="19" t="s">
        <v>73</v>
      </c>
      <c r="C138" s="252" t="s">
        <v>233</v>
      </c>
      <c r="D138" s="21"/>
      <c r="E138" s="22"/>
      <c r="F138" s="22"/>
      <c r="G138" s="22"/>
      <c r="H138" s="22"/>
      <c r="I138" s="23"/>
      <c r="J138" s="24">
        <v>20</v>
      </c>
      <c r="K138" s="22">
        <v>20</v>
      </c>
      <c r="L138" s="22">
        <v>20</v>
      </c>
      <c r="M138" s="22">
        <f>I138+J138+K138+L138</f>
        <v>60</v>
      </c>
      <c r="N138" s="250" t="s">
        <v>74</v>
      </c>
      <c r="O138" s="241" t="s">
        <v>302</v>
      </c>
      <c r="P138" s="242" t="s">
        <v>75</v>
      </c>
      <c r="Q138" s="237" t="s">
        <v>148</v>
      </c>
    </row>
    <row r="139" spans="1:17" s="2" customFormat="1" x14ac:dyDescent="0.25">
      <c r="A139" s="248"/>
      <c r="B139" s="73" t="s">
        <v>21</v>
      </c>
      <c r="C139" s="252"/>
      <c r="D139" s="21"/>
      <c r="E139" s="22"/>
      <c r="F139" s="22"/>
      <c r="G139" s="22"/>
      <c r="H139" s="22"/>
      <c r="I139" s="23"/>
      <c r="J139" s="24"/>
      <c r="K139" s="22"/>
      <c r="L139" s="22"/>
      <c r="M139" s="22"/>
      <c r="N139" s="250"/>
      <c r="O139" s="241"/>
      <c r="P139" s="242"/>
      <c r="Q139" s="237"/>
    </row>
    <row r="140" spans="1:17" s="2" customFormat="1" ht="86.25" customHeight="1" x14ac:dyDescent="0.25">
      <c r="A140" s="348">
        <v>58</v>
      </c>
      <c r="B140" s="19" t="s">
        <v>112</v>
      </c>
      <c r="C140" s="346" t="s">
        <v>233</v>
      </c>
      <c r="D140" s="149">
        <v>28.8</v>
      </c>
      <c r="E140" s="147"/>
      <c r="F140" s="147"/>
      <c r="G140" s="147"/>
      <c r="H140" s="147"/>
      <c r="I140" s="145">
        <f t="shared" ref="I140" si="22">SUM(D140:H140)</f>
        <v>28.8</v>
      </c>
      <c r="J140" s="150">
        <v>300</v>
      </c>
      <c r="K140" s="147">
        <v>300</v>
      </c>
      <c r="L140" s="147">
        <v>300</v>
      </c>
      <c r="M140" s="147">
        <f>L140+K140+J140+I140</f>
        <v>928.8</v>
      </c>
      <c r="N140" s="182" t="s">
        <v>352</v>
      </c>
      <c r="O140" s="190" t="s">
        <v>181</v>
      </c>
      <c r="P140" s="180" t="s">
        <v>113</v>
      </c>
      <c r="Q140" s="193" t="s">
        <v>148</v>
      </c>
    </row>
    <row r="141" spans="1:17" s="2" customFormat="1" x14ac:dyDescent="0.25">
      <c r="A141" s="349"/>
      <c r="B141" s="73" t="s">
        <v>21</v>
      </c>
      <c r="C141" s="347"/>
      <c r="D141" s="149"/>
      <c r="E141" s="147"/>
      <c r="F141" s="147"/>
      <c r="G141" s="147"/>
      <c r="H141" s="147"/>
      <c r="I141" s="145"/>
      <c r="J141" s="150"/>
      <c r="K141" s="147"/>
      <c r="L141" s="147"/>
      <c r="M141" s="147"/>
      <c r="N141" s="219"/>
      <c r="O141" s="190"/>
      <c r="P141" s="180"/>
      <c r="Q141" s="193"/>
    </row>
    <row r="142" spans="1:17" s="2" customFormat="1" ht="53.25" customHeight="1" x14ac:dyDescent="0.25">
      <c r="A142" s="248">
        <v>59</v>
      </c>
      <c r="B142" s="19" t="s">
        <v>76</v>
      </c>
      <c r="C142" s="252" t="s">
        <v>233</v>
      </c>
      <c r="D142" s="149">
        <v>45.5</v>
      </c>
      <c r="E142" s="147"/>
      <c r="F142" s="147"/>
      <c r="G142" s="147"/>
      <c r="H142" s="147"/>
      <c r="I142" s="145">
        <f t="shared" ref="I142" si="23">SUM(D142:H142)</f>
        <v>45.5</v>
      </c>
      <c r="J142" s="150">
        <v>10</v>
      </c>
      <c r="K142" s="147">
        <v>10</v>
      </c>
      <c r="L142" s="147">
        <v>10</v>
      </c>
      <c r="M142" s="147">
        <f>L142+J142+I142+K142</f>
        <v>75.5</v>
      </c>
      <c r="N142" s="250" t="s">
        <v>353</v>
      </c>
      <c r="O142" s="241" t="s">
        <v>181</v>
      </c>
      <c r="P142" s="242" t="s">
        <v>75</v>
      </c>
      <c r="Q142" s="237" t="s">
        <v>148</v>
      </c>
    </row>
    <row r="143" spans="1:17" s="2" customFormat="1" x14ac:dyDescent="0.25">
      <c r="A143" s="248"/>
      <c r="B143" s="73" t="s">
        <v>21</v>
      </c>
      <c r="C143" s="252"/>
      <c r="D143" s="149"/>
      <c r="E143" s="147"/>
      <c r="F143" s="147"/>
      <c r="G143" s="147"/>
      <c r="H143" s="147"/>
      <c r="I143" s="145"/>
      <c r="J143" s="150"/>
      <c r="K143" s="147"/>
      <c r="L143" s="147"/>
      <c r="M143" s="147"/>
      <c r="N143" s="250"/>
      <c r="O143" s="241"/>
      <c r="P143" s="242"/>
      <c r="Q143" s="237"/>
    </row>
    <row r="144" spans="1:17" s="2" customFormat="1" ht="65.25" customHeight="1" x14ac:dyDescent="0.25">
      <c r="A144" s="185">
        <v>60</v>
      </c>
      <c r="B144" s="19" t="s">
        <v>164</v>
      </c>
      <c r="C144" s="183" t="s">
        <v>233</v>
      </c>
      <c r="D144" s="21">
        <v>9</v>
      </c>
      <c r="E144" s="220"/>
      <c r="F144" s="22"/>
      <c r="G144" s="22"/>
      <c r="H144" s="22"/>
      <c r="I144" s="23">
        <f t="shared" ref="I144" si="24">SUM(D144:H144)</f>
        <v>9</v>
      </c>
      <c r="J144" s="24">
        <v>56</v>
      </c>
      <c r="K144" s="22">
        <v>16</v>
      </c>
      <c r="L144" s="22">
        <v>16</v>
      </c>
      <c r="M144" s="22">
        <f>L144+K144+J144+I144</f>
        <v>97</v>
      </c>
      <c r="N144" s="192" t="s">
        <v>165</v>
      </c>
      <c r="O144" s="184" t="s">
        <v>188</v>
      </c>
      <c r="P144" s="132" t="s">
        <v>75</v>
      </c>
      <c r="Q144" s="188" t="s">
        <v>149</v>
      </c>
    </row>
    <row r="145" spans="1:17" s="2" customFormat="1" ht="99.6" customHeight="1" x14ac:dyDescent="0.25">
      <c r="A145" s="185">
        <v>61</v>
      </c>
      <c r="B145" s="79" t="s">
        <v>97</v>
      </c>
      <c r="C145" s="183" t="s">
        <v>234</v>
      </c>
      <c r="D145" s="149">
        <v>209.5</v>
      </c>
      <c r="E145" s="147"/>
      <c r="F145" s="147"/>
      <c r="G145" s="147"/>
      <c r="H145" s="147"/>
      <c r="I145" s="200">
        <f>D145</f>
        <v>209.5</v>
      </c>
      <c r="J145" s="150">
        <v>220.2</v>
      </c>
      <c r="K145" s="147">
        <v>117</v>
      </c>
      <c r="L145" s="147">
        <v>117</v>
      </c>
      <c r="M145" s="147">
        <f>I145+J145+K145+L145+304.7</f>
        <v>968.40000000000009</v>
      </c>
      <c r="N145" s="182" t="s">
        <v>354</v>
      </c>
      <c r="O145" s="187" t="s">
        <v>64</v>
      </c>
      <c r="P145" s="180" t="s">
        <v>178</v>
      </c>
      <c r="Q145" s="188" t="s">
        <v>148</v>
      </c>
    </row>
    <row r="146" spans="1:17" s="7" customFormat="1" ht="26.25" customHeight="1" x14ac:dyDescent="0.2">
      <c r="A146" s="221"/>
      <c r="B146" s="85" t="s">
        <v>99</v>
      </c>
      <c r="C146" s="222" t="s">
        <v>100</v>
      </c>
      <c r="D146" s="81"/>
      <c r="E146" s="82"/>
      <c r="F146" s="82"/>
      <c r="G146" s="82"/>
      <c r="H146" s="82"/>
      <c r="I146" s="23"/>
      <c r="J146" s="83"/>
      <c r="K146" s="82"/>
      <c r="L146" s="82"/>
      <c r="M146" s="22"/>
      <c r="N146" s="186"/>
      <c r="O146" s="191"/>
      <c r="P146" s="181"/>
      <c r="Q146" s="181"/>
    </row>
    <row r="147" spans="1:17" s="2" customFormat="1" ht="46.5" customHeight="1" x14ac:dyDescent="0.25">
      <c r="A147" s="248">
        <v>62</v>
      </c>
      <c r="B147" s="85" t="s">
        <v>141</v>
      </c>
      <c r="C147" s="239" t="s">
        <v>238</v>
      </c>
      <c r="D147" s="81">
        <v>250</v>
      </c>
      <c r="E147" s="82"/>
      <c r="F147" s="82"/>
      <c r="G147" s="82"/>
      <c r="H147" s="82"/>
      <c r="I147" s="23">
        <f t="shared" ref="I147" si="25">SUM(D147:H147)</f>
        <v>250</v>
      </c>
      <c r="J147" s="83">
        <v>250</v>
      </c>
      <c r="K147" s="82"/>
      <c r="L147" s="82"/>
      <c r="M147" s="22">
        <f>I147+J147</f>
        <v>500</v>
      </c>
      <c r="N147" s="240" t="s">
        <v>200</v>
      </c>
      <c r="O147" s="240" t="s">
        <v>78</v>
      </c>
      <c r="P147" s="288" t="s">
        <v>25</v>
      </c>
      <c r="Q147" s="243" t="s">
        <v>148</v>
      </c>
    </row>
    <row r="148" spans="1:17" s="2" customFormat="1" x14ac:dyDescent="0.25">
      <c r="A148" s="248"/>
      <c r="B148" s="84" t="s">
        <v>21</v>
      </c>
      <c r="C148" s="239"/>
      <c r="D148" s="81"/>
      <c r="E148" s="82"/>
      <c r="F148" s="82"/>
      <c r="G148" s="82"/>
      <c r="H148" s="82"/>
      <c r="I148" s="23"/>
      <c r="J148" s="83"/>
      <c r="K148" s="82"/>
      <c r="L148" s="82"/>
      <c r="M148" s="22"/>
      <c r="N148" s="240"/>
      <c r="O148" s="240"/>
      <c r="P148" s="288"/>
      <c r="Q148" s="244"/>
    </row>
    <row r="149" spans="1:17" s="2" customFormat="1" ht="50.25" customHeight="1" x14ac:dyDescent="0.25">
      <c r="A149" s="248">
        <v>63</v>
      </c>
      <c r="B149" s="19" t="s">
        <v>101</v>
      </c>
      <c r="C149" s="239" t="s">
        <v>238</v>
      </c>
      <c r="D149" s="21">
        <v>30</v>
      </c>
      <c r="E149" s="22"/>
      <c r="F149" s="22"/>
      <c r="G149" s="22"/>
      <c r="H149" s="22"/>
      <c r="I149" s="23">
        <f t="shared" ref="I149:I150" si="26">D149</f>
        <v>30</v>
      </c>
      <c r="J149" s="24">
        <v>120</v>
      </c>
      <c r="K149" s="22"/>
      <c r="L149" s="22"/>
      <c r="M149" s="22">
        <f>K149+J149</f>
        <v>120</v>
      </c>
      <c r="N149" s="251" t="s">
        <v>102</v>
      </c>
      <c r="O149" s="251" t="s">
        <v>24</v>
      </c>
      <c r="P149" s="242" t="s">
        <v>147</v>
      </c>
      <c r="Q149" s="243" t="s">
        <v>148</v>
      </c>
    </row>
    <row r="150" spans="1:17" s="2" customFormat="1" x14ac:dyDescent="0.25">
      <c r="A150" s="248"/>
      <c r="B150" s="73" t="s">
        <v>21</v>
      </c>
      <c r="C150" s="239"/>
      <c r="D150" s="21">
        <v>30</v>
      </c>
      <c r="E150" s="22"/>
      <c r="F150" s="22"/>
      <c r="G150" s="22"/>
      <c r="H150" s="22"/>
      <c r="I150" s="23">
        <f t="shared" si="26"/>
        <v>30</v>
      </c>
      <c r="J150" s="24"/>
      <c r="K150" s="22"/>
      <c r="L150" s="22"/>
      <c r="M150" s="22">
        <v>30</v>
      </c>
      <c r="N150" s="251"/>
      <c r="O150" s="251"/>
      <c r="P150" s="242"/>
      <c r="Q150" s="244"/>
    </row>
    <row r="151" spans="1:17" s="2" customFormat="1" ht="46.5" customHeight="1" x14ac:dyDescent="0.25">
      <c r="A151" s="248">
        <v>64</v>
      </c>
      <c r="B151" s="19" t="s">
        <v>103</v>
      </c>
      <c r="C151" s="239" t="s">
        <v>238</v>
      </c>
      <c r="D151" s="21">
        <v>46.5</v>
      </c>
      <c r="E151" s="22">
        <v>1596.3</v>
      </c>
      <c r="F151" s="22"/>
      <c r="G151" s="22"/>
      <c r="H151" s="22"/>
      <c r="I151" s="23">
        <f>D151+E151</f>
        <v>1642.8</v>
      </c>
      <c r="J151" s="24">
        <v>2404.1999999999998</v>
      </c>
      <c r="K151" s="22"/>
      <c r="L151" s="22"/>
      <c r="M151" s="22">
        <f>I151+J151</f>
        <v>4047</v>
      </c>
      <c r="N151" s="251" t="s">
        <v>235</v>
      </c>
      <c r="O151" s="251" t="s">
        <v>38</v>
      </c>
      <c r="P151" s="242" t="s">
        <v>146</v>
      </c>
      <c r="Q151" s="243" t="s">
        <v>148</v>
      </c>
    </row>
    <row r="152" spans="1:17" s="2" customFormat="1" ht="15" customHeight="1" x14ac:dyDescent="0.25">
      <c r="A152" s="248"/>
      <c r="B152" s="73" t="s">
        <v>21</v>
      </c>
      <c r="C152" s="239"/>
      <c r="D152" s="21">
        <v>46.5</v>
      </c>
      <c r="E152" s="22"/>
      <c r="F152" s="22"/>
      <c r="G152" s="22"/>
      <c r="H152" s="22"/>
      <c r="I152" s="23">
        <f>D152</f>
        <v>46.5</v>
      </c>
      <c r="J152" s="24"/>
      <c r="K152" s="22"/>
      <c r="L152" s="22"/>
      <c r="M152" s="22">
        <f>I152</f>
        <v>46.5</v>
      </c>
      <c r="N152" s="251"/>
      <c r="O152" s="251"/>
      <c r="P152" s="242"/>
      <c r="Q152" s="244"/>
    </row>
    <row r="153" spans="1:17" s="2" customFormat="1" ht="44.25" customHeight="1" x14ac:dyDescent="0.25">
      <c r="A153" s="350">
        <v>65</v>
      </c>
      <c r="B153" s="209" t="s">
        <v>132</v>
      </c>
      <c r="C153" s="271" t="s">
        <v>238</v>
      </c>
      <c r="D153" s="149">
        <v>254.7</v>
      </c>
      <c r="E153" s="147"/>
      <c r="F153" s="147"/>
      <c r="G153" s="147"/>
      <c r="H153" s="147"/>
      <c r="I153" s="145">
        <f>D153</f>
        <v>254.7</v>
      </c>
      <c r="J153" s="150">
        <v>160</v>
      </c>
      <c r="K153" s="147">
        <v>160</v>
      </c>
      <c r="L153" s="147">
        <v>160</v>
      </c>
      <c r="M153" s="147">
        <f>L153+K153+J153+I153</f>
        <v>734.7</v>
      </c>
      <c r="N153" s="250" t="s">
        <v>355</v>
      </c>
      <c r="O153" s="343" t="s">
        <v>172</v>
      </c>
      <c r="P153" s="326" t="s">
        <v>147</v>
      </c>
      <c r="Q153" s="289" t="s">
        <v>148</v>
      </c>
    </row>
    <row r="154" spans="1:17" s="2" customFormat="1" ht="12.75" customHeight="1" x14ac:dyDescent="0.25">
      <c r="A154" s="350"/>
      <c r="B154" s="218" t="s">
        <v>21</v>
      </c>
      <c r="C154" s="271"/>
      <c r="D154" s="149"/>
      <c r="E154" s="147"/>
      <c r="F154" s="147"/>
      <c r="G154" s="147"/>
      <c r="H154" s="147"/>
      <c r="I154" s="145"/>
      <c r="J154" s="150"/>
      <c r="K154" s="147"/>
      <c r="L154" s="147"/>
      <c r="M154" s="147"/>
      <c r="N154" s="250"/>
      <c r="O154" s="343"/>
      <c r="P154" s="326"/>
      <c r="Q154" s="290"/>
    </row>
    <row r="155" spans="1:17" s="2" customFormat="1" ht="105.75" customHeight="1" x14ac:dyDescent="0.25">
      <c r="A155" s="248">
        <v>66</v>
      </c>
      <c r="B155" s="19" t="s">
        <v>104</v>
      </c>
      <c r="C155" s="239" t="s">
        <v>239</v>
      </c>
      <c r="D155" s="21">
        <v>49.6</v>
      </c>
      <c r="E155" s="22">
        <v>259.7</v>
      </c>
      <c r="F155" s="22">
        <v>53.4</v>
      </c>
      <c r="G155" s="22">
        <v>47</v>
      </c>
      <c r="H155" s="22"/>
      <c r="I155" s="23">
        <f t="shared" ref="I155:I159" si="27">SUM(D155:H155)</f>
        <v>409.7</v>
      </c>
      <c r="J155" s="24">
        <v>842.9</v>
      </c>
      <c r="K155" s="22"/>
      <c r="L155" s="22"/>
      <c r="M155" s="22">
        <f>L155+K155+J155+I155</f>
        <v>1252.5999999999999</v>
      </c>
      <c r="N155" s="251" t="s">
        <v>356</v>
      </c>
      <c r="O155" s="276" t="s">
        <v>38</v>
      </c>
      <c r="P155" s="242" t="s">
        <v>282</v>
      </c>
      <c r="Q155" s="243" t="s">
        <v>148</v>
      </c>
    </row>
    <row r="156" spans="1:17" s="2" customFormat="1" ht="12.75" customHeight="1" x14ac:dyDescent="0.25">
      <c r="A156" s="248"/>
      <c r="B156" s="73" t="s">
        <v>42</v>
      </c>
      <c r="C156" s="239"/>
      <c r="D156" s="21">
        <v>49.61</v>
      </c>
      <c r="E156" s="22"/>
      <c r="F156" s="22"/>
      <c r="G156" s="22"/>
      <c r="H156" s="22"/>
      <c r="I156" s="23">
        <f t="shared" si="27"/>
        <v>49.61</v>
      </c>
      <c r="J156" s="24"/>
      <c r="K156" s="22"/>
      <c r="L156" s="22"/>
      <c r="M156" s="22">
        <f>I156</f>
        <v>49.61</v>
      </c>
      <c r="N156" s="251"/>
      <c r="O156" s="276"/>
      <c r="P156" s="242"/>
      <c r="Q156" s="244"/>
    </row>
    <row r="157" spans="1:17" s="2" customFormat="1" ht="133.9" customHeight="1" x14ac:dyDescent="0.25">
      <c r="A157" s="248">
        <v>67</v>
      </c>
      <c r="B157" s="19" t="s">
        <v>105</v>
      </c>
      <c r="C157" s="239" t="s">
        <v>239</v>
      </c>
      <c r="D157" s="21">
        <v>10.6</v>
      </c>
      <c r="E157" s="22">
        <v>450.1</v>
      </c>
      <c r="F157" s="22">
        <v>613.5</v>
      </c>
      <c r="G157" s="22">
        <v>70.599999999999994</v>
      </c>
      <c r="H157" s="22"/>
      <c r="I157" s="23">
        <f t="shared" si="27"/>
        <v>1144.8</v>
      </c>
      <c r="J157" s="24"/>
      <c r="K157" s="22"/>
      <c r="L157" s="22"/>
      <c r="M157" s="22">
        <f>I157+J157+K157+L157</f>
        <v>1144.8</v>
      </c>
      <c r="N157" s="251" t="s">
        <v>357</v>
      </c>
      <c r="O157" s="251" t="s">
        <v>85</v>
      </c>
      <c r="P157" s="242" t="s">
        <v>283</v>
      </c>
      <c r="Q157" s="243" t="s">
        <v>148</v>
      </c>
    </row>
    <row r="158" spans="1:17" s="2" customFormat="1" ht="15" customHeight="1" x14ac:dyDescent="0.25">
      <c r="A158" s="248"/>
      <c r="B158" s="73" t="s">
        <v>21</v>
      </c>
      <c r="C158" s="239"/>
      <c r="D158" s="21"/>
      <c r="E158" s="22"/>
      <c r="F158" s="22"/>
      <c r="G158" s="22"/>
      <c r="H158" s="22"/>
      <c r="I158" s="23"/>
      <c r="J158" s="24"/>
      <c r="K158" s="22"/>
      <c r="L158" s="22"/>
      <c r="M158" s="22"/>
      <c r="N158" s="251"/>
      <c r="O158" s="251"/>
      <c r="P158" s="242"/>
      <c r="Q158" s="244"/>
    </row>
    <row r="159" spans="1:17" s="2" customFormat="1" ht="129.75" customHeight="1" x14ac:dyDescent="0.25">
      <c r="A159" s="248">
        <v>68</v>
      </c>
      <c r="B159" s="19" t="s">
        <v>106</v>
      </c>
      <c r="C159" s="239" t="s">
        <v>239</v>
      </c>
      <c r="D159" s="21">
        <v>81.900000000000006</v>
      </c>
      <c r="E159" s="22"/>
      <c r="F159" s="22">
        <v>78.8</v>
      </c>
      <c r="G159" s="22">
        <v>11.4</v>
      </c>
      <c r="H159" s="22"/>
      <c r="I159" s="23">
        <f t="shared" si="27"/>
        <v>172.1</v>
      </c>
      <c r="J159" s="24"/>
      <c r="K159" s="22"/>
      <c r="L159" s="22"/>
      <c r="M159" s="22">
        <f>I159+J159+K159+L159</f>
        <v>172.1</v>
      </c>
      <c r="N159" s="251" t="s">
        <v>358</v>
      </c>
      <c r="O159" s="251" t="s">
        <v>85</v>
      </c>
      <c r="P159" s="242" t="s">
        <v>283</v>
      </c>
      <c r="Q159" s="243" t="s">
        <v>148</v>
      </c>
    </row>
    <row r="160" spans="1:17" s="2" customFormat="1" ht="15" customHeight="1" x14ac:dyDescent="0.25">
      <c r="A160" s="248"/>
      <c r="B160" s="73" t="s">
        <v>21</v>
      </c>
      <c r="C160" s="239"/>
      <c r="D160" s="21"/>
      <c r="E160" s="22"/>
      <c r="F160" s="22"/>
      <c r="G160" s="22"/>
      <c r="H160" s="22"/>
      <c r="I160" s="23"/>
      <c r="J160" s="24"/>
      <c r="K160" s="22"/>
      <c r="L160" s="22"/>
      <c r="M160" s="22"/>
      <c r="N160" s="251"/>
      <c r="O160" s="251"/>
      <c r="P160" s="242"/>
      <c r="Q160" s="244"/>
    </row>
    <row r="161" spans="1:17" s="2" customFormat="1" ht="75" customHeight="1" x14ac:dyDescent="0.25">
      <c r="A161" s="248">
        <v>69</v>
      </c>
      <c r="B161" s="19" t="s">
        <v>107</v>
      </c>
      <c r="C161" s="239" t="s">
        <v>239</v>
      </c>
      <c r="D161" s="21">
        <v>223</v>
      </c>
      <c r="E161" s="22"/>
      <c r="F161" s="22"/>
      <c r="G161" s="22"/>
      <c r="H161" s="22"/>
      <c r="I161" s="72">
        <f>D161</f>
        <v>223</v>
      </c>
      <c r="J161" s="139">
        <v>3548.5</v>
      </c>
      <c r="K161" s="138">
        <v>2368.1</v>
      </c>
      <c r="L161" s="138"/>
      <c r="M161" s="138">
        <f>I161+J161+K161</f>
        <v>6139.6</v>
      </c>
      <c r="N161" s="282" t="s">
        <v>359</v>
      </c>
      <c r="O161" s="276" t="s">
        <v>199</v>
      </c>
      <c r="P161" s="242" t="s">
        <v>157</v>
      </c>
      <c r="Q161" s="243" t="s">
        <v>148</v>
      </c>
    </row>
    <row r="162" spans="1:17" s="2" customFormat="1" ht="15" customHeight="1" x14ac:dyDescent="0.25">
      <c r="A162" s="248"/>
      <c r="B162" s="73" t="s">
        <v>21</v>
      </c>
      <c r="C162" s="239"/>
      <c r="D162" s="21">
        <v>222.64</v>
      </c>
      <c r="E162" s="22"/>
      <c r="F162" s="22"/>
      <c r="G162" s="22"/>
      <c r="H162" s="22"/>
      <c r="I162" s="72">
        <v>222.64</v>
      </c>
      <c r="J162" s="139"/>
      <c r="K162" s="138"/>
      <c r="L162" s="138"/>
      <c r="M162" s="138">
        <v>222.64</v>
      </c>
      <c r="N162" s="282"/>
      <c r="O162" s="276"/>
      <c r="P162" s="242"/>
      <c r="Q162" s="244"/>
    </row>
    <row r="163" spans="1:17" s="2" customFormat="1" ht="275.45" customHeight="1" x14ac:dyDescent="0.25">
      <c r="A163" s="248">
        <v>70</v>
      </c>
      <c r="B163" s="223" t="s">
        <v>108</v>
      </c>
      <c r="C163" s="239" t="s">
        <v>239</v>
      </c>
      <c r="D163" s="21">
        <v>1</v>
      </c>
      <c r="E163" s="22">
        <v>534.1</v>
      </c>
      <c r="F163" s="22">
        <v>512.6</v>
      </c>
      <c r="G163" s="22">
        <v>87.2</v>
      </c>
      <c r="H163" s="22"/>
      <c r="I163" s="23">
        <f t="shared" ref="I163:I167" si="28">SUM(D163:H163)</f>
        <v>1134.9000000000001</v>
      </c>
      <c r="J163" s="24">
        <v>1131.0999999999999</v>
      </c>
      <c r="K163" s="22"/>
      <c r="L163" s="22"/>
      <c r="M163" s="22">
        <f>J163+I163</f>
        <v>2266</v>
      </c>
      <c r="N163" s="251" t="s">
        <v>360</v>
      </c>
      <c r="O163" s="276" t="s">
        <v>38</v>
      </c>
      <c r="P163" s="242" t="s">
        <v>284</v>
      </c>
      <c r="Q163" s="243" t="s">
        <v>148</v>
      </c>
    </row>
    <row r="164" spans="1:17" s="2" customFormat="1" ht="15" customHeight="1" x14ac:dyDescent="0.25">
      <c r="A164" s="248"/>
      <c r="B164" s="73" t="s">
        <v>21</v>
      </c>
      <c r="C164" s="239"/>
      <c r="D164" s="21"/>
      <c r="E164" s="22"/>
      <c r="F164" s="22"/>
      <c r="G164" s="22"/>
      <c r="H164" s="22"/>
      <c r="I164" s="23"/>
      <c r="J164" s="24"/>
      <c r="K164" s="22"/>
      <c r="L164" s="22"/>
      <c r="M164" s="22"/>
      <c r="N164" s="251"/>
      <c r="O164" s="276"/>
      <c r="P164" s="242"/>
      <c r="Q164" s="244"/>
    </row>
    <row r="165" spans="1:17" s="2" customFormat="1" ht="129" customHeight="1" x14ac:dyDescent="0.25">
      <c r="A165" s="248">
        <v>71</v>
      </c>
      <c r="B165" s="19" t="s">
        <v>109</v>
      </c>
      <c r="C165" s="239" t="s">
        <v>239</v>
      </c>
      <c r="D165" s="21"/>
      <c r="E165" s="22">
        <v>638.4</v>
      </c>
      <c r="F165" s="22">
        <v>148.80000000000001</v>
      </c>
      <c r="G165" s="22">
        <v>38.700000000000003</v>
      </c>
      <c r="H165" s="22"/>
      <c r="I165" s="23">
        <f t="shared" si="28"/>
        <v>825.90000000000009</v>
      </c>
      <c r="J165" s="24">
        <v>1929.8</v>
      </c>
      <c r="K165" s="22"/>
      <c r="L165" s="22"/>
      <c r="M165" s="22">
        <f>J165+I165</f>
        <v>2755.7</v>
      </c>
      <c r="N165" s="251" t="s">
        <v>361</v>
      </c>
      <c r="O165" s="276" t="s">
        <v>23</v>
      </c>
      <c r="P165" s="242" t="s">
        <v>281</v>
      </c>
      <c r="Q165" s="243" t="s">
        <v>148</v>
      </c>
    </row>
    <row r="166" spans="1:17" s="2" customFormat="1" ht="14.25" customHeight="1" x14ac:dyDescent="0.25">
      <c r="A166" s="248"/>
      <c r="B166" s="73" t="s">
        <v>21</v>
      </c>
      <c r="C166" s="239"/>
      <c r="D166" s="21"/>
      <c r="E166" s="22"/>
      <c r="F166" s="22"/>
      <c r="G166" s="22"/>
      <c r="H166" s="22"/>
      <c r="I166" s="23"/>
      <c r="J166" s="24"/>
      <c r="K166" s="22"/>
      <c r="L166" s="22"/>
      <c r="M166" s="22"/>
      <c r="N166" s="251"/>
      <c r="O166" s="276"/>
      <c r="P166" s="242"/>
      <c r="Q166" s="244"/>
    </row>
    <row r="167" spans="1:17" s="2" customFormat="1" ht="155.44999999999999" customHeight="1" x14ac:dyDescent="0.25">
      <c r="A167" s="248">
        <v>72</v>
      </c>
      <c r="B167" s="19" t="s">
        <v>110</v>
      </c>
      <c r="C167" s="239" t="s">
        <v>239</v>
      </c>
      <c r="D167" s="21">
        <v>113.2</v>
      </c>
      <c r="E167" s="22"/>
      <c r="F167" s="22"/>
      <c r="G167" s="22"/>
      <c r="H167" s="22"/>
      <c r="I167" s="23">
        <f t="shared" si="28"/>
        <v>113.2</v>
      </c>
      <c r="J167" s="24">
        <v>3638</v>
      </c>
      <c r="K167" s="22">
        <v>3074.8</v>
      </c>
      <c r="L167" s="22"/>
      <c r="M167" s="22">
        <f>I167+J167+K167</f>
        <v>6826</v>
      </c>
      <c r="N167" s="251" t="s">
        <v>362</v>
      </c>
      <c r="O167" s="276" t="s">
        <v>49</v>
      </c>
      <c r="P167" s="242" t="s">
        <v>285</v>
      </c>
      <c r="Q167" s="243" t="s">
        <v>148</v>
      </c>
    </row>
    <row r="168" spans="1:17" s="2" customFormat="1" ht="15.75" customHeight="1" x14ac:dyDescent="0.25">
      <c r="A168" s="248"/>
      <c r="B168" s="73" t="s">
        <v>21</v>
      </c>
      <c r="C168" s="239"/>
      <c r="D168" s="21">
        <v>112.9</v>
      </c>
      <c r="E168" s="22"/>
      <c r="F168" s="22"/>
      <c r="G168" s="22"/>
      <c r="H168" s="22"/>
      <c r="I168" s="23">
        <f>SUM(D168:H168)</f>
        <v>112.9</v>
      </c>
      <c r="J168" s="24"/>
      <c r="K168" s="22"/>
      <c r="L168" s="22"/>
      <c r="M168" s="22">
        <f>I168+J168+K168</f>
        <v>112.9</v>
      </c>
      <c r="N168" s="251"/>
      <c r="O168" s="276"/>
      <c r="P168" s="242"/>
      <c r="Q168" s="244"/>
    </row>
    <row r="169" spans="1:17" s="2" customFormat="1" ht="76.5" customHeight="1" x14ac:dyDescent="0.25">
      <c r="A169" s="248">
        <v>73</v>
      </c>
      <c r="B169" s="19" t="s">
        <v>363</v>
      </c>
      <c r="C169" s="239" t="s">
        <v>239</v>
      </c>
      <c r="D169" s="21"/>
      <c r="E169" s="22"/>
      <c r="F169" s="22"/>
      <c r="G169" s="22"/>
      <c r="H169" s="22"/>
      <c r="I169" s="23"/>
      <c r="J169" s="22">
        <v>800</v>
      </c>
      <c r="K169" s="22"/>
      <c r="L169" s="22"/>
      <c r="M169" s="22">
        <f>J169</f>
        <v>800</v>
      </c>
      <c r="N169" s="251" t="s">
        <v>111</v>
      </c>
      <c r="O169" s="251" t="s">
        <v>36</v>
      </c>
      <c r="P169" s="242" t="s">
        <v>147</v>
      </c>
      <c r="Q169" s="243" t="s">
        <v>148</v>
      </c>
    </row>
    <row r="170" spans="1:17" s="2" customFormat="1" ht="12.75" customHeight="1" x14ac:dyDescent="0.25">
      <c r="A170" s="248"/>
      <c r="B170" s="73" t="s">
        <v>21</v>
      </c>
      <c r="C170" s="239"/>
      <c r="D170" s="21"/>
      <c r="E170" s="22"/>
      <c r="F170" s="22"/>
      <c r="G170" s="22"/>
      <c r="H170" s="22"/>
      <c r="I170" s="23"/>
      <c r="J170" s="22">
        <v>20</v>
      </c>
      <c r="K170" s="22"/>
      <c r="L170" s="22"/>
      <c r="M170" s="22">
        <f>J170</f>
        <v>20</v>
      </c>
      <c r="N170" s="251"/>
      <c r="O170" s="251"/>
      <c r="P170" s="242"/>
      <c r="Q170" s="244"/>
    </row>
    <row r="171" spans="1:17" s="2" customFormat="1" ht="110.45" customHeight="1" x14ac:dyDescent="0.25">
      <c r="A171" s="249">
        <v>74</v>
      </c>
      <c r="B171" s="209" t="s">
        <v>133</v>
      </c>
      <c r="C171" s="279" t="s">
        <v>239</v>
      </c>
      <c r="D171" s="149">
        <v>779.6</v>
      </c>
      <c r="E171" s="147"/>
      <c r="F171" s="147"/>
      <c r="G171" s="147"/>
      <c r="H171" s="147"/>
      <c r="I171" s="145">
        <f>D171</f>
        <v>779.6</v>
      </c>
      <c r="J171" s="150">
        <v>200</v>
      </c>
      <c r="K171" s="147">
        <v>200</v>
      </c>
      <c r="L171" s="147">
        <v>200</v>
      </c>
      <c r="M171" s="147">
        <f>L171+K171+J171+I171</f>
        <v>1379.6</v>
      </c>
      <c r="N171" s="274" t="s">
        <v>364</v>
      </c>
      <c r="O171" s="341" t="s">
        <v>172</v>
      </c>
      <c r="P171" s="333" t="s">
        <v>147</v>
      </c>
      <c r="Q171" s="291" t="s">
        <v>148</v>
      </c>
    </row>
    <row r="172" spans="1:17" s="6" customFormat="1" ht="16.5" customHeight="1" x14ac:dyDescent="0.25">
      <c r="A172" s="249"/>
      <c r="B172" s="118" t="s">
        <v>21</v>
      </c>
      <c r="C172" s="279"/>
      <c r="D172" s="172"/>
      <c r="E172" s="170"/>
      <c r="F172" s="170"/>
      <c r="G172" s="170"/>
      <c r="H172" s="170"/>
      <c r="I172" s="116"/>
      <c r="J172" s="171"/>
      <c r="K172" s="170"/>
      <c r="L172" s="170"/>
      <c r="M172" s="170"/>
      <c r="N172" s="274"/>
      <c r="O172" s="341"/>
      <c r="P172" s="333"/>
      <c r="Q172" s="292"/>
    </row>
    <row r="173" spans="1:17" s="6" customFormat="1" ht="49.5" customHeight="1" x14ac:dyDescent="0.25">
      <c r="A173" s="249">
        <v>75</v>
      </c>
      <c r="B173" s="113" t="s">
        <v>134</v>
      </c>
      <c r="C173" s="279" t="s">
        <v>240</v>
      </c>
      <c r="D173" s="114">
        <f>5.6+22.1</f>
        <v>27.700000000000003</v>
      </c>
      <c r="E173" s="115"/>
      <c r="F173" s="115"/>
      <c r="G173" s="115"/>
      <c r="H173" s="115"/>
      <c r="I173" s="116">
        <f>D173</f>
        <v>27.700000000000003</v>
      </c>
      <c r="J173" s="117"/>
      <c r="K173" s="115"/>
      <c r="L173" s="115"/>
      <c r="M173" s="115">
        <f>L173+K173+J173+I173</f>
        <v>27.700000000000003</v>
      </c>
      <c r="N173" s="274" t="s">
        <v>139</v>
      </c>
      <c r="O173" s="341">
        <v>2019</v>
      </c>
      <c r="P173" s="333" t="s">
        <v>147</v>
      </c>
      <c r="Q173" s="291" t="s">
        <v>148</v>
      </c>
    </row>
    <row r="174" spans="1:17" s="6" customFormat="1" ht="12.75" customHeight="1" x14ac:dyDescent="0.25">
      <c r="A174" s="249"/>
      <c r="B174" s="118" t="s">
        <v>21</v>
      </c>
      <c r="C174" s="279"/>
      <c r="D174" s="114"/>
      <c r="E174" s="115"/>
      <c r="F174" s="115"/>
      <c r="G174" s="115"/>
      <c r="H174" s="115"/>
      <c r="I174" s="116"/>
      <c r="J174" s="117"/>
      <c r="K174" s="115"/>
      <c r="L174" s="115"/>
      <c r="M174" s="115"/>
      <c r="N174" s="274"/>
      <c r="O174" s="341"/>
      <c r="P174" s="333"/>
      <c r="Q174" s="292"/>
    </row>
    <row r="175" spans="1:17" s="6" customFormat="1" ht="30.75" customHeight="1" x14ac:dyDescent="0.25">
      <c r="A175" s="94"/>
      <c r="B175" s="95" t="s">
        <v>114</v>
      </c>
      <c r="C175" s="96" t="s">
        <v>115</v>
      </c>
      <c r="D175" s="97"/>
      <c r="E175" s="98"/>
      <c r="F175" s="98"/>
      <c r="G175" s="98"/>
      <c r="H175" s="98"/>
      <c r="I175" s="99"/>
      <c r="J175" s="100"/>
      <c r="K175" s="98"/>
      <c r="L175" s="98"/>
      <c r="M175" s="101"/>
      <c r="N175" s="102"/>
      <c r="O175" s="103"/>
      <c r="P175" s="104"/>
      <c r="Q175" s="104"/>
    </row>
    <row r="176" spans="1:17" s="6" customFormat="1" ht="36" customHeight="1" x14ac:dyDescent="0.25">
      <c r="A176" s="257">
        <v>76</v>
      </c>
      <c r="B176" s="71" t="s">
        <v>137</v>
      </c>
      <c r="C176" s="267" t="s">
        <v>241</v>
      </c>
      <c r="D176" s="172">
        <v>304.39999999999998</v>
      </c>
      <c r="E176" s="170"/>
      <c r="F176" s="170"/>
      <c r="G176" s="170"/>
      <c r="H176" s="170"/>
      <c r="I176" s="116">
        <f>D176</f>
        <v>304.39999999999998</v>
      </c>
      <c r="J176" s="171">
        <v>200</v>
      </c>
      <c r="K176" s="170">
        <v>200</v>
      </c>
      <c r="L176" s="170"/>
      <c r="M176" s="170">
        <f>L176+K176+J176+I176</f>
        <v>704.4</v>
      </c>
      <c r="N176" s="250" t="s">
        <v>273</v>
      </c>
      <c r="O176" s="342" t="s">
        <v>52</v>
      </c>
      <c r="P176" s="270" t="s">
        <v>147</v>
      </c>
      <c r="Q176" s="293" t="s">
        <v>148</v>
      </c>
    </row>
    <row r="177" spans="1:18" s="6" customFormat="1" x14ac:dyDescent="0.25">
      <c r="A177" s="257"/>
      <c r="B177" s="20" t="s">
        <v>21</v>
      </c>
      <c r="C177" s="267"/>
      <c r="D177" s="172">
        <f>49.7+7.4+6</f>
        <v>63.1</v>
      </c>
      <c r="E177" s="170"/>
      <c r="F177" s="170"/>
      <c r="G177" s="170"/>
      <c r="H177" s="170"/>
      <c r="I177" s="116">
        <f>D177</f>
        <v>63.1</v>
      </c>
      <c r="J177" s="171"/>
      <c r="K177" s="170"/>
      <c r="L177" s="170"/>
      <c r="M177" s="170">
        <f>I177</f>
        <v>63.1</v>
      </c>
      <c r="N177" s="250"/>
      <c r="O177" s="342"/>
      <c r="P177" s="270"/>
      <c r="Q177" s="294"/>
    </row>
    <row r="178" spans="1:18" s="2" customFormat="1" ht="76.5" customHeight="1" x14ac:dyDescent="0.25">
      <c r="A178" s="238">
        <v>77</v>
      </c>
      <c r="B178" s="19" t="s">
        <v>192</v>
      </c>
      <c r="C178" s="239" t="s">
        <v>241</v>
      </c>
      <c r="D178" s="21"/>
      <c r="E178" s="22"/>
      <c r="F178" s="22"/>
      <c r="G178" s="22"/>
      <c r="H178" s="22"/>
      <c r="I178" s="23"/>
      <c r="J178" s="24">
        <v>100</v>
      </c>
      <c r="K178" s="22">
        <v>100</v>
      </c>
      <c r="L178" s="22"/>
      <c r="M178" s="22">
        <f>L178+K178+J178+I178</f>
        <v>200</v>
      </c>
      <c r="N178" s="251" t="s">
        <v>201</v>
      </c>
      <c r="O178" s="241" t="s">
        <v>43</v>
      </c>
      <c r="P178" s="242" t="s">
        <v>193</v>
      </c>
      <c r="Q178" s="243" t="s">
        <v>149</v>
      </c>
    </row>
    <row r="179" spans="1:18" s="9" customFormat="1" x14ac:dyDescent="0.2">
      <c r="A179" s="238"/>
      <c r="B179" s="73" t="s">
        <v>42</v>
      </c>
      <c r="C179" s="239"/>
      <c r="D179" s="21"/>
      <c r="E179" s="22"/>
      <c r="F179" s="22"/>
      <c r="G179" s="22"/>
      <c r="H179" s="22"/>
      <c r="I179" s="23"/>
      <c r="J179" s="24"/>
      <c r="K179" s="22"/>
      <c r="L179" s="22"/>
      <c r="M179" s="22"/>
      <c r="N179" s="251"/>
      <c r="O179" s="241"/>
      <c r="P179" s="242"/>
      <c r="Q179" s="244"/>
    </row>
    <row r="180" spans="1:18" s="2" customFormat="1" ht="38.25" customHeight="1" x14ac:dyDescent="0.25">
      <c r="A180" s="238">
        <v>78</v>
      </c>
      <c r="B180" s="19" t="s">
        <v>189</v>
      </c>
      <c r="C180" s="239" t="s">
        <v>241</v>
      </c>
      <c r="D180" s="224"/>
      <c r="E180" s="22"/>
      <c r="F180" s="22"/>
      <c r="G180" s="22"/>
      <c r="H180" s="22"/>
      <c r="I180" s="23"/>
      <c r="J180" s="24">
        <v>30</v>
      </c>
      <c r="K180" s="22">
        <v>30</v>
      </c>
      <c r="L180" s="22"/>
      <c r="M180" s="22">
        <f>L180+K180+J180+I180</f>
        <v>60</v>
      </c>
      <c r="N180" s="250" t="s">
        <v>365</v>
      </c>
      <c r="O180" s="241" t="s">
        <v>49</v>
      </c>
      <c r="P180" s="242" t="s">
        <v>147</v>
      </c>
      <c r="Q180" s="243" t="s">
        <v>148</v>
      </c>
    </row>
    <row r="181" spans="1:18" s="9" customFormat="1" x14ac:dyDescent="0.2">
      <c r="A181" s="238"/>
      <c r="B181" s="73" t="s">
        <v>42</v>
      </c>
      <c r="C181" s="239"/>
      <c r="D181" s="21"/>
      <c r="E181" s="22"/>
      <c r="F181" s="22"/>
      <c r="G181" s="22"/>
      <c r="H181" s="22"/>
      <c r="I181" s="23"/>
      <c r="J181" s="24"/>
      <c r="K181" s="22"/>
      <c r="L181" s="22"/>
      <c r="M181" s="22"/>
      <c r="N181" s="250"/>
      <c r="O181" s="241"/>
      <c r="P181" s="242"/>
      <c r="Q181" s="244"/>
    </row>
    <row r="182" spans="1:18" s="9" customFormat="1" ht="93" customHeight="1" x14ac:dyDescent="0.2">
      <c r="A182" s="238">
        <v>79</v>
      </c>
      <c r="B182" s="19" t="s">
        <v>116</v>
      </c>
      <c r="C182" s="239" t="s">
        <v>241</v>
      </c>
      <c r="D182" s="149">
        <v>57</v>
      </c>
      <c r="E182" s="147"/>
      <c r="F182" s="147"/>
      <c r="G182" s="147"/>
      <c r="H182" s="147"/>
      <c r="I182" s="145">
        <f>D182</f>
        <v>57</v>
      </c>
      <c r="J182" s="24">
        <v>2000</v>
      </c>
      <c r="K182" s="22">
        <v>5000</v>
      </c>
      <c r="L182" s="22">
        <v>202.6</v>
      </c>
      <c r="M182" s="22">
        <f>L182+K182+J182+I182+15.4</f>
        <v>7275</v>
      </c>
      <c r="N182" s="250" t="s">
        <v>293</v>
      </c>
      <c r="O182" s="276" t="s">
        <v>294</v>
      </c>
      <c r="P182" s="340" t="s">
        <v>176</v>
      </c>
      <c r="Q182" s="243" t="s">
        <v>148</v>
      </c>
      <c r="R182" s="225"/>
    </row>
    <row r="183" spans="1:18" s="9" customFormat="1" ht="13.5" customHeight="1" x14ac:dyDescent="0.2">
      <c r="A183" s="238"/>
      <c r="B183" s="73" t="s">
        <v>21</v>
      </c>
      <c r="C183" s="239"/>
      <c r="D183" s="224"/>
      <c r="E183" s="226"/>
      <c r="F183" s="226"/>
      <c r="G183" s="226"/>
      <c r="H183" s="226"/>
      <c r="I183" s="227"/>
      <c r="J183" s="24">
        <v>200</v>
      </c>
      <c r="K183" s="22"/>
      <c r="L183" s="22"/>
      <c r="M183" s="22">
        <f>I183+J183</f>
        <v>200</v>
      </c>
      <c r="N183" s="250"/>
      <c r="O183" s="276"/>
      <c r="P183" s="340"/>
      <c r="Q183" s="244"/>
    </row>
    <row r="184" spans="1:18" s="9" customFormat="1" ht="33.75" customHeight="1" x14ac:dyDescent="0.2">
      <c r="A184" s="260">
        <v>80</v>
      </c>
      <c r="B184" s="228" t="s">
        <v>138</v>
      </c>
      <c r="C184" s="271" t="s">
        <v>241</v>
      </c>
      <c r="D184" s="229">
        <v>46.6</v>
      </c>
      <c r="E184" s="230"/>
      <c r="F184" s="230"/>
      <c r="G184" s="230"/>
      <c r="H184" s="230"/>
      <c r="I184" s="145">
        <f>D184</f>
        <v>46.6</v>
      </c>
      <c r="J184" s="231">
        <v>90</v>
      </c>
      <c r="K184" s="230">
        <v>90</v>
      </c>
      <c r="L184" s="230">
        <v>90</v>
      </c>
      <c r="M184" s="147">
        <f>L184+K184+J184+I184</f>
        <v>316.60000000000002</v>
      </c>
      <c r="N184" s="338" t="s">
        <v>366</v>
      </c>
      <c r="O184" s="338" t="s">
        <v>172</v>
      </c>
      <c r="P184" s="336" t="s">
        <v>159</v>
      </c>
      <c r="Q184" s="289" t="s">
        <v>148</v>
      </c>
    </row>
    <row r="185" spans="1:18" s="9" customFormat="1" ht="13.5" customHeight="1" x14ac:dyDescent="0.2">
      <c r="A185" s="260"/>
      <c r="B185" s="148" t="s">
        <v>21</v>
      </c>
      <c r="C185" s="271"/>
      <c r="D185" s="229">
        <v>12</v>
      </c>
      <c r="E185" s="230"/>
      <c r="F185" s="230"/>
      <c r="G185" s="230"/>
      <c r="H185" s="230"/>
      <c r="I185" s="145">
        <f>D185</f>
        <v>12</v>
      </c>
      <c r="J185" s="231"/>
      <c r="K185" s="230"/>
      <c r="L185" s="230"/>
      <c r="M185" s="147">
        <f>I185</f>
        <v>12</v>
      </c>
      <c r="N185" s="338"/>
      <c r="O185" s="338"/>
      <c r="P185" s="337"/>
      <c r="Q185" s="290"/>
    </row>
    <row r="186" spans="1:18" s="9" customFormat="1" ht="156.6" customHeight="1" x14ac:dyDescent="0.2">
      <c r="A186" s="238">
        <v>81</v>
      </c>
      <c r="B186" s="19" t="s">
        <v>142</v>
      </c>
      <c r="C186" s="239" t="s">
        <v>243</v>
      </c>
      <c r="D186" s="229">
        <v>24.54</v>
      </c>
      <c r="E186" s="22">
        <v>460.7</v>
      </c>
      <c r="F186" s="22">
        <v>1244</v>
      </c>
      <c r="G186" s="22">
        <v>107.07</v>
      </c>
      <c r="H186" s="22"/>
      <c r="I186" s="23">
        <f>SUM(D186:H186)</f>
        <v>1836.31</v>
      </c>
      <c r="J186" s="24"/>
      <c r="K186" s="22"/>
      <c r="L186" s="22"/>
      <c r="M186" s="22">
        <f>I186+J186</f>
        <v>1836.31</v>
      </c>
      <c r="N186" s="251" t="s">
        <v>367</v>
      </c>
      <c r="O186" s="276" t="s">
        <v>118</v>
      </c>
      <c r="P186" s="242" t="s">
        <v>289</v>
      </c>
      <c r="Q186" s="243" t="s">
        <v>148</v>
      </c>
    </row>
    <row r="187" spans="1:18" s="9" customFormat="1" ht="13.5" customHeight="1" x14ac:dyDescent="0.2">
      <c r="A187" s="238"/>
      <c r="B187" s="73" t="s">
        <v>21</v>
      </c>
      <c r="C187" s="239"/>
      <c r="D187" s="229">
        <v>0.6</v>
      </c>
      <c r="E187" s="22"/>
      <c r="F187" s="22"/>
      <c r="G187" s="22"/>
      <c r="H187" s="22"/>
      <c r="I187" s="23">
        <f>SUM(D187:H187)</f>
        <v>0.6</v>
      </c>
      <c r="J187" s="24"/>
      <c r="K187" s="22"/>
      <c r="L187" s="22"/>
      <c r="M187" s="22">
        <f>I187</f>
        <v>0.6</v>
      </c>
      <c r="N187" s="251"/>
      <c r="O187" s="276"/>
      <c r="P187" s="242"/>
      <c r="Q187" s="244"/>
    </row>
    <row r="188" spans="1:18" s="9" customFormat="1" ht="153" customHeight="1" x14ac:dyDescent="0.2">
      <c r="A188" s="238">
        <v>82</v>
      </c>
      <c r="B188" s="19" t="s">
        <v>119</v>
      </c>
      <c r="C188" s="239" t="s">
        <v>244</v>
      </c>
      <c r="D188" s="21"/>
      <c r="E188" s="22">
        <v>319.60000000000002</v>
      </c>
      <c r="F188" s="22">
        <v>383.6</v>
      </c>
      <c r="G188" s="22">
        <v>47.8</v>
      </c>
      <c r="H188" s="22"/>
      <c r="I188" s="23">
        <f t="shared" ref="I188" si="29">SUM(D188:H188)</f>
        <v>751</v>
      </c>
      <c r="J188" s="24">
        <v>172.2</v>
      </c>
      <c r="K188" s="22"/>
      <c r="L188" s="22"/>
      <c r="M188" s="22">
        <f>I188+J188+K188</f>
        <v>923.2</v>
      </c>
      <c r="N188" s="251" t="s">
        <v>236</v>
      </c>
      <c r="O188" s="251" t="s">
        <v>49</v>
      </c>
      <c r="P188" s="242" t="s">
        <v>158</v>
      </c>
      <c r="Q188" s="243" t="s">
        <v>148</v>
      </c>
    </row>
    <row r="189" spans="1:18" s="9" customFormat="1" ht="28.9" customHeight="1" x14ac:dyDescent="0.2">
      <c r="A189" s="238"/>
      <c r="B189" s="73" t="s">
        <v>21</v>
      </c>
      <c r="C189" s="239"/>
      <c r="D189" s="21"/>
      <c r="E189" s="22"/>
      <c r="F189" s="22"/>
      <c r="G189" s="22"/>
      <c r="H189" s="22"/>
      <c r="I189" s="23"/>
      <c r="J189" s="24"/>
      <c r="K189" s="22"/>
      <c r="L189" s="22"/>
      <c r="M189" s="22"/>
      <c r="N189" s="251"/>
      <c r="O189" s="251"/>
      <c r="P189" s="242"/>
      <c r="Q189" s="244"/>
    </row>
    <row r="190" spans="1:18" s="9" customFormat="1" ht="113.25" customHeight="1" x14ac:dyDescent="0.2">
      <c r="A190" s="238">
        <v>83</v>
      </c>
      <c r="B190" s="202" t="s">
        <v>117</v>
      </c>
      <c r="C190" s="239" t="s">
        <v>242</v>
      </c>
      <c r="D190" s="229">
        <v>45.14</v>
      </c>
      <c r="E190" s="230"/>
      <c r="F190" s="230"/>
      <c r="G190" s="230"/>
      <c r="H190" s="230"/>
      <c r="I190" s="145">
        <f t="shared" ref="I190:I191" si="30">SUM(D190:H190)</f>
        <v>45.14</v>
      </c>
      <c r="J190" s="231">
        <v>44.01</v>
      </c>
      <c r="K190" s="230">
        <v>66.010000000000005</v>
      </c>
      <c r="L190" s="230"/>
      <c r="M190" s="147">
        <f>I190+J190+K190</f>
        <v>155.16000000000003</v>
      </c>
      <c r="N190" s="240" t="s">
        <v>368</v>
      </c>
      <c r="O190" s="240" t="s">
        <v>78</v>
      </c>
      <c r="P190" s="288" t="s">
        <v>290</v>
      </c>
      <c r="Q190" s="243" t="s">
        <v>148</v>
      </c>
    </row>
    <row r="191" spans="1:18" s="9" customFormat="1" ht="13.5" customHeight="1" x14ac:dyDescent="0.2">
      <c r="A191" s="238"/>
      <c r="B191" s="84" t="s">
        <v>21</v>
      </c>
      <c r="C191" s="239"/>
      <c r="D191" s="229">
        <v>45.14</v>
      </c>
      <c r="E191" s="230"/>
      <c r="F191" s="230"/>
      <c r="G191" s="230"/>
      <c r="H191" s="230"/>
      <c r="I191" s="145">
        <f t="shared" si="30"/>
        <v>45.14</v>
      </c>
      <c r="J191" s="231"/>
      <c r="K191" s="230"/>
      <c r="L191" s="230"/>
      <c r="M191" s="147"/>
      <c r="N191" s="240"/>
      <c r="O191" s="240"/>
      <c r="P191" s="288"/>
      <c r="Q191" s="244"/>
    </row>
    <row r="192" spans="1:18" s="2" customFormat="1" ht="81" customHeight="1" x14ac:dyDescent="0.25">
      <c r="A192" s="238">
        <v>84</v>
      </c>
      <c r="B192" s="19" t="s">
        <v>259</v>
      </c>
      <c r="C192" s="239" t="s">
        <v>245</v>
      </c>
      <c r="D192" s="21">
        <v>18.399999999999999</v>
      </c>
      <c r="E192" s="22"/>
      <c r="F192" s="22"/>
      <c r="G192" s="22"/>
      <c r="H192" s="22"/>
      <c r="I192" s="23">
        <f t="shared" ref="I192:I194" si="31">D192</f>
        <v>18.399999999999999</v>
      </c>
      <c r="J192" s="24">
        <v>200</v>
      </c>
      <c r="K192" s="22"/>
      <c r="L192" s="22"/>
      <c r="M192" s="22">
        <f>I192+J192+K192+L192</f>
        <v>218.4</v>
      </c>
      <c r="N192" s="250" t="s">
        <v>262</v>
      </c>
      <c r="O192" s="241" t="s">
        <v>78</v>
      </c>
      <c r="P192" s="242" t="s">
        <v>175</v>
      </c>
      <c r="Q192" s="243" t="s">
        <v>148</v>
      </c>
    </row>
    <row r="193" spans="1:17" s="2" customFormat="1" ht="13.5" customHeight="1" x14ac:dyDescent="0.25">
      <c r="A193" s="238"/>
      <c r="B193" s="73" t="s">
        <v>21</v>
      </c>
      <c r="C193" s="239"/>
      <c r="D193" s="21">
        <v>18.399999999999999</v>
      </c>
      <c r="E193" s="22"/>
      <c r="F193" s="22"/>
      <c r="G193" s="22"/>
      <c r="H193" s="22"/>
      <c r="I193" s="23">
        <f t="shared" si="31"/>
        <v>18.399999999999999</v>
      </c>
      <c r="J193" s="24">
        <v>10</v>
      </c>
      <c r="K193" s="22"/>
      <c r="L193" s="22"/>
      <c r="M193" s="22">
        <f>K193+J193+I193</f>
        <v>28.4</v>
      </c>
      <c r="N193" s="250"/>
      <c r="O193" s="241"/>
      <c r="P193" s="242"/>
      <c r="Q193" s="244"/>
    </row>
    <row r="194" spans="1:17" s="2" customFormat="1" ht="54.75" customHeight="1" x14ac:dyDescent="0.25">
      <c r="A194" s="238">
        <v>85</v>
      </c>
      <c r="B194" s="19" t="s">
        <v>260</v>
      </c>
      <c r="C194" s="239" t="s">
        <v>245</v>
      </c>
      <c r="D194" s="21">
        <v>118.4</v>
      </c>
      <c r="E194" s="22"/>
      <c r="F194" s="22"/>
      <c r="G194" s="22"/>
      <c r="H194" s="22"/>
      <c r="I194" s="23">
        <f t="shared" si="31"/>
        <v>118.4</v>
      </c>
      <c r="J194" s="177"/>
      <c r="K194" s="176"/>
      <c r="L194" s="176"/>
      <c r="M194" s="176">
        <f>I194+J194+K194</f>
        <v>118.4</v>
      </c>
      <c r="N194" s="274" t="s">
        <v>369</v>
      </c>
      <c r="O194" s="269">
        <v>2019</v>
      </c>
      <c r="P194" s="270" t="s">
        <v>175</v>
      </c>
      <c r="Q194" s="243" t="s">
        <v>148</v>
      </c>
    </row>
    <row r="195" spans="1:17" s="2" customFormat="1" x14ac:dyDescent="0.25">
      <c r="A195" s="238"/>
      <c r="B195" s="73" t="s">
        <v>21</v>
      </c>
      <c r="C195" s="239"/>
      <c r="D195" s="21"/>
      <c r="E195" s="22"/>
      <c r="F195" s="22"/>
      <c r="G195" s="22"/>
      <c r="H195" s="22"/>
      <c r="I195" s="23"/>
      <c r="J195" s="177"/>
      <c r="K195" s="176"/>
      <c r="L195" s="176"/>
      <c r="M195" s="176"/>
      <c r="N195" s="274"/>
      <c r="O195" s="269"/>
      <c r="P195" s="270"/>
      <c r="Q195" s="244"/>
    </row>
    <row r="196" spans="1:17" s="2" customFormat="1" ht="48.75" customHeight="1" x14ac:dyDescent="0.25">
      <c r="A196" s="260">
        <v>86</v>
      </c>
      <c r="B196" s="232" t="s">
        <v>370</v>
      </c>
      <c r="C196" s="271" t="s">
        <v>245</v>
      </c>
      <c r="D196" s="149">
        <v>90</v>
      </c>
      <c r="E196" s="147"/>
      <c r="F196" s="147"/>
      <c r="G196" s="147"/>
      <c r="H196" s="147"/>
      <c r="I196" s="145">
        <f>D196+H196</f>
        <v>90</v>
      </c>
      <c r="J196" s="150"/>
      <c r="K196" s="147"/>
      <c r="L196" s="147"/>
      <c r="M196" s="147">
        <f>I196+J196+K196</f>
        <v>90</v>
      </c>
      <c r="N196" s="250" t="s">
        <v>371</v>
      </c>
      <c r="O196" s="241">
        <v>2019</v>
      </c>
      <c r="P196" s="326" t="s">
        <v>175</v>
      </c>
      <c r="Q196" s="243" t="s">
        <v>149</v>
      </c>
    </row>
    <row r="197" spans="1:17" s="2" customFormat="1" x14ac:dyDescent="0.25">
      <c r="A197" s="260"/>
      <c r="B197" s="218" t="s">
        <v>21</v>
      </c>
      <c r="C197" s="271"/>
      <c r="D197" s="224"/>
      <c r="E197" s="226"/>
      <c r="F197" s="226"/>
      <c r="G197" s="226"/>
      <c r="H197" s="226"/>
      <c r="I197" s="227"/>
      <c r="J197" s="233"/>
      <c r="K197" s="226"/>
      <c r="L197" s="226"/>
      <c r="M197" s="226"/>
      <c r="N197" s="250"/>
      <c r="O197" s="241"/>
      <c r="P197" s="326"/>
      <c r="Q197" s="244"/>
    </row>
    <row r="198" spans="1:17" s="2" customFormat="1" ht="38.25" customHeight="1" x14ac:dyDescent="0.25">
      <c r="A198" s="260">
        <v>87</v>
      </c>
      <c r="B198" s="232" t="s">
        <v>190</v>
      </c>
      <c r="C198" s="271" t="s">
        <v>245</v>
      </c>
      <c r="D198" s="149">
        <f>54.35</f>
        <v>54.35</v>
      </c>
      <c r="E198" s="147"/>
      <c r="F198" s="147"/>
      <c r="G198" s="147"/>
      <c r="H198" s="147"/>
      <c r="I198" s="145">
        <f>D198</f>
        <v>54.35</v>
      </c>
      <c r="J198" s="24">
        <v>70</v>
      </c>
      <c r="K198" s="226"/>
      <c r="L198" s="147"/>
      <c r="M198" s="147">
        <f>I198+J198+K198</f>
        <v>124.35</v>
      </c>
      <c r="N198" s="344" t="s">
        <v>191</v>
      </c>
      <c r="O198" s="241" t="s">
        <v>43</v>
      </c>
      <c r="P198" s="326" t="s">
        <v>175</v>
      </c>
      <c r="Q198" s="243" t="s">
        <v>149</v>
      </c>
    </row>
    <row r="199" spans="1:17" s="2" customFormat="1" x14ac:dyDescent="0.25">
      <c r="A199" s="260"/>
      <c r="B199" s="218" t="s">
        <v>21</v>
      </c>
      <c r="C199" s="271"/>
      <c r="D199" s="149">
        <v>12</v>
      </c>
      <c r="E199" s="147"/>
      <c r="F199" s="147"/>
      <c r="G199" s="147"/>
      <c r="H199" s="147"/>
      <c r="I199" s="145">
        <f>D199</f>
        <v>12</v>
      </c>
      <c r="J199" s="150"/>
      <c r="K199" s="147"/>
      <c r="L199" s="147"/>
      <c r="M199" s="147">
        <f>I199</f>
        <v>12</v>
      </c>
      <c r="N199" s="345"/>
      <c r="O199" s="241"/>
      <c r="P199" s="326"/>
      <c r="Q199" s="244"/>
    </row>
    <row r="200" spans="1:17" s="2" customFormat="1" ht="44.25" customHeight="1" x14ac:dyDescent="0.25">
      <c r="A200" s="260">
        <v>88</v>
      </c>
      <c r="B200" s="232" t="s">
        <v>373</v>
      </c>
      <c r="C200" s="271" t="s">
        <v>245</v>
      </c>
      <c r="D200" s="149">
        <f>D201</f>
        <v>52.03</v>
      </c>
      <c r="E200" s="147"/>
      <c r="F200" s="147"/>
      <c r="G200" s="147"/>
      <c r="H200" s="147"/>
      <c r="I200" s="145">
        <f>D200</f>
        <v>52.03</v>
      </c>
      <c r="J200" s="150">
        <v>450</v>
      </c>
      <c r="K200" s="147"/>
      <c r="L200" s="147"/>
      <c r="M200" s="147">
        <f>I200+J200+K200</f>
        <v>502.03</v>
      </c>
      <c r="N200" s="357" t="s">
        <v>374</v>
      </c>
      <c r="O200" s="241" t="s">
        <v>24</v>
      </c>
      <c r="P200" s="326" t="s">
        <v>301</v>
      </c>
      <c r="Q200" s="243" t="s">
        <v>149</v>
      </c>
    </row>
    <row r="201" spans="1:17" s="2" customFormat="1" ht="16.899999999999999" customHeight="1" x14ac:dyDescent="0.25">
      <c r="A201" s="260"/>
      <c r="B201" s="218" t="s">
        <v>21</v>
      </c>
      <c r="C201" s="271"/>
      <c r="D201" s="149">
        <v>52.03</v>
      </c>
      <c r="E201" s="147"/>
      <c r="F201" s="147"/>
      <c r="G201" s="147"/>
      <c r="H201" s="147"/>
      <c r="I201" s="145">
        <f>D201</f>
        <v>52.03</v>
      </c>
      <c r="J201" s="150"/>
      <c r="K201" s="147"/>
      <c r="L201" s="147"/>
      <c r="M201" s="147">
        <f>I201+J201</f>
        <v>52.03</v>
      </c>
      <c r="N201" s="345"/>
      <c r="O201" s="241"/>
      <c r="P201" s="326"/>
      <c r="Q201" s="244"/>
    </row>
    <row r="202" spans="1:17" s="2" customFormat="1" ht="36" customHeight="1" x14ac:dyDescent="0.25">
      <c r="A202" s="260">
        <v>89</v>
      </c>
      <c r="B202" s="234" t="s">
        <v>180</v>
      </c>
      <c r="C202" s="271" t="s">
        <v>245</v>
      </c>
      <c r="D202" s="149">
        <v>50</v>
      </c>
      <c r="E202" s="147"/>
      <c r="F202" s="147"/>
      <c r="G202" s="147"/>
      <c r="H202" s="147"/>
      <c r="I202" s="145">
        <v>50</v>
      </c>
      <c r="J202" s="150">
        <v>500</v>
      </c>
      <c r="K202" s="147"/>
      <c r="L202" s="147"/>
      <c r="M202" s="147">
        <f>I202+J202+K202</f>
        <v>550</v>
      </c>
      <c r="N202" s="358" t="s">
        <v>372</v>
      </c>
      <c r="O202" s="241" t="s">
        <v>24</v>
      </c>
      <c r="P202" s="242" t="s">
        <v>301</v>
      </c>
      <c r="Q202" s="243" t="s">
        <v>149</v>
      </c>
    </row>
    <row r="203" spans="1:17" s="2" customFormat="1" x14ac:dyDescent="0.25">
      <c r="A203" s="260"/>
      <c r="B203" s="218" t="s">
        <v>21</v>
      </c>
      <c r="C203" s="271"/>
      <c r="D203" s="149">
        <v>50</v>
      </c>
      <c r="E203" s="147"/>
      <c r="F203" s="147"/>
      <c r="G203" s="147"/>
      <c r="H203" s="147"/>
      <c r="I203" s="145">
        <v>50</v>
      </c>
      <c r="J203" s="235"/>
      <c r="K203" s="147"/>
      <c r="L203" s="147"/>
      <c r="M203" s="147">
        <f>D203</f>
        <v>50</v>
      </c>
      <c r="N203" s="359"/>
      <c r="O203" s="241"/>
      <c r="P203" s="242"/>
      <c r="Q203" s="244"/>
    </row>
    <row r="204" spans="1:17" s="2" customFormat="1" ht="43.5" customHeight="1" x14ac:dyDescent="0.25">
      <c r="A204" s="260">
        <v>90</v>
      </c>
      <c r="B204" s="209" t="s">
        <v>261</v>
      </c>
      <c r="C204" s="271" t="s">
        <v>245</v>
      </c>
      <c r="D204" s="149"/>
      <c r="E204" s="147"/>
      <c r="F204" s="147"/>
      <c r="G204" s="147"/>
      <c r="H204" s="147"/>
      <c r="I204" s="145"/>
      <c r="J204" s="150">
        <v>25</v>
      </c>
      <c r="K204" s="147"/>
      <c r="L204" s="147"/>
      <c r="M204" s="147">
        <f>I204+J204+K204</f>
        <v>25</v>
      </c>
      <c r="N204" s="250" t="s">
        <v>168</v>
      </c>
      <c r="O204" s="241">
        <v>2020</v>
      </c>
      <c r="P204" s="242" t="s">
        <v>175</v>
      </c>
      <c r="Q204" s="243" t="s">
        <v>149</v>
      </c>
    </row>
    <row r="205" spans="1:17" s="2" customFormat="1" x14ac:dyDescent="0.25">
      <c r="A205" s="260"/>
      <c r="B205" s="218" t="s">
        <v>21</v>
      </c>
      <c r="C205" s="271"/>
      <c r="D205" s="149"/>
      <c r="E205" s="147"/>
      <c r="F205" s="147"/>
      <c r="G205" s="147"/>
      <c r="H205" s="147"/>
      <c r="I205" s="145"/>
      <c r="J205" s="150"/>
      <c r="K205" s="147"/>
      <c r="L205" s="147"/>
      <c r="M205" s="147"/>
      <c r="N205" s="250"/>
      <c r="O205" s="241"/>
      <c r="P205" s="242"/>
      <c r="Q205" s="244"/>
    </row>
    <row r="206" spans="1:17" s="11" customFormat="1" ht="27" customHeight="1" x14ac:dyDescent="0.2">
      <c r="A206" s="165"/>
      <c r="B206" s="91" t="s">
        <v>120</v>
      </c>
      <c r="C206" s="92" t="s">
        <v>121</v>
      </c>
      <c r="D206" s="63"/>
      <c r="E206" s="64"/>
      <c r="F206" s="64"/>
      <c r="G206" s="64"/>
      <c r="H206" s="64"/>
      <c r="I206" s="74"/>
      <c r="J206" s="66"/>
      <c r="K206" s="64"/>
      <c r="L206" s="64"/>
      <c r="M206" s="75"/>
      <c r="N206" s="67"/>
      <c r="O206" s="68"/>
      <c r="P206" s="69"/>
      <c r="Q206" s="69"/>
    </row>
    <row r="207" spans="1:17" ht="77.25" customHeight="1" x14ac:dyDescent="0.25">
      <c r="A207" s="247">
        <v>91</v>
      </c>
      <c r="B207" s="71" t="s">
        <v>122</v>
      </c>
      <c r="C207" s="267" t="s">
        <v>247</v>
      </c>
      <c r="D207" s="110">
        <v>11.5</v>
      </c>
      <c r="E207" s="111"/>
      <c r="F207" s="111"/>
      <c r="G207" s="111"/>
      <c r="H207" s="111"/>
      <c r="I207" s="72">
        <f t="shared" ref="I207" si="32">SUM(D207:H207)</f>
        <v>11.5</v>
      </c>
      <c r="J207" s="112">
        <v>100</v>
      </c>
      <c r="K207" s="111">
        <v>50</v>
      </c>
      <c r="L207" s="111">
        <v>50</v>
      </c>
      <c r="M207" s="111">
        <f>L207+K207+J207+I207</f>
        <v>211.5</v>
      </c>
      <c r="N207" s="282" t="s">
        <v>297</v>
      </c>
      <c r="O207" s="269" t="s">
        <v>64</v>
      </c>
      <c r="P207" s="270" t="s">
        <v>123</v>
      </c>
      <c r="Q207" s="293" t="s">
        <v>148</v>
      </c>
    </row>
    <row r="208" spans="1:17" s="11" customFormat="1" x14ac:dyDescent="0.2">
      <c r="A208" s="247"/>
      <c r="B208" s="20" t="s">
        <v>21</v>
      </c>
      <c r="C208" s="267"/>
      <c r="D208" s="110"/>
      <c r="E208" s="111"/>
      <c r="F208" s="111"/>
      <c r="G208" s="111"/>
      <c r="H208" s="111"/>
      <c r="I208" s="72"/>
      <c r="J208" s="112"/>
      <c r="K208" s="111"/>
      <c r="L208" s="111"/>
      <c r="M208" s="111"/>
      <c r="N208" s="282"/>
      <c r="O208" s="269"/>
      <c r="P208" s="270"/>
      <c r="Q208" s="294"/>
    </row>
    <row r="209" spans="1:17" s="2" customFormat="1" ht="109.5" customHeight="1" x14ac:dyDescent="0.25">
      <c r="A209" s="248">
        <v>92</v>
      </c>
      <c r="B209" s="19" t="s">
        <v>167</v>
      </c>
      <c r="C209" s="239" t="s">
        <v>248</v>
      </c>
      <c r="D209" s="21"/>
      <c r="E209" s="22"/>
      <c r="F209" s="22"/>
      <c r="G209" s="22"/>
      <c r="H209" s="22"/>
      <c r="I209" s="23"/>
      <c r="J209" s="24">
        <f>90+20</f>
        <v>110</v>
      </c>
      <c r="K209" s="22">
        <v>150</v>
      </c>
      <c r="L209" s="22">
        <v>40</v>
      </c>
      <c r="M209" s="22">
        <f>I209+K209+L209+J209</f>
        <v>300</v>
      </c>
      <c r="N209" s="251" t="s">
        <v>375</v>
      </c>
      <c r="O209" s="241" t="s">
        <v>302</v>
      </c>
      <c r="P209" s="242" t="s">
        <v>166</v>
      </c>
      <c r="Q209" s="243" t="s">
        <v>149</v>
      </c>
    </row>
    <row r="210" spans="1:17" s="9" customFormat="1" x14ac:dyDescent="0.2">
      <c r="A210" s="248"/>
      <c r="B210" s="73" t="s">
        <v>21</v>
      </c>
      <c r="C210" s="239"/>
      <c r="D210" s="21"/>
      <c r="E210" s="22"/>
      <c r="F210" s="22"/>
      <c r="G210" s="22"/>
      <c r="H210" s="22"/>
      <c r="I210" s="23"/>
      <c r="J210" s="24"/>
      <c r="K210" s="22"/>
      <c r="L210" s="22"/>
      <c r="M210" s="22"/>
      <c r="N210" s="251"/>
      <c r="O210" s="241"/>
      <c r="P210" s="242"/>
      <c r="Q210" s="244"/>
    </row>
    <row r="211" spans="1:17" s="2" customFormat="1" ht="64.150000000000006" customHeight="1" x14ac:dyDescent="0.25">
      <c r="A211" s="238">
        <v>93</v>
      </c>
      <c r="B211" s="19" t="s">
        <v>277</v>
      </c>
      <c r="C211" s="239" t="s">
        <v>278</v>
      </c>
      <c r="D211" s="149">
        <v>66.5</v>
      </c>
      <c r="E211" s="22"/>
      <c r="F211" s="22"/>
      <c r="G211" s="22"/>
      <c r="H211" s="22"/>
      <c r="I211" s="23">
        <f>SUM(D211:H211)</f>
        <v>66.5</v>
      </c>
      <c r="J211" s="24"/>
      <c r="K211" s="22"/>
      <c r="L211" s="22"/>
      <c r="M211" s="22">
        <f>I211</f>
        <v>66.5</v>
      </c>
      <c r="N211" s="251" t="s">
        <v>279</v>
      </c>
      <c r="O211" s="241">
        <v>2019</v>
      </c>
      <c r="P211" s="242" t="s">
        <v>280</v>
      </c>
      <c r="Q211" s="243" t="s">
        <v>148</v>
      </c>
    </row>
    <row r="212" spans="1:17" s="2" customFormat="1" x14ac:dyDescent="0.25">
      <c r="A212" s="238"/>
      <c r="B212" s="73" t="s">
        <v>21</v>
      </c>
      <c r="C212" s="239"/>
      <c r="D212" s="21"/>
      <c r="E212" s="22"/>
      <c r="F212" s="22"/>
      <c r="G212" s="22"/>
      <c r="H212" s="22"/>
      <c r="I212" s="23"/>
      <c r="J212" s="24"/>
      <c r="K212" s="22"/>
      <c r="L212" s="22"/>
      <c r="M212" s="22"/>
      <c r="N212" s="251"/>
      <c r="O212" s="241"/>
      <c r="P212" s="242"/>
      <c r="Q212" s="244"/>
    </row>
    <row r="213" spans="1:17" s="11" customFormat="1" ht="27" customHeight="1" x14ac:dyDescent="0.2">
      <c r="A213" s="165"/>
      <c r="B213" s="91" t="s">
        <v>124</v>
      </c>
      <c r="C213" s="92" t="s">
        <v>125</v>
      </c>
      <c r="D213" s="63"/>
      <c r="E213" s="64"/>
      <c r="F213" s="64"/>
      <c r="G213" s="64"/>
      <c r="H213" s="64"/>
      <c r="I213" s="74"/>
      <c r="J213" s="66"/>
      <c r="K213" s="64"/>
      <c r="L213" s="64"/>
      <c r="M213" s="75"/>
      <c r="N213" s="67"/>
      <c r="O213" s="68"/>
      <c r="P213" s="69"/>
      <c r="Q213" s="69"/>
    </row>
    <row r="214" spans="1:17" s="2" customFormat="1" ht="138" customHeight="1" x14ac:dyDescent="0.25">
      <c r="A214" s="238">
        <v>94</v>
      </c>
      <c r="B214" s="19" t="s">
        <v>143</v>
      </c>
      <c r="C214" s="239" t="s">
        <v>249</v>
      </c>
      <c r="D214" s="149">
        <v>60.9</v>
      </c>
      <c r="E214" s="22"/>
      <c r="F214" s="22"/>
      <c r="G214" s="22"/>
      <c r="H214" s="22"/>
      <c r="I214" s="23">
        <f>SUM(D214:H214)</f>
        <v>60.9</v>
      </c>
      <c r="J214" s="24">
        <v>373.8</v>
      </c>
      <c r="K214" s="22">
        <v>249.2</v>
      </c>
      <c r="L214" s="22"/>
      <c r="M214" s="22">
        <f>I214+J214+K214+L214</f>
        <v>683.9</v>
      </c>
      <c r="N214" s="251" t="s">
        <v>376</v>
      </c>
      <c r="O214" s="276" t="s">
        <v>52</v>
      </c>
      <c r="P214" s="242" t="s">
        <v>160</v>
      </c>
      <c r="Q214" s="243" t="s">
        <v>148</v>
      </c>
    </row>
    <row r="215" spans="1:17" s="2" customFormat="1" x14ac:dyDescent="0.25">
      <c r="A215" s="238"/>
      <c r="B215" s="73" t="s">
        <v>21</v>
      </c>
      <c r="C215" s="239"/>
      <c r="D215" s="21">
        <v>60.5</v>
      </c>
      <c r="E215" s="22"/>
      <c r="F215" s="22"/>
      <c r="G215" s="22"/>
      <c r="H215" s="22"/>
      <c r="I215" s="23">
        <f>SUM(D215:H215)</f>
        <v>60.5</v>
      </c>
      <c r="J215" s="24"/>
      <c r="K215" s="22"/>
      <c r="L215" s="22"/>
      <c r="M215" s="22">
        <f>I215</f>
        <v>60.5</v>
      </c>
      <c r="N215" s="251"/>
      <c r="O215" s="276"/>
      <c r="P215" s="242"/>
      <c r="Q215" s="244"/>
    </row>
    <row r="216" spans="1:17" s="2" customFormat="1" ht="150" customHeight="1" x14ac:dyDescent="0.25">
      <c r="A216" s="261">
        <v>95</v>
      </c>
      <c r="B216" s="223" t="s">
        <v>274</v>
      </c>
      <c r="C216" s="239" t="s">
        <v>250</v>
      </c>
      <c r="D216" s="81">
        <v>48.8</v>
      </c>
      <c r="E216" s="82"/>
      <c r="F216" s="82"/>
      <c r="G216" s="82"/>
      <c r="H216" s="82"/>
      <c r="I216" s="23">
        <f>D216</f>
        <v>48.8</v>
      </c>
      <c r="J216" s="83">
        <v>214.6</v>
      </c>
      <c r="K216" s="82"/>
      <c r="L216" s="82"/>
      <c r="M216" s="22">
        <f>I216+J216+K216+L216</f>
        <v>263.39999999999998</v>
      </c>
      <c r="N216" s="240" t="s">
        <v>377</v>
      </c>
      <c r="O216" s="276" t="s">
        <v>24</v>
      </c>
      <c r="P216" s="334" t="s">
        <v>160</v>
      </c>
      <c r="Q216" s="243" t="s">
        <v>148</v>
      </c>
    </row>
    <row r="217" spans="1:17" s="2" customFormat="1" x14ac:dyDescent="0.25">
      <c r="A217" s="262"/>
      <c r="B217" s="84" t="s">
        <v>42</v>
      </c>
      <c r="C217" s="239"/>
      <c r="D217" s="81">
        <v>48.4</v>
      </c>
      <c r="E217" s="82"/>
      <c r="F217" s="82"/>
      <c r="G217" s="82"/>
      <c r="H217" s="82"/>
      <c r="I217" s="23">
        <f>D217</f>
        <v>48.4</v>
      </c>
      <c r="J217" s="83"/>
      <c r="K217" s="82"/>
      <c r="L217" s="82"/>
      <c r="M217" s="22">
        <f>I217+J217+K217</f>
        <v>48.4</v>
      </c>
      <c r="N217" s="240"/>
      <c r="O217" s="276"/>
      <c r="P217" s="335"/>
      <c r="Q217" s="244"/>
    </row>
    <row r="218" spans="1:17" s="2" customFormat="1" ht="114" customHeight="1" x14ac:dyDescent="0.25">
      <c r="A218" s="261">
        <v>96</v>
      </c>
      <c r="B218" s="223" t="s">
        <v>275</v>
      </c>
      <c r="C218" s="239" t="s">
        <v>250</v>
      </c>
      <c r="D218" s="81">
        <v>48.8</v>
      </c>
      <c r="E218" s="82"/>
      <c r="F218" s="82"/>
      <c r="G218" s="82"/>
      <c r="H218" s="82"/>
      <c r="I218" s="23">
        <f>D218</f>
        <v>48.8</v>
      </c>
      <c r="J218" s="83">
        <v>88</v>
      </c>
      <c r="K218" s="82">
        <v>205.3</v>
      </c>
      <c r="L218" s="82"/>
      <c r="M218" s="22">
        <f>I218+J218+K218+L218</f>
        <v>342.1</v>
      </c>
      <c r="N218" s="240" t="s">
        <v>378</v>
      </c>
      <c r="O218" s="276" t="s">
        <v>43</v>
      </c>
      <c r="P218" s="334" t="s">
        <v>160</v>
      </c>
      <c r="Q218" s="243" t="s">
        <v>148</v>
      </c>
    </row>
    <row r="219" spans="1:17" s="2" customFormat="1" x14ac:dyDescent="0.25">
      <c r="A219" s="262"/>
      <c r="B219" s="84" t="s">
        <v>42</v>
      </c>
      <c r="C219" s="239"/>
      <c r="D219" s="81">
        <v>48.4</v>
      </c>
      <c r="E219" s="82"/>
      <c r="F219" s="82"/>
      <c r="G219" s="82"/>
      <c r="H219" s="82"/>
      <c r="I219" s="23">
        <f>D219</f>
        <v>48.4</v>
      </c>
      <c r="J219" s="83"/>
      <c r="K219" s="82"/>
      <c r="L219" s="82"/>
      <c r="M219" s="22">
        <f>I219+J219+K219</f>
        <v>48.4</v>
      </c>
      <c r="N219" s="240"/>
      <c r="O219" s="276"/>
      <c r="P219" s="335"/>
      <c r="Q219" s="244"/>
    </row>
    <row r="220" spans="1:17" s="2" customFormat="1" ht="139.9" customHeight="1" x14ac:dyDescent="0.25">
      <c r="A220" s="238">
        <v>97</v>
      </c>
      <c r="B220" s="202" t="s">
        <v>126</v>
      </c>
      <c r="C220" s="239" t="s">
        <v>250</v>
      </c>
      <c r="D220" s="81">
        <v>21.5</v>
      </c>
      <c r="E220" s="82"/>
      <c r="F220" s="82"/>
      <c r="G220" s="82"/>
      <c r="H220" s="82"/>
      <c r="I220" s="23">
        <f>SUM(D220:H220)</f>
        <v>21.5</v>
      </c>
      <c r="J220" s="83">
        <v>103.2</v>
      </c>
      <c r="K220" s="82"/>
      <c r="L220" s="82"/>
      <c r="M220" s="22">
        <f>I220+J220+K220</f>
        <v>124.7</v>
      </c>
      <c r="N220" s="240" t="s">
        <v>379</v>
      </c>
      <c r="O220" s="339" t="s">
        <v>78</v>
      </c>
      <c r="P220" s="242" t="s">
        <v>287</v>
      </c>
      <c r="Q220" s="243" t="s">
        <v>148</v>
      </c>
    </row>
    <row r="221" spans="1:17" s="2" customFormat="1" x14ac:dyDescent="0.25">
      <c r="A221" s="238"/>
      <c r="B221" s="73" t="s">
        <v>21</v>
      </c>
      <c r="C221" s="239"/>
      <c r="D221" s="81">
        <v>21.2</v>
      </c>
      <c r="E221" s="82"/>
      <c r="F221" s="82"/>
      <c r="G221" s="82"/>
      <c r="H221" s="82"/>
      <c r="I221" s="23">
        <f>SUM(D221:H221)</f>
        <v>21.2</v>
      </c>
      <c r="J221" s="83"/>
      <c r="K221" s="82"/>
      <c r="L221" s="82"/>
      <c r="M221" s="22">
        <f>I221</f>
        <v>21.2</v>
      </c>
      <c r="N221" s="240"/>
      <c r="O221" s="339"/>
      <c r="P221" s="242"/>
      <c r="Q221" s="244"/>
    </row>
    <row r="222" spans="1:17" s="2" customFormat="1" ht="169.9" customHeight="1" x14ac:dyDescent="0.25">
      <c r="A222" s="238">
        <v>98</v>
      </c>
      <c r="B222" s="202" t="s">
        <v>197</v>
      </c>
      <c r="C222" s="239" t="s">
        <v>250</v>
      </c>
      <c r="D222" s="81">
        <v>97.8</v>
      </c>
      <c r="E222" s="82"/>
      <c r="F222" s="82"/>
      <c r="G222" s="82"/>
      <c r="H222" s="82"/>
      <c r="I222" s="23">
        <f>SUM(D222:H222)</f>
        <v>97.8</v>
      </c>
      <c r="J222" s="83">
        <v>870.8</v>
      </c>
      <c r="K222" s="82">
        <v>2031.8</v>
      </c>
      <c r="L222" s="82"/>
      <c r="M222" s="22">
        <f>J222+I222+K222</f>
        <v>3000.3999999999996</v>
      </c>
      <c r="N222" s="253" t="s">
        <v>380</v>
      </c>
      <c r="O222" s="360" t="s">
        <v>49</v>
      </c>
      <c r="P222" s="335" t="s">
        <v>160</v>
      </c>
      <c r="Q222" s="243" t="s">
        <v>148</v>
      </c>
    </row>
    <row r="223" spans="1:17" s="2" customFormat="1" x14ac:dyDescent="0.25">
      <c r="A223" s="238"/>
      <c r="B223" s="73" t="s">
        <v>21</v>
      </c>
      <c r="C223" s="239"/>
      <c r="D223" s="81">
        <v>97.4</v>
      </c>
      <c r="E223" s="82"/>
      <c r="F223" s="82"/>
      <c r="G223" s="82"/>
      <c r="H223" s="82"/>
      <c r="I223" s="23">
        <f>D223</f>
        <v>97.4</v>
      </c>
      <c r="J223" s="83"/>
      <c r="K223" s="82"/>
      <c r="L223" s="82"/>
      <c r="M223" s="22">
        <f>I223</f>
        <v>97.4</v>
      </c>
      <c r="N223" s="254"/>
      <c r="O223" s="361"/>
      <c r="P223" s="242"/>
      <c r="Q223" s="244"/>
    </row>
    <row r="224" spans="1:17" s="2" customFormat="1" ht="67.5" customHeight="1" x14ac:dyDescent="0.25">
      <c r="A224" s="238">
        <v>99</v>
      </c>
      <c r="B224" s="80" t="s">
        <v>381</v>
      </c>
      <c r="C224" s="239" t="s">
        <v>250</v>
      </c>
      <c r="D224" s="123">
        <f>30+43.6</f>
        <v>73.599999999999994</v>
      </c>
      <c r="E224" s="124"/>
      <c r="F224" s="124"/>
      <c r="G224" s="124"/>
      <c r="H224" s="124">
        <f>6+3+5</f>
        <v>14</v>
      </c>
      <c r="I224" s="72">
        <f>D224+H224</f>
        <v>87.6</v>
      </c>
      <c r="J224" s="125">
        <f>6+5+5</f>
        <v>16</v>
      </c>
      <c r="K224" s="124"/>
      <c r="L224" s="124"/>
      <c r="M224" s="138">
        <f>J224+I224+9+10+5</f>
        <v>127.6</v>
      </c>
      <c r="N224" s="338" t="s">
        <v>382</v>
      </c>
      <c r="O224" s="339" t="s">
        <v>24</v>
      </c>
      <c r="P224" s="242" t="s">
        <v>127</v>
      </c>
      <c r="Q224" s="243" t="s">
        <v>148</v>
      </c>
    </row>
    <row r="225" spans="1:17" s="2" customFormat="1" x14ac:dyDescent="0.25">
      <c r="A225" s="238"/>
      <c r="B225" s="73" t="s">
        <v>21</v>
      </c>
      <c r="C225" s="239"/>
      <c r="D225" s="81"/>
      <c r="E225" s="82"/>
      <c r="F225" s="82"/>
      <c r="G225" s="82"/>
      <c r="H225" s="82"/>
      <c r="I225" s="23"/>
      <c r="J225" s="83"/>
      <c r="K225" s="82"/>
      <c r="L225" s="82"/>
      <c r="M225" s="22"/>
      <c r="N225" s="338"/>
      <c r="O225" s="339"/>
      <c r="P225" s="242"/>
      <c r="Q225" s="244"/>
    </row>
    <row r="226" spans="1:17" s="10" customFormat="1" ht="42" customHeight="1" x14ac:dyDescent="0.2">
      <c r="A226" s="247">
        <v>100</v>
      </c>
      <c r="B226" s="71" t="s">
        <v>96</v>
      </c>
      <c r="C226" s="267" t="s">
        <v>251</v>
      </c>
      <c r="D226" s="130">
        <v>14.5</v>
      </c>
      <c r="E226" s="160">
        <v>762.52</v>
      </c>
      <c r="F226" s="128"/>
      <c r="G226" s="128"/>
      <c r="H226" s="128"/>
      <c r="I226" s="72">
        <f>D226+E226</f>
        <v>777.02</v>
      </c>
      <c r="J226" s="129"/>
      <c r="K226" s="128"/>
      <c r="L226" s="128"/>
      <c r="M226" s="128">
        <f>I226+J226</f>
        <v>777.02</v>
      </c>
      <c r="N226" s="282" t="s">
        <v>237</v>
      </c>
      <c r="O226" s="282" t="s">
        <v>86</v>
      </c>
      <c r="P226" s="270" t="s">
        <v>160</v>
      </c>
      <c r="Q226" s="268" t="s">
        <v>148</v>
      </c>
    </row>
    <row r="227" spans="1:17" s="10" customFormat="1" ht="14.25" customHeight="1" x14ac:dyDescent="0.2">
      <c r="A227" s="247"/>
      <c r="B227" s="20" t="s">
        <v>21</v>
      </c>
      <c r="C227" s="267"/>
      <c r="D227" s="134">
        <v>14.5</v>
      </c>
      <c r="E227" s="135"/>
      <c r="F227" s="135"/>
      <c r="G227" s="135"/>
      <c r="H227" s="135"/>
      <c r="I227" s="72">
        <f>D227</f>
        <v>14.5</v>
      </c>
      <c r="J227" s="136"/>
      <c r="K227" s="135"/>
      <c r="L227" s="135"/>
      <c r="M227" s="135">
        <f>I227</f>
        <v>14.5</v>
      </c>
      <c r="N227" s="282"/>
      <c r="O227" s="282"/>
      <c r="P227" s="270"/>
      <c r="Q227" s="268"/>
    </row>
    <row r="228" spans="1:17" s="11" customFormat="1" ht="27" customHeight="1" x14ac:dyDescent="0.2">
      <c r="A228" s="165"/>
      <c r="B228" s="91" t="s">
        <v>183</v>
      </c>
      <c r="C228" s="92" t="s">
        <v>184</v>
      </c>
      <c r="D228" s="63"/>
      <c r="E228" s="64"/>
      <c r="F228" s="64"/>
      <c r="G228" s="64"/>
      <c r="H228" s="64"/>
      <c r="I228" s="74"/>
      <c r="J228" s="66"/>
      <c r="K228" s="64"/>
      <c r="L228" s="64"/>
      <c r="M228" s="75"/>
      <c r="N228" s="67"/>
      <c r="O228" s="68"/>
      <c r="P228" s="69"/>
      <c r="Q228" s="69"/>
    </row>
    <row r="229" spans="1:17" s="2" customFormat="1" ht="78.75" customHeight="1" x14ac:dyDescent="0.25">
      <c r="A229" s="238">
        <v>101</v>
      </c>
      <c r="B229" s="80" t="s">
        <v>128</v>
      </c>
      <c r="C229" s="239" t="s">
        <v>252</v>
      </c>
      <c r="D229" s="81"/>
      <c r="E229" s="82"/>
      <c r="F229" s="82"/>
      <c r="G229" s="82"/>
      <c r="H229" s="82"/>
      <c r="I229" s="23"/>
      <c r="J229" s="83">
        <f>172.6+19</f>
        <v>191.6</v>
      </c>
      <c r="K229" s="82">
        <v>308</v>
      </c>
      <c r="L229" s="82"/>
      <c r="M229" s="22">
        <f>I229+J229+K229</f>
        <v>499.6</v>
      </c>
      <c r="N229" s="240" t="s">
        <v>129</v>
      </c>
      <c r="O229" s="339" t="s">
        <v>344</v>
      </c>
      <c r="P229" s="242" t="s">
        <v>288</v>
      </c>
      <c r="Q229" s="243" t="s">
        <v>148</v>
      </c>
    </row>
    <row r="230" spans="1:17" s="2" customFormat="1" x14ac:dyDescent="0.25">
      <c r="A230" s="238"/>
      <c r="B230" s="73" t="s">
        <v>21</v>
      </c>
      <c r="C230" s="239"/>
      <c r="D230" s="81"/>
      <c r="E230" s="82"/>
      <c r="F230" s="82"/>
      <c r="G230" s="82"/>
      <c r="H230" s="82"/>
      <c r="I230" s="23"/>
      <c r="J230" s="83">
        <f>19</f>
        <v>19</v>
      </c>
      <c r="K230" s="82"/>
      <c r="L230" s="82"/>
      <c r="M230" s="22">
        <f>J230</f>
        <v>19</v>
      </c>
      <c r="N230" s="240"/>
      <c r="O230" s="339"/>
      <c r="P230" s="242"/>
      <c r="Q230" s="244"/>
    </row>
    <row r="231" spans="1:17" s="2" customFormat="1" ht="192.6" customHeight="1" x14ac:dyDescent="0.25">
      <c r="A231" s="194">
        <v>102</v>
      </c>
      <c r="B231" s="80" t="s">
        <v>130</v>
      </c>
      <c r="C231" s="183" t="s">
        <v>252</v>
      </c>
      <c r="D231" s="81"/>
      <c r="E231" s="82"/>
      <c r="F231" s="82"/>
      <c r="G231" s="82"/>
      <c r="H231" s="82">
        <f>6.8+16.9+29+23</f>
        <v>75.7</v>
      </c>
      <c r="I231" s="23">
        <f>H231</f>
        <v>75.7</v>
      </c>
      <c r="J231" s="83">
        <f>120+23</f>
        <v>143</v>
      </c>
      <c r="K231" s="82"/>
      <c r="L231" s="82"/>
      <c r="M231" s="22">
        <f>I231+J231+K231+14+3.5+29</f>
        <v>265.2</v>
      </c>
      <c r="N231" s="186" t="s">
        <v>383</v>
      </c>
      <c r="O231" s="189" t="s">
        <v>24</v>
      </c>
      <c r="P231" s="180" t="s">
        <v>131</v>
      </c>
      <c r="Q231" s="193" t="s">
        <v>148</v>
      </c>
    </row>
    <row r="232" spans="1:17" s="9" customFormat="1" ht="83.25" customHeight="1" x14ac:dyDescent="0.2">
      <c r="A232" s="258">
        <v>103</v>
      </c>
      <c r="B232" s="236" t="s">
        <v>276</v>
      </c>
      <c r="C232" s="351" t="s">
        <v>246</v>
      </c>
      <c r="D232" s="150">
        <f>5+35.8+20</f>
        <v>60.8</v>
      </c>
      <c r="E232" s="147"/>
      <c r="F232" s="147"/>
      <c r="G232" s="147"/>
      <c r="H232" s="147"/>
      <c r="I232" s="145">
        <f>D232</f>
        <v>60.8</v>
      </c>
      <c r="J232" s="150">
        <v>1</v>
      </c>
      <c r="K232" s="147"/>
      <c r="L232" s="147"/>
      <c r="M232" s="147">
        <f>I232+J232</f>
        <v>61.8</v>
      </c>
      <c r="N232" s="352" t="s">
        <v>385</v>
      </c>
      <c r="O232" s="352" t="s">
        <v>24</v>
      </c>
      <c r="P232" s="354" t="s">
        <v>306</v>
      </c>
      <c r="Q232" s="356" t="s">
        <v>148</v>
      </c>
    </row>
    <row r="233" spans="1:17" s="6" customFormat="1" x14ac:dyDescent="0.25">
      <c r="A233" s="259"/>
      <c r="B233" s="118" t="s">
        <v>21</v>
      </c>
      <c r="C233" s="351"/>
      <c r="D233" s="171"/>
      <c r="E233" s="170"/>
      <c r="F233" s="170"/>
      <c r="G233" s="170"/>
      <c r="H233" s="170"/>
      <c r="I233" s="116"/>
      <c r="J233" s="171"/>
      <c r="K233" s="170"/>
      <c r="L233" s="170"/>
      <c r="M233" s="170"/>
      <c r="N233" s="353"/>
      <c r="O233" s="353"/>
      <c r="P233" s="355"/>
      <c r="Q233" s="356"/>
    </row>
  </sheetData>
  <mergeCells count="603">
    <mergeCell ref="Q232:Q233"/>
    <mergeCell ref="N200:N201"/>
    <mergeCell ref="C226:C227"/>
    <mergeCell ref="C202:C203"/>
    <mergeCell ref="C200:C201"/>
    <mergeCell ref="P211:P212"/>
    <mergeCell ref="Q211:Q212"/>
    <mergeCell ref="C209:C210"/>
    <mergeCell ref="N202:N203"/>
    <mergeCell ref="O222:O223"/>
    <mergeCell ref="N226:N227"/>
    <mergeCell ref="O202:O203"/>
    <mergeCell ref="P202:P203"/>
    <mergeCell ref="Q229:Q230"/>
    <mergeCell ref="Q216:Q217"/>
    <mergeCell ref="Q218:Q219"/>
    <mergeCell ref="Q209:Q210"/>
    <mergeCell ref="Q214:Q215"/>
    <mergeCell ref="Q207:Q208"/>
    <mergeCell ref="O229:O230"/>
    <mergeCell ref="Q204:Q205"/>
    <mergeCell ref="Q224:Q225"/>
    <mergeCell ref="Q226:Q227"/>
    <mergeCell ref="Q220:Q221"/>
    <mergeCell ref="P232:P233"/>
    <mergeCell ref="C216:C217"/>
    <mergeCell ref="C207:C208"/>
    <mergeCell ref="A186:A187"/>
    <mergeCell ref="C182:C183"/>
    <mergeCell ref="P229:P230"/>
    <mergeCell ref="P214:P215"/>
    <mergeCell ref="P209:P210"/>
    <mergeCell ref="P226:P227"/>
    <mergeCell ref="O226:O227"/>
    <mergeCell ref="P186:P187"/>
    <mergeCell ref="O220:O221"/>
    <mergeCell ref="P220:P221"/>
    <mergeCell ref="N216:N217"/>
    <mergeCell ref="P207:P208"/>
    <mergeCell ref="P216:P217"/>
    <mergeCell ref="C167:C168"/>
    <mergeCell ref="A182:A183"/>
    <mergeCell ref="A184:A185"/>
    <mergeCell ref="A180:A181"/>
    <mergeCell ref="A178:A179"/>
    <mergeCell ref="C178:C179"/>
    <mergeCell ref="C232:C233"/>
    <mergeCell ref="N232:N233"/>
    <mergeCell ref="O232:O233"/>
    <mergeCell ref="A165:A166"/>
    <mergeCell ref="A167:A168"/>
    <mergeCell ref="A140:A141"/>
    <mergeCell ref="A169:A170"/>
    <mergeCell ref="A171:A172"/>
    <mergeCell ref="A173:A174"/>
    <mergeCell ref="A149:A150"/>
    <mergeCell ref="A151:A152"/>
    <mergeCell ref="A142:A143"/>
    <mergeCell ref="A147:A148"/>
    <mergeCell ref="A153:A154"/>
    <mergeCell ref="A155:A156"/>
    <mergeCell ref="A157:A158"/>
    <mergeCell ref="A159:A160"/>
    <mergeCell ref="A161:A162"/>
    <mergeCell ref="A163:A164"/>
    <mergeCell ref="C176:C177"/>
    <mergeCell ref="C211:C212"/>
    <mergeCell ref="N211:N212"/>
    <mergeCell ref="O214:O215"/>
    <mergeCell ref="O211:O212"/>
    <mergeCell ref="C188:C189"/>
    <mergeCell ref="N194:N195"/>
    <mergeCell ref="N198:N199"/>
    <mergeCell ref="O204:O205"/>
    <mergeCell ref="N188:N189"/>
    <mergeCell ref="O194:O195"/>
    <mergeCell ref="C214:C215"/>
    <mergeCell ref="C198:C199"/>
    <mergeCell ref="C196:C197"/>
    <mergeCell ref="N196:N197"/>
    <mergeCell ref="N209:N210"/>
    <mergeCell ref="O209:O210"/>
    <mergeCell ref="O190:O191"/>
    <mergeCell ref="N190:N191"/>
    <mergeCell ref="N207:N208"/>
    <mergeCell ref="O207:O208"/>
    <mergeCell ref="O188:O189"/>
    <mergeCell ref="O184:O185"/>
    <mergeCell ref="A176:A177"/>
    <mergeCell ref="N99:N100"/>
    <mergeCell ref="O99:O100"/>
    <mergeCell ref="P99:P100"/>
    <mergeCell ref="A99:A100"/>
    <mergeCell ref="A101:A102"/>
    <mergeCell ref="A103:A104"/>
    <mergeCell ref="A105:A106"/>
    <mergeCell ref="O109:O110"/>
    <mergeCell ref="P109:P110"/>
    <mergeCell ref="C111:C112"/>
    <mergeCell ref="C105:C106"/>
    <mergeCell ref="N105:N106"/>
    <mergeCell ref="O105:O106"/>
    <mergeCell ref="P105:P106"/>
    <mergeCell ref="C109:C110"/>
    <mergeCell ref="C163:C164"/>
    <mergeCell ref="A138:A139"/>
    <mergeCell ref="O155:O156"/>
    <mergeCell ref="P155:P156"/>
    <mergeCell ref="N155:N156"/>
    <mergeCell ref="P149:P150"/>
    <mergeCell ref="C161:C162"/>
    <mergeCell ref="N161:N162"/>
    <mergeCell ref="C103:C104"/>
    <mergeCell ref="N103:N104"/>
    <mergeCell ref="O103:O104"/>
    <mergeCell ref="P103:P104"/>
    <mergeCell ref="P118:P119"/>
    <mergeCell ref="O116:O117"/>
    <mergeCell ref="P116:P117"/>
    <mergeCell ref="O114:O115"/>
    <mergeCell ref="P114:P115"/>
    <mergeCell ref="N109:N110"/>
    <mergeCell ref="N167:N168"/>
    <mergeCell ref="O167:O168"/>
    <mergeCell ref="P163:P164"/>
    <mergeCell ref="P161:P162"/>
    <mergeCell ref="C159:C160"/>
    <mergeCell ref="N159:N160"/>
    <mergeCell ref="N178:N179"/>
    <mergeCell ref="N180:N181"/>
    <mergeCell ref="N169:N170"/>
    <mergeCell ref="P167:P168"/>
    <mergeCell ref="O159:O160"/>
    <mergeCell ref="P159:P160"/>
    <mergeCell ref="O163:O164"/>
    <mergeCell ref="N163:N164"/>
    <mergeCell ref="N173:N174"/>
    <mergeCell ref="C171:C172"/>
    <mergeCell ref="N171:N172"/>
    <mergeCell ref="N176:N177"/>
    <mergeCell ref="C173:C174"/>
    <mergeCell ref="C180:C181"/>
    <mergeCell ref="O171:O172"/>
    <mergeCell ref="C169:C170"/>
    <mergeCell ref="O169:O170"/>
    <mergeCell ref="P169:P170"/>
    <mergeCell ref="N157:N158"/>
    <mergeCell ref="O157:O158"/>
    <mergeCell ref="P157:P158"/>
    <mergeCell ref="C165:C166"/>
    <mergeCell ref="N165:N166"/>
    <mergeCell ref="O165:O166"/>
    <mergeCell ref="O161:O162"/>
    <mergeCell ref="C157:C158"/>
    <mergeCell ref="C151:C152"/>
    <mergeCell ref="N151:N152"/>
    <mergeCell ref="O151:O152"/>
    <mergeCell ref="P151:P152"/>
    <mergeCell ref="N153:N154"/>
    <mergeCell ref="C155:C156"/>
    <mergeCell ref="C153:C154"/>
    <mergeCell ref="Q222:Q223"/>
    <mergeCell ref="Q186:Q187"/>
    <mergeCell ref="Q198:Q199"/>
    <mergeCell ref="Q178:Q179"/>
    <mergeCell ref="Q202:Q203"/>
    <mergeCell ref="Q200:Q201"/>
    <mergeCell ref="Q196:Q197"/>
    <mergeCell ref="Q188:Q189"/>
    <mergeCell ref="Q184:Q185"/>
    <mergeCell ref="Q190:Q191"/>
    <mergeCell ref="Q194:Q195"/>
    <mergeCell ref="N214:N215"/>
    <mergeCell ref="O216:O217"/>
    <mergeCell ref="N186:N187"/>
    <mergeCell ref="Q192:Q193"/>
    <mergeCell ref="C107:C108"/>
    <mergeCell ref="P182:P183"/>
    <mergeCell ref="O180:O181"/>
    <mergeCell ref="P180:P181"/>
    <mergeCell ref="N122:N123"/>
    <mergeCell ref="O122:O123"/>
    <mergeCell ref="P122:P123"/>
    <mergeCell ref="C124:C125"/>
    <mergeCell ref="O173:O174"/>
    <mergeCell ref="P173:P174"/>
    <mergeCell ref="O176:O177"/>
    <mergeCell ref="P176:P177"/>
    <mergeCell ref="O178:O179"/>
    <mergeCell ref="P178:P179"/>
    <mergeCell ref="O182:O183"/>
    <mergeCell ref="P165:P166"/>
    <mergeCell ref="O153:O154"/>
    <mergeCell ref="P153:P154"/>
    <mergeCell ref="C120:C121"/>
    <mergeCell ref="O149:O150"/>
    <mergeCell ref="C224:C225"/>
    <mergeCell ref="N224:N225"/>
    <mergeCell ref="O224:O225"/>
    <mergeCell ref="P224:P225"/>
    <mergeCell ref="P222:P223"/>
    <mergeCell ref="N218:N219"/>
    <mergeCell ref="O218:O219"/>
    <mergeCell ref="P218:P219"/>
    <mergeCell ref="C222:C223"/>
    <mergeCell ref="C218:C219"/>
    <mergeCell ref="P184:P185"/>
    <mergeCell ref="O196:O197"/>
    <mergeCell ref="P196:P197"/>
    <mergeCell ref="O198:O199"/>
    <mergeCell ref="P194:P195"/>
    <mergeCell ref="O192:O193"/>
    <mergeCell ref="C204:C205"/>
    <mergeCell ref="C194:C195"/>
    <mergeCell ref="N182:N183"/>
    <mergeCell ref="C184:C185"/>
    <mergeCell ref="N184:N185"/>
    <mergeCell ref="C186:C187"/>
    <mergeCell ref="P188:P189"/>
    <mergeCell ref="P192:P193"/>
    <mergeCell ref="P200:P201"/>
    <mergeCell ref="O200:O201"/>
    <mergeCell ref="P190:P191"/>
    <mergeCell ref="C190:C191"/>
    <mergeCell ref="P204:P205"/>
    <mergeCell ref="C192:C193"/>
    <mergeCell ref="N192:N193"/>
    <mergeCell ref="P198:P199"/>
    <mergeCell ref="O186:O187"/>
    <mergeCell ref="P171:P172"/>
    <mergeCell ref="C78:C79"/>
    <mergeCell ref="N78:N79"/>
    <mergeCell ref="O78:O79"/>
    <mergeCell ref="P78:P79"/>
    <mergeCell ref="P90:P91"/>
    <mergeCell ref="N111:N112"/>
    <mergeCell ref="N124:N125"/>
    <mergeCell ref="C149:C150"/>
    <mergeCell ref="N149:N150"/>
    <mergeCell ref="N116:N117"/>
    <mergeCell ref="C114:C115"/>
    <mergeCell ref="O111:O112"/>
    <mergeCell ref="P111:P112"/>
    <mergeCell ref="C118:C119"/>
    <mergeCell ref="N118:N119"/>
    <mergeCell ref="O118:O119"/>
    <mergeCell ref="C142:C143"/>
    <mergeCell ref="N142:N143"/>
    <mergeCell ref="O142:O143"/>
    <mergeCell ref="C101:C102"/>
    <mergeCell ref="N101:N102"/>
    <mergeCell ref="O101:O102"/>
    <mergeCell ref="P101:P102"/>
    <mergeCell ref="P96:P97"/>
    <mergeCell ref="C94:C95"/>
    <mergeCell ref="N94:N95"/>
    <mergeCell ref="O94:O95"/>
    <mergeCell ref="P94:P95"/>
    <mergeCell ref="C86:C87"/>
    <mergeCell ref="N86:N87"/>
    <mergeCell ref="O86:O87"/>
    <mergeCell ref="P86:P87"/>
    <mergeCell ref="C88:C89"/>
    <mergeCell ref="N88:N89"/>
    <mergeCell ref="O90:O91"/>
    <mergeCell ref="N90:N91"/>
    <mergeCell ref="C90:C91"/>
    <mergeCell ref="O51:O52"/>
    <mergeCell ref="C43:C44"/>
    <mergeCell ref="N43:N44"/>
    <mergeCell ref="C63:C64"/>
    <mergeCell ref="N63:N64"/>
    <mergeCell ref="O63:O64"/>
    <mergeCell ref="P63:P64"/>
    <mergeCell ref="C61:C62"/>
    <mergeCell ref="N61:N62"/>
    <mergeCell ref="O61:O62"/>
    <mergeCell ref="P61:P62"/>
    <mergeCell ref="C53:C54"/>
    <mergeCell ref="N53:N54"/>
    <mergeCell ref="O53:O54"/>
    <mergeCell ref="P53:P54"/>
    <mergeCell ref="C55:C56"/>
    <mergeCell ref="N55:N56"/>
    <mergeCell ref="O55:O56"/>
    <mergeCell ref="P55:P56"/>
    <mergeCell ref="P51:P52"/>
    <mergeCell ref="C51:C52"/>
    <mergeCell ref="N51:N52"/>
    <mergeCell ref="C57:C58"/>
    <mergeCell ref="N57:N58"/>
    <mergeCell ref="C37:C38"/>
    <mergeCell ref="N37:N38"/>
    <mergeCell ref="O37:O38"/>
    <mergeCell ref="P37:P38"/>
    <mergeCell ref="C49:C50"/>
    <mergeCell ref="N49:N50"/>
    <mergeCell ref="O49:O50"/>
    <mergeCell ref="P49:P50"/>
    <mergeCell ref="C45:C46"/>
    <mergeCell ref="N45:N46"/>
    <mergeCell ref="O45:O46"/>
    <mergeCell ref="P45:P46"/>
    <mergeCell ref="P47:P48"/>
    <mergeCell ref="O43:O44"/>
    <mergeCell ref="C47:C48"/>
    <mergeCell ref="N47:N48"/>
    <mergeCell ref="O47:O48"/>
    <mergeCell ref="P43:P44"/>
    <mergeCell ref="P35:P36"/>
    <mergeCell ref="O30:O31"/>
    <mergeCell ref="P30:P31"/>
    <mergeCell ref="C32:C33"/>
    <mergeCell ref="N32:N33"/>
    <mergeCell ref="O32:O33"/>
    <mergeCell ref="P32:P33"/>
    <mergeCell ref="C30:C31"/>
    <mergeCell ref="N30:N31"/>
    <mergeCell ref="C35:C36"/>
    <mergeCell ref="N35:N36"/>
    <mergeCell ref="O35:O36"/>
    <mergeCell ref="C22:C23"/>
    <mergeCell ref="N22:N23"/>
    <mergeCell ref="O22:O23"/>
    <mergeCell ref="P22:P23"/>
    <mergeCell ref="C28:C29"/>
    <mergeCell ref="N28:N29"/>
    <mergeCell ref="O28:O29"/>
    <mergeCell ref="P28:P29"/>
    <mergeCell ref="C26:C27"/>
    <mergeCell ref="N26:N27"/>
    <mergeCell ref="O26:O27"/>
    <mergeCell ref="P26:P27"/>
    <mergeCell ref="C24:C25"/>
    <mergeCell ref="N24:N25"/>
    <mergeCell ref="O24:O25"/>
    <mergeCell ref="P24:P25"/>
    <mergeCell ref="P17:P18"/>
    <mergeCell ref="C19:C20"/>
    <mergeCell ref="N19:N20"/>
    <mergeCell ref="O19:O20"/>
    <mergeCell ref="P19:P20"/>
    <mergeCell ref="I10:I11"/>
    <mergeCell ref="C17:C18"/>
    <mergeCell ref="N17:N18"/>
    <mergeCell ref="O17:O18"/>
    <mergeCell ref="J8:J11"/>
    <mergeCell ref="K8:K11"/>
    <mergeCell ref="H10:H11"/>
    <mergeCell ref="B1:Q1"/>
    <mergeCell ref="D9:I9"/>
    <mergeCell ref="D10:D11"/>
    <mergeCell ref="E10:E11"/>
    <mergeCell ref="F10:F11"/>
    <mergeCell ref="G10:G11"/>
    <mergeCell ref="L8:L11"/>
    <mergeCell ref="M8:M11"/>
    <mergeCell ref="N8:N13"/>
    <mergeCell ref="O8:O13"/>
    <mergeCell ref="P8:P13"/>
    <mergeCell ref="D8:I8"/>
    <mergeCell ref="B8:B11"/>
    <mergeCell ref="C8:C11"/>
    <mergeCell ref="Q8:Q13"/>
    <mergeCell ref="O2:Q2"/>
    <mergeCell ref="B3:Q3"/>
    <mergeCell ref="B4:Q4"/>
    <mergeCell ref="A6:Q6"/>
    <mergeCell ref="A7:Q7"/>
    <mergeCell ref="Q28:Q29"/>
    <mergeCell ref="Q35:Q36"/>
    <mergeCell ref="Q37:Q38"/>
    <mergeCell ref="Q71:Q72"/>
    <mergeCell ref="Q67:Q68"/>
    <mergeCell ref="Q94:Q95"/>
    <mergeCell ref="Q90:Q91"/>
    <mergeCell ref="Q86:Q87"/>
    <mergeCell ref="Q24:Q25"/>
    <mergeCell ref="Q83:Q84"/>
    <mergeCell ref="Q73:Q74"/>
    <mergeCell ref="Q51:Q52"/>
    <mergeCell ref="Q92:Q93"/>
    <mergeCell ref="Q57:Q58"/>
    <mergeCell ref="Q53:Q54"/>
    <mergeCell ref="Q151:Q152"/>
    <mergeCell ref="Q153:Q154"/>
    <mergeCell ref="Q155:Q156"/>
    <mergeCell ref="Q157:Q158"/>
    <mergeCell ref="Q182:Q183"/>
    <mergeCell ref="Q159:Q160"/>
    <mergeCell ref="Q161:Q162"/>
    <mergeCell ref="Q163:Q164"/>
    <mergeCell ref="Q165:Q166"/>
    <mergeCell ref="Q167:Q168"/>
    <mergeCell ref="Q169:Q170"/>
    <mergeCell ref="Q171:Q172"/>
    <mergeCell ref="Q176:Q177"/>
    <mergeCell ref="Q180:Q181"/>
    <mergeCell ref="Q173:Q174"/>
    <mergeCell ref="Q147:Q148"/>
    <mergeCell ref="Q149:Q150"/>
    <mergeCell ref="C147:C148"/>
    <mergeCell ref="N147:N148"/>
    <mergeCell ref="O147:O148"/>
    <mergeCell ref="P147:P148"/>
    <mergeCell ref="P128:P129"/>
    <mergeCell ref="Q142:Q143"/>
    <mergeCell ref="O124:O125"/>
    <mergeCell ref="Q128:Q129"/>
    <mergeCell ref="Q134:Q135"/>
    <mergeCell ref="P124:P125"/>
    <mergeCell ref="N128:N129"/>
    <mergeCell ref="O128:O129"/>
    <mergeCell ref="O134:O135"/>
    <mergeCell ref="P134:P135"/>
    <mergeCell ref="C134:C135"/>
    <mergeCell ref="N134:N135"/>
    <mergeCell ref="P142:P143"/>
    <mergeCell ref="C140:C141"/>
    <mergeCell ref="Q17:Q18"/>
    <mergeCell ref="Q19:Q20"/>
    <mergeCell ref="Q88:Q89"/>
    <mergeCell ref="Q101:Q102"/>
    <mergeCell ref="Q103:Q104"/>
    <mergeCell ref="Q105:Q106"/>
    <mergeCell ref="Q78:Q79"/>
    <mergeCell ref="Q81:Q82"/>
    <mergeCell ref="Q55:Q56"/>
    <mergeCell ref="Q99:Q100"/>
    <mergeCell ref="Q59:Q60"/>
    <mergeCell ref="Q63:Q64"/>
    <mergeCell ref="Q65:Q66"/>
    <mergeCell ref="Q69:Q70"/>
    <mergeCell ref="Q61:Q62"/>
    <mergeCell ref="Q43:Q44"/>
    <mergeCell ref="Q26:Q27"/>
    <mergeCell ref="Q30:Q31"/>
    <mergeCell ref="Q32:Q33"/>
    <mergeCell ref="Q75:Q76"/>
    <mergeCell ref="Q47:Q48"/>
    <mergeCell ref="Q45:Q46"/>
    <mergeCell ref="Q49:Q50"/>
    <mergeCell ref="Q22:Q23"/>
    <mergeCell ref="A81:A82"/>
    <mergeCell ref="A83:A84"/>
    <mergeCell ref="A86:A87"/>
    <mergeCell ref="A88:A89"/>
    <mergeCell ref="A90:A91"/>
    <mergeCell ref="A92:A93"/>
    <mergeCell ref="O88:O89"/>
    <mergeCell ref="P88:P89"/>
    <mergeCell ref="C81:C82"/>
    <mergeCell ref="N81:N82"/>
    <mergeCell ref="O81:O82"/>
    <mergeCell ref="P81:P82"/>
    <mergeCell ref="C92:C93"/>
    <mergeCell ref="N92:N93"/>
    <mergeCell ref="O92:O93"/>
    <mergeCell ref="P92:P93"/>
    <mergeCell ref="C83:C84"/>
    <mergeCell ref="N83:N84"/>
    <mergeCell ref="O83:O84"/>
    <mergeCell ref="P83:P84"/>
    <mergeCell ref="O57:O58"/>
    <mergeCell ref="P57:P58"/>
    <mergeCell ref="C59:C60"/>
    <mergeCell ref="N59:N60"/>
    <mergeCell ref="O59:O60"/>
    <mergeCell ref="P59:P60"/>
    <mergeCell ref="C65:C66"/>
    <mergeCell ref="N65:N66"/>
    <mergeCell ref="O65:O66"/>
    <mergeCell ref="P65:P66"/>
    <mergeCell ref="O73:O74"/>
    <mergeCell ref="P73:P74"/>
    <mergeCell ref="C75:C76"/>
    <mergeCell ref="N75:N76"/>
    <mergeCell ref="O75:O76"/>
    <mergeCell ref="P75:P76"/>
    <mergeCell ref="C67:C68"/>
    <mergeCell ref="N67:N68"/>
    <mergeCell ref="O67:O68"/>
    <mergeCell ref="N71:N72"/>
    <mergeCell ref="O71:O72"/>
    <mergeCell ref="P71:P72"/>
    <mergeCell ref="C71:C72"/>
    <mergeCell ref="P67:P68"/>
    <mergeCell ref="C69:C70"/>
    <mergeCell ref="N69:N70"/>
    <mergeCell ref="O69:O70"/>
    <mergeCell ref="P69:P70"/>
    <mergeCell ref="C73:C74"/>
    <mergeCell ref="N73:N74"/>
    <mergeCell ref="Q122:Q123"/>
    <mergeCell ref="Q107:Q108"/>
    <mergeCell ref="C138:C139"/>
    <mergeCell ref="N138:N139"/>
    <mergeCell ref="O138:O139"/>
    <mergeCell ref="P138:P139"/>
    <mergeCell ref="Q138:Q139"/>
    <mergeCell ref="C116:C117"/>
    <mergeCell ref="Q109:Q110"/>
    <mergeCell ref="Q111:Q112"/>
    <mergeCell ref="Q118:Q119"/>
    <mergeCell ref="Q116:Q117"/>
    <mergeCell ref="Q114:Q115"/>
    <mergeCell ref="Q136:Q137"/>
    <mergeCell ref="O136:O137"/>
    <mergeCell ref="P136:P137"/>
    <mergeCell ref="C136:C137"/>
    <mergeCell ref="N136:N137"/>
    <mergeCell ref="N107:N108"/>
    <mergeCell ref="O107:O108"/>
    <mergeCell ref="P107:P108"/>
    <mergeCell ref="N120:N121"/>
    <mergeCell ref="O120:O121"/>
    <mergeCell ref="P120:P121"/>
    <mergeCell ref="A45:A46"/>
    <mergeCell ref="A47:A48"/>
    <mergeCell ref="A49:A50"/>
    <mergeCell ref="A51:A52"/>
    <mergeCell ref="A53:A54"/>
    <mergeCell ref="A55:A56"/>
    <mergeCell ref="A57:A58"/>
    <mergeCell ref="A59:A60"/>
    <mergeCell ref="A8:A11"/>
    <mergeCell ref="A17:A18"/>
    <mergeCell ref="A19:A20"/>
    <mergeCell ref="A22:A23"/>
    <mergeCell ref="A28:A29"/>
    <mergeCell ref="A30:A31"/>
    <mergeCell ref="A32:A33"/>
    <mergeCell ref="A35:A36"/>
    <mergeCell ref="A37:A38"/>
    <mergeCell ref="A24:A25"/>
    <mergeCell ref="A14:B14"/>
    <mergeCell ref="A40:B40"/>
    <mergeCell ref="A43:A44"/>
    <mergeCell ref="A232:A233"/>
    <mergeCell ref="A192:A193"/>
    <mergeCell ref="A194:A195"/>
    <mergeCell ref="A196:A197"/>
    <mergeCell ref="A198:A199"/>
    <mergeCell ref="A200:A201"/>
    <mergeCell ref="A202:A203"/>
    <mergeCell ref="A204:A205"/>
    <mergeCell ref="A214:A215"/>
    <mergeCell ref="A216:A217"/>
    <mergeCell ref="A218:A219"/>
    <mergeCell ref="A220:A221"/>
    <mergeCell ref="A222:A223"/>
    <mergeCell ref="A224:A225"/>
    <mergeCell ref="A211:A212"/>
    <mergeCell ref="A207:A208"/>
    <mergeCell ref="A209:A210"/>
    <mergeCell ref="C229:C230"/>
    <mergeCell ref="N229:N230"/>
    <mergeCell ref="N204:N205"/>
    <mergeCell ref="N222:N223"/>
    <mergeCell ref="A130:B130"/>
    <mergeCell ref="A226:A227"/>
    <mergeCell ref="A128:A129"/>
    <mergeCell ref="A107:A108"/>
    <mergeCell ref="A109:A110"/>
    <mergeCell ref="A111:A112"/>
    <mergeCell ref="A116:A117"/>
    <mergeCell ref="A118:A119"/>
    <mergeCell ref="A120:A121"/>
    <mergeCell ref="A122:A123"/>
    <mergeCell ref="A124:A125"/>
    <mergeCell ref="A114:A115"/>
    <mergeCell ref="A134:A135"/>
    <mergeCell ref="A136:A137"/>
    <mergeCell ref="A190:A191"/>
    <mergeCell ref="A188:A189"/>
    <mergeCell ref="A229:A230"/>
    <mergeCell ref="C220:C221"/>
    <mergeCell ref="N220:N221"/>
    <mergeCell ref="N114:N115"/>
    <mergeCell ref="Q96:Q97"/>
    <mergeCell ref="A126:A127"/>
    <mergeCell ref="C126:C127"/>
    <mergeCell ref="N126:N127"/>
    <mergeCell ref="O126:O127"/>
    <mergeCell ref="P126:P127"/>
    <mergeCell ref="Q126:Q127"/>
    <mergeCell ref="A94:A95"/>
    <mergeCell ref="A61:A62"/>
    <mergeCell ref="A63:A64"/>
    <mergeCell ref="A65:A66"/>
    <mergeCell ref="A67:A68"/>
    <mergeCell ref="A69:A70"/>
    <mergeCell ref="A71:A72"/>
    <mergeCell ref="A73:A74"/>
    <mergeCell ref="A75:A76"/>
    <mergeCell ref="A96:A97"/>
    <mergeCell ref="C96:C97"/>
    <mergeCell ref="N96:N97"/>
    <mergeCell ref="O96:O97"/>
    <mergeCell ref="C99:C100"/>
    <mergeCell ref="A78:A79"/>
    <mergeCell ref="Q120:Q121"/>
    <mergeCell ref="Q124:Q125"/>
  </mergeCells>
  <pageMargins left="0.23622047244094491" right="0.23622047244094491" top="0.74803149606299213" bottom="0.74803149606299213" header="0.31496062992125984" footer="0.31496062992125984"/>
  <pageSetup paperSize="9" scale="50" fitToHeight="0" orientation="landscape" cellComments="asDisplayed" r:id="rId1"/>
  <rowBreaks count="2" manualBreakCount="2">
    <brk id="42" max="16" man="1"/>
    <brk id="60" max="16" man="1"/>
  </rowBreaks>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2019-2022</vt:lpstr>
      <vt:lpstr>'2019-2022'!Print_Area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Ilze Ungure</dc:creator>
  <cp:lastModifiedBy>Arnita Liepiņa</cp:lastModifiedBy>
  <cp:lastPrinted>2018-12-18T14:08:28Z</cp:lastPrinted>
  <dcterms:created xsi:type="dcterms:W3CDTF">2017-12-13T10:30:40Z</dcterms:created>
  <dcterms:modified xsi:type="dcterms:W3CDTF">2018-12-18T14:22:14Z</dcterms:modified>
</cp:coreProperties>
</file>