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lemumi_s\Budzets_2019\Parakstisanai\"/>
    </mc:Choice>
  </mc:AlternateContent>
  <bookViews>
    <workbookView xWindow="0" yWindow="0" windowWidth="28800" windowHeight="12435" tabRatio="887" activeTab="31"/>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s>
  <definedNames>
    <definedName name="_xlnm._FilterDatabase" localSheetId="13" hidden="1">'16'!$A$287:$I$339</definedName>
    <definedName name="_xlnm._FilterDatabase" localSheetId="22" hidden="1">'25'!$A$5:$I$48</definedName>
    <definedName name="_xlnm._FilterDatabase" localSheetId="25" hidden="1">'28'!$A$9:$I$265</definedName>
    <definedName name="_xlnm._FilterDatabase" localSheetId="0" hidden="1">'3'!$A$9:$S$47</definedName>
    <definedName name="_xlnm.Print_Area" localSheetId="31">'34'!$A$1:$J$69</definedName>
    <definedName name="_xlnm.Print_Area" localSheetId="32">'35'!$A$1:$R$105</definedName>
    <definedName name="_xlnm.Print_Titles" localSheetId="32">'35'!$3:$3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3" l="1"/>
  <c r="G255" i="26" l="1"/>
  <c r="G260" i="26"/>
  <c r="J22" i="13" l="1"/>
  <c r="H9" i="12"/>
  <c r="J64" i="6" l="1"/>
  <c r="R107" i="33" l="1"/>
  <c r="P107" i="33"/>
  <c r="O107" i="33"/>
  <c r="N107" i="33"/>
  <c r="M107" i="33"/>
  <c r="L107" i="33"/>
  <c r="K107" i="33"/>
  <c r="J107" i="33"/>
  <c r="I107" i="33"/>
  <c r="H107" i="33"/>
  <c r="G107" i="33"/>
  <c r="F107" i="33"/>
  <c r="E107" i="33"/>
  <c r="D107" i="33"/>
  <c r="R103" i="33"/>
  <c r="R102" i="33"/>
  <c r="R93" i="33"/>
  <c r="R92" i="33"/>
  <c r="F88" i="33"/>
  <c r="F7" i="33" s="1"/>
  <c r="F8" i="33" s="1"/>
  <c r="E88" i="33"/>
  <c r="A88" i="33"/>
  <c r="A86" i="33"/>
  <c r="G76" i="33"/>
  <c r="G7" i="33" s="1"/>
  <c r="G8" i="33" s="1"/>
  <c r="F76" i="33"/>
  <c r="E76" i="33"/>
  <c r="D76" i="33"/>
  <c r="A76" i="33"/>
  <c r="R61" i="33"/>
  <c r="R60" i="33"/>
  <c r="D60" i="33"/>
  <c r="D114" i="33" s="1"/>
  <c r="Q52" i="33"/>
  <c r="P52" i="33"/>
  <c r="O52" i="33"/>
  <c r="N52" i="33"/>
  <c r="M52" i="33"/>
  <c r="L52" i="33"/>
  <c r="K52" i="33"/>
  <c r="J52" i="33"/>
  <c r="I52" i="33"/>
  <c r="H52" i="33"/>
  <c r="G52" i="33"/>
  <c r="F52" i="33"/>
  <c r="E52" i="33"/>
  <c r="R51" i="33"/>
  <c r="A49" i="33"/>
  <c r="H50" i="33" s="1"/>
  <c r="J48" i="33"/>
  <c r="I48" i="33"/>
  <c r="H48" i="33"/>
  <c r="G48" i="33"/>
  <c r="F48" i="33"/>
  <c r="D48" i="33"/>
  <c r="E48" i="33" s="1"/>
  <c r="I46" i="33"/>
  <c r="H46" i="33"/>
  <c r="G46" i="33"/>
  <c r="F46" i="33"/>
  <c r="E46" i="33"/>
  <c r="D46" i="33" s="1"/>
  <c r="J44" i="33"/>
  <c r="I44" i="33"/>
  <c r="H44" i="33"/>
  <c r="G44" i="33"/>
  <c r="F44" i="33"/>
  <c r="D44" i="33"/>
  <c r="E44" i="33" s="1"/>
  <c r="I42" i="33"/>
  <c r="H42" i="33"/>
  <c r="G42" i="33"/>
  <c r="F42" i="33"/>
  <c r="E42" i="33"/>
  <c r="D42" i="33" s="1"/>
  <c r="P40" i="33"/>
  <c r="O40" i="33"/>
  <c r="N40" i="33"/>
  <c r="M40" i="33"/>
  <c r="L40" i="33"/>
  <c r="K40" i="33"/>
  <c r="J40" i="33"/>
  <c r="I40" i="33"/>
  <c r="H40" i="33"/>
  <c r="G40" i="33"/>
  <c r="E40" i="33"/>
  <c r="F40" i="33" s="1"/>
  <c r="J38" i="33"/>
  <c r="I38" i="33"/>
  <c r="H38" i="33"/>
  <c r="G38" i="33"/>
  <c r="F38" i="33"/>
  <c r="D38" i="33"/>
  <c r="E38" i="33" s="1"/>
  <c r="P36" i="33"/>
  <c r="O36" i="33"/>
  <c r="N36" i="33"/>
  <c r="M36" i="33"/>
  <c r="L36" i="33"/>
  <c r="K36" i="33"/>
  <c r="J36" i="33"/>
  <c r="I36" i="33"/>
  <c r="H36" i="33"/>
  <c r="G36" i="33"/>
  <c r="E36" i="33"/>
  <c r="F36" i="33" s="1"/>
  <c r="O34" i="33"/>
  <c r="N34" i="33"/>
  <c r="M34" i="33"/>
  <c r="L34" i="33"/>
  <c r="K34" i="33"/>
  <c r="J34" i="33"/>
  <c r="I34" i="33"/>
  <c r="H34" i="33"/>
  <c r="G34" i="33"/>
  <c r="F34" i="33"/>
  <c r="D34" i="33"/>
  <c r="E34" i="33" s="1"/>
  <c r="A31" i="33"/>
  <c r="N32" i="33" s="1"/>
  <c r="P30" i="33"/>
  <c r="O30" i="33"/>
  <c r="N30" i="33"/>
  <c r="M30" i="33"/>
  <c r="L30" i="33"/>
  <c r="K30" i="33"/>
  <c r="J30" i="33"/>
  <c r="I30" i="33"/>
  <c r="H30" i="33"/>
  <c r="G30" i="33"/>
  <c r="D30" i="33"/>
  <c r="E30" i="33" s="1"/>
  <c r="F30" i="33" s="1"/>
  <c r="P28" i="33"/>
  <c r="O28" i="33"/>
  <c r="N28" i="33"/>
  <c r="M28" i="33"/>
  <c r="L28" i="33"/>
  <c r="K28" i="33"/>
  <c r="J28" i="33"/>
  <c r="I28" i="33"/>
  <c r="H28" i="33"/>
  <c r="G28" i="33"/>
  <c r="D28" i="33"/>
  <c r="E28" i="33" s="1"/>
  <c r="F28" i="33" s="1"/>
  <c r="P26" i="33"/>
  <c r="O26" i="33"/>
  <c r="N26" i="33"/>
  <c r="M26" i="33"/>
  <c r="K26" i="33"/>
  <c r="J26" i="33"/>
  <c r="I26" i="33"/>
  <c r="H26" i="33"/>
  <c r="G26" i="33"/>
  <c r="E26" i="33"/>
  <c r="F26" i="33" s="1"/>
  <c r="O24" i="33"/>
  <c r="N24" i="33"/>
  <c r="M24" i="33"/>
  <c r="L24" i="33"/>
  <c r="K24" i="33"/>
  <c r="J24" i="33"/>
  <c r="I24" i="33"/>
  <c r="H24" i="33"/>
  <c r="G24" i="33"/>
  <c r="F24" i="33"/>
  <c r="D24" i="33"/>
  <c r="E24" i="33" s="1"/>
  <c r="R22" i="33"/>
  <c r="Q22" i="33"/>
  <c r="Q9" i="33" s="1"/>
  <c r="Q10" i="33" s="1"/>
  <c r="P22" i="33"/>
  <c r="O22" i="33"/>
  <c r="N22" i="33"/>
  <c r="M22" i="33"/>
  <c r="L22" i="33"/>
  <c r="K22" i="33"/>
  <c r="J22" i="33"/>
  <c r="I22" i="33"/>
  <c r="H22" i="33"/>
  <c r="G22" i="33"/>
  <c r="E22" i="33"/>
  <c r="F22" i="33" s="1"/>
  <c r="R21" i="33"/>
  <c r="H20" i="33"/>
  <c r="G20" i="33"/>
  <c r="F20" i="33"/>
  <c r="D20" i="33"/>
  <c r="E20" i="33" s="1"/>
  <c r="O18" i="33"/>
  <c r="N18" i="33"/>
  <c r="M18" i="33"/>
  <c r="L18" i="33"/>
  <c r="K18" i="33"/>
  <c r="J18" i="33"/>
  <c r="I18" i="33"/>
  <c r="H18" i="33"/>
  <c r="G18" i="33"/>
  <c r="F18" i="33"/>
  <c r="D18" i="33"/>
  <c r="R16" i="33"/>
  <c r="R9" i="33" s="1"/>
  <c r="Q16" i="33"/>
  <c r="Q105" i="33" s="1"/>
  <c r="P16" i="33"/>
  <c r="O16" i="33"/>
  <c r="N16" i="33"/>
  <c r="M16" i="33"/>
  <c r="L16" i="33"/>
  <c r="K16" i="33"/>
  <c r="J16" i="33"/>
  <c r="I16" i="33"/>
  <c r="H16" i="33"/>
  <c r="G16" i="33"/>
  <c r="E16" i="33"/>
  <c r="F16" i="33" s="1"/>
  <c r="R15" i="33"/>
  <c r="N14" i="33"/>
  <c r="M14" i="33"/>
  <c r="L14" i="33"/>
  <c r="K14" i="33"/>
  <c r="J14" i="33"/>
  <c r="I14" i="33"/>
  <c r="H14" i="33"/>
  <c r="G14" i="33"/>
  <c r="F14" i="33"/>
  <c r="E14" i="33"/>
  <c r="D14" i="33" s="1"/>
  <c r="Q12" i="33"/>
  <c r="R11" i="33"/>
  <c r="Q11" i="33"/>
  <c r="P11" i="33"/>
  <c r="O11" i="33"/>
  <c r="N11" i="33"/>
  <c r="M11" i="33"/>
  <c r="L11" i="33"/>
  <c r="K11" i="33"/>
  <c r="J11" i="33"/>
  <c r="I11" i="33"/>
  <c r="H11" i="33"/>
  <c r="G11" i="33"/>
  <c r="F11" i="33"/>
  <c r="E11" i="33"/>
  <c r="D11" i="33"/>
  <c r="Q7" i="33"/>
  <c r="Q8" i="33" s="1"/>
  <c r="P7" i="33"/>
  <c r="O7" i="33"/>
  <c r="O8" i="33" s="1"/>
  <c r="N7" i="33"/>
  <c r="N8" i="33" s="1"/>
  <c r="M7" i="33"/>
  <c r="M8" i="33" s="1"/>
  <c r="L7" i="33"/>
  <c r="K7" i="33"/>
  <c r="K8" i="33" s="1"/>
  <c r="J7" i="33"/>
  <c r="J8" i="33" s="1"/>
  <c r="I7" i="33"/>
  <c r="I8" i="33" s="1"/>
  <c r="H7" i="33"/>
  <c r="H8" i="33" s="1"/>
  <c r="Q4" i="33"/>
  <c r="Q5" i="33" s="1"/>
  <c r="D105" i="33" l="1"/>
  <c r="R12" i="33"/>
  <c r="E50" i="33"/>
  <c r="F50" i="33" s="1"/>
  <c r="O32" i="33"/>
  <c r="O4" i="33" s="1"/>
  <c r="O5" i="33" s="1"/>
  <c r="I50" i="33"/>
  <c r="E7" i="33"/>
  <c r="E8" i="33" s="1"/>
  <c r="L8" i="33"/>
  <c r="P8" i="33"/>
  <c r="A12" i="33"/>
  <c r="N9" i="33"/>
  <c r="N10" i="33" s="1"/>
  <c r="D7" i="33"/>
  <c r="D8" i="33" s="1"/>
  <c r="R105" i="33"/>
  <c r="G32" i="33"/>
  <c r="D12" i="33"/>
  <c r="D4" i="33"/>
  <c r="D5" i="33" s="1"/>
  <c r="N4" i="33"/>
  <c r="N5" i="33" s="1"/>
  <c r="R7" i="33"/>
  <c r="K32" i="33"/>
  <c r="K4" i="33" s="1"/>
  <c r="K5" i="33" s="1"/>
  <c r="O9" i="33"/>
  <c r="O10" i="33" s="1"/>
  <c r="N12" i="33"/>
  <c r="E18" i="33"/>
  <c r="H32" i="33"/>
  <c r="H4" i="33" s="1"/>
  <c r="H5" i="33" s="1"/>
  <c r="L32" i="33"/>
  <c r="L4" i="33" s="1"/>
  <c r="L5" i="33" s="1"/>
  <c r="P32" i="33"/>
  <c r="P4" i="33" s="1"/>
  <c r="P5" i="33" s="1"/>
  <c r="N105" i="33"/>
  <c r="R4" i="33"/>
  <c r="D9" i="33"/>
  <c r="D10" i="33" s="1"/>
  <c r="O12" i="33"/>
  <c r="E32" i="33"/>
  <c r="F32" i="33" s="1"/>
  <c r="F4" i="33" s="1"/>
  <c r="F5" i="33" s="1"/>
  <c r="I32" i="33"/>
  <c r="I12" i="33" s="1"/>
  <c r="M32" i="33"/>
  <c r="M12" i="33" s="1"/>
  <c r="G50" i="33"/>
  <c r="G4" i="33" s="1"/>
  <c r="G5" i="33" s="1"/>
  <c r="O105" i="33"/>
  <c r="J32" i="33"/>
  <c r="J9" i="33" s="1"/>
  <c r="J10" i="33" s="1"/>
  <c r="K12" i="33" l="1"/>
  <c r="H105" i="33"/>
  <c r="K105" i="33"/>
  <c r="L9" i="33"/>
  <c r="L10" i="33" s="1"/>
  <c r="I4" i="33"/>
  <c r="I5" i="33" s="1"/>
  <c r="K9" i="33"/>
  <c r="K10" i="33" s="1"/>
  <c r="H9" i="33"/>
  <c r="H10" i="33" s="1"/>
  <c r="I9" i="33"/>
  <c r="I10" i="33" s="1"/>
  <c r="J12" i="33"/>
  <c r="L12" i="33"/>
  <c r="P105" i="33"/>
  <c r="M4" i="33"/>
  <c r="M5" i="33" s="1"/>
  <c r="G12" i="33"/>
  <c r="J105" i="33"/>
  <c r="F12" i="33"/>
  <c r="M105" i="33"/>
  <c r="H12" i="33"/>
  <c r="P12" i="33"/>
  <c r="J4" i="33"/>
  <c r="J5" i="33" s="1"/>
  <c r="G9" i="33"/>
  <c r="G10" i="33" s="1"/>
  <c r="G105" i="33"/>
  <c r="P9" i="33"/>
  <c r="P10" i="33" s="1"/>
  <c r="F105" i="33"/>
  <c r="E9" i="33"/>
  <c r="E10" i="33" s="1"/>
  <c r="E105" i="33"/>
  <c r="E4" i="33"/>
  <c r="E5" i="33" s="1"/>
  <c r="E12" i="33"/>
  <c r="I105" i="33"/>
  <c r="F9" i="33"/>
  <c r="F10" i="33" s="1"/>
  <c r="M9" i="33"/>
  <c r="M10" i="33" s="1"/>
  <c r="L105" i="33"/>
  <c r="G68" i="31" l="1"/>
  <c r="E68" i="31"/>
  <c r="D68" i="31"/>
  <c r="C68" i="31"/>
  <c r="G60" i="31"/>
  <c r="E60" i="31"/>
  <c r="D60" i="31"/>
  <c r="C60" i="31"/>
  <c r="G40" i="31"/>
  <c r="E40" i="31"/>
  <c r="D40" i="31"/>
  <c r="C40" i="31"/>
  <c r="G29" i="31"/>
  <c r="E29" i="31"/>
  <c r="D29" i="31"/>
  <c r="C29" i="31"/>
  <c r="G23" i="31"/>
  <c r="E23" i="31"/>
  <c r="D23" i="31"/>
  <c r="C23" i="31"/>
  <c r="G15" i="31"/>
  <c r="E15" i="31"/>
  <c r="D15" i="31"/>
  <c r="C15" i="31"/>
  <c r="E10" i="31"/>
  <c r="E9" i="31" s="1"/>
  <c r="D10" i="31"/>
  <c r="D9" i="31" s="1"/>
  <c r="G9" i="31"/>
  <c r="C9" i="31"/>
  <c r="G34" i="30"/>
  <c r="E34" i="30"/>
  <c r="D34" i="30"/>
  <c r="C34" i="30"/>
  <c r="G16" i="30"/>
  <c r="E16" i="30"/>
  <c r="D16" i="30"/>
  <c r="C16" i="30"/>
  <c r="G9" i="30"/>
  <c r="E9" i="30"/>
  <c r="D9" i="30"/>
  <c r="C9" i="30"/>
  <c r="G40" i="29"/>
  <c r="E40" i="29"/>
  <c r="D40" i="29"/>
  <c r="C40" i="29"/>
  <c r="G34" i="29"/>
  <c r="E34" i="29"/>
  <c r="D34" i="29"/>
  <c r="C34" i="29"/>
  <c r="G27" i="29"/>
  <c r="E27" i="29"/>
  <c r="D27" i="29"/>
  <c r="C27" i="29"/>
  <c r="G15" i="29"/>
  <c r="E15" i="29"/>
  <c r="D15" i="29"/>
  <c r="C15" i="29"/>
  <c r="G9" i="29"/>
  <c r="E9" i="29"/>
  <c r="D9" i="29"/>
  <c r="C9" i="29"/>
  <c r="E58" i="28"/>
  <c r="E56" i="28"/>
  <c r="E55" i="28" s="1"/>
  <c r="G55" i="28"/>
  <c r="D55" i="28"/>
  <c r="C55" i="28"/>
  <c r="G45" i="28"/>
  <c r="E45" i="28"/>
  <c r="D45" i="28"/>
  <c r="C45" i="28"/>
  <c r="G35" i="28"/>
  <c r="E35" i="28"/>
  <c r="D35" i="28"/>
  <c r="C35" i="28"/>
  <c r="G25" i="28"/>
  <c r="E25" i="28"/>
  <c r="D25" i="28"/>
  <c r="C25" i="28"/>
  <c r="E20" i="28"/>
  <c r="E17" i="28" s="1"/>
  <c r="G17" i="28"/>
  <c r="D17" i="28"/>
  <c r="C17" i="28"/>
  <c r="G9" i="28"/>
  <c r="E9" i="28"/>
  <c r="D9" i="28"/>
  <c r="C9" i="28"/>
  <c r="E30" i="27"/>
  <c r="E29" i="27" s="1"/>
  <c r="G29" i="27"/>
  <c r="D29" i="27"/>
  <c r="C29" i="27"/>
  <c r="E24" i="27"/>
  <c r="E23" i="27" s="1"/>
  <c r="G23" i="27"/>
  <c r="D23" i="27"/>
  <c r="C23" i="27"/>
  <c r="E18" i="27"/>
  <c r="G9" i="27"/>
  <c r="E9" i="27"/>
  <c r="D9" i="27"/>
  <c r="C9" i="27"/>
  <c r="E260" i="26" l="1"/>
  <c r="D260" i="26"/>
  <c r="C260" i="26"/>
  <c r="E255" i="26"/>
  <c r="E254" i="26" s="1"/>
  <c r="E244" i="26" s="1"/>
  <c r="D255" i="26"/>
  <c r="C255" i="26"/>
  <c r="C254" i="26" s="1"/>
  <c r="G254" i="26"/>
  <c r="G244" i="26" s="1"/>
  <c r="D254" i="26"/>
  <c r="G250" i="26"/>
  <c r="E250" i="26"/>
  <c r="D250" i="26"/>
  <c r="C250" i="26"/>
  <c r="G245" i="26"/>
  <c r="E245" i="26"/>
  <c r="D245" i="26"/>
  <c r="C245" i="26"/>
  <c r="G240" i="26"/>
  <c r="E240" i="26"/>
  <c r="D240" i="26"/>
  <c r="C240" i="26"/>
  <c r="G234" i="26"/>
  <c r="E234" i="26"/>
  <c r="D234" i="26"/>
  <c r="C234" i="26"/>
  <c r="G232" i="26"/>
  <c r="E232" i="26"/>
  <c r="D232" i="26"/>
  <c r="C232" i="26"/>
  <c r="C231" i="26" s="1"/>
  <c r="G231" i="26"/>
  <c r="E231" i="26"/>
  <c r="D231" i="26"/>
  <c r="D220" i="26" s="1"/>
  <c r="G226" i="26"/>
  <c r="E226" i="26"/>
  <c r="D226" i="26"/>
  <c r="C226" i="26"/>
  <c r="G221" i="26"/>
  <c r="E221" i="26"/>
  <c r="D221" i="26"/>
  <c r="C221" i="26"/>
  <c r="G220" i="26"/>
  <c r="G215" i="26"/>
  <c r="E215" i="26"/>
  <c r="D215" i="26"/>
  <c r="C215" i="26"/>
  <c r="G211" i="26"/>
  <c r="E211" i="26"/>
  <c r="D211" i="26"/>
  <c r="C211" i="26"/>
  <c r="G207" i="26"/>
  <c r="E207" i="26"/>
  <c r="D207" i="26"/>
  <c r="C207" i="26"/>
  <c r="C206" i="26" s="1"/>
  <c r="G206" i="26"/>
  <c r="E206" i="26"/>
  <c r="D206" i="26"/>
  <c r="G201" i="26"/>
  <c r="E201" i="26"/>
  <c r="D201" i="26"/>
  <c r="C201" i="26"/>
  <c r="G199" i="26"/>
  <c r="E199" i="26"/>
  <c r="D199" i="26"/>
  <c r="C199" i="26"/>
  <c r="G195" i="26"/>
  <c r="E195" i="26"/>
  <c r="D195" i="26"/>
  <c r="C195" i="26"/>
  <c r="G191" i="26"/>
  <c r="E191" i="26"/>
  <c r="D191" i="26"/>
  <c r="C191" i="26"/>
  <c r="G184" i="26"/>
  <c r="E184" i="26"/>
  <c r="D184" i="26"/>
  <c r="D183" i="26" s="1"/>
  <c r="C184" i="26"/>
  <c r="C183" i="26" s="1"/>
  <c r="G183" i="26"/>
  <c r="E183" i="26"/>
  <c r="G179" i="26"/>
  <c r="E179" i="26"/>
  <c r="D179" i="26"/>
  <c r="C179" i="26"/>
  <c r="G174" i="26"/>
  <c r="E174" i="26"/>
  <c r="E173" i="26" s="1"/>
  <c r="D174" i="26"/>
  <c r="C174" i="26"/>
  <c r="G167" i="26"/>
  <c r="E167" i="26"/>
  <c r="D167" i="26"/>
  <c r="C167" i="26"/>
  <c r="G164" i="26"/>
  <c r="E164" i="26"/>
  <c r="D164" i="26"/>
  <c r="C164" i="26"/>
  <c r="G163" i="26"/>
  <c r="G153" i="26" s="1"/>
  <c r="E163" i="26"/>
  <c r="C163" i="26"/>
  <c r="G159" i="26"/>
  <c r="E159" i="26"/>
  <c r="D159" i="26"/>
  <c r="C159" i="26"/>
  <c r="G154" i="26"/>
  <c r="E154" i="26"/>
  <c r="E153" i="26" s="1"/>
  <c r="D154" i="26"/>
  <c r="C154" i="26"/>
  <c r="C153" i="26" s="1"/>
  <c r="G147" i="26"/>
  <c r="E147" i="26"/>
  <c r="D147" i="26"/>
  <c r="C147" i="26"/>
  <c r="G145" i="26"/>
  <c r="E145" i="26"/>
  <c r="D145" i="26"/>
  <c r="C145" i="26"/>
  <c r="G144" i="26"/>
  <c r="E144" i="26"/>
  <c r="D144" i="26"/>
  <c r="C144" i="26"/>
  <c r="G140" i="26"/>
  <c r="E140" i="26"/>
  <c r="D140" i="26"/>
  <c r="C140" i="26"/>
  <c r="G136" i="26"/>
  <c r="E136" i="26"/>
  <c r="D136" i="26"/>
  <c r="C136" i="26"/>
  <c r="C135" i="26" s="1"/>
  <c r="G135" i="26"/>
  <c r="E135" i="26"/>
  <c r="D135" i="26"/>
  <c r="G133" i="26"/>
  <c r="G132" i="26" s="1"/>
  <c r="E133" i="26"/>
  <c r="D133" i="26"/>
  <c r="C133" i="26"/>
  <c r="C132" i="26" s="1"/>
  <c r="E132" i="26"/>
  <c r="D132" i="26"/>
  <c r="G128" i="26"/>
  <c r="E128" i="26"/>
  <c r="D128" i="26"/>
  <c r="C128" i="26"/>
  <c r="G123" i="26"/>
  <c r="G122" i="26" s="1"/>
  <c r="E123" i="26"/>
  <c r="D123" i="26"/>
  <c r="C123" i="26"/>
  <c r="E122" i="26"/>
  <c r="D122" i="26"/>
  <c r="G117" i="26"/>
  <c r="E117" i="26"/>
  <c r="D117" i="26"/>
  <c r="C117" i="26"/>
  <c r="G112" i="26"/>
  <c r="E112" i="26"/>
  <c r="E111" i="26" s="1"/>
  <c r="D112" i="26"/>
  <c r="D111" i="26" s="1"/>
  <c r="C112" i="26"/>
  <c r="C111" i="26" s="1"/>
  <c r="G111" i="26"/>
  <c r="G110" i="26"/>
  <c r="G107" i="26" s="1"/>
  <c r="E107" i="26"/>
  <c r="D107" i="26"/>
  <c r="C107" i="26"/>
  <c r="G103" i="26"/>
  <c r="E103" i="26"/>
  <c r="D103" i="26"/>
  <c r="C103" i="26"/>
  <c r="G98" i="26"/>
  <c r="E98" i="26"/>
  <c r="D98" i="26"/>
  <c r="C98" i="26"/>
  <c r="G93" i="26"/>
  <c r="E93" i="26"/>
  <c r="D93" i="26"/>
  <c r="C93" i="26"/>
  <c r="G89" i="26"/>
  <c r="E89" i="26"/>
  <c r="D89" i="26"/>
  <c r="C89" i="26"/>
  <c r="G84" i="26"/>
  <c r="G83" i="26" s="1"/>
  <c r="E84" i="26"/>
  <c r="E83" i="26" s="1"/>
  <c r="D84" i="26"/>
  <c r="D83" i="26" s="1"/>
  <c r="C84" i="26"/>
  <c r="C83" i="26" s="1"/>
  <c r="G80" i="26"/>
  <c r="E80" i="26"/>
  <c r="D80" i="26"/>
  <c r="C80" i="26"/>
  <c r="G76" i="26"/>
  <c r="E76" i="26"/>
  <c r="D76" i="26"/>
  <c r="C76" i="26"/>
  <c r="G73" i="26"/>
  <c r="G72" i="26" s="1"/>
  <c r="E73" i="26"/>
  <c r="E72" i="26" s="1"/>
  <c r="D73" i="26"/>
  <c r="D72" i="26" s="1"/>
  <c r="C73" i="26"/>
  <c r="C72" i="26" s="1"/>
  <c r="G68" i="26"/>
  <c r="E68" i="26"/>
  <c r="D68" i="26"/>
  <c r="C68" i="26"/>
  <c r="G67" i="26"/>
  <c r="G64" i="26" s="1"/>
  <c r="E64" i="26"/>
  <c r="D64" i="26"/>
  <c r="C64" i="26"/>
  <c r="G58" i="26"/>
  <c r="E58" i="26"/>
  <c r="D58" i="26"/>
  <c r="C58" i="26"/>
  <c r="G54" i="26"/>
  <c r="G53" i="26" s="1"/>
  <c r="E54" i="26"/>
  <c r="E53" i="26" s="1"/>
  <c r="D54" i="26"/>
  <c r="D53" i="26" s="1"/>
  <c r="C54" i="26"/>
  <c r="C53" i="26"/>
  <c r="C52" i="26" s="1"/>
  <c r="G45" i="26"/>
  <c r="E45" i="26"/>
  <c r="D45" i="26"/>
  <c r="C45" i="26"/>
  <c r="G43" i="26"/>
  <c r="E43" i="26"/>
  <c r="E42" i="26" s="1"/>
  <c r="D43" i="26"/>
  <c r="D42" i="26" s="1"/>
  <c r="C43" i="26"/>
  <c r="C42" i="26" s="1"/>
  <c r="G42" i="26"/>
  <c r="G38" i="26"/>
  <c r="E38" i="26"/>
  <c r="D38" i="26"/>
  <c r="C38" i="26"/>
  <c r="G28" i="26"/>
  <c r="E28" i="26"/>
  <c r="D28" i="26"/>
  <c r="C28" i="26"/>
  <c r="G17" i="26"/>
  <c r="E17" i="26"/>
  <c r="D17" i="26"/>
  <c r="C17" i="26"/>
  <c r="G12" i="26"/>
  <c r="G11" i="26" s="1"/>
  <c r="G10" i="26" s="1"/>
  <c r="E12" i="26"/>
  <c r="E11" i="26" s="1"/>
  <c r="D12" i="26"/>
  <c r="C12" i="26"/>
  <c r="D11" i="26"/>
  <c r="K177" i="25"/>
  <c r="J177" i="25"/>
  <c r="H177" i="25"/>
  <c r="G177" i="25"/>
  <c r="F177" i="25"/>
  <c r="E177" i="25"/>
  <c r="D177" i="25"/>
  <c r="C177" i="25"/>
  <c r="K173" i="25"/>
  <c r="J173" i="25"/>
  <c r="H173" i="25"/>
  <c r="G173" i="25"/>
  <c r="F173" i="25"/>
  <c r="E173" i="25"/>
  <c r="D173" i="25"/>
  <c r="C173" i="25"/>
  <c r="K171" i="25"/>
  <c r="J171" i="25"/>
  <c r="H171" i="25"/>
  <c r="G171" i="25"/>
  <c r="F171" i="25"/>
  <c r="E171" i="25"/>
  <c r="D171" i="25"/>
  <c r="C171" i="25"/>
  <c r="K169" i="25"/>
  <c r="J169" i="25"/>
  <c r="H169" i="25"/>
  <c r="G169" i="25"/>
  <c r="F169" i="25"/>
  <c r="E169" i="25"/>
  <c r="D169" i="25"/>
  <c r="C169" i="25"/>
  <c r="K165" i="25"/>
  <c r="J165" i="25"/>
  <c r="H165" i="25"/>
  <c r="G165" i="25"/>
  <c r="F165" i="25"/>
  <c r="E165" i="25"/>
  <c r="D165" i="25"/>
  <c r="C165" i="25"/>
  <c r="K160" i="25"/>
  <c r="J160" i="25"/>
  <c r="H160" i="25"/>
  <c r="G160" i="25"/>
  <c r="F160" i="25"/>
  <c r="E160" i="25"/>
  <c r="D160" i="25"/>
  <c r="C160" i="25"/>
  <c r="K156" i="25"/>
  <c r="J156" i="25"/>
  <c r="H156" i="25"/>
  <c r="G156" i="25"/>
  <c r="F156" i="25"/>
  <c r="E156" i="25"/>
  <c r="D156" i="25"/>
  <c r="C156" i="25"/>
  <c r="K152" i="25"/>
  <c r="J152" i="25"/>
  <c r="J151" i="25" s="1"/>
  <c r="H152" i="25"/>
  <c r="G152" i="25"/>
  <c r="G151" i="25" s="1"/>
  <c r="F152" i="25"/>
  <c r="E152" i="25"/>
  <c r="D152" i="25"/>
  <c r="C152" i="25"/>
  <c r="C151" i="25" s="1"/>
  <c r="K151" i="25"/>
  <c r="H151" i="25"/>
  <c r="F151" i="25"/>
  <c r="D151" i="25"/>
  <c r="K141" i="25"/>
  <c r="J141" i="25"/>
  <c r="H141" i="25"/>
  <c r="G141" i="25"/>
  <c r="F141" i="25"/>
  <c r="E141" i="25"/>
  <c r="D141" i="25"/>
  <c r="C141" i="25"/>
  <c r="K137" i="25"/>
  <c r="J137" i="25"/>
  <c r="H137" i="25"/>
  <c r="G137" i="25"/>
  <c r="F137" i="25"/>
  <c r="E137" i="25"/>
  <c r="D137" i="25"/>
  <c r="C137" i="25"/>
  <c r="K133" i="25"/>
  <c r="J133" i="25"/>
  <c r="H133" i="25"/>
  <c r="G133" i="25"/>
  <c r="F133" i="25"/>
  <c r="E133" i="25"/>
  <c r="D133" i="25"/>
  <c r="C133" i="25"/>
  <c r="K129" i="25"/>
  <c r="J129" i="25"/>
  <c r="H129" i="25"/>
  <c r="G129" i="25"/>
  <c r="F129" i="25"/>
  <c r="E129" i="25"/>
  <c r="D129" i="25"/>
  <c r="C129" i="25"/>
  <c r="K127" i="25"/>
  <c r="J127" i="25"/>
  <c r="H127" i="25"/>
  <c r="G127" i="25"/>
  <c r="F127" i="25"/>
  <c r="E127" i="25"/>
  <c r="D127" i="25"/>
  <c r="C127" i="25"/>
  <c r="K125" i="25"/>
  <c r="J125" i="25"/>
  <c r="H125" i="25"/>
  <c r="G125" i="25"/>
  <c r="F125" i="25"/>
  <c r="E125" i="25"/>
  <c r="D125" i="25"/>
  <c r="C125" i="25"/>
  <c r="K122" i="25"/>
  <c r="J122" i="25"/>
  <c r="H122" i="25"/>
  <c r="G122" i="25"/>
  <c r="F122" i="25"/>
  <c r="E122" i="25"/>
  <c r="D122" i="25"/>
  <c r="C122" i="25"/>
  <c r="K117" i="25"/>
  <c r="J117" i="25"/>
  <c r="H117" i="25"/>
  <c r="G117" i="25"/>
  <c r="F117" i="25"/>
  <c r="E117" i="25"/>
  <c r="D117" i="25"/>
  <c r="C117" i="25"/>
  <c r="K113" i="25"/>
  <c r="J113" i="25"/>
  <c r="H113" i="25"/>
  <c r="G113" i="25"/>
  <c r="F113" i="25"/>
  <c r="E113" i="25"/>
  <c r="D113" i="25"/>
  <c r="C113" i="25"/>
  <c r="K111" i="25"/>
  <c r="J111" i="25"/>
  <c r="H111" i="25"/>
  <c r="G111" i="25"/>
  <c r="F111" i="25"/>
  <c r="E111" i="25"/>
  <c r="D111" i="25"/>
  <c r="C111" i="25"/>
  <c r="K106" i="25"/>
  <c r="J106" i="25"/>
  <c r="H106" i="25"/>
  <c r="G106" i="25"/>
  <c r="F106" i="25"/>
  <c r="E106" i="25"/>
  <c r="D106" i="25"/>
  <c r="C106" i="25"/>
  <c r="J97" i="25"/>
  <c r="J96" i="25" s="1"/>
  <c r="K96" i="25"/>
  <c r="H96" i="25"/>
  <c r="G96" i="25"/>
  <c r="F96" i="25"/>
  <c r="E96" i="25"/>
  <c r="D96" i="25"/>
  <c r="C96" i="25"/>
  <c r="C90" i="25" s="1"/>
  <c r="K91" i="25"/>
  <c r="J91" i="25"/>
  <c r="H91" i="25"/>
  <c r="H90" i="25" s="1"/>
  <c r="G91" i="25"/>
  <c r="F91" i="25"/>
  <c r="E91" i="25"/>
  <c r="D91" i="25"/>
  <c r="D90" i="25" s="1"/>
  <c r="C91" i="25"/>
  <c r="K80" i="25"/>
  <c r="J80" i="25"/>
  <c r="H80" i="25"/>
  <c r="G80" i="25"/>
  <c r="F80" i="25"/>
  <c r="E80" i="25"/>
  <c r="D80" i="25"/>
  <c r="C80" i="25"/>
  <c r="J79" i="25"/>
  <c r="J76" i="25" s="1"/>
  <c r="K76" i="25"/>
  <c r="H76" i="25"/>
  <c r="G76" i="25"/>
  <c r="F76" i="25"/>
  <c r="E76" i="25"/>
  <c r="D76" i="25"/>
  <c r="C76" i="25"/>
  <c r="K72" i="25"/>
  <c r="J72" i="25"/>
  <c r="H72" i="25"/>
  <c r="G72" i="25"/>
  <c r="F72" i="25"/>
  <c r="E72" i="25"/>
  <c r="D72" i="25"/>
  <c r="C72" i="25"/>
  <c r="K67" i="25"/>
  <c r="J67" i="25"/>
  <c r="H67" i="25"/>
  <c r="G67" i="25"/>
  <c r="F67" i="25"/>
  <c r="E67" i="25"/>
  <c r="D67" i="25"/>
  <c r="C67" i="25"/>
  <c r="K62" i="25"/>
  <c r="J62" i="25"/>
  <c r="H62" i="25"/>
  <c r="G62" i="25"/>
  <c r="F62" i="25"/>
  <c r="E62" i="25"/>
  <c r="D62" i="25"/>
  <c r="C62" i="25"/>
  <c r="K57" i="25"/>
  <c r="J57" i="25"/>
  <c r="H57" i="25"/>
  <c r="G57" i="25"/>
  <c r="F57" i="25"/>
  <c r="E57" i="25"/>
  <c r="D57" i="25"/>
  <c r="C57" i="25"/>
  <c r="K55" i="25"/>
  <c r="J55" i="25"/>
  <c r="H55" i="25"/>
  <c r="G55" i="25"/>
  <c r="F55" i="25"/>
  <c r="E55" i="25"/>
  <c r="D55" i="25"/>
  <c r="C55" i="25"/>
  <c r="K48" i="25"/>
  <c r="J48" i="25"/>
  <c r="H48" i="25"/>
  <c r="H47" i="25" s="1"/>
  <c r="G48" i="25"/>
  <c r="G47" i="25" s="1"/>
  <c r="F48" i="25"/>
  <c r="E48" i="25"/>
  <c r="E47" i="25" s="1"/>
  <c r="D48" i="25"/>
  <c r="D47" i="25" s="1"/>
  <c r="C48" i="25"/>
  <c r="C47" i="25" s="1"/>
  <c r="K34" i="25"/>
  <c r="J34" i="25"/>
  <c r="H34" i="25"/>
  <c r="G34" i="25"/>
  <c r="D34" i="25"/>
  <c r="C34" i="25"/>
  <c r="K28" i="25"/>
  <c r="J28" i="25"/>
  <c r="H28" i="25"/>
  <c r="G28" i="25"/>
  <c r="D28" i="25"/>
  <c r="C28" i="25"/>
  <c r="J23" i="25"/>
  <c r="H23" i="25"/>
  <c r="G23" i="25"/>
  <c r="D23" i="25"/>
  <c r="C23" i="25"/>
  <c r="J17" i="25"/>
  <c r="H17" i="25"/>
  <c r="G17" i="25"/>
  <c r="D17" i="25"/>
  <c r="C17" i="25"/>
  <c r="J11" i="25"/>
  <c r="H11" i="25"/>
  <c r="G11" i="25"/>
  <c r="D11" i="25"/>
  <c r="C11" i="25"/>
  <c r="F10" i="25"/>
  <c r="E10" i="25"/>
  <c r="J280" i="24"/>
  <c r="J278" i="24" s="1"/>
  <c r="K278" i="24"/>
  <c r="K271" i="24" s="1"/>
  <c r="H278" i="24"/>
  <c r="G278" i="24"/>
  <c r="F278" i="24"/>
  <c r="E278" i="24"/>
  <c r="D278" i="24"/>
  <c r="C278" i="24"/>
  <c r="K275" i="24"/>
  <c r="J275" i="24"/>
  <c r="H275" i="24"/>
  <c r="G275" i="24"/>
  <c r="G271" i="24" s="1"/>
  <c r="F275" i="24"/>
  <c r="E275" i="24"/>
  <c r="E271" i="24" s="1"/>
  <c r="D275" i="24"/>
  <c r="C275" i="24"/>
  <c r="C271" i="24" s="1"/>
  <c r="H271" i="24"/>
  <c r="F271" i="24"/>
  <c r="D271" i="24"/>
  <c r="K269" i="24"/>
  <c r="J269" i="24"/>
  <c r="H269" i="24"/>
  <c r="G269" i="24"/>
  <c r="F269" i="24"/>
  <c r="E269" i="24"/>
  <c r="D269" i="24"/>
  <c r="C269" i="24"/>
  <c r="K265" i="24"/>
  <c r="J265" i="24"/>
  <c r="H265" i="24"/>
  <c r="G265" i="24"/>
  <c r="F265" i="24"/>
  <c r="E265" i="24"/>
  <c r="D265" i="24"/>
  <c r="C265" i="24"/>
  <c r="K258" i="24"/>
  <c r="J258" i="24"/>
  <c r="H258" i="24"/>
  <c r="G258" i="24"/>
  <c r="F258" i="24"/>
  <c r="E258" i="24"/>
  <c r="D258" i="24"/>
  <c r="C258" i="24"/>
  <c r="K253" i="24"/>
  <c r="J253" i="24"/>
  <c r="H253" i="24"/>
  <c r="G253" i="24"/>
  <c r="F253" i="24"/>
  <c r="E253" i="24"/>
  <c r="D253" i="24"/>
  <c r="C253" i="24"/>
  <c r="K242" i="24"/>
  <c r="J242" i="24"/>
  <c r="J241" i="24" s="1"/>
  <c r="H242" i="24"/>
  <c r="G242" i="24"/>
  <c r="F242" i="24"/>
  <c r="E242" i="24"/>
  <c r="E241" i="24" s="1"/>
  <c r="D242" i="24"/>
  <c r="C242" i="24"/>
  <c r="K241" i="24"/>
  <c r="G241" i="24"/>
  <c r="F241" i="24"/>
  <c r="C241" i="24"/>
  <c r="K233" i="24"/>
  <c r="J233" i="24"/>
  <c r="H233" i="24"/>
  <c r="G233" i="24"/>
  <c r="F233" i="24"/>
  <c r="E233" i="24"/>
  <c r="D233" i="24"/>
  <c r="C233" i="24"/>
  <c r="K227" i="24"/>
  <c r="J227" i="24"/>
  <c r="H227" i="24"/>
  <c r="G227" i="24"/>
  <c r="F227" i="24"/>
  <c r="E227" i="24"/>
  <c r="D227" i="24"/>
  <c r="C227" i="24"/>
  <c r="K220" i="24"/>
  <c r="J220" i="24"/>
  <c r="H220" i="24"/>
  <c r="G220" i="24"/>
  <c r="F220" i="24"/>
  <c r="E220" i="24"/>
  <c r="D220" i="24"/>
  <c r="C220" i="24"/>
  <c r="K215" i="24"/>
  <c r="J215" i="24"/>
  <c r="H215" i="24"/>
  <c r="G215" i="24"/>
  <c r="F215" i="24"/>
  <c r="E215" i="24"/>
  <c r="D215" i="24"/>
  <c r="C215" i="24"/>
  <c r="K213" i="24"/>
  <c r="J213" i="24"/>
  <c r="H213" i="24"/>
  <c r="G213" i="24"/>
  <c r="F213" i="24"/>
  <c r="E213" i="24"/>
  <c r="D213" i="24"/>
  <c r="C213" i="24"/>
  <c r="K211" i="24"/>
  <c r="J211" i="24"/>
  <c r="H211" i="24"/>
  <c r="G211" i="24"/>
  <c r="F211" i="24"/>
  <c r="E211" i="24"/>
  <c r="D211" i="24"/>
  <c r="C211" i="24"/>
  <c r="K209" i="24"/>
  <c r="J209" i="24"/>
  <c r="H209" i="24"/>
  <c r="G209" i="24"/>
  <c r="F209" i="24"/>
  <c r="E209" i="24"/>
  <c r="D209" i="24"/>
  <c r="C209" i="24"/>
  <c r="K204" i="24"/>
  <c r="J204" i="24"/>
  <c r="H204" i="24"/>
  <c r="G204" i="24"/>
  <c r="F204" i="24"/>
  <c r="E204" i="24"/>
  <c r="D204" i="24"/>
  <c r="C204" i="24"/>
  <c r="K198" i="24"/>
  <c r="J198" i="24"/>
  <c r="H198" i="24"/>
  <c r="H189" i="24" s="1"/>
  <c r="G198" i="24"/>
  <c r="F198" i="24"/>
  <c r="E198" i="24"/>
  <c r="D198" i="24"/>
  <c r="C198" i="24"/>
  <c r="K192" i="24"/>
  <c r="J192" i="24"/>
  <c r="H192" i="24"/>
  <c r="G192" i="24"/>
  <c r="F192" i="24"/>
  <c r="E192" i="24"/>
  <c r="D192" i="24"/>
  <c r="C192" i="24"/>
  <c r="K190" i="24"/>
  <c r="J190" i="24"/>
  <c r="H190" i="24"/>
  <c r="G190" i="24"/>
  <c r="F190" i="24"/>
  <c r="E190" i="24"/>
  <c r="D190" i="24"/>
  <c r="D189" i="24" s="1"/>
  <c r="C190" i="24"/>
  <c r="C189" i="24" s="1"/>
  <c r="K189" i="24"/>
  <c r="J189" i="24"/>
  <c r="G189" i="24"/>
  <c r="F189" i="24"/>
  <c r="K183" i="24"/>
  <c r="J183" i="24"/>
  <c r="H183" i="24"/>
  <c r="G183" i="24"/>
  <c r="F183" i="24"/>
  <c r="E183" i="24"/>
  <c r="D183" i="24"/>
  <c r="C183" i="24"/>
  <c r="K177" i="24"/>
  <c r="J177" i="24"/>
  <c r="H177" i="24"/>
  <c r="G177" i="24"/>
  <c r="F177" i="24"/>
  <c r="E177" i="24"/>
  <c r="D177" i="24"/>
  <c r="C177" i="24"/>
  <c r="J176" i="24"/>
  <c r="J175" i="24"/>
  <c r="J174" i="24"/>
  <c r="J173" i="24"/>
  <c r="J172" i="24"/>
  <c r="K171" i="24"/>
  <c r="H171" i="24"/>
  <c r="G171" i="24"/>
  <c r="F171" i="24"/>
  <c r="E171" i="24"/>
  <c r="D171" i="24"/>
  <c r="C171" i="24"/>
  <c r="K165" i="24"/>
  <c r="J165" i="24"/>
  <c r="H165" i="24"/>
  <c r="G165" i="24"/>
  <c r="F165" i="24"/>
  <c r="E165" i="24"/>
  <c r="D165" i="24"/>
  <c r="C165" i="24"/>
  <c r="K159" i="24"/>
  <c r="J159" i="24"/>
  <c r="H159" i="24"/>
  <c r="G159" i="24"/>
  <c r="F159" i="24"/>
  <c r="E159" i="24"/>
  <c r="D159" i="24"/>
  <c r="C159" i="24"/>
  <c r="K152" i="24"/>
  <c r="J152" i="24"/>
  <c r="H152" i="24"/>
  <c r="H151" i="24" s="1"/>
  <c r="G152" i="24"/>
  <c r="F152" i="24"/>
  <c r="E152" i="24"/>
  <c r="E151" i="24" s="1"/>
  <c r="D152" i="24"/>
  <c r="D151" i="24" s="1"/>
  <c r="C152" i="24"/>
  <c r="K147" i="24"/>
  <c r="J147" i="24"/>
  <c r="H147" i="24"/>
  <c r="G147" i="24"/>
  <c r="F147" i="24"/>
  <c r="E147" i="24"/>
  <c r="D147" i="24"/>
  <c r="C147" i="24"/>
  <c r="K144" i="24"/>
  <c r="J144" i="24"/>
  <c r="H144" i="24"/>
  <c r="G144" i="24"/>
  <c r="F144" i="24"/>
  <c r="E144" i="24"/>
  <c r="D144" i="24"/>
  <c r="C144" i="24"/>
  <c r="K142" i="24"/>
  <c r="J142" i="24"/>
  <c r="H142" i="24"/>
  <c r="G142" i="24"/>
  <c r="F142" i="24"/>
  <c r="E142" i="24"/>
  <c r="D142" i="24"/>
  <c r="C142" i="24"/>
  <c r="K140" i="24"/>
  <c r="J140" i="24"/>
  <c r="H140" i="24"/>
  <c r="G140" i="24"/>
  <c r="F140" i="24"/>
  <c r="E140" i="24"/>
  <c r="D140" i="24"/>
  <c r="C140" i="24"/>
  <c r="K134" i="24"/>
  <c r="J134" i="24"/>
  <c r="H134" i="24"/>
  <c r="G134" i="24"/>
  <c r="F134" i="24"/>
  <c r="E134" i="24"/>
  <c r="D134" i="24"/>
  <c r="C134" i="24"/>
  <c r="K133" i="24"/>
  <c r="J133" i="24"/>
  <c r="H133" i="24"/>
  <c r="G133" i="24"/>
  <c r="F133" i="24"/>
  <c r="E133" i="24"/>
  <c r="D133" i="24"/>
  <c r="C133" i="24"/>
  <c r="K128" i="24"/>
  <c r="J128" i="24"/>
  <c r="H128" i="24"/>
  <c r="G128" i="24"/>
  <c r="F128" i="24"/>
  <c r="E128" i="24"/>
  <c r="D128" i="24"/>
  <c r="C128" i="24"/>
  <c r="K124" i="24"/>
  <c r="J124" i="24"/>
  <c r="H124" i="24"/>
  <c r="G124" i="24"/>
  <c r="F124" i="24"/>
  <c r="E124" i="24"/>
  <c r="D124" i="24"/>
  <c r="C124" i="24"/>
  <c r="K119" i="24"/>
  <c r="J119" i="24"/>
  <c r="H119" i="24"/>
  <c r="G119" i="24"/>
  <c r="F119" i="24"/>
  <c r="E119" i="24"/>
  <c r="D119" i="24"/>
  <c r="C119" i="24"/>
  <c r="K113" i="24"/>
  <c r="J113" i="24"/>
  <c r="H113" i="24"/>
  <c r="G113" i="24"/>
  <c r="F113" i="24"/>
  <c r="E113" i="24"/>
  <c r="D113" i="24"/>
  <c r="C113" i="24"/>
  <c r="K108" i="24"/>
  <c r="J108" i="24"/>
  <c r="H108" i="24"/>
  <c r="G108" i="24"/>
  <c r="F108" i="24"/>
  <c r="E108" i="24"/>
  <c r="D108" i="24"/>
  <c r="C108" i="24"/>
  <c r="K104" i="24"/>
  <c r="J104" i="24"/>
  <c r="H104" i="24"/>
  <c r="G104" i="24"/>
  <c r="F104" i="24"/>
  <c r="E104" i="24"/>
  <c r="D104" i="24"/>
  <c r="C104" i="24"/>
  <c r="K98" i="24"/>
  <c r="J98" i="24"/>
  <c r="H98" i="24"/>
  <c r="G98" i="24"/>
  <c r="F98" i="24"/>
  <c r="E98" i="24"/>
  <c r="D98" i="24"/>
  <c r="C98" i="24"/>
  <c r="K94" i="24"/>
  <c r="J94" i="24"/>
  <c r="H94" i="24"/>
  <c r="G94" i="24"/>
  <c r="F94" i="24"/>
  <c r="E94" i="24"/>
  <c r="D94" i="24"/>
  <c r="C94" i="24"/>
  <c r="K90" i="24"/>
  <c r="J90" i="24"/>
  <c r="H90" i="24"/>
  <c r="G90" i="24"/>
  <c r="F90" i="24"/>
  <c r="E90" i="24"/>
  <c r="D90" i="24"/>
  <c r="C90" i="24"/>
  <c r="K87" i="24"/>
  <c r="J87" i="24"/>
  <c r="H87" i="24"/>
  <c r="G87" i="24"/>
  <c r="F87" i="24"/>
  <c r="E87" i="24"/>
  <c r="D87" i="24"/>
  <c r="C87" i="24"/>
  <c r="K86" i="24"/>
  <c r="J86" i="24"/>
  <c r="D86" i="24"/>
  <c r="K81" i="24"/>
  <c r="J81" i="24"/>
  <c r="H81" i="24"/>
  <c r="G81" i="24"/>
  <c r="F81" i="24"/>
  <c r="E81" i="24"/>
  <c r="D81" i="24"/>
  <c r="C81" i="24"/>
  <c r="K76" i="24"/>
  <c r="J76" i="24"/>
  <c r="H76" i="24"/>
  <c r="G76" i="24"/>
  <c r="F76" i="24"/>
  <c r="E76" i="24"/>
  <c r="D76" i="24"/>
  <c r="C76" i="24"/>
  <c r="K71" i="24"/>
  <c r="J71" i="24"/>
  <c r="H71" i="24"/>
  <c r="G71" i="24"/>
  <c r="F71" i="24"/>
  <c r="E71" i="24"/>
  <c r="D71" i="24"/>
  <c r="C71" i="24"/>
  <c r="K65" i="24"/>
  <c r="J65" i="24"/>
  <c r="H65" i="24"/>
  <c r="G65" i="24"/>
  <c r="F65" i="24"/>
  <c r="E65" i="24"/>
  <c r="D65" i="24"/>
  <c r="C65" i="24"/>
  <c r="K60" i="24"/>
  <c r="J60" i="24"/>
  <c r="H60" i="24"/>
  <c r="G60" i="24"/>
  <c r="F60" i="24"/>
  <c r="E60" i="24"/>
  <c r="D60" i="24"/>
  <c r="C60" i="24"/>
  <c r="K55" i="24"/>
  <c r="J55" i="24"/>
  <c r="H55" i="24"/>
  <c r="G55" i="24"/>
  <c r="F55" i="24"/>
  <c r="E55" i="24"/>
  <c r="D55" i="24"/>
  <c r="C55" i="24"/>
  <c r="K54" i="24"/>
  <c r="J54" i="24"/>
  <c r="H54" i="24"/>
  <c r="G54" i="24"/>
  <c r="F54" i="24"/>
  <c r="E54" i="24"/>
  <c r="D54" i="24"/>
  <c r="C54" i="24"/>
  <c r="K47" i="24"/>
  <c r="J47" i="24"/>
  <c r="H47" i="24"/>
  <c r="G47" i="24"/>
  <c r="F47" i="24"/>
  <c r="E47" i="24"/>
  <c r="D47" i="24"/>
  <c r="C47" i="24"/>
  <c r="K40" i="24"/>
  <c r="J40" i="24"/>
  <c r="H40" i="24"/>
  <c r="G40" i="24"/>
  <c r="F40" i="24"/>
  <c r="E40" i="24"/>
  <c r="D40" i="24"/>
  <c r="C40" i="24"/>
  <c r="K34" i="24"/>
  <c r="J34" i="24"/>
  <c r="H34" i="24"/>
  <c r="G34" i="24"/>
  <c r="F34" i="24"/>
  <c r="E34" i="24"/>
  <c r="D34" i="24"/>
  <c r="C34" i="24"/>
  <c r="K28" i="24"/>
  <c r="J28" i="24"/>
  <c r="H28" i="24"/>
  <c r="G28" i="24"/>
  <c r="F28" i="24"/>
  <c r="E28" i="24"/>
  <c r="E27" i="24" s="1"/>
  <c r="D28" i="24"/>
  <c r="C28" i="24"/>
  <c r="C27" i="24" s="1"/>
  <c r="K27" i="24"/>
  <c r="J27" i="24"/>
  <c r="H27" i="24"/>
  <c r="G27" i="24"/>
  <c r="D27" i="24"/>
  <c r="J26" i="24"/>
  <c r="J25" i="24"/>
  <c r="J23" i="24"/>
  <c r="J20" i="24"/>
  <c r="J19" i="24"/>
  <c r="K18" i="24"/>
  <c r="H18" i="24"/>
  <c r="G18" i="24"/>
  <c r="F18" i="24"/>
  <c r="E18" i="24"/>
  <c r="D18" i="24"/>
  <c r="C18" i="24"/>
  <c r="J16" i="24"/>
  <c r="J15" i="24"/>
  <c r="K11" i="24"/>
  <c r="H11" i="24"/>
  <c r="G11" i="24"/>
  <c r="F11" i="24"/>
  <c r="E11" i="24"/>
  <c r="D11" i="24"/>
  <c r="C11" i="24"/>
  <c r="C122" i="26" l="1"/>
  <c r="D92" i="26"/>
  <c r="D173" i="26"/>
  <c r="G52" i="26"/>
  <c r="E220" i="26"/>
  <c r="D244" i="26"/>
  <c r="D163" i="26"/>
  <c r="D153" i="26" s="1"/>
  <c r="G173" i="26"/>
  <c r="C244" i="26"/>
  <c r="E92" i="26"/>
  <c r="C11" i="26"/>
  <c r="C10" i="26" s="1"/>
  <c r="D10" i="26"/>
  <c r="E52" i="26"/>
  <c r="C173" i="26"/>
  <c r="C92" i="26"/>
  <c r="E151" i="25"/>
  <c r="K90" i="25"/>
  <c r="G90" i="25"/>
  <c r="F90" i="25"/>
  <c r="J11" i="24"/>
  <c r="G86" i="24"/>
  <c r="E189" i="24"/>
  <c r="D241" i="24"/>
  <c r="F27" i="24"/>
  <c r="C86" i="24"/>
  <c r="J18" i="24"/>
  <c r="E86" i="24"/>
  <c r="E10" i="24" s="1"/>
  <c r="H86" i="24"/>
  <c r="F86" i="24"/>
  <c r="H241" i="24"/>
  <c r="D10" i="24"/>
  <c r="J271" i="24"/>
  <c r="J171" i="24"/>
  <c r="J151" i="24" s="1"/>
  <c r="F151" i="24"/>
  <c r="K151" i="24"/>
  <c r="K10" i="24" s="1"/>
  <c r="G151" i="24"/>
  <c r="C151" i="24"/>
  <c r="C10" i="24" s="1"/>
  <c r="J90" i="25"/>
  <c r="K10" i="25"/>
  <c r="H10" i="25"/>
  <c r="G10" i="25"/>
  <c r="D10" i="25"/>
  <c r="C10" i="25"/>
  <c r="J10" i="25"/>
  <c r="J47" i="25"/>
  <c r="F47" i="25"/>
  <c r="K47" i="25"/>
  <c r="E90" i="25"/>
  <c r="E10" i="26"/>
  <c r="C220" i="26"/>
  <c r="D52" i="26"/>
  <c r="D9" i="26" s="1"/>
  <c r="G92" i="26"/>
  <c r="G9" i="26" s="1"/>
  <c r="J10" i="24"/>
  <c r="C9" i="26" l="1"/>
  <c r="E9" i="26"/>
  <c r="G10" i="24"/>
  <c r="F10" i="24"/>
  <c r="H10" i="24"/>
  <c r="G108" i="23"/>
  <c r="E108" i="23"/>
  <c r="D108" i="23"/>
  <c r="C108" i="23"/>
  <c r="G53" i="23"/>
  <c r="E53" i="23"/>
  <c r="D53" i="23"/>
  <c r="C53" i="23"/>
  <c r="G9" i="23"/>
  <c r="E9" i="23"/>
  <c r="D9" i="23"/>
  <c r="C9" i="23"/>
  <c r="H39" i="22"/>
  <c r="F39" i="22"/>
  <c r="E39" i="22"/>
  <c r="D39" i="22"/>
  <c r="H22" i="22"/>
  <c r="F22" i="22"/>
  <c r="E22" i="22"/>
  <c r="D22" i="22"/>
  <c r="H10" i="22"/>
  <c r="H9" i="22" s="1"/>
  <c r="F9" i="22"/>
  <c r="E9" i="22"/>
  <c r="D9" i="22"/>
  <c r="E24" i="21"/>
  <c r="E18" i="21"/>
  <c r="G9" i="21"/>
  <c r="D9" i="21"/>
  <c r="C9" i="21"/>
  <c r="H16" i="20"/>
  <c r="F16" i="20"/>
  <c r="E16" i="20"/>
  <c r="D16" i="20"/>
  <c r="H9" i="20"/>
  <c r="F9" i="20"/>
  <c r="E9" i="20"/>
  <c r="D9" i="20"/>
  <c r="H11" i="19"/>
  <c r="H9" i="19"/>
  <c r="F9" i="19"/>
  <c r="E9" i="19"/>
  <c r="D9" i="19"/>
  <c r="H9" i="18"/>
  <c r="F9" i="18"/>
  <c r="E9" i="18"/>
  <c r="D9" i="18"/>
  <c r="H9" i="17"/>
  <c r="F9" i="17"/>
  <c r="E9" i="17"/>
  <c r="D9" i="17"/>
  <c r="L44" i="16"/>
  <c r="K44" i="16"/>
  <c r="I44" i="16"/>
  <c r="H44" i="16"/>
  <c r="G44" i="16"/>
  <c r="F44" i="16"/>
  <c r="E44" i="16"/>
  <c r="D44" i="16"/>
  <c r="L34" i="16"/>
  <c r="K34" i="16"/>
  <c r="I34" i="16"/>
  <c r="H34" i="16"/>
  <c r="G34" i="16"/>
  <c r="F34" i="16"/>
  <c r="E34" i="16"/>
  <c r="D34" i="16"/>
  <c r="H24" i="16"/>
  <c r="H15" i="16"/>
  <c r="D15" i="16"/>
  <c r="L10" i="16"/>
  <c r="K10" i="16"/>
  <c r="I10" i="16"/>
  <c r="G10" i="16"/>
  <c r="F10" i="16"/>
  <c r="E10" i="16"/>
  <c r="D10" i="16"/>
  <c r="H9" i="15"/>
  <c r="F9" i="15"/>
  <c r="E9" i="15"/>
  <c r="D9" i="15"/>
  <c r="G376" i="14"/>
  <c r="E376" i="14"/>
  <c r="D376" i="14"/>
  <c r="C376" i="14"/>
  <c r="G369" i="14"/>
  <c r="E369" i="14"/>
  <c r="D369" i="14"/>
  <c r="C369" i="14"/>
  <c r="G290" i="14"/>
  <c r="E290" i="14"/>
  <c r="D290" i="14"/>
  <c r="C290" i="14"/>
  <c r="G194" i="14"/>
  <c r="E194" i="14"/>
  <c r="D194" i="14"/>
  <c r="C194" i="14"/>
  <c r="G188" i="14"/>
  <c r="E188" i="14"/>
  <c r="D188" i="14"/>
  <c r="C188" i="14"/>
  <c r="G119" i="14"/>
  <c r="E119" i="14"/>
  <c r="D119" i="14"/>
  <c r="C119" i="14"/>
  <c r="G10" i="14"/>
  <c r="G9" i="14" s="1"/>
  <c r="E10" i="14"/>
  <c r="E9" i="14" s="1"/>
  <c r="D10" i="14"/>
  <c r="D9" i="14" s="1"/>
  <c r="C10" i="14"/>
  <c r="C9" i="14" s="1"/>
  <c r="J75" i="13"/>
  <c r="C75" i="13"/>
  <c r="J74" i="13"/>
  <c r="J73" i="13" s="1"/>
  <c r="G73" i="13"/>
  <c r="F73" i="13"/>
  <c r="C73" i="13"/>
  <c r="J61" i="13"/>
  <c r="G61" i="13"/>
  <c r="F61" i="13"/>
  <c r="C60" i="13"/>
  <c r="C59" i="13"/>
  <c r="G49" i="13"/>
  <c r="F49" i="13"/>
  <c r="J46" i="13"/>
  <c r="G46" i="13"/>
  <c r="F46" i="13"/>
  <c r="F36" i="13" s="1"/>
  <c r="G43" i="13"/>
  <c r="J42" i="13"/>
  <c r="G42" i="13"/>
  <c r="J41" i="13"/>
  <c r="J40" i="13" s="1"/>
  <c r="K36" i="13"/>
  <c r="F40" i="13"/>
  <c r="C38" i="13"/>
  <c r="C36" i="13" s="1"/>
  <c r="H36" i="13"/>
  <c r="E36" i="13"/>
  <c r="D36" i="13"/>
  <c r="D30" i="13"/>
  <c r="K29" i="13"/>
  <c r="D29" i="13"/>
  <c r="K28" i="13"/>
  <c r="D28" i="13"/>
  <c r="J27" i="13"/>
  <c r="E27" i="13"/>
  <c r="E10" i="13" s="1"/>
  <c r="C27" i="13"/>
  <c r="K26" i="13"/>
  <c r="J25" i="13"/>
  <c r="C25" i="13"/>
  <c r="G22" i="13"/>
  <c r="G10" i="13" s="1"/>
  <c r="D21" i="13"/>
  <c r="D10" i="13" s="1"/>
  <c r="K18" i="13"/>
  <c r="C18" i="13"/>
  <c r="J14" i="13"/>
  <c r="K13" i="13"/>
  <c r="J13" i="13"/>
  <c r="C11" i="13"/>
  <c r="H10" i="13"/>
  <c r="F10" i="13"/>
  <c r="H21" i="12"/>
  <c r="F21" i="12"/>
  <c r="E21" i="12"/>
  <c r="D21" i="12"/>
  <c r="F9" i="12"/>
  <c r="E9" i="12"/>
  <c r="D9" i="12"/>
  <c r="H18" i="11"/>
  <c r="F18" i="11"/>
  <c r="E18" i="11"/>
  <c r="D18" i="11"/>
  <c r="D12" i="11"/>
  <c r="D11" i="11"/>
  <c r="H10" i="11"/>
  <c r="H9" i="11" s="1"/>
  <c r="D10" i="11"/>
  <c r="F9" i="11"/>
  <c r="E9" i="11"/>
  <c r="E41" i="10"/>
  <c r="D41" i="10"/>
  <c r="C41" i="10"/>
  <c r="C35" i="10"/>
  <c r="C10" i="10" s="1"/>
  <c r="C27" i="10"/>
  <c r="G25" i="10"/>
  <c r="G10" i="10" s="1"/>
  <c r="C20" i="10"/>
  <c r="K10" i="10"/>
  <c r="J10" i="10"/>
  <c r="H10" i="10"/>
  <c r="F10" i="10"/>
  <c r="E10" i="10"/>
  <c r="D10" i="10"/>
  <c r="G78" i="9"/>
  <c r="E78" i="9"/>
  <c r="D78" i="9"/>
  <c r="C78" i="9"/>
  <c r="E68" i="9"/>
  <c r="E58" i="9" s="1"/>
  <c r="G58" i="9"/>
  <c r="D58" i="9"/>
  <c r="C58" i="9"/>
  <c r="G35" i="9"/>
  <c r="E35" i="9"/>
  <c r="D35" i="9"/>
  <c r="C35" i="9"/>
  <c r="E10" i="9"/>
  <c r="E9" i="9" s="1"/>
  <c r="G9" i="9"/>
  <c r="D9" i="9"/>
  <c r="C9" i="9"/>
  <c r="H539" i="8"/>
  <c r="F539" i="8"/>
  <c r="H531" i="8"/>
  <c r="F531" i="8"/>
  <c r="E530" i="8"/>
  <c r="D530" i="8"/>
  <c r="H519" i="8"/>
  <c r="F519" i="8"/>
  <c r="H515" i="8"/>
  <c r="F515" i="8"/>
  <c r="E514" i="8"/>
  <c r="D514" i="8"/>
  <c r="H502" i="8"/>
  <c r="F502" i="8"/>
  <c r="H486" i="8"/>
  <c r="F486" i="8"/>
  <c r="H478" i="8"/>
  <c r="F478" i="8"/>
  <c r="H469" i="8"/>
  <c r="F469" i="8"/>
  <c r="H457" i="8"/>
  <c r="F457" i="8"/>
  <c r="E457" i="8"/>
  <c r="H449" i="8"/>
  <c r="F449" i="8"/>
  <c r="H438" i="8"/>
  <c r="F438" i="8"/>
  <c r="H426" i="8"/>
  <c r="F426" i="8"/>
  <c r="H415" i="8"/>
  <c r="F415" i="8"/>
  <c r="E415" i="8"/>
  <c r="H401" i="8"/>
  <c r="F401" i="8"/>
  <c r="H394" i="8"/>
  <c r="F394" i="8"/>
  <c r="H381" i="8"/>
  <c r="F381" i="8"/>
  <c r="E381" i="8"/>
  <c r="H375" i="8"/>
  <c r="F375" i="8"/>
  <c r="H359" i="8"/>
  <c r="F359" i="8"/>
  <c r="H357" i="8"/>
  <c r="F357" i="8"/>
  <c r="H354" i="8"/>
  <c r="F354" i="8"/>
  <c r="D353" i="8"/>
  <c r="H323" i="8"/>
  <c r="F323" i="8"/>
  <c r="H298" i="8"/>
  <c r="F298" i="8"/>
  <c r="H293" i="8"/>
  <c r="F293" i="8"/>
  <c r="H278" i="8"/>
  <c r="F278" i="8"/>
  <c r="H269" i="8"/>
  <c r="F269" i="8"/>
  <c r="H241" i="8"/>
  <c r="F241" i="8"/>
  <c r="H227" i="8"/>
  <c r="F227" i="8"/>
  <c r="H210" i="8"/>
  <c r="F210" i="8"/>
  <c r="H206" i="8"/>
  <c r="F206" i="8"/>
  <c r="H203" i="8"/>
  <c r="F203" i="8"/>
  <c r="H199" i="8"/>
  <c r="F199" i="8"/>
  <c r="E198" i="8"/>
  <c r="D198" i="8"/>
  <c r="H166" i="8"/>
  <c r="H165" i="8" s="1"/>
  <c r="F166" i="8"/>
  <c r="F165" i="8" s="1"/>
  <c r="E166" i="8"/>
  <c r="E165" i="8" s="1"/>
  <c r="D165" i="8"/>
  <c r="H143" i="8"/>
  <c r="H142" i="8" s="1"/>
  <c r="F143" i="8"/>
  <c r="F142" i="8" s="1"/>
  <c r="E142" i="8"/>
  <c r="D142" i="8"/>
  <c r="H136" i="8"/>
  <c r="F136" i="8"/>
  <c r="E136" i="8"/>
  <c r="D136" i="8"/>
  <c r="H127" i="8"/>
  <c r="F127" i="8"/>
  <c r="H123" i="8"/>
  <c r="F123" i="8"/>
  <c r="H120" i="8"/>
  <c r="F120" i="8"/>
  <c r="H115" i="8"/>
  <c r="F115" i="8"/>
  <c r="E115" i="8"/>
  <c r="E112" i="8" s="1"/>
  <c r="H113" i="8"/>
  <c r="F113" i="8"/>
  <c r="D112" i="8"/>
  <c r="H104" i="8"/>
  <c r="F104" i="8"/>
  <c r="E104" i="8"/>
  <c r="H101" i="8"/>
  <c r="F101" i="8"/>
  <c r="H99" i="8"/>
  <c r="F99" i="8"/>
  <c r="H90" i="8"/>
  <c r="F90" i="8"/>
  <c r="H86" i="8"/>
  <c r="F86" i="8"/>
  <c r="H83" i="8"/>
  <c r="F83" i="8"/>
  <c r="E83" i="8"/>
  <c r="H80" i="8"/>
  <c r="F80" i="8"/>
  <c r="H73" i="8"/>
  <c r="F73" i="8"/>
  <c r="E73" i="8"/>
  <c r="H69" i="8"/>
  <c r="F69" i="8"/>
  <c r="H68" i="8"/>
  <c r="H65" i="8" s="1"/>
  <c r="F65" i="8"/>
  <c r="H58" i="8"/>
  <c r="F58" i="8"/>
  <c r="E58" i="8"/>
  <c r="D57" i="8"/>
  <c r="H50" i="8"/>
  <c r="H49" i="8" s="1"/>
  <c r="F50" i="8"/>
  <c r="F49" i="8" s="1"/>
  <c r="E49" i="8"/>
  <c r="D49" i="8"/>
  <c r="F43" i="8"/>
  <c r="F39" i="8" s="1"/>
  <c r="F38" i="8" s="1"/>
  <c r="H39" i="8"/>
  <c r="H38" i="8" s="1"/>
  <c r="E38" i="8"/>
  <c r="D38" i="8"/>
  <c r="H33" i="8"/>
  <c r="F33" i="8"/>
  <c r="H10" i="8"/>
  <c r="F10" i="8"/>
  <c r="E9" i="8"/>
  <c r="D9" i="8"/>
  <c r="G29" i="7"/>
  <c r="E29" i="7"/>
  <c r="D29" i="7"/>
  <c r="C29" i="7"/>
  <c r="G22" i="7"/>
  <c r="E22" i="7"/>
  <c r="D22" i="7"/>
  <c r="C22" i="7"/>
  <c r="G9" i="7"/>
  <c r="E9" i="7"/>
  <c r="D9" i="7"/>
  <c r="C9" i="7"/>
  <c r="J72" i="6"/>
  <c r="J63" i="6" s="1"/>
  <c r="H72" i="6"/>
  <c r="G72" i="6"/>
  <c r="K63" i="6"/>
  <c r="H64" i="6"/>
  <c r="G64" i="6"/>
  <c r="F63" i="6"/>
  <c r="E63" i="6"/>
  <c r="D63" i="6"/>
  <c r="C63" i="6"/>
  <c r="J37" i="6"/>
  <c r="J36" i="6" s="1"/>
  <c r="G37" i="6"/>
  <c r="G36" i="6" s="1"/>
  <c r="K36" i="6"/>
  <c r="H36" i="6"/>
  <c r="F36" i="6"/>
  <c r="E36" i="6"/>
  <c r="D36" i="6"/>
  <c r="C36" i="6"/>
  <c r="E24" i="6"/>
  <c r="H20" i="6"/>
  <c r="G20" i="6" s="1"/>
  <c r="G18" i="6"/>
  <c r="E18" i="6"/>
  <c r="G17" i="6"/>
  <c r="E17" i="6"/>
  <c r="K11" i="6"/>
  <c r="J11" i="6"/>
  <c r="F11" i="6"/>
  <c r="D11" i="6"/>
  <c r="C11" i="6"/>
  <c r="E13" i="5"/>
  <c r="E9" i="5" s="1"/>
  <c r="G9" i="5"/>
  <c r="D9" i="5"/>
  <c r="C9" i="5"/>
  <c r="E12" i="4"/>
  <c r="E9" i="4" s="1"/>
  <c r="G9" i="4"/>
  <c r="D9" i="4"/>
  <c r="C9" i="4"/>
  <c r="H15" i="3"/>
  <c r="H9" i="3"/>
  <c r="F9" i="3"/>
  <c r="E9" i="3"/>
  <c r="D9" i="3"/>
  <c r="F192" i="2"/>
  <c r="F191" i="2"/>
  <c r="H190" i="2"/>
  <c r="F188" i="2"/>
  <c r="F187" i="2"/>
  <c r="H186" i="2"/>
  <c r="F182" i="2"/>
  <c r="H178" i="2"/>
  <c r="F178" i="2"/>
  <c r="H172" i="2"/>
  <c r="F172" i="2"/>
  <c r="H171" i="2"/>
  <c r="F171" i="2"/>
  <c r="F167" i="2"/>
  <c r="F166" i="2"/>
  <c r="H165" i="2"/>
  <c r="E163" i="2"/>
  <c r="D163" i="2"/>
  <c r="H157" i="2"/>
  <c r="H156" i="2" s="1"/>
  <c r="F157" i="2"/>
  <c r="F156" i="2" s="1"/>
  <c r="E156" i="2"/>
  <c r="D156" i="2"/>
  <c r="F144" i="2"/>
  <c r="E143" i="2"/>
  <c r="F139" i="2"/>
  <c r="H134" i="2"/>
  <c r="F134" i="2"/>
  <c r="E134" i="2"/>
  <c r="F132" i="2"/>
  <c r="F131" i="2"/>
  <c r="H130" i="2"/>
  <c r="H126" i="2"/>
  <c r="F126" i="2"/>
  <c r="E126" i="2"/>
  <c r="D123" i="2"/>
  <c r="F116" i="2"/>
  <c r="F115" i="2"/>
  <c r="H114" i="2"/>
  <c r="F109" i="2"/>
  <c r="H107" i="2"/>
  <c r="F107" i="2"/>
  <c r="H106" i="2"/>
  <c r="F106" i="2"/>
  <c r="D105" i="2"/>
  <c r="D103" i="2" s="1"/>
  <c r="E103" i="2"/>
  <c r="F98" i="2"/>
  <c r="F96" i="2" s="1"/>
  <c r="F95" i="2" s="1"/>
  <c r="H96" i="2"/>
  <c r="H95" i="2" s="1"/>
  <c r="E95" i="2"/>
  <c r="D95" i="2"/>
  <c r="F89" i="2"/>
  <c r="F87" i="2" s="1"/>
  <c r="F86" i="2" s="1"/>
  <c r="H87" i="2"/>
  <c r="H86" i="2" s="1"/>
  <c r="E86" i="2"/>
  <c r="D86" i="2"/>
  <c r="H80" i="2"/>
  <c r="F80" i="2"/>
  <c r="E80" i="2"/>
  <c r="D80" i="2"/>
  <c r="H74" i="2"/>
  <c r="F74" i="2"/>
  <c r="E74" i="2"/>
  <c r="D74" i="2"/>
  <c r="F67" i="2"/>
  <c r="F65" i="2"/>
  <c r="F63" i="2"/>
  <c r="F62" i="2"/>
  <c r="H60" i="2"/>
  <c r="D60" i="2"/>
  <c r="F58" i="2"/>
  <c r="D58" i="2"/>
  <c r="F57" i="2"/>
  <c r="A57" i="2"/>
  <c r="A58" i="2" s="1"/>
  <c r="A65" i="2" s="1"/>
  <c r="A67" i="2" s="1"/>
  <c r="A69" i="2" s="1"/>
  <c r="F56" i="2"/>
  <c r="F53" i="2" s="1"/>
  <c r="H53" i="2"/>
  <c r="E53" i="2"/>
  <c r="E52" i="2" s="1"/>
  <c r="H43" i="2"/>
  <c r="H30" i="2" s="1"/>
  <c r="F43" i="2"/>
  <c r="F38" i="2"/>
  <c r="E30" i="2"/>
  <c r="D30" i="2"/>
  <c r="F23" i="2"/>
  <c r="F22" i="2" s="1"/>
  <c r="H22" i="2"/>
  <c r="E22" i="2"/>
  <c r="D22" i="2"/>
  <c r="H16" i="2"/>
  <c r="F16" i="2"/>
  <c r="E16" i="2"/>
  <c r="D16" i="2"/>
  <c r="H9" i="2"/>
  <c r="F9" i="2"/>
  <c r="E9" i="2"/>
  <c r="D9" i="2"/>
  <c r="H50" i="1"/>
  <c r="H49" i="1" s="1"/>
  <c r="F50" i="1"/>
  <c r="R49" i="1"/>
  <c r="Q49" i="1"/>
  <c r="P49" i="1"/>
  <c r="O49" i="1"/>
  <c r="N49" i="1"/>
  <c r="M49" i="1"/>
  <c r="L49" i="1"/>
  <c r="K49" i="1"/>
  <c r="J49" i="1"/>
  <c r="I49" i="1"/>
  <c r="G49" i="1"/>
  <c r="F49" i="1"/>
  <c r="H47" i="1"/>
  <c r="H46" i="1" s="1"/>
  <c r="H45" i="1" s="1"/>
  <c r="F47" i="1"/>
  <c r="F46" i="1" s="1"/>
  <c r="F45" i="1" s="1"/>
  <c r="R46" i="1"/>
  <c r="R45" i="1" s="1"/>
  <c r="P46" i="1"/>
  <c r="P45" i="1" s="1"/>
  <c r="N46" i="1"/>
  <c r="M46" i="1"/>
  <c r="M45" i="1" s="1"/>
  <c r="L46" i="1"/>
  <c r="L45" i="1" s="1"/>
  <c r="K46" i="1"/>
  <c r="K45" i="1" s="1"/>
  <c r="J46" i="1"/>
  <c r="I46" i="1"/>
  <c r="I45" i="1" s="1"/>
  <c r="G46" i="1"/>
  <c r="G45" i="1" s="1"/>
  <c r="Q45" i="1"/>
  <c r="O45" i="1"/>
  <c r="N45" i="1"/>
  <c r="J45" i="1"/>
  <c r="H43" i="1"/>
  <c r="F43" i="1"/>
  <c r="F42" i="1" s="1"/>
  <c r="R42" i="1"/>
  <c r="Q42" i="1"/>
  <c r="P42" i="1"/>
  <c r="O42" i="1"/>
  <c r="N42" i="1"/>
  <c r="M42" i="1"/>
  <c r="L42" i="1"/>
  <c r="K42" i="1"/>
  <c r="J42" i="1"/>
  <c r="I42" i="1"/>
  <c r="H42" i="1"/>
  <c r="G42" i="1"/>
  <c r="H41" i="1"/>
  <c r="F41" i="1"/>
  <c r="H40" i="1"/>
  <c r="F40" i="1"/>
  <c r="K39" i="1"/>
  <c r="H39" i="1" s="1"/>
  <c r="F39" i="1"/>
  <c r="H38" i="1"/>
  <c r="F38" i="1"/>
  <c r="H37" i="1"/>
  <c r="F37" i="1"/>
  <c r="R36" i="1"/>
  <c r="P36" i="1"/>
  <c r="N36" i="1"/>
  <c r="M36" i="1"/>
  <c r="L36" i="1"/>
  <c r="K36" i="1"/>
  <c r="J36" i="1"/>
  <c r="I36" i="1"/>
  <c r="G36" i="1"/>
  <c r="H35" i="1"/>
  <c r="F35" i="1"/>
  <c r="H34" i="1"/>
  <c r="F34" i="1"/>
  <c r="H33" i="1"/>
  <c r="F33" i="1"/>
  <c r="H32" i="1"/>
  <c r="F32" i="1"/>
  <c r="H31" i="1"/>
  <c r="F31" i="1"/>
  <c r="H30" i="1"/>
  <c r="F30" i="1"/>
  <c r="H29" i="1"/>
  <c r="H28" i="1" s="1"/>
  <c r="F29" i="1"/>
  <c r="R28" i="1"/>
  <c r="P28" i="1"/>
  <c r="N28" i="1"/>
  <c r="M28" i="1"/>
  <c r="L28" i="1"/>
  <c r="K28" i="1"/>
  <c r="J28" i="1"/>
  <c r="I28" i="1"/>
  <c r="G28" i="1"/>
  <c r="F28" i="1"/>
  <c r="H26" i="1"/>
  <c r="F26" i="1"/>
  <c r="K25" i="1"/>
  <c r="H25" i="1" s="1"/>
  <c r="F25" i="1"/>
  <c r="F23" i="1" s="1"/>
  <c r="H24" i="1"/>
  <c r="F24" i="1"/>
  <c r="R23" i="1"/>
  <c r="P23" i="1"/>
  <c r="N23" i="1"/>
  <c r="M23" i="1"/>
  <c r="L23" i="1"/>
  <c r="K23" i="1"/>
  <c r="J23" i="1"/>
  <c r="I23" i="1"/>
  <c r="G23" i="1"/>
  <c r="N22" i="1"/>
  <c r="H22" i="1"/>
  <c r="F22" i="1"/>
  <c r="H21" i="1"/>
  <c r="F21" i="1"/>
  <c r="H20" i="1"/>
  <c r="F20" i="1"/>
  <c r="H19" i="1"/>
  <c r="F19" i="1"/>
  <c r="H18" i="1"/>
  <c r="H17" i="1"/>
  <c r="F17" i="1"/>
  <c r="N16" i="1"/>
  <c r="K16" i="1"/>
  <c r="H16" i="1" s="1"/>
  <c r="F16" i="1"/>
  <c r="N15" i="1"/>
  <c r="H15" i="1" s="1"/>
  <c r="F15" i="1"/>
  <c r="N14" i="1"/>
  <c r="H14" i="1" s="1"/>
  <c r="F14" i="1"/>
  <c r="H13" i="1"/>
  <c r="F13" i="1"/>
  <c r="N12" i="1"/>
  <c r="K12" i="1"/>
  <c r="F12" i="1"/>
  <c r="N11" i="1"/>
  <c r="K11" i="1"/>
  <c r="F11" i="1"/>
  <c r="R10" i="1"/>
  <c r="P10" i="1"/>
  <c r="M10" i="1"/>
  <c r="L10" i="1"/>
  <c r="J10" i="1"/>
  <c r="I10" i="1"/>
  <c r="G10" i="1"/>
  <c r="AA7" i="1"/>
  <c r="Z7" i="1"/>
  <c r="Y7" i="1"/>
  <c r="K1" i="1"/>
  <c r="H10" i="16" l="1"/>
  <c r="N10" i="1"/>
  <c r="N9" i="1" s="1"/>
  <c r="N7" i="1" s="1"/>
  <c r="H9" i="8"/>
  <c r="H23" i="1"/>
  <c r="H12" i="1"/>
  <c r="J9" i="1"/>
  <c r="J7" i="1" s="1"/>
  <c r="H11" i="1"/>
  <c r="K10" i="1"/>
  <c r="K9" i="1" s="1"/>
  <c r="K7" i="1" s="1"/>
  <c r="P9" i="1"/>
  <c r="P7" i="1" s="1"/>
  <c r="G9" i="1"/>
  <c r="G7" i="1" s="1"/>
  <c r="E9" i="21"/>
  <c r="J10" i="13"/>
  <c r="K10" i="13"/>
  <c r="G40" i="13"/>
  <c r="G36" i="13" s="1"/>
  <c r="C10" i="13"/>
  <c r="J36" i="13"/>
  <c r="E57" i="8"/>
  <c r="F530" i="8"/>
  <c r="F353" i="8"/>
  <c r="E353" i="8"/>
  <c r="H514" i="8"/>
  <c r="H198" i="8"/>
  <c r="F112" i="8"/>
  <c r="H530" i="8"/>
  <c r="F514" i="8"/>
  <c r="H353" i="8"/>
  <c r="F198" i="8"/>
  <c r="H112" i="8"/>
  <c r="F57" i="8"/>
  <c r="H57" i="8"/>
  <c r="F9" i="8"/>
  <c r="E11" i="6"/>
  <c r="H63" i="6"/>
  <c r="H11" i="6"/>
  <c r="G63" i="6"/>
  <c r="G11" i="6"/>
  <c r="F165" i="2"/>
  <c r="F170" i="2"/>
  <c r="H105" i="2"/>
  <c r="H103" i="2" s="1"/>
  <c r="F190" i="2"/>
  <c r="H123" i="2"/>
  <c r="H52" i="2"/>
  <c r="F36" i="1"/>
  <c r="H36" i="1"/>
  <c r="L9" i="1"/>
  <c r="L7" i="1" s="1"/>
  <c r="R9" i="1"/>
  <c r="R7" i="1" s="1"/>
  <c r="I9" i="1"/>
  <c r="I7" i="1" s="1"/>
  <c r="M9" i="1"/>
  <c r="M7" i="1" s="1"/>
  <c r="F10" i="1"/>
  <c r="F9" i="1" s="1"/>
  <c r="F7" i="1" s="1"/>
  <c r="F130" i="2"/>
  <c r="F123" i="2" s="1"/>
  <c r="D52" i="2"/>
  <c r="F186" i="2"/>
  <c r="F30" i="2"/>
  <c r="F60" i="2"/>
  <c r="F52" i="2" s="1"/>
  <c r="F114" i="2"/>
  <c r="F105" i="2"/>
  <c r="H170" i="2"/>
  <c r="H163" i="2" s="1"/>
  <c r="E123" i="2"/>
  <c r="D9" i="11"/>
  <c r="K2" i="1"/>
  <c r="H10" i="1"/>
  <c r="H9" i="1" s="1"/>
  <c r="H7" i="1" s="1"/>
  <c r="F163" i="2" l="1"/>
  <c r="F103" i="2"/>
</calcChain>
</file>

<file path=xl/comments1.xml><?xml version="1.0" encoding="utf-8"?>
<comments xmlns="http://schemas.openxmlformats.org/spreadsheetml/2006/main">
  <authors>
    <author>Ivars Baltrums</author>
    <author>Ilze Logina</author>
  </authors>
  <commentList>
    <comment ref="F12" authorId="0" shapeId="0">
      <text>
        <r>
          <rPr>
            <b/>
            <sz val="9"/>
            <color indexed="81"/>
            <rFont val="Tahoma"/>
            <family val="2"/>
            <charset val="186"/>
          </rPr>
          <t>Ivars Baltrums:</t>
        </r>
        <r>
          <rPr>
            <sz val="9"/>
            <color indexed="81"/>
            <rFont val="Tahoma"/>
            <family val="2"/>
            <charset val="186"/>
          </rPr>
          <t xml:space="preserve">
Domāju, ka samaksāsim šogad, 2019.atliks tikai autoruzraudzība.</t>
        </r>
      </text>
    </comment>
    <comment ref="F20" authorId="0" shapeId="0">
      <text>
        <r>
          <rPr>
            <b/>
            <sz val="9"/>
            <color indexed="81"/>
            <rFont val="Tahoma"/>
            <family val="2"/>
            <charset val="186"/>
          </rPr>
          <t>Ivars Baltrums:</t>
        </r>
        <r>
          <rPr>
            <sz val="9"/>
            <color indexed="81"/>
            <rFont val="Tahoma"/>
            <family val="2"/>
            <charset val="186"/>
          </rPr>
          <t xml:space="preserve">
+ lietus ūdens noteksistēmu atjaunošana</t>
        </r>
      </text>
    </comment>
    <comment ref="F22" authorId="0" shapeId="0">
      <text>
        <r>
          <rPr>
            <b/>
            <sz val="9"/>
            <color indexed="81"/>
            <rFont val="Tahoma"/>
            <family val="2"/>
            <charset val="186"/>
          </rPr>
          <t>Ivars Baltrums:</t>
        </r>
        <r>
          <rPr>
            <sz val="9"/>
            <color indexed="81"/>
            <rFont val="Tahoma"/>
            <family val="2"/>
            <charset val="186"/>
          </rPr>
          <t xml:space="preserve">
Ceru, ka samaksās šogad</t>
        </r>
      </text>
    </comment>
    <comment ref="F26" authorId="0" shapeId="0">
      <text>
        <r>
          <rPr>
            <b/>
            <sz val="9"/>
            <color indexed="81"/>
            <rFont val="Tahoma"/>
            <family val="2"/>
            <charset val="186"/>
          </rPr>
          <t>Ivars Baltrums:</t>
        </r>
        <r>
          <rPr>
            <sz val="9"/>
            <color indexed="81"/>
            <rFont val="Tahoma"/>
            <family val="2"/>
            <charset val="186"/>
          </rPr>
          <t xml:space="preserve">
Palielināts sakarā ar cenu pieaugumu nozarē + 12%</t>
        </r>
      </text>
    </comment>
    <comment ref="J31" authorId="1" shapeId="0">
      <text>
        <r>
          <rPr>
            <b/>
            <sz val="9"/>
            <color indexed="81"/>
            <rFont val="Tahoma"/>
            <family val="2"/>
            <charset val="186"/>
          </rPr>
          <t>Ilze Logina:</t>
        </r>
        <r>
          <rPr>
            <sz val="9"/>
            <color indexed="81"/>
            <rFont val="Tahoma"/>
            <family val="2"/>
            <charset val="186"/>
          </rPr>
          <t xml:space="preserve">
Info I.Baltrums 28.08.2018 e-pasts</t>
        </r>
      </text>
    </comment>
    <comment ref="F75" authorId="0" shapeId="0">
      <text>
        <r>
          <rPr>
            <b/>
            <sz val="9"/>
            <color indexed="81"/>
            <rFont val="Tahoma"/>
            <family val="2"/>
            <charset val="186"/>
          </rPr>
          <t>Ivars Baltrums:</t>
        </r>
        <r>
          <rPr>
            <sz val="9"/>
            <color indexed="81"/>
            <rFont val="Tahoma"/>
            <family val="2"/>
            <charset val="186"/>
          </rPr>
          <t xml:space="preserve">
Šo, droši vien nedarīsim. Nepieciešams sagatavot atbildes vēstuli piedāvātājam, kurš vēlējās nojaukt bez maksas.</t>
        </r>
      </text>
    </comment>
    <comment ref="F93" authorId="0" shapeId="0">
      <text>
        <r>
          <rPr>
            <b/>
            <sz val="9"/>
            <color indexed="81"/>
            <rFont val="Tahoma"/>
            <family val="2"/>
            <charset val="186"/>
          </rPr>
          <t>Ivars Baltrums:</t>
        </r>
        <r>
          <rPr>
            <sz val="9"/>
            <color indexed="81"/>
            <rFont val="Tahoma"/>
            <family val="2"/>
            <charset val="186"/>
          </rPr>
          <t xml:space="preserve">
Pievienots sadārdzinājums un siltummezgla pārcelšanas izmaksas</t>
        </r>
      </text>
    </comment>
    <comment ref="J114" authorId="1" shapeId="0">
      <text>
        <r>
          <rPr>
            <b/>
            <sz val="9"/>
            <color indexed="81"/>
            <rFont val="Tahoma"/>
            <family val="2"/>
            <charset val="186"/>
          </rPr>
          <t>Ilze Logina:</t>
        </r>
        <r>
          <rPr>
            <sz val="9"/>
            <color indexed="81"/>
            <rFont val="Tahoma"/>
            <family val="2"/>
            <charset val="186"/>
          </rPr>
          <t xml:space="preserve">
S.Brauere, 25.10.2018. e-pasts
</t>
        </r>
      </text>
    </comment>
    <comment ref="F125" authorId="0" shapeId="0">
      <text>
        <r>
          <rPr>
            <b/>
            <sz val="9"/>
            <color indexed="81"/>
            <rFont val="Tahoma"/>
            <family val="2"/>
            <charset val="186"/>
          </rPr>
          <t>Ivars Baltrums:</t>
        </r>
        <r>
          <rPr>
            <sz val="9"/>
            <color indexed="81"/>
            <rFont val="Tahoma"/>
            <family val="2"/>
            <charset val="186"/>
          </rPr>
          <t xml:space="preserve">
Būs nepieciešams palielināt summu, jo darba apjoms būtiski pieaudzis 2x</t>
        </r>
      </text>
    </comment>
    <comment ref="F146" authorId="0" shapeId="0">
      <text>
        <r>
          <rPr>
            <b/>
            <sz val="9"/>
            <color indexed="81"/>
            <rFont val="Tahoma"/>
            <family val="2"/>
            <charset val="186"/>
          </rPr>
          <t>Ivars Baltrums:</t>
        </r>
        <r>
          <rPr>
            <sz val="9"/>
            <color indexed="81"/>
            <rFont val="Tahoma"/>
            <family val="2"/>
            <charset val="186"/>
          </rPr>
          <t xml:space="preserve">
2018.gada budžetā paredzētā summa 141'740, atbilstoši būvprojekta ekonomiskai daļai 205'700</t>
        </r>
      </text>
    </comment>
    <comment ref="J383" authorId="1" shapeId="0">
      <text>
        <r>
          <rPr>
            <b/>
            <sz val="9"/>
            <color indexed="81"/>
            <rFont val="Tahoma"/>
            <family val="2"/>
            <charset val="186"/>
          </rPr>
          <t>Ilze Logina:</t>
        </r>
        <r>
          <rPr>
            <sz val="9"/>
            <color indexed="81"/>
            <rFont val="Tahoma"/>
            <family val="2"/>
            <charset val="186"/>
          </rPr>
          <t xml:space="preserve">
Ssk. Taurenītis vēstule Nr. 1-16-1/175, 3.punkts</t>
        </r>
      </text>
    </comment>
    <comment ref="J384" authorId="1" shapeId="0">
      <text>
        <r>
          <rPr>
            <b/>
            <sz val="9"/>
            <color indexed="81"/>
            <rFont val="Tahoma"/>
            <family val="2"/>
            <charset val="186"/>
          </rPr>
          <t>Ilze Logina:</t>
        </r>
        <r>
          <rPr>
            <sz val="9"/>
            <color indexed="81"/>
            <rFont val="Tahoma"/>
            <family val="2"/>
            <charset val="186"/>
          </rPr>
          <t xml:space="preserve">
Ssk. Taurenītis vēstule Nr. 1-16-1/175, 3.punkts</t>
        </r>
      </text>
    </comment>
  </commentList>
</comments>
</file>

<file path=xl/comments2.xml><?xml version="1.0" encoding="utf-8"?>
<comments xmlns="http://schemas.openxmlformats.org/spreadsheetml/2006/main">
  <authors>
    <author>Vita Madjare</author>
  </authors>
  <commentList>
    <comment ref="C96" authorId="0" shapeId="0">
      <text>
        <r>
          <rPr>
            <b/>
            <sz val="9"/>
            <color indexed="81"/>
            <rFont val="Tahoma"/>
            <family val="2"/>
            <charset val="186"/>
          </rPr>
          <t>Vita Madjare:</t>
        </r>
        <r>
          <rPr>
            <sz val="9"/>
            <color indexed="81"/>
            <rFont val="Tahoma"/>
            <family val="2"/>
            <charset val="186"/>
          </rPr>
          <t xml:space="preserve">
Saskaņā ar 13.05.2016. grozījumiem</t>
        </r>
      </text>
    </comment>
  </commentList>
</comments>
</file>

<file path=xl/sharedStrings.xml><?xml version="1.0" encoding="utf-8"?>
<sst xmlns="http://schemas.openxmlformats.org/spreadsheetml/2006/main" count="6060" uniqueCount="3642">
  <si>
    <t>MD plāns</t>
  </si>
  <si>
    <t>3.pielikums</t>
  </si>
  <si>
    <t>Jūrmalas pilsētas pašvaldības 2019.-2021.gada Ceļu fonda izlietojuma programma</t>
  </si>
  <si>
    <r>
      <t xml:space="preserve">MD plāns 2017.g. = atl.g.s.535 259 + ieņēm.1 503 455 = </t>
    </r>
    <r>
      <rPr>
        <b/>
        <u/>
        <sz val="14"/>
        <color rgb="FFC00000"/>
        <rFont val="Times New Roman"/>
        <family val="1"/>
        <charset val="186"/>
      </rPr>
      <t>2 038 714</t>
    </r>
  </si>
  <si>
    <t>Nr.</t>
  </si>
  <si>
    <t>Objekta nosaukums</t>
  </si>
  <si>
    <t>Orientē-jošais apjoms</t>
  </si>
  <si>
    <t>FKK</t>
  </si>
  <si>
    <t>EKK</t>
  </si>
  <si>
    <t>Kopā, Ceļu fonds</t>
  </si>
  <si>
    <t>Mērķdotācija pašvaldību autoceļiem (ielām)</t>
  </si>
  <si>
    <t xml:space="preserve">Pašvaldības pamatbudžeta asignējumi </t>
  </si>
  <si>
    <t xml:space="preserve">2020.gadā </t>
  </si>
  <si>
    <t xml:space="preserve">2021.gadā </t>
  </si>
  <si>
    <t xml:space="preserve">Attīstības plānošanas dokumenta nosaukums/ Rīcības virziens un aktiv.numurs* </t>
  </si>
  <si>
    <t>2018.gada gaidāmā izpilde</t>
  </si>
  <si>
    <t>2019.gads budžeta pieprasījums</t>
  </si>
  <si>
    <t>2018.gada precizētais budžets</t>
  </si>
  <si>
    <t xml:space="preserve">Finansē-juma apjoms </t>
  </si>
  <si>
    <t>Finansē-juma apjoms</t>
  </si>
  <si>
    <t xml:space="preserve">PAVISAM KOPĀ </t>
  </si>
  <si>
    <r>
      <t xml:space="preserve">Struktūrvienība: </t>
    </r>
    <r>
      <rPr>
        <b/>
        <sz val="9"/>
        <rFont val="Times New Roman"/>
        <family val="1"/>
        <charset val="186"/>
      </rPr>
      <t>Attīstības pārvaldes Infrastruktūras investīciju projektu nodaļas Būvniecības daļa</t>
    </r>
  </si>
  <si>
    <t>KR</t>
  </si>
  <si>
    <t>PB</t>
  </si>
  <si>
    <t>pārnests no 2018.g.</t>
  </si>
  <si>
    <t xml:space="preserve">KOPĀ </t>
  </si>
  <si>
    <t>Kapitālais remonts</t>
  </si>
  <si>
    <t xml:space="preserve">Ielu  seguma kapitālais </t>
  </si>
  <si>
    <r>
      <t>22 100 m</t>
    </r>
    <r>
      <rPr>
        <sz val="9"/>
        <rFont val="Calibri"/>
        <family val="2"/>
        <charset val="186"/>
      </rPr>
      <t>²</t>
    </r>
  </si>
  <si>
    <t>04.510.</t>
  </si>
  <si>
    <t>5250</t>
  </si>
  <si>
    <r>
      <t>26 700 m</t>
    </r>
    <r>
      <rPr>
        <sz val="9"/>
        <rFont val="Calibri"/>
        <family val="2"/>
        <charset val="186"/>
      </rPr>
      <t>²</t>
    </r>
  </si>
  <si>
    <r>
      <t>14 800 m</t>
    </r>
    <r>
      <rPr>
        <sz val="9"/>
        <rFont val="Calibri"/>
        <family val="2"/>
        <charset val="186"/>
      </rPr>
      <t>²</t>
    </r>
  </si>
  <si>
    <t>Trotuāru izbūve un esošo trotuāru atjaunošana</t>
  </si>
  <si>
    <r>
      <t>33 040 m</t>
    </r>
    <r>
      <rPr>
        <sz val="9"/>
        <rFont val="Calibri"/>
        <family val="2"/>
        <charset val="186"/>
      </rPr>
      <t>²</t>
    </r>
  </si>
  <si>
    <r>
      <t>33 800 m</t>
    </r>
    <r>
      <rPr>
        <sz val="9"/>
        <rFont val="Calibri"/>
        <family val="2"/>
        <charset val="186"/>
      </rPr>
      <t>²</t>
    </r>
  </si>
  <si>
    <r>
      <t>17 900 m</t>
    </r>
    <r>
      <rPr>
        <sz val="9"/>
        <rFont val="Calibri"/>
        <family val="2"/>
        <charset val="186"/>
      </rPr>
      <t>²</t>
    </r>
  </si>
  <si>
    <t>JPAP_P2.1._R.2.1.1._62</t>
  </si>
  <si>
    <t>Seguma remonts, atjaunošana publiskās vietās un pašvaldības teritorijās</t>
  </si>
  <si>
    <r>
      <t>6 700 m</t>
    </r>
    <r>
      <rPr>
        <sz val="9"/>
        <rFont val="Calibri"/>
        <family val="2"/>
        <charset val="186"/>
      </rPr>
      <t>²</t>
    </r>
  </si>
  <si>
    <r>
      <t>6 655 m</t>
    </r>
    <r>
      <rPr>
        <sz val="9"/>
        <rFont val="Calibri"/>
        <family val="2"/>
        <charset val="186"/>
      </rPr>
      <t>²</t>
    </r>
  </si>
  <si>
    <t>Seguma atjaunošana, teritorijas labiekārtošana pilsētas iekškvartālos</t>
  </si>
  <si>
    <r>
      <t>1 400 m</t>
    </r>
    <r>
      <rPr>
        <sz val="9"/>
        <rFont val="Calibri"/>
        <family val="2"/>
        <charset val="186"/>
      </rPr>
      <t>²</t>
    </r>
  </si>
  <si>
    <r>
      <t>1 770 m</t>
    </r>
    <r>
      <rPr>
        <sz val="9"/>
        <rFont val="Calibri"/>
        <family val="2"/>
        <charset val="186"/>
      </rPr>
      <t>²</t>
    </r>
  </si>
  <si>
    <t>JPAP_P2.8._R.2.8.1._106</t>
  </si>
  <si>
    <t>Jaunu autostāvvietu izbūve</t>
  </si>
  <si>
    <r>
      <t>2 300 m</t>
    </r>
    <r>
      <rPr>
        <sz val="9"/>
        <rFont val="Calibri"/>
        <family val="2"/>
        <charset val="186"/>
      </rPr>
      <t>²</t>
    </r>
  </si>
  <si>
    <t>5240</t>
  </si>
  <si>
    <r>
      <t>950 m</t>
    </r>
    <r>
      <rPr>
        <sz val="9"/>
        <rFont val="Calibri"/>
        <family val="2"/>
        <charset val="186"/>
      </rPr>
      <t>²</t>
    </r>
  </si>
  <si>
    <r>
      <t>2 500 m</t>
    </r>
    <r>
      <rPr>
        <sz val="9"/>
        <rFont val="Calibri"/>
        <family val="2"/>
        <charset val="186"/>
      </rPr>
      <t>²</t>
    </r>
  </si>
  <si>
    <t>Grantēto ielu asfaltēšana</t>
  </si>
  <si>
    <r>
      <t>21 050 m</t>
    </r>
    <r>
      <rPr>
        <sz val="9"/>
        <rFont val="Calibri"/>
        <family val="2"/>
        <charset val="186"/>
      </rPr>
      <t>²</t>
    </r>
  </si>
  <si>
    <r>
      <t>19 800 m</t>
    </r>
    <r>
      <rPr>
        <sz val="9"/>
        <rFont val="Calibri"/>
        <family val="2"/>
        <charset val="186"/>
      </rPr>
      <t>²</t>
    </r>
  </si>
  <si>
    <r>
      <t>13 800 m</t>
    </r>
    <r>
      <rPr>
        <sz val="9"/>
        <rFont val="Calibri"/>
        <family val="2"/>
        <charset val="186"/>
      </rPr>
      <t>²</t>
    </r>
  </si>
  <si>
    <t>Tiltu atjaunošana</t>
  </si>
  <si>
    <t>2 gb.</t>
  </si>
  <si>
    <t>2 gab.</t>
  </si>
  <si>
    <t>2 gab</t>
  </si>
  <si>
    <t>Jaunu ielu izbūve</t>
  </si>
  <si>
    <t>1 obj.</t>
  </si>
  <si>
    <t>3 obj.</t>
  </si>
  <si>
    <t>Kauguru-Slokas apvedceļa posma dzelzceļa dienvidu pusē izbūve (I kārta, pieslēgums A10/E22 ceļam)</t>
  </si>
  <si>
    <t>1.10.</t>
  </si>
  <si>
    <t>Dubultu satiksmes mezgla pie Slokas ielas pārbūve</t>
  </si>
  <si>
    <t>Veloceliņu tīkla attīstība Jūrmalas pilsētā</t>
  </si>
  <si>
    <r>
      <t>6 600 m</t>
    </r>
    <r>
      <rPr>
        <sz val="9"/>
        <rFont val="Calibri"/>
        <family val="2"/>
        <charset val="186"/>
      </rPr>
      <t>²</t>
    </r>
  </si>
  <si>
    <r>
      <t>11 600 m</t>
    </r>
    <r>
      <rPr>
        <sz val="9"/>
        <rFont val="Calibri"/>
        <family val="2"/>
        <charset val="186"/>
      </rPr>
      <t>²</t>
    </r>
  </si>
  <si>
    <t>JPAP_P2.1._R.2.1.2._67</t>
  </si>
  <si>
    <t>Kārtējais remonts</t>
  </si>
  <si>
    <t>Grantēto ielu uzturēšana</t>
  </si>
  <si>
    <r>
      <t>360 000 m</t>
    </r>
    <r>
      <rPr>
        <sz val="9"/>
        <rFont val="Calibri"/>
        <family val="2"/>
        <charset val="186"/>
      </rPr>
      <t>²</t>
    </r>
  </si>
  <si>
    <t>2246</t>
  </si>
  <si>
    <t>97.4 km</t>
  </si>
  <si>
    <t>96.0 km</t>
  </si>
  <si>
    <t>Ceļa seguma remonts (t.sk.bedrīšu remonts)</t>
  </si>
  <si>
    <r>
      <t>8 000 m</t>
    </r>
    <r>
      <rPr>
        <sz val="9"/>
        <rFont val="Calibri"/>
        <family val="2"/>
        <charset val="186"/>
      </rPr>
      <t>²</t>
    </r>
  </si>
  <si>
    <t>Asfalta seguma remonts iekškvartālos</t>
  </si>
  <si>
    <r>
      <t>1 000 m</t>
    </r>
    <r>
      <rPr>
        <sz val="9"/>
        <rFont val="Calibri"/>
        <family val="2"/>
        <charset val="186"/>
      </rPr>
      <t>²</t>
    </r>
  </si>
  <si>
    <t>Ceļu infrastruktūra</t>
  </si>
  <si>
    <t>Ceļa horizontālo apzīmējumu uzklāšana</t>
  </si>
  <si>
    <r>
      <t>7 000 m</t>
    </r>
    <r>
      <rPr>
        <sz val="9"/>
        <rFont val="Calibri"/>
        <family val="2"/>
        <charset val="186"/>
      </rPr>
      <t>²</t>
    </r>
  </si>
  <si>
    <r>
      <t>5 600 m</t>
    </r>
    <r>
      <rPr>
        <sz val="9"/>
        <rFont val="Calibri"/>
        <family val="2"/>
        <charset val="186"/>
      </rPr>
      <t>²</t>
    </r>
  </si>
  <si>
    <r>
      <t>5 700 m</t>
    </r>
    <r>
      <rPr>
        <sz val="9"/>
        <rFont val="Calibri"/>
        <family val="2"/>
        <charset val="186"/>
      </rPr>
      <t>²</t>
    </r>
  </si>
  <si>
    <t>Ceļa zīmju un barjeru ekspluotācija</t>
  </si>
  <si>
    <t>7 433 gab.ceļazīmes/3 560 m barjeras</t>
  </si>
  <si>
    <t>7 433 gab./3 560 m</t>
  </si>
  <si>
    <t>Barjeru remonts</t>
  </si>
  <si>
    <t>50 m</t>
  </si>
  <si>
    <t>26 m</t>
  </si>
  <si>
    <t>Jaunu barjeru uzstādīšana</t>
  </si>
  <si>
    <t>700 m</t>
  </si>
  <si>
    <t>5239</t>
  </si>
  <si>
    <t>Ceļa zīmju nomaiņa</t>
  </si>
  <si>
    <t>700 gb.</t>
  </si>
  <si>
    <t>350 gb.</t>
  </si>
  <si>
    <t>2312</t>
  </si>
  <si>
    <t>350 gab.</t>
  </si>
  <si>
    <t>10 gb.</t>
  </si>
  <si>
    <t>Citi</t>
  </si>
  <si>
    <t>Tiltu inspekcija</t>
  </si>
  <si>
    <t>3.obj.</t>
  </si>
  <si>
    <t>Lielupes kreisā krasta atbalstsienas atjaunošana</t>
  </si>
  <si>
    <t xml:space="preserve">Jūrmalas pilsētas satiksmes drošības uzlabošana </t>
  </si>
  <si>
    <t>Ceļu infrastruktūras atjaunošana un autostāvvietas izbūve Ķemeros</t>
  </si>
  <si>
    <t>Pilsētas centrālās daļas ielu brauktuvju un gājēju celiņu atjaunošana un autostāvvietu izbūve</t>
  </si>
  <si>
    <t>Projekta līdzfinansējums</t>
  </si>
  <si>
    <t>Projekta  "Lielupes radīto plūdu un krasta erozijas risku apdraudējumu novēršanas pasākumi Dubultos-Majoros-Dzintaros" neattiecināmo izmaksu segšanai</t>
  </si>
  <si>
    <t>04.740.</t>
  </si>
  <si>
    <r>
      <t>Struktūrvienība:</t>
    </r>
    <r>
      <rPr>
        <b/>
        <sz val="9"/>
        <rFont val="Times New Roman"/>
        <family val="1"/>
        <charset val="186"/>
      </rPr>
      <t xml:space="preserve"> Īpašumu pārvaldes Pilsētsaimniecības un labiekārtošanas nodaļa</t>
    </r>
  </si>
  <si>
    <t>Labiekārtošanas pasākumi</t>
  </si>
  <si>
    <t xml:space="preserve">Ielu ietvju un zaļo zonu mehanizētā un nemehanizētā tīrīšana (tai skaitā arī BC kategorijas ielas) </t>
  </si>
  <si>
    <t>365 km</t>
  </si>
  <si>
    <t>05.100.</t>
  </si>
  <si>
    <t>2244</t>
  </si>
  <si>
    <t>Kredītu atmaksa</t>
  </si>
  <si>
    <t>Ceļu un to kompleksa investīciju projektu īstenošana</t>
  </si>
  <si>
    <t>*Informatīvi</t>
  </si>
  <si>
    <t>Jūrmalas pilsētas attīstības programma 2014.-2020.gadam (JPAP):</t>
  </si>
  <si>
    <t>Rīcības virziens: R.2.1.1. Ielu un ceļu rekonstrukcija, satiksmes drošības uzlabošana</t>
  </si>
  <si>
    <t xml:space="preserve">    Aktivitāte: Nr.62 Jūrmalas ielu un tiltu tīkla pilnveide</t>
  </si>
  <si>
    <t>Rīcības virziens: R.2.1.2. Velotransporta infrastruktūras attīstība</t>
  </si>
  <si>
    <t xml:space="preserve">    Aktivitāte: Nr.67 Veloceliņu tīkla attīstība                </t>
  </si>
  <si>
    <t>Rīcības virziens: R.2.8.1. Publiskās telpas pilnveide</t>
  </si>
  <si>
    <t xml:space="preserve">    Aktivitāte: Nr. 106 Jūrmalas pilsētā esošo daudzdzīvokļu namu pagalmu, izglītības iestāžu un piebraucamo ceļu rekonstrukcija</t>
  </si>
  <si>
    <t>Budžeta finansēta institūcija</t>
  </si>
  <si>
    <t>Jūrmalas pilsētas dome</t>
  </si>
  <si>
    <t>Reģistrācijas Nr.</t>
  </si>
  <si>
    <t>Struktūrvienība</t>
  </si>
  <si>
    <t>Attīstības pārvaldes Infrastruktūras investīciju projektu nodaļas Būvniecības daļa</t>
  </si>
  <si>
    <t>Programma:</t>
  </si>
  <si>
    <t>Administratīvo ēku būvniecība, atjaunošana un uzlabošana</t>
  </si>
  <si>
    <t>Funkcionālās klasifikācijas kods:</t>
  </si>
  <si>
    <t>01.110</t>
  </si>
  <si>
    <t>Pasākums/ aktivitāte/ projekts/ pakalpojuma nosaukums/ objekts</t>
  </si>
  <si>
    <t xml:space="preserve">2019.gada budžeta pieprasījums </t>
  </si>
  <si>
    <t>Ekonomiskās klasifikācijas kodi</t>
  </si>
  <si>
    <t xml:space="preserve">2019.gada budžeta projekts </t>
  </si>
  <si>
    <t>Piezīmes</t>
  </si>
  <si>
    <t>KOPĀ</t>
  </si>
  <si>
    <t>Domes administratīvo ēku infrastruktūras attīustība</t>
  </si>
  <si>
    <t>JPAP_P3.2._R.3.2.1._131 JPAP_P2.8. R.2.8.1._99</t>
  </si>
  <si>
    <t>Aktivitāte nav AP IIPN kompetencē.</t>
  </si>
  <si>
    <t>Glābšanas staciju būvniecība, atjaunošana un uzlabošana</t>
  </si>
  <si>
    <t>03.600</t>
  </si>
  <si>
    <t>Mellužu glābšanas stacijas pārbūve un siltināšana</t>
  </si>
  <si>
    <t xml:space="preserve">JPAP_P.1.6._R1.6.2._30 JPAP_P2.6._R.2.6.2._89 </t>
  </si>
  <si>
    <t>Ostas būvniecība, atjaunošana un uzlabošana</t>
  </si>
  <si>
    <t>04.520</t>
  </si>
  <si>
    <t xml:space="preserve">Jūrmalas ūdenstūrisma pakalpojumu infrastruktūras attīstība atbilstoši pilsētas ekonomiskajai specializācijai (centra "Majori" izveide) (ITI SAM 3.3.1.) </t>
  </si>
  <si>
    <t>JPAP_P2.4._R2.4.2._80 
JPŪRARP_M.4,_RV2.4.1_13
JPTARP_M1_U1.2._P1.2.12</t>
  </si>
  <si>
    <t>Būvdarbu, būvuzraudzības un autoruzraudzības izmaksas pāriet uz projekta Nr.3.3.1.0/18/I/001 budžetu, pēc projekta iesnieguma apstiprināšanas. Izmaksas iekļautas Investīciju plānā.</t>
  </si>
  <si>
    <t>Autoruzraudzība (būvdarbiem).
Pakalpojumu līgums Nr.1.2-16.4.3/1509 (11.11.2016.), 5445EUR. 
Izmaksas pāriet uz projekta Nr.3.3.1.0/18/I/001 budžetu, pēc projekta iesnieguma apstiprināšanas. Izmaksas iekļautas Investīciju plānā.</t>
  </si>
  <si>
    <t>Autoruzraudzība – elektrības pielsēguma izbūvei.
Pakalpojumu līgums Nr.1.2-16.4.3/112 (26.01.2018.), 108.90EUR. 
Izmaksas pāriet uz projekta Nr.3.3.1.0/18/I/001 budžetu, pēc projekta iesnieguma apstiprināšanas. Izmaksas iekļautas Investīciju plānā.</t>
  </si>
  <si>
    <t>Publisko teritoriju, ēku un mājokļu būvniecība, atjaunošana un uzlabošana</t>
  </si>
  <si>
    <t>06.600</t>
  </si>
  <si>
    <t xml:space="preserve">Dubultu kultūras un izglītības centrs Strēlnieku prospektā 30, Jūrmalā </t>
  </si>
  <si>
    <t xml:space="preserve">JPAP_P3.3._ R3.3.1._192 JPAP_P3.2_R3.2.4._173
JPKAP U5.5 P5.5.1. </t>
  </si>
  <si>
    <t>Būvdarbu garantijas laika garantijas ieturējums (5%) - SIA "RERE Meistari".
Līgums Nr.1.2-16.4.2/1291 (29.09.2016.).
5% garantijas ieturējums =330 726.31 €</t>
  </si>
  <si>
    <t>Pašvaldības dzīvojamā fonda remonts</t>
  </si>
  <si>
    <t>JPAP_P2.9._R2.9.1._115</t>
  </si>
  <si>
    <t>Majoru muiža</t>
  </si>
  <si>
    <t>JPAP_P1.4._R1.4.3._17</t>
  </si>
  <si>
    <t>Apsekošana, specifikāciju un tāmju sagatavošana</t>
  </si>
  <si>
    <t>JPAP_P3.1._R.3.1.2._131</t>
  </si>
  <si>
    <t xml:space="preserve">Ēkas restaurācija un atjaunošana Pils ielā 1, Jūrmalā </t>
  </si>
  <si>
    <t>JPAP_P3.2._R3.2.4._185</t>
  </si>
  <si>
    <t>Jūrmalas pašvaldības, Lielupes radīto plūdu un krasta erozijas risku apdraudējumu novēršanas pasākumi Dubultos-Majoros-Dzintaros (SAM 5.1.1.)</t>
  </si>
  <si>
    <t>JPAP_P1.6._R1.6.2._35 
JPŪRARP M.2, RV1.6.2_6</t>
  </si>
  <si>
    <t>Būvdarbu, būvuzraudzības un autoruzraudzības izmaksas pāriet uz projekta Nr.5.1.1.0/17/I/008, atbilstoši Jūrmalas pilsētas domes 23.08.2018. lēmumam Nr.401.</t>
  </si>
  <si>
    <t>Būvprojekta atkārtota ekspertīze.
28.09.18. no SIA “Borealis” saņemts negatīvs ekspertīzes atzinums. Pakalpojumu līgums Nr.1.2-16.4.3/251 (02.03.2018.).
Izdevumus par atkārtoto būvprojekta ekspertīzi, pamatojoties uz Pakalpojumu līguma Nr.1.2-16.4.3/1088 (27.07.2018.) 2.1.1.11.punktu sedz VSIA “Meliorprojekts”.
Izmaksas nav iekļaujamas projekta Nr.5.1.1.0/17/I/008 budžetā, jo pēc būtības tās tiek finansētas no VSIA “Meliorprojekts” līdzekļiem. Projekta izpratnē šīs kompensējamās izmaksas ir klasificējamas, kā projekta ietvaros gūtie ieņēmumi, kas samazina projekta attiecināmo izmaksu kopsummu.</t>
  </si>
  <si>
    <t xml:space="preserve">Kapteiņa Zolta piemiņas vietas teritorijas labiekārtošana </t>
  </si>
  <si>
    <t>JPAP_P2.8_R2.8.1._98</t>
  </si>
  <si>
    <t>Pašvaldības īpašumā esošo ēku kapitālais remonts</t>
  </si>
  <si>
    <t>Pilotprojekts "Ērts ceļš uz jūru"</t>
  </si>
  <si>
    <t>JPAP_P2.8_R.2.8.1._107</t>
  </si>
  <si>
    <t>Līgums 1.2-16.4.3/842, "VV Projekts", 2019.gadā autoruzraudzība 460 €+PVN 96.60 €=557 €</t>
  </si>
  <si>
    <t>Pašvaldības ēkas Raiņa ielā 62, Jūrmalā pārbūve un energoefektivitātes paaugstināšana (ITI SAM 4.2.2.)</t>
  </si>
  <si>
    <t>JPAP_P2.9._ R2.9.1._115</t>
  </si>
  <si>
    <t xml:space="preserve">Priekšfinansējums ES fondu projektam. Projekta iesnieguma izstrāde plānota 2019.gadā. </t>
  </si>
  <si>
    <t>Būvprojekta izstrāde. Mazais iepirkums, orientējoši 41000EUR + PVN.</t>
  </si>
  <si>
    <t>Būvprojekta ekspertīze. Zemsliekšņa iepirkums 9999EUR + PVN.</t>
  </si>
  <si>
    <t>Būvtāfeles un tehniskās dokumentācijas izstrāde. Orientējoši 370EUR.</t>
  </si>
  <si>
    <t>Majoru muižas kompleksa atjaunošana, t.sk. teritorijas labiekārtošana</t>
  </si>
  <si>
    <t>JPAP_P2.8._R2.8.1._99</t>
  </si>
  <si>
    <t>Atpūtu un sportu veicinošas infrastruktūras izveide, atjaunošana un labiekārtošana</t>
  </si>
  <si>
    <t>08.100</t>
  </si>
  <si>
    <t>Pilsētas atpūtas parka un Jauniešu mājas izveide Kauguros (ITI SAM 3.3.1.)</t>
  </si>
  <si>
    <t xml:space="preserve">JPAP_P2.8._R2.8.1._103 JPAP_P3.7._R3.7.2._230 </t>
  </si>
  <si>
    <t xml:space="preserve">Priekšfinansējums ES fondu projektam. Projekta iesnieguma izstrāde plānota 2018.gadā. </t>
  </si>
  <si>
    <t>Būvprojekta izstrāde.
Pakalpojumu līgums Nr. 1.2-16.4.3/1909 (27.12.2017.) 265595EUR.</t>
  </si>
  <si>
    <t>Autoruzraudzība.
Pakalpojumu līgums Nr. 1.2-16.4.3/1909 (27.12.2017.)  44770.EUR.
Izmaksas pāriet uz projekta Nr.3.3.1.0/18/I/___ budžetu, pēc projekta iesnieguma apstiprināšanas. Izmaksas iekļautas Investīciju plānā.</t>
  </si>
  <si>
    <t>Būvprojekta ekspertīzes.
Atbilstoši iepirkuma ID Nr. JPD 2018/97A rezultātiem, SIA "CMB" - 14000EUR + PVN.</t>
  </si>
  <si>
    <t>Sabiedriskā centra Valtera prospektā 54, Jūrmalā, attīstība</t>
  </si>
  <si>
    <t xml:space="preserve">JPAP_P3.3._R3.3.1._192 
JPKAP U5.4, P5.4.1.  </t>
  </si>
  <si>
    <t>Pilsētas projekts.</t>
  </si>
  <si>
    <t>Ķemeru parka pārbūve un restaurācija (ITI SAM 5.6.2.)</t>
  </si>
  <si>
    <t>JPAP_P1.7._R1.7.2._45
JPAP_P2.8._R2.8.1._98
JPAP_P2.8._R2.8.1._99 
JPTARP_M1_U1.2._P1.2.10
JPIERP_P.4.4_ A4.4.2
JPIERP_P.4.4_ A4.4.3</t>
  </si>
  <si>
    <t>Būvdarbu, būvuzraudzības un autoruzraudzības izmaksas pāriet uz projekta Nr.5.6.2.0/18/I/008 budžetu, pēc projekta iesnieguma apstiprināšanas. Izmaksas iekļautas Investīciju plānā.</t>
  </si>
  <si>
    <t>Autoruzraudzība.
Pakalpojumu līgumu Nr.1.2-16.4.3/560 (27.04.2017.) 18150EUR.
Izmaksas pāriet uz projekta Nr.5.6.2.0/18/I/008 budžetu, pēc projekta iesnieguma apstiprināšanas. Izmaksas iekļautas Investīciju plānā.</t>
  </si>
  <si>
    <t>Daudzfunkcionāla dabas tūrisma centra jaunbūve un meža parka labiekārtojums Ķemeros (ITI SAM 5.6.2.)</t>
  </si>
  <si>
    <t>JPAP_R1.6.1._21
JPIERP_P.4.4_ A4.4.2
JPIERP_P.4.4_ A4.4.3
JPTARP_M1_U1.4._P1.4.1</t>
  </si>
  <si>
    <t>Būvprojekta izstrāde.
Pakopojumu līgumu Nr.1.2-16.4.3/192 (15.02.2018.) 32670EUR.
2018.gadā izmaksāts avanss 98010EUR.
2019.gadā plānots gala norēķins 228690EUR.</t>
  </si>
  <si>
    <t>Būvprojekta izstrādei – papildus izmaksas, 18954EUR + PVN.
SIA "Lauder Aechitects" 25.10.18. vēstule. Vienošanās pie Pakalpojuma līguma Nr. 1.2-16.4.3/192 (15.02.2018.).</t>
  </si>
  <si>
    <t>Būvprojekta ekspertīze. 
Mazais iepirkums, orientējoši 41000EUR + PVN.</t>
  </si>
  <si>
    <t>Autoruzraudzība.
Pakalpojuma līgums Nr.1.2-16.4.3/192 (15.02.2018.) 24200EUR.
Izmaksas pāriet uz projekta Nr.5.6.2.0/19/I/__ budžetu, pēc projekta iesnieguma apstiprināšanas. Izmaksas iekļautas Investīciju plānā</t>
  </si>
  <si>
    <t>Ķemeru ūdenstorņa pārbūve un restaurācija (SAM 5.5.1.)</t>
  </si>
  <si>
    <t>JPAP_P3.1._R3.3.1._196 JPKAP U5.2, P5.2.1.         TP ĶAV U4, 4.1     JPTARP M1, U1.3._P1.3.1</t>
  </si>
  <si>
    <t>Būvdarbu, būvuzraudzības un autoruzraudzības izmaksas pāriet uz projekta Nr.5.5.1.0/17/I/010 budžetu, pēc projekta iesnieguma apstiprināšanas. Izmaksas iekļautas Investīciju plānā.</t>
  </si>
  <si>
    <t>Autoruzraudzība.
Pakalpojumu līgums Nr.1.2-16.4.3/561 (27.04.2017.) 2238.50 EUR.
Izmaksas pāriet uz projekta Nr.5.5.1.0/17/I/010 budžetu, pēc projekta iesnieguma apstiprināšanas. Izmaksas iekļautas Investīciju plānā.</t>
  </si>
  <si>
    <t>Skvēra Tūristu ielā 2A, Ķemeros atjaunošana</t>
  </si>
  <si>
    <t>JPAP_P2.1._R2.1.1_62 JPAP_P1.7._R1.7.2._45    TP ĶAV U2, 2.3</t>
  </si>
  <si>
    <t>Būvdarbu, būvuzraudzības un autoruzraudzības izmaksas pāriet uz projekta Nr.5.6.2.0/18/I/002 budžetu, pēc projekta iesnieguma apstiprināšanas. Izmaksas iekļautas Investīciju plānā.</t>
  </si>
  <si>
    <t>Autoruzraudzība.
Pakalpojumu līgums Nr. 1.2-16.4.3/1027 (19.07.2017.) 1210EUR.
Izmaksas pāriet uz projekta Nr.5.6.2.0/18/I/002 budžetu, pēc projekta iesnieguma apstiprināšanas. Izmaksas iekļautas Investīciju plānā.</t>
  </si>
  <si>
    <t>Sporta nams "Taurenītis"</t>
  </si>
  <si>
    <t>JPAP_P3.3._R.3.3.3_206</t>
  </si>
  <si>
    <t>Bibliotēku ēku būvniecība, atjaunošana un uzlabošana</t>
  </si>
  <si>
    <t>08.210</t>
  </si>
  <si>
    <t>Bibliotēku remonts</t>
  </si>
  <si>
    <t xml:space="preserve">JPAP_P3.3._ R3.3.1._192 JPKAP U5.3, P5.3.2. </t>
  </si>
  <si>
    <t>Muzeja ēku būvniecība, atjaunošana un uzlabošana</t>
  </si>
  <si>
    <t>08.220</t>
  </si>
  <si>
    <t xml:space="preserve">Jūrmalas pilsētas brīvdabas muzeja infrastruktūras attīstība </t>
  </si>
  <si>
    <t xml:space="preserve">JPAP_P3.3._ R3.3.1._200    JPKAP U5.1, P5.1.1. </t>
  </si>
  <si>
    <t>Aktivitāte īstenota 2018.gadā.</t>
  </si>
  <si>
    <t>Kultūras centru un namu būvniecība, atjaunošana un uzlabošana</t>
  </si>
  <si>
    <t>08.230</t>
  </si>
  <si>
    <t>Jūrmalas teātra ēkas energoefektivitātes paaugstināšana (ITI SAM 4.2.2.)</t>
  </si>
  <si>
    <t xml:space="preserve">JPAP_P3.3._R3.3.1._192 JPAP_P2.6., R.2.6.2._89 JPIERP RV 4.3.1           JPKAP U5.1, P5.1.6. </t>
  </si>
  <si>
    <t>Būvprojekta izstrāde. Atbilsoši iepirkumam ID 2018/110, 32 000 EUR + PVN.</t>
  </si>
  <si>
    <t>Būvprojekta ekspertīze. Zemsliekšņa iepirkums, orientējoši 5000EUR + PVN.</t>
  </si>
  <si>
    <t>Teātra, koncertzāles un estrāžu būvniecība, atjaunošana un uzlabošana</t>
  </si>
  <si>
    <t>08.240</t>
  </si>
  <si>
    <t>Mellužu estrādes ēkas restaurācija un bāra ēkas pārbūve, teritorijas labiekārtojums (SAM 5.5.1.)</t>
  </si>
  <si>
    <t>JPAP_P3.3._R3.3.1._195 JPKAP U1.1, P5.1.1. JPTARP M1, U1.5._P1.5.3</t>
  </si>
  <si>
    <t>Būvprojekta izstrāde elektrības jaudas palielināšanai.
Izmaksu summa noteikta atbilstoši SIA "S.O.S" 23.11.2018. sniegtajam cenu piedāvājumam 530 € +PVN
Zemsliekšņa iepirkums, orientējoši 3000EUR +PVN.
Izmaiņas nav iespējams veikt esošo būvdarbu ietvaros, jo būtiski tiktu kavēta būvdarbu izpilde.
Izmaksas nav iekļaujamas projekta Nr.5.5.1.0/17/I/010 budžetā, jo nav tieši saistītas ar projektā paredzētajām darbībām un projekta mērķa sasniegšanu.
Šīs izmaksas ir nepieciešamas objekta pilnvērtīgākas darbības nodrošināšanai ilgtermiņā.</t>
  </si>
  <si>
    <t>Būvdarbi.
Elektrības jaudas palielināšanai.
Zemsliekšņa iepirkums, orientējoši 12000EUR +PVN.
Izmaiņas nav iespējams veikt esošo būvdarbu ietvaros, jo būtiski tiktu kavēta būvdarbu izpilde.
Izmaksas nav iekļaujamas projekta Nr.5.5.1.0/17/I/010 budžetā, jo nav tieši saistītas ar projektā paredzētajām darbībām un projekta mērķa sasniegšanu.
Šīs izmaksas ir nepieciešamas objekta pilnvērtīgākas darbības nodrošināšanai ilgtermiņā.</t>
  </si>
  <si>
    <t>Pirmsskolas  izglītības iestāžu būvniecība, atjaunošana un uzlabošana</t>
  </si>
  <si>
    <t>09.100</t>
  </si>
  <si>
    <t>Avārijas darbi</t>
  </si>
  <si>
    <t xml:space="preserve">JPAP_P3.2._R3.2.2._155 </t>
  </si>
  <si>
    <t>Pirmsskolas izglītības iestādes ''Bitītes'' pārbūve</t>
  </si>
  <si>
    <t>JPAP_P3.2._R3.2.2._155 JPIAK R3.2.2.</t>
  </si>
  <si>
    <t>Pilsētas projekts, kas pēc būvprojekta izstrādes tiks finansēts no Valsts kases kredīta līdzekļiem.</t>
  </si>
  <si>
    <t>Būvprojekta izstrādes un būvprojekta ekspertīzes  izstrādes izmaksas.</t>
  </si>
  <si>
    <t>Būvdarbu, būvuzraudzības un autoruzraudzības izmaksas 40% apmērā.</t>
  </si>
  <si>
    <t>Būvprojekta izstrāde.
Pakalpojumu līgums Nr.1.2-16.4.3/1744 (07.12.2017), līguma kopsumma 42 955EUR. 2018.gadā veikts 20% avansa maksājums  8 591 €. 2019.gadā plānotsgala norēķins 80% - 34 364 €.</t>
  </si>
  <si>
    <t>Būvdarbi.
Indikatīvās būvdarbu izmaksas ar PVN ir 3 900 000EUR. 
2019.gadā plānota 40% būvdarbu izpilde - 1 560 000 €.
2020.gadā plānots gala norēķins 60% apmērā 2 340 000 €.
Finansējums no Valsts kases kredīta līdzekļiem.</t>
  </si>
  <si>
    <t>Būvuzraudzība.
Atklāts konkurss, orientējoši 65000EUR + PVN (2% no indikatīvo būvdarbu izmaksu summas).
2019.gadā plānota 40% būvuzraudzības darbu izpilde - 31 460 .
2020.gadā plānots gala norēķins 60% apmērā - 47 190 €.
Finansējums no Valsts kases kredīta līdzekļiem.</t>
  </si>
  <si>
    <t>Autoruzraudzība.
Pakalpojumu līgums Nr.1.2-16.4.3/1744 (07.12.2017), 12100EUR.
Finansējums no Valsts kases kredīta līdzekļiem.</t>
  </si>
  <si>
    <t>Objekta nodošanas ekspluatācijā izmaksas – būves kadastrālā uzmērīšana un aktualizēta topogrāfiskā plāna izstrāde.</t>
  </si>
  <si>
    <t>Infrastruktūras pilnveide pakalpojumu sniegšanai bērniem ar funkcionāliem traucējumiem (ITI SAM 9.3.1.)</t>
  </si>
  <si>
    <t>JPAP_P3.2., R3.2.2._155 JPIAK R3.2.2.</t>
  </si>
  <si>
    <t>Būvprojekta izstrāde. Mazais iepirkums, orientējoši 15000EUR + PVN.</t>
  </si>
  <si>
    <t>Būvprojekta ekspertīze. Zemsliekšņa iepirkums, orientējoši 2500EUR + PVN.</t>
  </si>
  <si>
    <t>Jūrmalas PII ''Saulīte''</t>
  </si>
  <si>
    <t xml:space="preserve">Sākumskolu, pamatskolu, vidusskolu būvniecība, atjaunošana un uzlabošana </t>
  </si>
  <si>
    <t>09.210</t>
  </si>
  <si>
    <t>JPAP_R3.2.3._165</t>
  </si>
  <si>
    <t>Vispārējās izglītības iestādes</t>
  </si>
  <si>
    <t>JPAP_P3.2._R3.2.3._165 JPIAK R3.2.3.                 VVPJP M2.3.2; U 1_1.1</t>
  </si>
  <si>
    <t>Jūrmalas pilsētas Ķemeru pamatskolas ēkas pārbūve un energoefektivitātes paaugstināšana (ITI SAM 4.2.2.)</t>
  </si>
  <si>
    <t>JPAP_P3.2._R3.2.3._165 JPIAK R3.2.3.                VVPJP M2.3.2; U 1_1.1</t>
  </si>
  <si>
    <t>Priekšfinansējums ES fondu projektam. Būvdarbu, būvuzraudzības un autoruzraudzības izmaksas pāriet uz projekta Nr. 4.2.2.0/18/I/__  budžetu, pēc projekta iesnieguma apstiprināšanas. Izmaksas iekļautas Investīciju plānā.</t>
  </si>
  <si>
    <t>Būvprojekta izstrāde.
Pakalpojumu līgums Nr.1.2-16.4.3/1738 (06.12.2017.), 64130EUR.
2018.gadā izmaksāti divi avansa maksājumi 32065EUR.
2019.gadā plānots gala norēķins 32065EUR.</t>
  </si>
  <si>
    <t>Būvprojekta ekspertīze.
Pakalpojuma līgums Nr.1.2-16.4.3/1135 (18.09.2018.), 17545EUR.</t>
  </si>
  <si>
    <t>Autoruzraudzība.
Pakalpojumu līgums Nr.1.2-16.4.3/1738 (06.12.2017.), 6413EUR.
Pāriet uz projekta Nr.4.2.2.0/18/I/__ budžetu, pēc projekta iesnieguma apstiprināšanas. Izmaksas iekļautas Investīciju plānā.</t>
  </si>
  <si>
    <t>Lielupes pamatskolas pārbūve un sporta zāles piebūve</t>
  </si>
  <si>
    <t>Būvprojekta izstrāde. Atklāts konkurss, orientējoši 170000EUR + PVN.</t>
  </si>
  <si>
    <t>Būvprojekta ekspertīze. Mazais iepirkums, orientējoši 14000EUR + PVN.</t>
  </si>
  <si>
    <t>Jūrmalas Valsts ģimnāzijas ēkas Raiņa iela 55, Jūrmalā, pārbūve (ITI SAM 8.1.2.)</t>
  </si>
  <si>
    <t>Priekšfinansējums ES fondu projektam. Būvdarbu, būvuzraudzības un autoruzraudzības izmaksas pāriet uz projekta Nr.8.1.2.0/18/I/006 budžetu, pēc projekta iesnieguma apstiprināšanas. Izmaksas iekļautas Investīciju plānā.</t>
  </si>
  <si>
    <t>Būvprojekta izstrāde.
Pakalpojuma līgums Nr.1.2-16.4.3/1743 (07.12.2017.), 119 911EUR.
2017.gadā izmaksāts avanss 23 982.20EUR.
2019.gadā plānots gala norēķins 95 928.80 EUR.</t>
  </si>
  <si>
    <t>Būvprojekta ekspertīze.
Pakalpojuma līgums Nr.1.2-16.4.3/1321 (25.10.2018.), 16940EUR.</t>
  </si>
  <si>
    <t>Autoruzraudzība.
Pakalpojuma līgums Nr.1.2-16.4.3/1743 (07.12.2017.), 21538EUR.
Pāriet uz projekta Nr.8.1.2.0/18/I/006 budžetu, pēc projekta iesnieguma apstiprināšanas. Izmaksas iekļautas Investīciju plānā.</t>
  </si>
  <si>
    <t>Mežamalas vidusskola</t>
  </si>
  <si>
    <t>Investīciju plāns, projektēšana - sporta zālew, virtuve, āra sporta stadions (pārbūve un atjaunošana)</t>
  </si>
  <si>
    <t>Jūrmalas pilsētas Jaundubultu vidusskolas ēkas un autoskolas ēkas energoefektivitātes paaugstināšana un telpu atjaunošana, Lielupes ielā 21</t>
  </si>
  <si>
    <t>JPAP_P3.2._R3.2.3._165 JPAP_P2.6._R.2.6.2._89 JPIAK R3.2.3.                 VVPJP M2.3.2; U 1_1.1</t>
  </si>
  <si>
    <t>Pāriet uz projekta Nr.4.2.2.0/17/I/109, atbilstoši Jūrmalas pilsētas domes 18.10.18. lēmumam Nr.505.
Pāriet uz projekta Nr.4.2.2.0/17/I/110, atbilstoši Jūrmalas pilsētas domes 18.10.18. lēmumam Nr.506.</t>
  </si>
  <si>
    <t>Jūrmalas pilsētas Kauguru vidusskolas ēkas energoefektivitātes paaugstināšana un telpu atjaunošana (ITI SAM 4.2.2. un ITI SAM 8.1.2.)</t>
  </si>
  <si>
    <t>JPAP_P2.8._R2.8.1._98
JPAP_P2.8._R2.8.1._99 
JPAP_P2.8._R2.8.1._103 
JPAP_P3.7._R3.7.2._230
JPKAP_RV5_U5.3_P5.3.1.</t>
  </si>
  <si>
    <t>Pāriet uz projekta Nr.4.2.2.0/18/I/011 un projekta Nr.8.1.2.0/18/I/006 budžetu, pēc projekta iesnieguma apstiprināšanas. Izmaksas iekļautas Investīciju plānā.</t>
  </si>
  <si>
    <t>Autoruzraudzība.
Pakalpojuma līgums Nr. 1.2-16.4.3/844 (06.06.2017.), 1064.80EUR (fasādes un iekšējo inženiertīklu atjaunošana). Pāriet uz projekta Nr.4.2.2.0/18/I/011 budžetu, pēc projekta iesnieguma apstiprināšanas. Izmaksas iekļautas Investīciju plānā.</t>
  </si>
  <si>
    <t>Autoruzraudzība.
Pakalpojuma līgums Nr. 1.2-16.4.3/852 (08.06.2017.), 2420EUR (telpu atjaunošana).
Pāriet uz projekta Nr.8.1.2.0/18/I/006 budžetu, pēc projekta iesnieguma apstiprināšanas. Izmaksas iekļautas Investīciju plānā.</t>
  </si>
  <si>
    <t>Jūrmalas Valsts ģimnāzijas un sākumskolas "Atvase" daudzfunkcionālās sporta halles projektēšana un celtniecība</t>
  </si>
  <si>
    <t xml:space="preserve">Slokas pamatskola </t>
  </si>
  <si>
    <t>Pumpuru peldbaseina izbūve</t>
  </si>
  <si>
    <t>Būvprojekta izstrāde plānojama 2020.gada ietvaros, pēc ES fondu projektu realizācijas pabeigšanas.</t>
  </si>
  <si>
    <t>Jūrmalas valsts ģimnāzija</t>
  </si>
  <si>
    <t xml:space="preserve">JPAP_P3.2._R3.2.3._165
JPIAK R3.2.3.   </t>
  </si>
  <si>
    <t>Interešu profesionālās ievirzes izglītības iestāžu būvniecība, atjaunošana un uzlabošana</t>
  </si>
  <si>
    <t xml:space="preserve"> 09.510.</t>
  </si>
  <si>
    <t>Jūrmalas Sporta skolas peldbaseina ēkas pārbūve un energoefektivitātes paaugstināšana (ITI SAM 4.2.2.)</t>
  </si>
  <si>
    <t>JPAP_R3.2.4._185</t>
  </si>
  <si>
    <t>Pāriet uz projekta Nr.4.2.2.0/18/I/013 budžetu, pēc projekta iesnieguma apstiprināšanas. Izmaksas iekļautas Investīciju plānā.</t>
  </si>
  <si>
    <t>Autoruzraudzība.
Pakalpojuma līgums Nr.1.2-16.4.3/7 (17.05.2017), 2418.79EUR. Pāriet uz projekta Nr.4.2.2.0/18/I/013 budžetu, pēc projekta iesnieguma apstiprināšanas. Izmaksas iekļautas Investīciju plānā.</t>
  </si>
  <si>
    <t>Pārējo sociālo iestāžu būvniecība, atjaunošana un uzlabošana</t>
  </si>
  <si>
    <t>10.700</t>
  </si>
  <si>
    <t>Jūrmalas pilsētas pašvaldības iestāde ''Sprīdītis''</t>
  </si>
  <si>
    <t>JPAP_P2.5._R.3.5.1._216 JPAP_P2.6._R.2.6.2._89</t>
  </si>
  <si>
    <t xml:space="preserve">Jūrmalas pilsētas pašvaldības iestādes "Jūrmalas veselības veicināšanas un sociālo pakalpojumu centrs" ēku energoefektivitātes paaugstināšanas pasākumi un ēkas pārbūve </t>
  </si>
  <si>
    <t>JPAP_P2.5._R.3.5.1._223 JPAP_P2.6._R.2.6.2._89</t>
  </si>
  <si>
    <t>Būvprojekta izstrāde. 
Atklāts konkurss, orientējoši 68500EUR + PVN, pamatojoties uz iepirkuma ID Nr.JPD 2017/70 rezultātiem. Pakalpojumu līgums Nr.1.2-16.4.3/1185 (18.08.2017.) lauzts 01.03.2018. vēstule Nr.1.1-37/831.</t>
  </si>
  <si>
    <t>Būvprojekta ekspertīze. Mazais iepirkums, orientējoši 12000EUR + PVN.</t>
  </si>
  <si>
    <t>Veselības veicināšanas un sociālo pakalpojumu centrs</t>
  </si>
  <si>
    <t xml:space="preserve">Administratīvās ēkas pārbūve sociālo funkciju nodrošināšanai, Talšu šosejā 31 k-25, Jūrmalā </t>
  </si>
  <si>
    <t xml:space="preserve">JPAP_P2.5._R.3.5.1._223 </t>
  </si>
  <si>
    <t>Talsu šosejā 31 k-25, Jūrmalā. Pilsētas projekts, kas tiek finansēts no Valsts kases kredīta līdzekļiem.</t>
  </si>
  <si>
    <t>Autoruzraudzības, būvuzraudzības, būvprojekta izmaiņu projekta un objekta nodošanai ekspluatācijā nepieciešamās dokumentācijas izstrādes izmaksas.</t>
  </si>
  <si>
    <t>Būvdarbu izmaksas.</t>
  </si>
  <si>
    <t>Būvdarbi. 
Būvdarbu līgums Nr. 1.2-16.4.2/113 (29.01.2018.), EUR 1 000 044.02.
2018.gadā plānots apgūt 237 528.05 €,
2019.gadā plānots gala norēķins - 762 515.97 €.
Valsts kases kredīta līdzekļi.</t>
  </si>
  <si>
    <t>Autoruzraudzība.
Pakalpojuma līgums Nr.1.2-16.4.3/1433 (03.11.2016.).
Norēķini 2420.00EUR apmērā veicami vienreiz pēc darbu izpildes pabeigšanas – 2019.gads.</t>
  </si>
  <si>
    <t>Būvuzraudzība.
Pakalpojumu līgums Nr. 1.2-16.4.3/151 (06.02.2018.), 12087.90 EUR.
Norēķini veicami proporcionāli būvdarbu grafikam - 2018.gadā apgūts 4029.30EUR, 2019.gadā 8058.60EUR.</t>
  </si>
  <si>
    <t xml:space="preserve">Būvprojekta izmaiņu projekta dokumentācijas izstrāde. </t>
  </si>
  <si>
    <t>Infrastruktūras izveide bez vecāku gādības palikušu bērnu un jauniešu aprūpei ģimeniskā vidē (ITI SAM 9.3.1.)</t>
  </si>
  <si>
    <t xml:space="preserve"> JPAP_P3.5._R.3.5.1._216</t>
  </si>
  <si>
    <t>Būvprojekta izstrāde. Mazais iepirkums, orientējoši 21000EUR + PVN.</t>
  </si>
  <si>
    <t>Būvprojekta ekspertīze. Zemsliekšņa iepirkums 5000EUR + PVN.</t>
  </si>
  <si>
    <t>Infrastruktūras izveide bez vecāku gādības palikušu jauniešu aprūpei ģimeniskā vidē (ITI SAM 9.3.1.)</t>
  </si>
  <si>
    <t>JPAP_P3.5._R.3.5.1._223</t>
  </si>
  <si>
    <t>Būvprojekta izstrāde. Mazais iepirkums, orientējoši 20000EUR + PVN.</t>
  </si>
  <si>
    <t>Būvprojekta ekspertīze. Zemsliekšņa iepirkums 4000EUR + PVN.</t>
  </si>
  <si>
    <t>Infrastruktūras pilnveide sabiedrībā balstītu sociālo pakalpojumu sniegšanai personām ar garīga rakstura traucējumiem (ITI SAM 9.3.1.)</t>
  </si>
  <si>
    <t xml:space="preserve"> JPAP_P3.5._R.3.5.1._223</t>
  </si>
  <si>
    <t>Būvprojekta izstrāde. Mazais iepirkums, orientējoši 30000 EUR + PVN.</t>
  </si>
  <si>
    <t>Jaunu grupu dzīvokļu izveide sabiedrībā balstītu sociālo pakalpojumu sniegšanai personām ar garīga rakstura traucējumiem (ITI SAM 9.3.1.)</t>
  </si>
  <si>
    <t>Jūrmalas pilsētas attīstības programma 2014.-2020.gadam (JPAP)</t>
  </si>
  <si>
    <t>Prioritātes:</t>
  </si>
  <si>
    <t>P1.4. Viesmīlības pakalpojumu attīstība</t>
  </si>
  <si>
    <t>P1.6. Aktīvā un dabas tūrisma attīstība</t>
  </si>
  <si>
    <t>P1.7. Kultūras tūrisma attīstība</t>
  </si>
  <si>
    <t>P2.1. Ceļu un ielu, to apgaismojuma kvalitātes uzlabošana, satiksmes drošības uzlabojumi, veloceliņu un gājēju celiņu attīstība</t>
  </si>
  <si>
    <t>P2.4. Jūrmalas ostas attīstība un kuģošanas infrastruktūras attīstība Lielupē</t>
  </si>
  <si>
    <t>P2.6. Energoapgādes un sakaru attīstība</t>
  </si>
  <si>
    <t>P2.8. Publiskās telpas labiekārtošana</t>
  </si>
  <si>
    <t>P2.9. Dzīvojamā fonda attīstība</t>
  </si>
  <si>
    <t>P3.2. Kvalitatīva un sociāli pieejama izglītība</t>
  </si>
  <si>
    <t>P3.3. Daudzveidīgas kultūras un sporta vide</t>
  </si>
  <si>
    <t>P3.5. Kvalitatīvs sociālais atbalsts</t>
  </si>
  <si>
    <t>P3.7. Atbalsts uzņēmējdarbības iniciatīvām un uzņēmēju sadarbības veicināšana</t>
  </si>
  <si>
    <t>Rīcības virzieni:</t>
  </si>
  <si>
    <t>R1.6.1.: Dabas tūrisma infrastruktūras attīstība</t>
  </si>
  <si>
    <t>R1.6.2.: Peldvietu infrastruktūras attīstība</t>
  </si>
  <si>
    <t>R1.7.2.: Kultūras tūrisma infrastruktūras attīstība</t>
  </si>
  <si>
    <t>R2.1.1.: Ielu un ceļu rekonstrukcija, satiksmes drošības uzlabošana</t>
  </si>
  <si>
    <t>R2.4.2.: Kuģošanas infrastruktūras attīstība Lielupē</t>
  </si>
  <si>
    <t>R2.6.2.: Racionālas un videi draudzīgas energoapgādes sistēmas attīstība</t>
  </si>
  <si>
    <t>R2.8.1.: Publiskās telpas pilnveide</t>
  </si>
  <si>
    <t>R2.9.1.: Pašvaldības dzīvojamā fonda attīstība</t>
  </si>
  <si>
    <t>R3.2.2.: Pirmsskolas izglītības pakalpojumi</t>
  </si>
  <si>
    <t>R3.2.3.: Vispārizglītojošo skolu izglītības pakalpojumi</t>
  </si>
  <si>
    <t>R3.2.4.: Profesionālās ievirzes un interešu izglītības pakalpojumi</t>
  </si>
  <si>
    <t>R3.3.1.: Pilsētas kultūras iestāžu un muzeju darbības pilnveide</t>
  </si>
  <si>
    <t>R3.5.1.: Sociālo pakalpojumu attīstība</t>
  </si>
  <si>
    <t>R3.7.2.: Vietējās uzņēmējdarbības atbalsta infrastruktūras attīstība</t>
  </si>
  <si>
    <t>Aktivitātes:</t>
  </si>
  <si>
    <t>Nr.17 Tūrisma pakalpojumu piedāvājuma dažādošana</t>
  </si>
  <si>
    <t>Nr.21 Daudzfunkcionāla, interaktīva dabas tūrisma objekta izveide Ķemeros</t>
  </si>
  <si>
    <t>Nr.30 Pašvaldības īpašumā esošo glābšanas staciju rekonstrukcija un būvniecība</t>
  </si>
  <si>
    <t xml:space="preserve">Nr.35 Krasta erozijas procesu aizkavēšanas pasākumi </t>
  </si>
  <si>
    <t>Nr.45 Ķemeru teritorijas un Ķemeru parka infrastruktūras atjaunošana un pilnveide</t>
  </si>
  <si>
    <t>Nr.62 Jūrmalas ielu un tiltu tīkla pilnveide</t>
  </si>
  <si>
    <t>Nr.80 Lielupes kuģošanas un ūdenstūrisma infrastruktūras un pakalpojumu attīstība</t>
  </si>
  <si>
    <t>Nr.89 Ilgtspējīga atjaunojamo energoresursu izmantošana, energoefektivitātes paaugstināšana un energopārvaldības sistēmas ieviešana un sertificēšana Jūrmalas pašvaldības teritorijā</t>
  </si>
  <si>
    <t>Nr.98 Parku, skvēru un kūrorta mazās infrastruktūras attīstība uzturēšana</t>
  </si>
  <si>
    <t xml:space="preserve">Nr.99 Publiskās telpas apsaimniekošana </t>
  </si>
  <si>
    <t>Nr.103 Pilsētas atpūtas parka un Jauniešu mājas izveide</t>
  </si>
  <si>
    <t xml:space="preserve">Nr.115 Jūrmalas pašvaldības dzīvojamā fonda attīstības plānošana un plānu realizācija </t>
  </si>
  <si>
    <t xml:space="preserve">Nr.131 Kvalitatīva pašvaldības pārvaldes kapacitātes nodrošināšana </t>
  </si>
  <si>
    <t>Nr.155 Pirmsskolas izglītības iestāžu mācību vides uzlabošana</t>
  </si>
  <si>
    <t>Nr.165 Vispārējās izglītības iestāžu mācību vides uzlabošana</t>
  </si>
  <si>
    <t>Nr.185 Profesionālās ievirzes un interešu izglītības iestāžu mācību vides uzlabošana</t>
  </si>
  <si>
    <t>Nr.192 Jūrmalas kultūras iestāžu ēku remonts un būvniecība, teritoriju labiekārtošana un materiāltehniskais nodrošinājums</t>
  </si>
  <si>
    <t xml:space="preserve">Nr.195 Mellužu estrādes kompleksa restaurācija un pārbūve </t>
  </si>
  <si>
    <t xml:space="preserve">Nr.196  Ķemeru ūdenstorņa restaurācija un pārbūve </t>
  </si>
  <si>
    <t>Nr.200 Jūrmalas brīvdabas muzeja attīstība</t>
  </si>
  <si>
    <t>Nr.206 Publiskās sporta infrastruktūras attīstība</t>
  </si>
  <si>
    <t>Nr.216 Sociālā atbalsta infrastruktūras attīstība</t>
  </si>
  <si>
    <t>Nr.223 Kvalitatīva sociālās palīdzības nodrošināšana un sociālā atbalsta sniegšana</t>
  </si>
  <si>
    <t>Nr.230 Uzņēmējdarbības veicināšana</t>
  </si>
  <si>
    <t>Jūrmalas pilsētas ūdens resursu aizsardzības rīcības plāns 2016.-2020.gadam (JPŪRARP)</t>
  </si>
  <si>
    <t>Mērķis Nr.4 Piekrastes ūdeņu un Lielupes plānotā izmantošana</t>
  </si>
  <si>
    <t>Rīcības virziens: RV2.4.1. Jūrmalas ostas attīstība</t>
  </si>
  <si>
    <t>Uzdevums Nr.13 Uzlabot Jūrmalas ostas infstruktūru atbilstoši ostas attīstības programmai</t>
  </si>
  <si>
    <t>Mērķis Nr.2 Veselīga jūras vides</t>
  </si>
  <si>
    <t>Rīcības virziens: RV1.6.2. Peldvietu infstruktūras attīstība</t>
  </si>
  <si>
    <t>Uzdevums Nr.6 Aizkavēt krasta erozijas procesu</t>
  </si>
  <si>
    <t>Jūrmalas pilsētas ilgtspējības enerģētikas rīcības programma 2013.-2020.gadam (JPIERP)</t>
  </si>
  <si>
    <t xml:space="preserve">Pasākums: 4.3.  Pasākumi ēku sektorā </t>
  </si>
  <si>
    <t>Aktivitāte: 4.3.1. Enerģijas patērīņa samazināšana pašvaldības un tās kapitālsabiedrību ēkās</t>
  </si>
  <si>
    <t xml:space="preserve">Pasākums 4.4.  Ielu apgaismojuma sistēmas modernizācija </t>
  </si>
  <si>
    <t xml:space="preserve">Aktivitāte: 4.4.2. Gaismekļu un luksoforu nomaiņa </t>
  </si>
  <si>
    <t xml:space="preserve">Aktivitāte: 4.4.3. Ielu apgaismojuma uzstādīšana pilsētā vēl neapgaismotajās ielās </t>
  </si>
  <si>
    <t>Jūrmalas pilsētas tūrisma attīstības rīcības plāns  2018.-2020.gadam (JPTARP)</t>
  </si>
  <si>
    <t>Mērķi:</t>
  </si>
  <si>
    <t>AM1: Atpūtas, rekreācijas un viesmīlības pakalpojumu pilnveidošana un kvalitātes uzlabošana</t>
  </si>
  <si>
    <t>AM3: Jūrmalas kā konferenču, kongresu, pasākumu un motivējošā tūrisma (MICE) galamērķa attīstība</t>
  </si>
  <si>
    <t>Uzdevumi:</t>
  </si>
  <si>
    <t>1.2. Atpūtas un rekreācijas tūrisma piedāvājuma pilnveidošana vietējiem un ārvalstu viesiem</t>
  </si>
  <si>
    <t>1.3. Izziņas, kultūrizgizglītojošā tūrisma piedāvājuma pilnveide</t>
  </si>
  <si>
    <t>1.4. Dabas tūrisma piedāvājuma attīstības veicināšana un popularizēšana</t>
  </si>
  <si>
    <t>Pasākumi:</t>
  </si>
  <si>
    <t>P. 1.2.10. Ķemeru parka pārbūve un restaurācija</t>
  </si>
  <si>
    <t xml:space="preserve">P. 1.2.11. Stāvvietas izbūve E.Dārziņa ielā 17 un Tūristu ielas atjaunošana </t>
  </si>
  <si>
    <t xml:space="preserve">P. 1.2.12. Ūdens tūrisma  pakalpojumu centra “Majori” izveide (Straumes ielā 1a)
</t>
  </si>
  <si>
    <t xml:space="preserve">P 1.4.1. Daudzfunkcionāla interaktīva dabas tūrisma objekta izveide Ķemeros </t>
  </si>
  <si>
    <t>Jūrmalas pilsētas kultūrvides attīstības plāns 2017.–2020.gadam (JPKAP)</t>
  </si>
  <si>
    <t>RV5: Kultūras pieejamība Jūrmalā: ģeogrāfiski līdzsvarota kultūras infrastruktūras attīstība un kultūras pieejamības sekmēšana.</t>
  </si>
  <si>
    <t xml:space="preserve">Uzdevumi: </t>
  </si>
  <si>
    <t xml:space="preserve">U5.1. Attīstīt kultūras tūrismu Jūrmalā. </t>
  </si>
  <si>
    <t xml:space="preserve">U5.3. Labiekārtot publisko telpu. </t>
  </si>
  <si>
    <t>P5.1.6. Jūrmalas teātra ēkas pārbūve un energoefektivitātes paaugstināšana Muižas ielā 7, Jūrmalā (ITI SAM 4.2.2.).</t>
  </si>
  <si>
    <t>P5.3.1. Jaunrades parka un Jauniešu mājas izveide Kauguros (ITI SAM 3.3.1.).</t>
  </si>
  <si>
    <t>Jūrmalas pilsētas izglītības attīstības koncepcija 2015.-2020.gadam (JPIAK)</t>
  </si>
  <si>
    <t>Tematiskais plānojums "Ķemeru attīstības vīzija" (TP ĶAV)</t>
  </si>
  <si>
    <t>2. Uzdevums: Uzlabot satiksmes infrastruktūru</t>
  </si>
  <si>
    <t>2.3. Izveidot jaunus stāvlaukumus</t>
  </si>
  <si>
    <t>Veselības veicināšanas  plāns Jūrmalas pilsētai 2013.-2020.gadam (VVPJP)</t>
  </si>
  <si>
    <t>Mērķis</t>
  </si>
  <si>
    <t xml:space="preserve">2.3.2.:  Fizisko aktivitāšu veicināšana </t>
  </si>
  <si>
    <t xml:space="preserve">Uzdevums: 1. Sporta sistēmas, infrastruktūras attīstīšana un pakalpojumu piedāvājuma paplašināšana bērnu (skolēnu) fizisko aktivitāšu veicināšanas nolūkos   </t>
  </si>
  <si>
    <t>Aktivitāte: 1.1. Radīt iespējas bērniem pie izglītības iestādēm esošo sporta infrastruktūru izmantot ārpus mācību stundām</t>
  </si>
  <si>
    <t>Aktivitāte: 1.5. Nodrošināt bērniem nepieciešamo fizioterapeita pakalpojumu pieejamību bez samaksas, lai radītu iespēju nodarboties ar fiziskiem vingrinājumiem, gan individuāli, gan grupās, kuri sekmē bērnu veselības uzlabošanu, (stājas korekciju, skeleto muskulārās sistēmas stiprināšanu, u.c.) realizējot šos pasākumus, iesaistot vecākus, apmācot gan bērnus, gan vecākus, lai vingrinājumus varētu veikt ikdienā.</t>
  </si>
  <si>
    <t>Attīstības pārvaldes Infrastruktūras investīciju projektu nodaļa</t>
  </si>
  <si>
    <t>Pilsētas ekonomiskās attīstības pasākumi</t>
  </si>
  <si>
    <t>04.900</t>
  </si>
  <si>
    <t>Darbības programmas "Izaugsme un nodarbinātība" projektu iesniegumu pamatojošās un pielikumu dokumentācijas izstrāde (projektu izmaksu un ieguvumu analīzes izstrāde)</t>
  </si>
  <si>
    <t>Projekta "Jūrmalas ūdenstūrisma pakalpojumu infrastruktūras attīstība atbilstoši pilsētas ekonomiskajai specializācijai (centra "Majori" izveide) (ITI SAM 3.3.1.)" Izmaksu un ieguvumu analīzes izstrādes izmaksas.
Pakalpojumu līgums Nr.1.2-16.4.3/1481 (01.11.2017.).</t>
  </si>
  <si>
    <t>Projekta "Ķemeru parka pārbūve un restaurācija (ITI SAM 5.6.2.) " Izmaksu un ieguvumu analīzes izstrādes izmaksas.
Pakalpojumu līgums Nr.1.2-16.4.3/1481 (01.11.2017.).</t>
  </si>
  <si>
    <t xml:space="preserve">JPAP_P2.1._R.2.1.1._62  JPIERP_P.4.4_A4.4.2 </t>
  </si>
  <si>
    <t>Projekta “Pilsētas centrālās daļas ielu brauktuvju un gājēju celiņu atjaunošana un autostāvvietu izbūve” Nr.3.3.1.0/18/I/003 Izmaksu un ieguvumu analīzes izstrāde. 
Pakalpojumu līgums Nr.1.2-16.4.3/1481 (01.11.2017.).</t>
  </si>
  <si>
    <t>JPAP_P1.6_R1.6.1._21
JPIERP_P.4.4_ A4.4.2
JPIERP_P.4.4_ A4.4.3
JPTARP_M1_U1.4._P1.4.1</t>
  </si>
  <si>
    <t>Projekta "Daudzfunkcionāla dabas tūrisma centra jaunbūve un meža parka labiekārtojums Ķemeros (ITI SAM 5.6.2.)" konsultāciju pakalojumu izmaksas projekta iesnieguma izstrādei.
Pakalpojumu līgums Nr.1.2-16.4.3/1481 (01.11.2017.).</t>
  </si>
  <si>
    <t>Projekta "Daudzfunkcionāla dabas tūrisma centra jaunbūve un meža parka labiekārtojums Ķemeros (ITI SAM 5.6.2.)" Izmaksu un ieguvumu analīzes izstrādes izmaksas.
Zemsliekšņa iepirkums, orientējoši 3500EUR +PVN.</t>
  </si>
  <si>
    <t>Projekta “Ceļu infrastruktūras atjaunošana un autostāvvietas izbūve Ķemeros” Nr.5.6.2.0/18/I/002 Izmaksu un ieguvumu analīzes izstrāde. 
Pakalpojumu līgums Nr.1.2-16.4.3/1481 (01.11.2017.).</t>
  </si>
  <si>
    <t>Projekta "Pilsētas atpūtas parka un Jauniešu mājas izveide Kauguros (ITI SAM 3.3.1.)" Izmaksu un ieguvumu analīzes izstrādes izmaksas.
Zemsliekšņa iepirkums, orientējoši 3500EUR +PVN.</t>
  </si>
  <si>
    <t>Pašvaldības īstenoto projektu ilgtspējas nodrošināšanai</t>
  </si>
  <si>
    <t>32 marķēšanas boju iegāde (vienas bojas cena 102.23 €)</t>
  </si>
  <si>
    <t xml:space="preserve">Budžeta finansēta institūcija: </t>
  </si>
  <si>
    <t xml:space="preserve">Reģistrācijas Nr.: </t>
  </si>
  <si>
    <t>Struktūrvienība:</t>
  </si>
  <si>
    <t>Attīstības pārvaldes Projektu nodaļa</t>
  </si>
  <si>
    <t>Iedzīvotāju projektu konkurss pašvaldības administratīvajā teritorijā esošas atpūtas infrastruktūras attīstībai</t>
  </si>
  <si>
    <t>Izdevumi šajā kodā netiek plānoti</t>
  </si>
  <si>
    <t>JPAP P3.1. R3.1.3._133</t>
  </si>
  <si>
    <t>Līdzfinansējums iniciatīvas projektu īstenošanai kategorijā 3.1. – publiski pieejamu teritoriju labiekārtošana, atbilstoši JPD 25.11.16. nolikumam Nr.54.
2018.gada budžeta pieprasījums - 21000.00EUR, kopā plānoti 3 projekti, viena projekta līdzfinansējums 7000 EUR, saskaņā ar Attīstības un vides jautājumu komiteja atzinumu (10.10.2018. sēdes protokols Nr.1.2-21\10)</t>
  </si>
  <si>
    <t>Informatīvo plāksnīšu par pašvaldības veikto ieguldījumu iniciatīvas projektu īstenošanā izgatavošana un uzstādīšana.
2) 2019.gadā plānos līdzfinansēt 3 iniciatīvas projektu īstenošanu.</t>
  </si>
  <si>
    <t>Biedru nauda dalībai biedrībā ''Partnerība laukiem un jūrai''</t>
  </si>
  <si>
    <t>JPAP P3.8. R3.8.1._236</t>
  </si>
  <si>
    <t>Biedru nauda, atbilstoši 2016.gada 14.marta biedru pārstāvju sapulces (Protokols Nr.3, 4.punkts) lēmumam.</t>
  </si>
  <si>
    <t>Projektu iesniegumu pamatojošās dokumentāciajs izmaksas</t>
  </si>
  <si>
    <t xml:space="preserve">JPAP P1.4. R1.4.3._17;                     JPAP P1.6. R.1.6.1._21;              JPAP P1.6. R.1.6.1._22;              JPAP P1.9. R.1.9.2._55;             JPAP P2.1. R.2.1.1._63;   JPAP P2.6. R.2.6.2._89     </t>
  </si>
  <si>
    <t>Ārpakalpojumā iepirkta projektu iesniegumu pamatojošās dokumentāciajs izstrāde (plānotās programmas Igaunijas-Latvijas pārrobežu sadarbības programma, Emisijas kvotu izsolīšanas instruments)</t>
  </si>
  <si>
    <t>Darbības programmas "Izaugsme un nodarbinātība" projektu pieteikumu pavadošās dokumentācijas izstrāde</t>
  </si>
  <si>
    <t>JPAP P1.2. R1.2.1._9;
JPAP P1.3.  R1.3.2._13;                
JPAP P1.6. R1.6.1._21;
JPAP P1.7. R1.7.2._45;   
JPAP P2.1. R2.1.1._62;                
JPAP P2.4. R2.4.2._80;                                                 JPAP P2.8. R2.8.1._103; 
JPAP P3.7. R3.2.3._165;
JPAP P3.7. R3.7.2._230.</t>
  </si>
  <si>
    <t>* Informatīvi -</t>
  </si>
  <si>
    <t>Atbilstoši JPD 19.12.2017. lēmuma Nr.6312 "Par grozījumiem ar Jūrmalas pilsētas domes 2013.gada 7.novembra lēmumu Nr.625 „Par Jūrmalas pilsētas attīstības programmas 2014.–2020.gadam apstiprināšanu” pielikumam Nr.1 "Jūrmalas pilsētas attīstības programmas 2014.–2020.gadam 2.daļas „Rīcības plāns” g) nodaļa „Darbības un pasākumi”"</t>
  </si>
  <si>
    <t>R1.4.3.</t>
  </si>
  <si>
    <t>Ilgtspējīgas kūrorta resursu ieguves un izmantošanas attīstība</t>
  </si>
  <si>
    <t>Nr.17 "Tūrisma pakalpojumu piedāvājuma dažādošana"</t>
  </si>
  <si>
    <t>R1.6.1.</t>
  </si>
  <si>
    <t xml:space="preserve">Dabas tūrisma infrastruktūras attīstība </t>
  </si>
  <si>
    <t xml:space="preserve">Nr.21 "Daudzfunkcionāla, interaktīva dabas tūrisma objekta izveide Ķemeros"
</t>
  </si>
  <si>
    <t>Nr.22 "Jaunu dabas tūrisma objektu izveide un esošo dabas tūrisma objektu pilnveidee"</t>
  </si>
  <si>
    <t>P1.9. Kūrorta un tikšanās vietas tēla veidošana</t>
  </si>
  <si>
    <t>R1.9.2.</t>
  </si>
  <si>
    <t>Informācijas pieejamības nodrošināšana</t>
  </si>
  <si>
    <t>Nr.55 "Digitālo informācijas stendu informācijas sistēmas  ieviešana un saistošu informācijas pasniegšanas objektu izveide"</t>
  </si>
  <si>
    <t>R2.1.1.</t>
  </si>
  <si>
    <t xml:space="preserve"> Ielu un ceļu rekonstrukcija, satiksmes drošības uzlabošana</t>
  </si>
  <si>
    <t>Nr.63 "Jūrmalas ielu kompleksa, to apgaismojuma uzturēšana, drošības un kvalitātes uzlabošana, t.sk., izstrādājot un īstenojot plānu viedā apgaismojuma uzstādīšanai pilsētas ielās"</t>
  </si>
  <si>
    <t>R2.6.2.</t>
  </si>
  <si>
    <t>Racionālas un videi draudzīgas energoapgādes sistēmas attīstība</t>
  </si>
  <si>
    <t>Nr.89. "Ilgtspējīga atjaunojamo energoresursu izmantošana, energoefektivitātes paaugstināšana un energopārvaldības sistēmas ieviešana un sertificēšana Jūrmalas pašvaldības teritorijā</t>
  </si>
  <si>
    <t>P3.1. Uz nākotni orientēta pilsētas pārvaldība, kas atbalsta pilsonisko iniciatīvu</t>
  </si>
  <si>
    <t>R3.1.3.</t>
  </si>
  <si>
    <t>Nevalstiskā sektora attīstības atbalsts</t>
  </si>
  <si>
    <t>Nr.133 "Sadarbība ar nevalstiskajām organizācijām"</t>
  </si>
  <si>
    <t>P3.8. Partnerattiecību veidošana ar citām pašvaldībām</t>
  </si>
  <si>
    <t>R3.8.1.</t>
  </si>
  <si>
    <t>Sadarbība ar kaimiņu pašvaldībām</t>
  </si>
  <si>
    <t>Nr.236 "Sadarbības attīstība ar kaimiņu pašvaldībām"</t>
  </si>
  <si>
    <t>Attīstības pārvaldes Stratēģiskās plānošanas nodaļa</t>
  </si>
  <si>
    <t>Jūrmalas attīstības plānošanas darbi</t>
  </si>
  <si>
    <t>JPAP_P3.1._R3.1.1._119 JPAP_P2.9._R2.9.1._115</t>
  </si>
  <si>
    <t>Konceptuālā ziņojuma izstrāde par Jūrmalas pilsētas pašvaldības dzīvojamā fonda attīstību.</t>
  </si>
  <si>
    <t>JPAP_P3.1._R3.1.1._119</t>
  </si>
  <si>
    <t xml:space="preserve">Jūrmalas pilsētas attīstības programmas 2021.-2027.gadam izstrādes ietvaros nepieciešamo sabiedrības līdzdalības un iesaistes pasākumu īstenošana ārpakalpojuma ietvaros, kas ietver pasākumu norises organizēšanu, vadīšanu, kā arī rezultātu apkopošanu:
a) Attīstības programmas izstrādes gaitā tiks organizēti 5 tematiskie sabiedrības iesaistes pasākumi, kur katrā piedalītos līdz 20 personām – nozares speciālistiem, atbilstoši noteiktajām Jūrmalas pilsētas attīstības prioritātēm (ekonomikas stabilitāte, konkurētspējas palielināšana, nacionālas nozīmes centra izaugsme, drošības sajūta, ilgtspējīga attīstība). Attiecīgi plānots, ka šīs personas būs atbildīgo nozaru ministriju un citu valsts institūciju, nozaru asociāciju, Rīgas plānošanas reģiona administrācijas un nevalstisko organizāciju pārstāvji, kā arī uzņēmēji. 
b) Tiks organizēti sabiedrības līdzdalības pasākumi vismaz 5 dažādās pilsētas teritorijas daļās (apkaimēs) ar domes politiķu un speciālistu iesaistīšanos, piesaistot katrā pasākumā vismaz 80-100 Jūrmalas pilsētas iedzīvotājus un uzņēmējus. Sabiedrības līdzdalības un iesaistes pasākumi tiks organizēti, izmantojot mūsdienīgas sabiedrības iesaistes metodes, plānojot un strukturējot katru tikšanos ar pilsētas iedzīvotājiem tā, lai sanāksmju laikā veidotos dialogs ar iedzīvotājiem, tie izteiktu savu redzējumu par pilsētas attīstību;
</t>
  </si>
  <si>
    <t xml:space="preserve">Jūrmalas pilsētas attīstības programmas 2021.-2027.gadam izstrādes ietvaros īstenoto sabiedrības līdzdalības pasākumu analīzes sagatavošana, kas būs Jūrmalas pilsētas attīstības programmas 2021.-2027.gadam sastāvdaļa (5 000 EUR). Darba pie Jūrmalas pilsētas attīstības programmas 2021.-2027.gadam stratēģiskā ietekmes uz vides novērtējuma izstrādes uzsākšana (šim mērķim 2019.gadā nepieciešami 10000 EUR, 2020.gadā - 15000 EUR).  </t>
  </si>
  <si>
    <t>Jūrmalas pilsētas pašvaldības ielu un ceļu infrastruktūras elementu uzskaites aktualizācija / Ģeogrāfiskās informācijas sistēmas attīstība un uzturēšana</t>
  </si>
  <si>
    <t xml:space="preserve">JPAP_P3.1._R3.1.1._119 JPIKTP_P.1.1_R1.9.2_15 </t>
  </si>
  <si>
    <t>Finansējums 11105 EUR apmērā nepieciešams Vienošanās Nr.1 pie 2018.gada 15.februāra Pakalpojumu līguma Nr.1.2.-16.4.3/193 par ielu un ceļu inventarizāciju izpildei. Finansējums 30000 EUR paredzēts Ģeogrāfiskās informācijas sistēmas izmaiņu realizācijai un sistēmas papildināšanai, uzturēšanai (9000 EUR), jaunu datu slāņu izstrādei atbilstoši Jūrmalas pilsētas pašvaldības vajadzībām (21000 EUR).</t>
  </si>
  <si>
    <t>Sabiedriskās domas pētījuma veikšana</t>
  </si>
  <si>
    <t>Sabiedriskās domas pētījuma veikšana Jūrmalas pilsētas pašvaldības vajadzībām.</t>
  </si>
  <si>
    <t>Energopārvaldības sistēmas ieviešana un uzturēšana</t>
  </si>
  <si>
    <t>JPAP_P2.6._R2.6.2._89; IERP_4.3._4.3.1.</t>
  </si>
  <si>
    <t>Energopārvaldības sistēmas atbilstoši ISO 50001 uzraudzības audits, konsultācijas energopārvaldības sistēmas sertifikācijas uzturēšanai.</t>
  </si>
  <si>
    <t>Konkursa "Energoefektīvākā pašvaldības ēka Jūrmalā" rīkošana</t>
  </si>
  <si>
    <t xml:space="preserve">Konkursa "Energoefektīvākā pašvaldības ēka Jūrmalā" rīkošana (balvu izmaksas). </t>
  </si>
  <si>
    <t>Daudzdzīvokļu dzīvojamo ēku energoefektivitātes pasākumu atbalsta programmas īstenošana</t>
  </si>
  <si>
    <t>JPAP_P.2.9._R2.9.2._116; 
IERP_4.3._4.3.5.</t>
  </si>
  <si>
    <t>Līdzfinansējuma piešķiršana energoefektivitātes pasākumu veikšanai daudzdzīvokļu dzīvojamās mājās atbilstoši JPD 26.07.2018. saistošajiem noteikumiem Nr.29 "Līdzfinansējuma piešķiršanas kārtība energoefektivitātes pasākumu veikšanai daudzdzīvokļu dzīvojamās mājās Jūrmalas pilsētā".</t>
  </si>
  <si>
    <t>Karjeras attīstības pasākumi</t>
  </si>
  <si>
    <t xml:space="preserve">JPAP_P3.2._R3.2.3._159; JPIAK_R3.2.3._5 </t>
  </si>
  <si>
    <t>Karjeras izglītības pakalpojumu sniegšana Jūrmalas pilsētas pašvaldības izglītības iestādēs un Jūrmalas pilsētas pašvaldībā deklarētajiem jauniešiem (spēkā esošais līgums noslēdzas 2018.gada beigās).</t>
  </si>
  <si>
    <t>Attīstības plānošanas dokumenta nosaukums un rīcības virzienu atšifrējums.</t>
  </si>
  <si>
    <t>JPAP - Jūrmalas pilsētas attīstības programma 2014.-2020.gadam</t>
  </si>
  <si>
    <t>P3.1. - Uz nākotni orientēta pilsētas pārvaldība, kas atbalsta pilsonisko iniciatīvu</t>
  </si>
  <si>
    <t>R3.1.1. - Pilsētas attīstības plānošana</t>
  </si>
  <si>
    <t>Aktivitāte Nr.119 - Pašvaldības attīstības plānošanas dokumentu izstrāde un uzraudzība</t>
  </si>
  <si>
    <t>P2.6. - Energoapgādes un sakaru attīstība</t>
  </si>
  <si>
    <t>R2.6.2. - Racionālas un videi draudzīgas energoapgādes sistēmas attīstība</t>
  </si>
  <si>
    <t>Aktivitāte Nr.89 - Ilgtspējīga atjaunojamo energoresursu izmantošana, energoefektivitātes paaugstināšana un energopārvaldības sistēmas ieviešana un sertificēšana Jūrmalas pašvaldības teritorijā</t>
  </si>
  <si>
    <t>P2.9. - Dzīvojamā fonda attīstība</t>
  </si>
  <si>
    <t>R2.9.2. - Daudzdzīvokļu namu modernizācija</t>
  </si>
  <si>
    <t>Aktivitāte Nr.116 - Jūrmalas daudzdzīvokļu dzīvojamo ēku, energoefektivitātes veicināšana</t>
  </si>
  <si>
    <t>IERP - Jūrmalas pilsētas ilgtspējīgas enerģētikas rīcības programma 2013.-2020.gadam</t>
  </si>
  <si>
    <t>4.3. - Pasākumi ēku sektorā</t>
  </si>
  <si>
    <t>4.3.1. – Enerģijas patēriņa samazināšana pašvaldības un tās kapitālsabiedrību ēkās</t>
  </si>
  <si>
    <t>4.3.5. – Ēku infrastruktūras attīstības stratēģijas izstrāde</t>
  </si>
  <si>
    <t xml:space="preserve">JPIKTP - Jūrmalas pilsētas Informācijas un komunikācijas tehnoloģiju rīcības plāns 2015.–2020.gadam  </t>
  </si>
  <si>
    <t>P1.1. - Kūrorta tiesiskā un plānošanas statusa nostiprināšana</t>
  </si>
  <si>
    <t>R1.9.2 Jūrmalas kartogrāfiskās informācijas attīstība</t>
  </si>
  <si>
    <t>Aktivitāte Nr.15 - Ģeogrāfijas informācijas sitēmas ieviešana</t>
  </si>
  <si>
    <t>Reģistrācijas Nr.:</t>
  </si>
  <si>
    <t>Attīstības pārvaldes Tūrisma un uzņēmējdarbības attīstības nodaļa</t>
  </si>
  <si>
    <t>Sabiedriskā transporta organizēšanas pasākumi</t>
  </si>
  <si>
    <t>04.510</t>
  </si>
  <si>
    <t>2018.gada precizētais budžets (EUR)</t>
  </si>
  <si>
    <t>2018.gada gaidāmā izpilde (EUR)</t>
  </si>
  <si>
    <t>2019.gada budžeta pieprasījums (EUR)</t>
  </si>
  <si>
    <t>pamatbudžets</t>
  </si>
  <si>
    <t>maksas pakalpojumi</t>
  </si>
  <si>
    <t>KOPĀ:</t>
  </si>
  <si>
    <t>Braukšanas maksas atlaides un zaudējumu kompensēšana Jūrmalas pilsētas maršrutu tīkla pilsētas nozīmes maršrutos</t>
  </si>
  <si>
    <t xml:space="preserve">JPAP_P2.3._R2.3.1._74 </t>
  </si>
  <si>
    <t>Pamatojoties uz 2015.gada 15.septembra līgumu Nr. 1.2-16/1381" Par sabiedriskā transporta pakalpojumu sniegšanu ar autobusiem Jūrmalas pilsētas maršrutu tīkla pilsētas nozīmes maršrutos". Izmaksas palielināsies saistībā ar peļņas apmēra izmaksu par 2018.gadu, atbilstoši MK noteikumu Nr.435 54.punktam. Papildus 2018.gada 1.jūnija stājās spēkā Grozījumi Jūrmalas pilsētas domes saistošajos noteikumos Nr.10 “Par braukšanas maksas atvieglojumiem Jūrmalas pilsētas maršrutu tīkla pilsētas nozīmes maršrutos” , līdz ar to ir noticis pasažieru pieaugums un tiek plānots, ka 2019. gadā tas būs vēl lielāks, līdz ar to augs kompensācija par pārvadātājiem pasažieriem.</t>
  </si>
  <si>
    <t>Produktu subsīdijas komersantiem sabiedriskā transporta pakalpojumu nodrošināšanai (par pasažieru regulārajiem pārvadājumiem)</t>
  </si>
  <si>
    <t>JPAP_P2.3._R2.3.1._74</t>
  </si>
  <si>
    <t>Pēc pārvadātāja iesniegtās prognozes 2019.gadam, samazināsies I un II grupas invalīdu skaits, kuri izmantos sabiedrisko transportu.Papildus finansējums nepieciešams 2018.gada dotācijas pārēķina summa, kura parasti tiek ieskaitīta 2019.gadā.</t>
  </si>
  <si>
    <t>Licenču kartīšu pasūtīšana</t>
  </si>
  <si>
    <t>Aktivitāte vairs nebūs nepieciešama, jo lic,kartītes tiks izsniegtas elektroniski.</t>
  </si>
  <si>
    <t>Audits (SIA "Jūrmalas autobusu satiksme")</t>
  </si>
  <si>
    <t>2018.gadā tika organizēti divi iepirkumi, kas noslēdzās bez rezultāta, jo netika iesniegti piedāvājumi. Pakalpojuma saņemšanai ir nepieciešams lielāks finansējums kā audita pakalpojumiem gada sākumā, jo vidējās tirgus cenas ir kļuvušas augstākas.</t>
  </si>
  <si>
    <t>Karšu shēmas un kustību sarakstu izstrāde</t>
  </si>
  <si>
    <t xml:space="preserve">2018.gadā veikti ļoti būtiski grozījumi maršrutu tīklā un maršrutu numerācijā, attiecīgi nepieciešams atjaunot sabiedriskā transporta maršrutu tīkla karti. Aktivitātes ietvaros plānots veikt drukas darbus. Maketēšanu paredzēts veikt sadarbībā ar Mārketinga un ārējo sakaru pārvaldes Mārketinga nodaļu. </t>
  </si>
  <si>
    <t>Transportlīdzekļu noma</t>
  </si>
  <si>
    <t>JPAP_P2.3._R2.3.1._74
JIAK_R3.2.1_7</t>
  </si>
  <si>
    <t>Atbilstoši 29.08.2018. pakalpojuma līguma 1.2-16.4.3/1046 nosacījumiem, samaksa par sniegtajiem pakapojumiem deccembrī un 2019.gada janvārī tiks veikta 2019.gadā (18 000 eur apmērā) 1 km pakalpojuma cena ir 4,59 eur, vienā dienā esošā līguma ietvaros tiek veikti 104 km, 2018. gada 19. oktobrī izsludināts iepirkums ID Nr.  JPD 2018/95, kura tehniskās specifikācijas paredz veikt 113 km vienā dienā, 2 260 km mēnesī x 4 mēneši x 5 eur =45 200.</t>
  </si>
  <si>
    <t>Sabiedriskā transporta kontrole</t>
  </si>
  <si>
    <t>2018. gadā sabiedrskā transporta kontrole tika veikta katru mēnesi vidēji 40 reizes mēnesī. Ņemot vērā, ka ir pieaudzis pasažieru skaits ir nepieciešams pastiprināt kontroļu skaitu. 16.11.2018. izsludināts iepirkums ID Nr.JPD 2018/188 RIK, kas paredz noslēgt līgumu par vismaz 780 kontroļu veikšanu 2019.gadā (780*13,31eur=10 381,80eur (izmaksas 2018.gada cenās)). 2018.gada noslēgtais līgums beidzas 31.decembrī kā rezultātā daļa finansējuma (532,40 eur, 13,31 eur par 1 kontroli) paredzēta izmaksai 2019.gada janvāra mēnesī.</t>
  </si>
  <si>
    <t>Jūrmalas kartes ieviešana</t>
  </si>
  <si>
    <t>JPAP_P3.1._R3.1.5._139
IKTRP_R3.1.1._31</t>
  </si>
  <si>
    <t>Atbilstoši 25.11.2016. pakalpojumu līgumama Nr. 1.2-16.4.3/1576 finansējums 3 turinketu iegāde un papildus finansējums 3 turinketu uzstādīšanas izmaksām 3 izglītības iestādēs.</t>
  </si>
  <si>
    <t>Papildus 13 000 viedkaršu iegāde un apdruka, lai nodrošinātu pieprasījumu pēc viedkartēm. Atbilstoši iepriekš noslēgtajam līgumama 13 000*3.80=49 400 EUR, kur daļa tiek segta no plānotajiem 2019.gada maksas ieņēmumiem 2 980 EUR apmērā un 2018.gada ieņēmumiem 
2 915.78 EUR apmērā.</t>
  </si>
  <si>
    <t>Finansējums pievienotās vērtības nodokļa segšanai</t>
  </si>
  <si>
    <t>Pašvaldības līdzekļi neparedzētiem gadījumiem.</t>
  </si>
  <si>
    <t>Finansējums ūdens un kanalizācijas pakalpojumu segšanai</t>
  </si>
  <si>
    <t>Atbilstoši 25.11.2016. līguma Nr. 1.2-16.4.3/1576, Jūrmalas kartes sistēmas uzturēšanas maksa 12*7 029.8=84 357.60 euro (ieskaitot PVN). 2018.gada decembra samaksa tiks veikta 2019.gadā.</t>
  </si>
  <si>
    <t xml:space="preserve">2019.gadā plānots ieviest iespēju saņemt Jūrmalas pilsētas bibliotēkas pakalpojumus un norēķināties par medikamentu, medicīnas preču saņemšanu aptiekās izmantojot Jūrmalas karti. Lai nodrošinātu pašvaldības dotāciju uzskaites iespēju, izmantojot Jūrmalas karti, nepieciešams papildināt Jūrmalas kartes sistēmu ar atbilstošu programmnodrošinājumu. Aptuvenās izmaksas atbilstoši tirgus cenai šādas programmatūras izstrāde vidēji 38 000 EUR. </t>
  </si>
  <si>
    <t>Jūrmalas iedzīvotāja kartes lietotāju pakalpojumu portāla izstrāde, lai dotu iespēju pieteikt Jūrmalas iedzīvotāja karti elektroniski un veiktu dotāciju uzskaiti, kas tiek izmantotas ar Jūrmalas iedzīvotāja karti.</t>
  </si>
  <si>
    <t>Finansējums tika paredzēts viedkaršu apdrukai, tomēr viedkartes tika apdrukātas līguma ietvaros, kas paredz\eja to piegādi un apdruku, kā rezultātā atsevišķa apdruka nebija nepieciešama.</t>
  </si>
  <si>
    <t>Finansējums tika paredzēts papildus validatoru iegādei un sabiedriskā transporta otro durvju aprīkošanai. Ņemot vērā, ka, aprīkojot sabiedriskā transporta otras durvis, nepieciešmas izmaiņas kopējā biļešu sistēmā, izmaksas sistēmas izveidei pārsniedz prognozēto apjomu kā rezultātā nav efektīvi ieviest otru validatoru autobusā.</t>
  </si>
  <si>
    <t>Tūrisma attīstības nodrošināšanas pasākumi</t>
  </si>
  <si>
    <t>04.730</t>
  </si>
  <si>
    <t>pamatbudžets*</t>
  </si>
  <si>
    <t>JPTARP _U.1.9_ P.1.9.6.</t>
  </si>
  <si>
    <t>Stenda montāža/demontāža/transportēšana/glabāšana uz 3 izstādēm (Rīga, Tallina, Viļņa) - 12 000,00 EUR. Stenda glābāšana 1 gadu - 650,00 EUR. Dalības maksa izstādē "Balttour 2019" 3 750,00 EUR par 36kv.m. Dalība pārējās izstādēs tiek segta no LIAA projekta budžeta.</t>
  </si>
  <si>
    <t>Dalība tūrisma darba semināros, dienās, prezentācijās un to rīkošana augsti prioritārajos tirgos, pieredzes apmaiņa ārvalstīs</t>
  </si>
  <si>
    <t>JPTARP_U.1.9. P.1.9.11.; U. 4.5. P.4.5.2. un  P.4.5.3.</t>
  </si>
  <si>
    <t>Plānots piedalīties darbsemināros Ukrainā (3 dienas x 35 EUR), Baltkrievijā (3 dienas x 29 EUR) un Somijā (3 dienas x 35 EUR)</t>
  </si>
  <si>
    <t>Plānots piedalīties darbsemināros Ukrainā (2 naktis x 70 EUR + 200 EUR transports) , Baltkrievijā (2 naktis x 70 EUR + 200 EUR transports) un Somijā (2 naktis x 100 EUR + 200 EUR transports) + citi izdevumi (apdrošināšana, vīza utmldz)</t>
  </si>
  <si>
    <t>Jaunā gada pasākuma rīkošana Dzintaru mežparkā</t>
  </si>
  <si>
    <t>JPTARP_U.15._ P.1.5.2.</t>
  </si>
  <si>
    <t>Aktivitāte ir apvienota ar aktivitāti "Tūrisma piesaistes pasākumi Dzintaru Gaismas parkā (t.sk. Jaungada pasākums)"</t>
  </si>
  <si>
    <t>Tūrisma piesaistes pasākumi Dzintaru Gaismas parkā (t.sk. Jaungada pasākums)</t>
  </si>
  <si>
    <t>Lai aktivizētu pasākumu apmeklētājus ziemas periodā, Dzintaru Gaismas parkā tiek rīkotas dažādas atrakcijas, darbnīcas un aktivitātes atbilstoši Ziemassvētku un Ziemas tematikai. Lai nodoršinātu pakalpojumu tiks sagatvots iepirkums. Pamatojoties uz 2017.gada izsludinātā iepirkuma cenām, plānoti sekojoši izdevumi: 15 000 EUR 2019.gada janvāra pasākumiem + 20 000 EUR 2019.gada decembra pasākumiem.</t>
  </si>
  <si>
    <t xml:space="preserve">Projekts "Pārgājienu maršruts gar Baltijas jūras piekrasti Latvijā un Igaunijā" </t>
  </si>
  <si>
    <t>Dienas naudas izmaksas. Plānoti 2 braucieni uz Igauniju katrs 3 dienu garš (6 dienas x 29 EUR). Citus  izdevumus sedz vadošais Projekta partneris no projekta budžeta.</t>
  </si>
  <si>
    <t>Tūrisma viesmīlības un tūrisma produktu veidošanas apmācību rīkošana Jūrmalas tūrisma nozares darbieniekiem/Tīklošanās pasākumu rīkošana</t>
  </si>
  <si>
    <t>Tūrisma viesmīlības un tūrisma produktu veidošanas apmācību rīkošana Jūrmalas tūrisma nozares darbieniekiem un tīklošanās pasākumu organizēšanai nepieciešama 2 pasniedzēju piesaiste. Vēsturiski viena pasniedzēja lekcijas vadīšana izmaksā 700 EUR. Plānoti 2 semināri.</t>
  </si>
  <si>
    <t>Kafijas pauzes nodrošināšana semināra dalībniekiem 2 pasākumos ( 2 pasākumi x 50 cilvēki x 6 EUR no pers)</t>
  </si>
  <si>
    <t>Jaunu dabas taku izveide un popularizēšana</t>
  </si>
  <si>
    <t>JPTARP_U_1.4._P 1.4.2.</t>
  </si>
  <si>
    <t>Budžets atbilstoši Tūrisma attīstības rīcības plānam. Līdzekļi paredzēti maršrutu labiekārtošanai, marķēšanai. Paredzēta 3 jaunu maršrutu izveide.</t>
  </si>
  <si>
    <t>Tūrisma statistikas datu sagatavošana</t>
  </si>
  <si>
    <t>JPTARP_R_4.4._P 4.4.2.</t>
  </si>
  <si>
    <t>Tūrisma statistikas datu sagatvošana 2 reizes gadā. Ievērojot cenu pieaugumu, iespējams, ka 2019.gadā būs nepieciešama nedaudz lielāka summa.</t>
  </si>
  <si>
    <t>Publiskās slidotavas darbības nodrošināšana</t>
  </si>
  <si>
    <t>JPAP_P_1.7._R1.7.1._43
JPTARP_R_1.2._P 1.2.6.</t>
  </si>
  <si>
    <t>26.11.2018. noslēgts pakalpojuu līgums ar SIA Smart Media par slidotavas pakalpojumu organizēšanu Jūrmalas pilsētā. 2019.gadā nepieciešams paredzēt 81 400 eur slidotavas pakalpojumu segšanai, 20 000 eur komunālo pakalpojumu (ūdens un elektrība) segšanai visā līguma darbības laikā.</t>
  </si>
  <si>
    <t>Dalība asociācijās</t>
  </si>
  <si>
    <t>JPAP_P1.10._R1.10.3_59
JPTARP_U_1.9. P.1.9.13.</t>
  </si>
  <si>
    <t xml:space="preserve">Atbilstoši 2008.gada 24.aprīļa domes lēmuma Nr. 341 "Par biedrības „Latvijas kūrortpilsētu asociācija” dibināšanu". </t>
  </si>
  <si>
    <t xml:space="preserve">Atbilstoši 2011.gada 29.septembra Jūrmalas pilsētas domes lēmuma Nr. 416 "Jūrmalas pilsētas domes dalība asociācijā "EDEN tīklojums"" 4.punktam. </t>
  </si>
  <si>
    <t>Pasākums ''Jūrmala Art Fair 2018''</t>
  </si>
  <si>
    <t>JPAP_P1.9._R1.9.1._49
JPTARP_U3.1.._P3.1.2
JKAP_RV2_U2.2._P2.2.4</t>
  </si>
  <si>
    <t>Projekts īstenots 18.07.2018-22.07.2018.</t>
  </si>
  <si>
    <t>Konference "Mini-Limund"</t>
  </si>
  <si>
    <t>Projekts īstenots 12.10-14.10.2018. atskaite par projekta pabeigšanu ir jāiensiedz mēneša laikā attiecīgi pastāv risks, ka netiks veikta gala izmaksas 2018.gadā.</t>
  </si>
  <si>
    <t xml:space="preserve">* Ņemot vērā, ka tika veiktas strukturālas izmaiņas Attīstības pārvaldes Uzņēmējdarbības attīstības nodaļā, 2018.gada budžeta plāns papildināts ar aktivitātēm, kas tika nodotas izpildei Attīstības pārvaldes Tūrisma un uzņēmējdarbības attīstības nodaļai no Tūrisma nodaļas (Jūrmalas pilsētas domes 2018.gada 23.augusta nolikums Nr. 31 "Attīstības pārvaldes nolikums") . </t>
  </si>
  <si>
    <t>Uzņēmējdarbības attīstības veicināšana</t>
  </si>
  <si>
    <t>Finansējums nepieciešams, lai, atbilstoši 25.04.2018. līgumam Nr.1.2-16.8/551 un 25.04.2018. līgumam Nr. 1.2-16.8/550,  grantu programmas (ie)dvesma ietvaros nodrošinātu svinīga noslēguma pasākuma organizēšanu, kurā piedalās Jūrmalas jaunie uzņēmēji. Konkursa mērķis ir veicināt uzņēmējdarbības attīstību un jaunu uzņēmumu rašanos Jūrmalas teritorijā. Noslēguma pasākuma dalībnieku skaits - vidēji 150 personas. Finansējums nepieciešams pasākuma organizēšanai, t.i., telpu nomai, pasākuma vadīšanai, apskaņošanai, ziediem, granta "čeka" izgatavošanai, uzkodām, suvenīru izgatavošanai ar granta nosaukuma logo.</t>
  </si>
  <si>
    <t>25.04.2018. JPD ir noslēgusi sadarbības līgumu Nr.1.2-16.8/550 un Nr.1.2-16.8/551 ar Ķekavas novada pašvaldību, Mārupes novada Domi, Siguldas novada pašvaldību, Olaines novada pašvaldību un SEB banku par sadarbību Grantu programmas "(ie)dvesma" īstenošanā. Konkurss sekmīgi norisinās 2018.gadā, kopumā ir saņemti 55 pieteikumi, kurus vērtē speciāli šim nolūkam izveidota žūrijas komisija. Finansējums nepieciešams grantu programmas turpināšanai 2019.gadā.</t>
  </si>
  <si>
    <t xml:space="preserve">Finansējums tiek plānots atbilstoši JPD 9.06.2017. lēmumam Nr.297 un 20.06.2017. līgumam Nr.1.2-16.8/911 ar biznesa izglītības biedrību "Junior Achievement - Young Enterprise Latvija" par Jūrmalas pilsētas izglītības iestāžu dalību skolēnu mācību uzņēmumu programmā 3 gadu periodā, sākot no 2017.gada. </t>
  </si>
  <si>
    <t>Finansējums plānots atbilstoši JPD 09.06.2017. lēmuma Nr.297 2.punktam, t.i., plānots sadarbībā ar "Junior Achievement - Young Enterprise Latvija" orgnaizēt trīs Jūrmalas izglītības iestāžu skolēnu mācību uzņēmumu gadatirgus Jūrmalā (pavasarī, rudens sākumā un pirms Ziemassvētkiem), kuru ietvaros notiek lekcijas skolēniem, ko sniedz pieredzējuši uzņēmēji, tīklošanās pasākumi starp Jūrmalas un citu pašvaldību skolēnu mācību uzņēmumiem, kā arī labākā skolēnu mācību uzņēmuma apbalvošana. Viena pasākuma vidējais dalībnieku skaits - 150 personas. Pasākumu nodrošināšanai nepieciešams paredzēt finansējumu telpu tehniskajam nodrošinājumam (galdiem, krēsliem, tehniskajam personālam telpu iekārtošanai, lektoriem, apskaņošanai un pasākumu vadīšanai, kā arī ēdināšanas pakalpojumu sniegšanai.</t>
  </si>
  <si>
    <t>Finansējums nepieciešams "Uzņēmēju dienu" organizēšanai, kuras ietvaros tiek plānots: 1.diena - pasākuma Vakanču gadatirgus 2019 organizēšana (dalībnieku skaits vidēji 25 uzņēmumi un 500 apmeklētāji), finansējums nepieciešams baneru īres un apdrukas nodrošināšanai, galdu un krēslu nomai, pasākuma vadītājam; 2.diena -skolēnu vizītes Jūrmalas uzņēmumos, kuras ietvaros plānots apmeklēt 3-5 Jūrmalas uzņēmumus 100 Jūrmalas skolēniem; 3.diena - inovatīvas uzņēmējdarbības un radošuma veicināšanas seminārs esošajiem, plānotais apmeklētāju skaits - 50, finansējums nepieciešams tehniskā nodrošinājuma, vadītāja un ēdināšanas pakalpojumu nodrošināšanai; 4.diena - Jūrmalas uzņēmēju ikgadējā tikšanās iepriekšējā gada darba rezultātu izvērtēšanai, dalībnieku skaits - 50, finansējums nepieciešams tehniskā nodrošinājuma, pasākuma vadīšanas, ēdināšanas pakalpojumu nodrošināšanai. 5.diena - Jūrmalas jauniešu uzņēmēju diena, kurā paredzēts organizēt inovatīvas domāšanas intensīvu kursu biznesa ideju ģenerēšanai un attīstītšanai, pasākuma dalībnieku skaits līdz 50, finansējums nepieciešams 5 pieredzējušu mentoru nodrošināšanai, pasākuma tehniskajam nodrošinājumam, vadītājam un ēdināšanai.  Visiem pasākumiem tiek plānots nodrošināt arī publicitātes un drukas materiālu izgatavošana, drukāšana, reklāmas banneru noma, promo video filmēšana, montāža, u.c.
Pasākuma organizēšana tiks iepirkta kompleksi, kā rezultātā tiks slēgts pakalpojuma līgums.
Summa aprēķināta balstoties uz 2018.gada "Uzņēmēju nedēļas" organizatoriskajiem izdevumiem.</t>
  </si>
  <si>
    <t>Pēc Jūrmalas Uzņēmēju konsultatīvā padomes ierosinājuma 2019.gadā plānots organizēt jaunu produktu un pakalpojumu veidošanas seminārus, kura ietvaros tiktu dibināti jauni un stiprināti esošie kontakti ar nolūku veidot jaunus produktus un pakalpojumus uzņēmēju un pilsētas attīstības interesēs, t.i., kompleksu uzņēmēju pakalpojumu veidošanu, lai piesaistītu Latvijas iedzīvotājums un viesus Jūrmalas pilsētai un kas būtiskāk, aicinātu tos uzkavēties ilgāk.
Semināri tiks organizēti uz pakalpojuma līgumu pamata, kas sevī ietvers gan materiālu sagatavošanu, telpu īri, ēdināšanu, aparatūras nomu utml.
telpu īre 2*1500=3000
lektors 2*500=1000
apskaņošana 2*500=1000
materiāli 2*200=400</t>
  </si>
  <si>
    <t>Aktivitāte īstenojama, saskaņā ar Jūrmalas pilsētas domes 18.10.2018.nolikumu Nr.39 "Atbalsts ieguldījumiem uzņēmējdarbības attīstībai Jūrmalas pilsētā", finansējums plānots atbiltoši Jūrmalas pilsētas Tūrisma attīstības rīcības plānam 2014.-2020.gadam. 
3 421,00 eur apmērā tiek plānots apmaksāt 2018.gadā līdz gada beigām uzņemtās saistības.</t>
  </si>
  <si>
    <t xml:space="preserve">JPAP_P3.7._R3.7.3._235 JPP_AM4_U4.2.._P.4.2.2
</t>
  </si>
  <si>
    <t xml:space="preserve">Latvijas skolēnu mācību uzņēmumu konkursa gada fināla pasākuma organizēšana Jūrmalā. No 2017. gada programmā ir iesaistījušās 14 Jūrmalas izglītības iestādes. Lai popularizētu šo programmu Jūrmalas izglītības iestāžu vidū, 2019.gadā tiek plānots Latvijas skolēnu mācību uzņēmumu konkursa finālu organizēt Jūrmalā. Pasākuma ilgums ir 3 dienas un tā norise tiek plānota 2019.gada maijā, kopējais pasākuma dalībnieku skaits - 300. Pasākuma kopējais plānotais budžets ir 60 000 euro, kas daļēji tiek segti no biedrības un Latvijas Investīciju un attīstības aģentūras budžeta. No pašvaldības budžeta tiek paredzēts finansējumu pasākuma norises telpu, ēdināšanas un izmitināšanas nodrošināšanai. Šāda pasākuma organizēšana pilsētā tiešā veidā popularizē pilsētas tēlu Latvijā un veicina programmas atpazīstamību Jūrmalas jauniešu vidū. </t>
  </si>
  <si>
    <t>JPAP_P.3.7._R3.7.1._228 JPAP_P3.7._R3.7.1._229</t>
  </si>
  <si>
    <t>Nodarbinātības veicināšanas pasākumi</t>
  </si>
  <si>
    <t>JPAP_P.3.7._R3.7.3._235
JPP_AM4_U4.3.._P4.3.2</t>
  </si>
  <si>
    <t>Jauniešu nodarbinātības pasākumu īstenošana - saskaņā ar Jūrmalas pilsētas domes 10.03.2016. iekšējiem noteikumiem Nr.1 "Kārtība, kādā tiek īstenots nodarbinātības veicināšanas atbalsta mehānisms jauniešiem vecumā no 15-20 gadiem sadarbībā ar Nodarbinātības valsts aģentūru Jūrmalas pilsētas teritorijā" un 27.04.2017. iekšējiem  noteikumiem Nr.2 "Kārtība, kādā tiek īstenoti jauniešu nodarbinātības pasākumi jauniešiem vecumā no 15-25 gadiem Jūrmalas pilsētas administratīvajā teritorijā".</t>
  </si>
  <si>
    <t>Aktivitāte ietverta "Uzņēmējdarbības attīstības veicināšana" kompleksa un viena iepirkuma ietvaros pasākuma "Uzņēmēju dienas" ietvaros.</t>
  </si>
  <si>
    <t>Atbalsts Jūrmalas jauno speciālistu kompetenču pilnveidei atbilstoši pilsētas specializācijai, kā arī jomās, kas nepieciešamas ES fondu projektu veiksmīgai ieviešanai, t.sk., tūrisms, kurortoloģija, uzņēmējdarbība. Aktivitāte tiek īstenota saisaistē ar Daudzfunkcionāla dabas tūrisma centra jaunbūve un meža parka labiekārtojums Ķemeros.</t>
  </si>
  <si>
    <t>Telpu noma biznesa inkubatora darbības nodrošināšanai</t>
  </si>
  <si>
    <t>JPAP_P3.7._R3.7.1._229</t>
  </si>
  <si>
    <t>Saskaņā ar Jūrmalas pilsētas domes 2016.gada 17.jūnija līgumu Nr.BIZIN-SP-2016/8 (JPD Nr.1.2-16.8/823) un 2016.gada 1.septembra Telpu nomas līgumu Nr.N-2016/2. Līgumsaistības ir līdz 2023.gadam.</t>
  </si>
  <si>
    <t>Transporta pakalpojumi</t>
  </si>
  <si>
    <t>JPAP_ P3.7._R3.7.2._230    JPAP_ P3.7._R3.7.3._235
JPP_AM4_U4.2._P4.2.2</t>
  </si>
  <si>
    <t>Atbilstoši 9.06.2017. JPD lēmumam Nr.297, Dome apņēmās organizēt Jūrmalas pilsētas Izglītības iestāžu izglītojamo dalību JAL rīkotajos pasākumos - semināros, gadatirgos, konferencēs un citos saistītos pasākumos, kā arī organizēt seminārus un informatīvus pasākumus uzņēmējdarbības veicināšanai. Lai nodrošinātu Jūrmalas izglītības iestāžu pedagogu un audzēkņu nokļūšanu uz pasākumu norises vietām, ir nepieciešams paredzēt finansējumu gadījumiem, kad to nenodrošina organizatori - biedrība Junior Achievement Latvia. Piemēram apmeklējot seminārus vai pieredzes apmaiņas vizītes uz citu pašvaldību skolām, tāpat arī apmeklējot citu pašvaldību skolu organizētos skolēnu mācību uzņēmumu gadatirgus, tādejādi gūstot pieredzi par to, kā citu pašvaldību skolās norisinās programmas ieviešana.</t>
  </si>
  <si>
    <t>Dzintaru koncertzāles attīstība</t>
  </si>
  <si>
    <t>JPAP_P3.7._R3.3.1._192;JPTARP_U3.5._P3.4.1;
DzKVTDS M_3</t>
  </si>
  <si>
    <t xml:space="preserve">Finansējums nepieciešams atkārtota metu konkursa organizēšanai. Finansējums paredzēts godalgu izmaksai 50 000 eur apmērā, līguma ar  akustikas speciālista noslēgšanai 5 000 eur un metu konkursa organizēšanai 2 000 eur. </t>
  </si>
  <si>
    <t>Daudzfunkcionāla dabas tūrisma centra jaunbūve un meža parka labiekārtojums Ķemeros</t>
  </si>
  <si>
    <t>JPAP_P1.6._R1.6.1._21;
JPTARP_U1.4._P1.4.1</t>
  </si>
  <si>
    <t>35 000 EUR paredzot, ka 2019.gadā tiek plānots iepirkt sekojošus darbus – daudzfunkcionāla dabas izglītības centra Ķemeros mācību programmu un tā satura izstrāde. 15 000 EUR paredzot, ka 2019.gadā tiks īstenoti informatīvi, saturiski centram atbilstoši pasākumi Ķemeros, ar mērķi veicināt šī objekta atpazīstamību jau šobrīd.Saskaņā ar noslēgto līgumu ar Personu apvienību SIA “DD studio” un SIA “Solavi” līgumsaistības uz nākamo gadu 48 788 EUR. Tāpat pamatojoties uz noslēgtajiem līgumiem par konsulatāciju sniegšanu ar SIA "3K studija" 1.2-16.4.3/1355) un Juri Aboltiņu (1.2-16.10/1354), kuru izpilde paredzēta 2018.gada nogalē, nepieciešams paredzēt izmaksu 2019.gadā apmēram 4 000 EUR (summa atkarīga no nostrādātajam stundām).</t>
  </si>
  <si>
    <t>9.starptautiskās doktorantu vasaras skolas pasākums "Kultūras mantojums kvalitatīvai cilvēka izglītībai"</t>
  </si>
  <si>
    <t>Līgums ar bierību par projekta īstenošanu netika noslēgts.</t>
  </si>
  <si>
    <t>Līgo pasākums JCI Eiropa 2018 starptautiskās konferences viesiem</t>
  </si>
  <si>
    <t>Aktivitāte ir noslēgusies.</t>
  </si>
  <si>
    <t>Konference ''Mini-Limmud''</t>
  </si>
  <si>
    <t>P1.6 - Aktīvā un dabas tūrisma attīstība</t>
  </si>
  <si>
    <t>Rīcības virziens: R1.6.1 - Dabas tūrisma infrastruktūras attīstība</t>
  </si>
  <si>
    <t>Aktivitāte: Nr.21. Daudzfunkcionālā, interaktīva dabas tūrisma objekta izveide Ķemeros</t>
  </si>
  <si>
    <t>P1.9.-Kūrorta un tikšanās vietas tēla veidošana</t>
  </si>
  <si>
    <t>Rīcības virziens R1.9.1.: Jūrmalas kā kūrorta un tikšanās vietas tēla veidošana</t>
  </si>
  <si>
    <t>P2.3 - Sabiedriskā transporta sistēmas attīstība</t>
  </si>
  <si>
    <t>Rīcības virziens: R2.3.1 - Racionālas sabiedriskā transporta sistēmas attīstība</t>
  </si>
  <si>
    <t>Aktivitāte: Nr.74. Sabiedriskā transporta attīstība Jūrmalā</t>
  </si>
  <si>
    <t>P3.1 - Uz nākotni orientēta pilsētas pārvaldība, kas atbalsta pilsonisko iniciatīvu</t>
  </si>
  <si>
    <t>Rīcības virziens: R3.1.5. Pilsētas pārvaldības infrastruktūras pilnveide</t>
  </si>
  <si>
    <t>Aktivitāte: Nr.139. Jūrmalas kartes ieviešana</t>
  </si>
  <si>
    <t>P3.3 - Daudzveidīgas kultūras un sporta vide</t>
  </si>
  <si>
    <t>Rīcības virziens: R3.3.1 - Pilsētas kultūras iestāžu un muzeju darbības pilnveide</t>
  </si>
  <si>
    <t>Aktivitāte: Nr.192. Jūrmalas kultūras iestāžu ēku remonts un būvniecība, teritoriju labiekārtošana un materiāltejniskai nodrošinājums</t>
  </si>
  <si>
    <t>P3.7 - Atbalsts uzņēmējdarbības iniciatīvām un uzņēmēju sadarbības veicināšana</t>
  </si>
  <si>
    <t>Rīcības virziens: R3.7.1 - Pašvaldības uzņēmējdarbības atbalsta politikas plānošana un attīstība</t>
  </si>
  <si>
    <t>Aktivitāte: Nr.228. Uzņēmējdarbības atbalsta veicināšana</t>
  </si>
  <si>
    <t>Aktivitāte: Nr.229. Veicināt esošo uzņēmumu attīstību un jaunu uzņēmumu rašanos</t>
  </si>
  <si>
    <t>Rīcības virziens: R3.7.2 - Vietējās uzņēmējdarbības atbalsta infrastruktūras attīstība</t>
  </si>
  <si>
    <t>Aktivitāte: Nr.230. Uzņēmējdarbības veicināšana</t>
  </si>
  <si>
    <t>Rīcības virziens: R3.7.3 - Uzņēmumu izveides, darbības un sadarbības motivācija</t>
  </si>
  <si>
    <t>Aktivitāte: Nr.234. Uzņēmējdarbības motivācijas veicināšana</t>
  </si>
  <si>
    <t>Aktivitāte: Nr.235. Skolu iesaiste un Jūrmalas pilsētas iedzīvotāju, t.sk., izglītojamo, intereses veicināšana par uzņēmējdarbību un nodarbinātību</t>
  </si>
  <si>
    <t>Jūrmalas pilsētas tūrisma attīstības rīcības plāns 2018.-2020.gadam (JPTARP):</t>
  </si>
  <si>
    <t>R1.1.-Atraktīvu piesaistes objektu izveide ar augustu tūristu piesaistes potenciālu</t>
  </si>
  <si>
    <t>P.1.1.2.-Līdzfinansējuma projektu konkurss inovatīvum radošu tūrisma prduktu izveides veicināšanai</t>
  </si>
  <si>
    <t>R1.5.Pasākumu/aktivitāšu piedāvājuma pilnveidošana ģimenēm ar bērniem</t>
  </si>
  <si>
    <t>P.1.5.2. Kompleksā pakalpojuma piedāvājuma ģimenēm ar bērniem izveides veicināšana.</t>
  </si>
  <si>
    <t>R1.8. Viesmīlības pakalpojumu kvalitātes pilnveidošana</t>
  </si>
  <si>
    <t>P.1.8.3. Tūrisma un viesmīlības darbinieku zināšanu par Jūrmalas tūrisma piedāvājumu veicināšana.</t>
  </si>
  <si>
    <t>R1.9-Jūrmalas kā tūrisma galamērķa mārketings Latvijas un ārvalstu mērķa tirgos</t>
  </si>
  <si>
    <t>P.1.9.6.Dalība tūrisma izstādēs/gadatirgos augsti prioritāros mērķa tirgos t.sk. Latvijā un MICE.</t>
  </si>
  <si>
    <t>P.1.9.11. Dalība darbsemināros, misijās, semināros.</t>
  </si>
  <si>
    <t>P2.1.Veselības produktu un pakalpojumu pilnveidošana atbilstoši pieprasījumam</t>
  </si>
  <si>
    <t>P.2.1.1. Personāla viesmīlības kompetenču pilnveides veicināšanas pasākumi.</t>
  </si>
  <si>
    <t>P.2.1.3. Tīklošanās pasākumi komplekso pakalpojumu/produktu veidošanas veicināšanai.</t>
  </si>
  <si>
    <t>P2.3.Jūrmalas pilsētas vides pilnveide veselīgam dzīvesveidam</t>
  </si>
  <si>
    <t>P.2.3.1. Pastaigu maršrutu izveide un marķēšana vidē.</t>
  </si>
  <si>
    <t>P.2.3.4. Veselīga dzīvesveida elementu iekļaušanas viesmīlības uzņēmumu piedāvājumā veicināšana.</t>
  </si>
  <si>
    <t>P3.6.-Pakalpojumu kvalitātes pilnveide MICE tūrisma sektorā</t>
  </si>
  <si>
    <t>P.3.6.1. Tūrisma un ar tūrismu saistītu uzņēmēju kompetenču pilnveidošanas veicināšana par MICE tūrisma pieprasījuma specifiku.</t>
  </si>
  <si>
    <t>R4.5.Pilsētas attīstības prioritātēm atbilstošas tūrisma pārvaldes organizatoriskās struktūras izveide un kapacitātes stiprināšana</t>
  </si>
  <si>
    <t>P.4.5.2.Piedalīšanās Jūrmalas pilsētas sadraudzības pilsētu rīkotajos pasākumos.</t>
  </si>
  <si>
    <t>P.4.5.3. Tūrisma un mārketinga nodaļu darbinieku pieredzes apmaiņas vizītes ārvalstu kūrortpilsētās.</t>
  </si>
  <si>
    <t>R3.2.1 KOPĒJĀ SEKTORA ATTĪSTĪBA, PĀRVALDĪBA</t>
  </si>
  <si>
    <t>Aktivitāte Nr.7 Sabiedriskā transporta maršrutu pieejamības uzlabošana Jūrmalas izglītības iestāžu audzēkņiem</t>
  </si>
  <si>
    <t>Attīstības pārvaldes Vides nodaļa</t>
  </si>
  <si>
    <t>Vides piesārņojuma novēršana un samazināšana</t>
  </si>
  <si>
    <t>05.300</t>
  </si>
  <si>
    <t>Priedaines rekultivētā atkritumu izgāztuve - atkritumu nosedzošā slāņa aizsardzība/ apsaimniekošana</t>
  </si>
  <si>
    <t>JPAP_R2.7.1._96</t>
  </si>
  <si>
    <t xml:space="preserve">Konstatēts, ka uz rekultivētās atkritumu izgāztuves "Priedaine" nosedzošā slāņa ir izaudzis apaugums (zāles un krūmi). Nepieciešama pļaušana un nozāģēšana, lai aizsargātu nosedzošo slāni no sakņu bojājumiem. Apsaimniekojamā platība 7ha, indikatīvā cena no 470.00 euro par ha. Izgāztuves kopējā platība 13.13ha (2017.gadā darbi veikti 2.54ha platībā). </t>
  </si>
  <si>
    <t>Slēgtās rekultivētās atkritumu izgāztuves ''Priedaine'' monitorings</t>
  </si>
  <si>
    <t>Pakalpojums: 1) Vides stāvokļa (gruntsūdens) monitorings visiem 12.gab. urbumiem. 2) Jūrmalas pilsētas domes vispārīgās vienošanās (28.06.2017. Nr.1.2-16.4.3/939) ietvaros - uzmērījumu veikšana/ topogrāfijas izstrāde 9 ha platībai (izveidotais rekultivētais atkritumu "kalns").</t>
  </si>
  <si>
    <t>Rīgas jūras līča, Lielupes, Slokas karjera, noteku uz jūru ūdens kvalitātes mikrobioloģiskās un fizikāli ķīmiskās analīzes</t>
  </si>
  <si>
    <t>JPAP_R2.5.2._83
JPAP_R3.4.1._208
JPŪRARP_RV1.6.2._7</t>
  </si>
  <si>
    <t xml:space="preserve">Rīgas jūras līča ūdens, Lielupes un Slokas karjera ūdens paraugu ņemšana, testēšana un ūdens kvalitātes novērtēšana 2019.gada peldsezonas laikā. </t>
  </si>
  <si>
    <t>Dabas lieguma ''Lielupes grīvas pļavas'' apsaimniekošana</t>
  </si>
  <si>
    <t>JPAP_R1.6.1._25 JPAP_R2.8.1._104
JPŪRARP_RV1.6.2._9
JPŪRARP_RV2.8.1._12</t>
  </si>
  <si>
    <t>Pļavu un niedrāju nopļaušana dabas liegumā ”Lielupes grīvas pļavas”, nopļautās masas savākšana un novietošana kaudzēs.</t>
  </si>
  <si>
    <t xml:space="preserve">Stendos izvietojamās informācijas planšetu sagatavošana. </t>
  </si>
  <si>
    <t>Vertikālo informācijas stendu izgatavošana un uzstādīšana.</t>
  </si>
  <si>
    <t>Ekspertu konsultācijas dažādu pilsētas teritoriju vides sakārtošanas un piesārņojuma likvidēšanas jautājumos</t>
  </si>
  <si>
    <t>JPAP_R3.4.1._208</t>
  </si>
  <si>
    <t>Vides aizsardzības pasākumi bioloģiskās daudzveidības un ainavas aizsardzības jomā</t>
  </si>
  <si>
    <t>05.400</t>
  </si>
  <si>
    <t>Jūras pludmales un Lielupes krastu (pilsētas peldvietu/ atpūtas vietu) erozijas ietekmes mazināšanas pasākumi</t>
  </si>
  <si>
    <t>JPAP_R1.2.1._8  JPAP_R1.6.2._35
JPŪRARP_RV1.6.2._6 JPŪRARP_RV2.8.1._12</t>
  </si>
  <si>
    <t>Smilšu pārvešana no Jūrmalas ostas pārvaldes grunts novietnes Lielupes grīvā un izvietošana pilsētas pludmalē, atpūtas vietās pie Lielupes, Ezeru ielas peldvietā un Druvciemā. Perspektīvie pasākumi:  koka pinumu veidošana, kārklu stādījumi, kāpu augu stādījumi, info zīmes, pludmales kārklu joslas sēdināšana, invazīvo sugu likvidēšana. Budžeta pozīcijas palielinājums skaidrojams ar 2019.gadā lielākā apjomā plānoto pasākumu veco kārklu sēdināšana fragmentāri visā pludmalē!</t>
  </si>
  <si>
    <t>Pilsētas aizsargājamo koku sakopšana pamatojoties uz inventarizāciju</t>
  </si>
  <si>
    <t>JPAP_R2.8.1._101</t>
  </si>
  <si>
    <t>Valsts un pašvaldības nozīmes aizsargājamo koku (dižkoku) sakopšana</t>
  </si>
  <si>
    <t>Vides aizsardzības veicināšanas pasākumu vadība, regulēšana, uzraudzība</t>
  </si>
  <si>
    <t>05.600</t>
  </si>
  <si>
    <t>Zilā Karoga programmas realizēšana</t>
  </si>
  <si>
    <t>Pašvaldības dalības maksa Zilā karoga programmā, ZK nacionālajam koordinatoram: NVO biedrībai "Vides izglītības fonds", (25.09.1997 JPD lēmums Nr.573; 22.01.1998 JPD lēmums Nr.58)</t>
  </si>
  <si>
    <t>ZK pašvaldības algotie koordinatori/ darba alga</t>
  </si>
  <si>
    <t>ZK pašvaldības algotie koordinatori/ nodokļi</t>
  </si>
  <si>
    <t>ZK koordinatoru A slimības lapas</t>
  </si>
  <si>
    <t>ZK koodrinatoru identifikācijas apģērbs</t>
  </si>
  <si>
    <t>Pludmales informatīvo stendu informatīvo planšetu remontu turpmāk no 2019.gada veiks ĪP Pilsētsaimniecības un labiekārtošanas nodaļa paredzot attiecīgo finansējumu savā budžetā. AP Vides nodaļa sagatavos un skaņos izvietojamo informāciju.</t>
  </si>
  <si>
    <t>JPAP_R1.6.2._29 JPAP_R3.1.3._133</t>
  </si>
  <si>
    <t xml:space="preserve">2018.piešķirts 6000.00 (precizēts budžetsuz 3599 atbilstoši konkursa rezultātiem) Obligātie vides izglītības pasākumi (iedzīvotāju iniciatīvas konkursu ietvaros (līdzfinansējums vienam projektam 2000,-) un/vai pakalpojumu līgumi par pasākumu īstenošanu (ja konkursam nav rezultātu)). </t>
  </si>
  <si>
    <t>ZK koordinatoru ID materiāli un pašvaldības informatīvais materiāls par ZK pilsētā.</t>
  </si>
  <si>
    <t xml:space="preserve">Lai optimizētu nodaļas darbu Zilā kāroga programmas ietvaros plānotais vides izglītojošais pasākums: ārpakalpojums ZK koordinatoru nodrošināšana godalgotajās pludmalēs, seminārs pirms un pēc peldsezonas /vai pakalpojumu līgums par programmas kritēriju nepārtrauktu nodrošināšanu visu sezonas laiku. </t>
  </si>
  <si>
    <t>Jūrmalas pilsētas attīstības programma 2014-2020. (JPAP):</t>
  </si>
  <si>
    <t>Rīcības virziens: R1.2.1. Ilgtspējīgas kūrorta resursu ieguves un izmantošanas attīstība</t>
  </si>
  <si>
    <t xml:space="preserve">                          Aktivitātes: Nr.8. Jūrmalas kūrorta dabas resursu aizsardzības pasākumi un racionāla dabas dziedniecisko resursu izmantošana</t>
  </si>
  <si>
    <t>Rīcības virziens: R1.6.1. Dabas tūrisma infrastruktūras attīstība</t>
  </si>
  <si>
    <t xml:space="preserve">                          Aktivitātes: Nr.25. Dabas lieguma “Lielupes grīvas pļavas” apsaimniekošanas pasākumu realizācija un atbilstošas infrastruktūras izveide</t>
  </si>
  <si>
    <t>Rīcības virziens: R1.6.2. Peldvietu infrastruktūras attīstība</t>
  </si>
  <si>
    <t xml:space="preserve">                          Aktivitātes: Nr.29. Baltijas jūras Rīgas jūras līča peldvietu un Jūrmalas iekšzemes peldvietas infrastruktūras attīstība saskaņā ar „Zilā karoga” </t>
  </si>
  <si>
    <t xml:space="preserve">                          programmas standartu un Jūrmalas iekšzemes peldvietu un atpūtas vietu infrastruktūras attīstība</t>
  </si>
  <si>
    <t xml:space="preserve">                          Aktivitātes: Nr.35. Krasta erozijas procesu aizkavēšanas pasākumi</t>
  </si>
  <si>
    <t>Rīcības virziens: R2.5.2. Notekūdeņu apsaimniekošanas sistēmu pilnveide</t>
  </si>
  <si>
    <t xml:space="preserve">                          Aktivitātes: Nr.83. Notekūdeņu un lietus ūdens savākšanas un attīrīšanas sistēmu attīstība Jūrmalas pilsētā</t>
  </si>
  <si>
    <t>Rīcības virziens: R2.7.1. Atkritumu apsaimniekošanas sistēmas pilnveide</t>
  </si>
  <si>
    <t xml:space="preserve">                          Aktivitātes: Nr.96. Atkritumu apsaimniekošanas sistēmas pilnveide</t>
  </si>
  <si>
    <t>Rīcības virziens: R2.8.1. Publiskās telpas pilnveide</t>
  </si>
  <si>
    <t xml:space="preserve">                          Aktivitātes: Nr.101. Ielu apstādījumu koku sakopšana</t>
  </si>
  <si>
    <t xml:space="preserve">                          Aktivitātes: Nr.104. Lielupes krastmalas un piekrastes ekosistēmas ilgtspējīga apsaimniekošana</t>
  </si>
  <si>
    <t>Rīcības virziens: R3.1.3. Nevalstiskā sektora attīstības atbalsts</t>
  </si>
  <si>
    <t xml:space="preserve">                          Aktivitātes: Nr.133. Sadarbība ar nevalstiskajām organizācijām</t>
  </si>
  <si>
    <t>Rīcības virziens: R3.4.1. Sabiedriskās kārtības un iedzīvotāju drošības nodrošināšana</t>
  </si>
  <si>
    <t xml:space="preserve">                          Aktivitātes: Nr.208. Vides monitoringa informācijas sistēmas ieviešana un dažādu vides monitoringu veikšana</t>
  </si>
  <si>
    <t>Jūrmalas pilsētas ūdens resursu aizsardzības rīcības plāns 2016.-2020.gadam (JPŪRAP):</t>
  </si>
  <si>
    <t>Rīcības virziens: RV1.6.2. Peldvietu infrastruktūras attīstība</t>
  </si>
  <si>
    <t xml:space="preserve">                          Aktivitātes: Nr.6. Aizkavēt krasta erozijas procesu, t.sk., veikt pētījumu par plūdu iespējas novēršanu, klimata pārmaiņu ietekmi un krasta erozijas mazināšanu</t>
  </si>
  <si>
    <t xml:space="preserve">                          Aktivitātes: Nr.7. Peldūdens monitorings</t>
  </si>
  <si>
    <t xml:space="preserve">                          Aktivitātes: Nr.9. Uzlabot publisko ūdeņu piekrastes pieejamību</t>
  </si>
  <si>
    <t>Rīcības virziens: RV2.8.1. Publiskās telpas pilnveide</t>
  </si>
  <si>
    <t xml:space="preserve">                          Aktivitātes: Nr.12. Lielupes krastmalas un piekrastes ekosistēmas ilgtspējīga apsaimniekošana</t>
  </si>
  <si>
    <t xml:space="preserve">Īpašumu pārvaldes Pašvaldības īpašumu nodaļas pašvaldības īpašumu tehniskā nodrošinājuma daļa </t>
  </si>
  <si>
    <t>Domes administratīvo ēku infrastruktūras attīstība</t>
  </si>
  <si>
    <t>JPAP_R3.1.2._131</t>
  </si>
  <si>
    <t>Jūrmalas pilsētas domes ēkas Jomas ielā 1/5, Jūrmalā vestibila interjera projekta izstrāde un tā realizācijā veicamo būvdarbu autoruzraudzība (SAMPLING SIA), līgums Nr. 1.2-16.4.3/580</t>
  </si>
  <si>
    <t>Būvprojekta "Telpu atjaunošana Jomas ielā 10 k-1, Jūrmalā" izstrāde un tā realizācijā veicamo būvdarbu autoruzraudzība (VD SERVICE SIA), līgums Nr. 1.2-16.4.3/1256</t>
  </si>
  <si>
    <t>Būvuzraudzība Jomas ielā 10k-1</t>
  </si>
  <si>
    <t>Būvdarbi Jomas ielā 10k-1</t>
  </si>
  <si>
    <t>Centralizētās gaisa kondicionēšanas sistēmas JPD administratīvajā ēkā būvprojekta izstrāde un tā realizācijā veicamo būvdarbu autoruzraudzību, 'NAMEJS PLUSS SIA, līgums Nr. 1.2-16.4.3/808</t>
  </si>
  <si>
    <t>Centralizētās gaisa kondicionēšanas sistēmas izbūve Jomas ielā 1/5, ''JUNEKA MONTĀŽA SIA, līgums Nr. 1.2-16.4.2/951</t>
  </si>
  <si>
    <t>Kondicionēšanas sistēmas būvdarbi 2.kārta Jūrmalas pilsētas domes administratīvajā ēkā (Moduls Engineering SIA)</t>
  </si>
  <si>
    <t>Būvuzraudzība kondicionēšanas sistēmai 2.kārta Jūrmalas pilsētas domes administratīvajā ēkā</t>
  </si>
  <si>
    <t>Būvprojekta ''Administratīvās ēkas jumta konstrukcijas. Mehāniskās stiprības un stabilitātes pastiprināšana.'' izstrāde un un tā realizācijā veicamo būvdarbu autoruzraudzība ēkai Jomas ielā 1/5, PILS M SIA, līgums Nr. 1.2-16.4.3/1053</t>
  </si>
  <si>
    <t>Ēkas fasādes pretsūnu apstrāde un krāsošana. Noteksistēmu atjaunošana.  /Dzimtsarakstu nodaļa/</t>
  </si>
  <si>
    <t>Čuguna kanalizācijas stāvvada remontdarbi (Dzimtsarakstu nodaļa,  P.Stradiņa 6)</t>
  </si>
  <si>
    <t>Papildus remontdarbi Dzimtsarakstu nodaļas telpās, Alejas Būve SIA, līgums Nr. 1.2-16.4.2/993</t>
  </si>
  <si>
    <t>Būvprojekta “Jūrmalas domes ēkas jumta konstrukcijas. Mehāniskās stiprības un stabilitātes pastiprināšana.” izstrāde (Projektēšanas birojs Austrumi SIA)</t>
  </si>
  <si>
    <t>Ekspertīze (JPD divslīpu jumts)</t>
  </si>
  <si>
    <t>Būvuzraudzība (JPD divslīpu jumts)</t>
  </si>
  <si>
    <t xml:space="preserve">Būvdarbi. Domes ēkas divslīpu jumta konstrukciju izbūve </t>
  </si>
  <si>
    <t xml:space="preserve">Dokumentācijas izdevumi (JPD divslīpu jumts) </t>
  </si>
  <si>
    <t>Pieteikumi:</t>
  </si>
  <si>
    <t>Jomas 1/5, 453, 465 kab. Griestu seguma defektu novēršana (DU Nr. 23)</t>
  </si>
  <si>
    <t xml:space="preserve"> </t>
  </si>
  <si>
    <t>Vides nodaļa Dubultu prospektā 11/2</t>
  </si>
  <si>
    <t xml:space="preserve">Jomas 17 Remontdarbi un kondicionēšanas sistēmas atjaunošana (Jūrmalas Sporta servisa pieteikums) </t>
  </si>
  <si>
    <t xml:space="preserve">Alejas Būve SIA, līgums Nr. 1.2-16.4.3/1006 </t>
  </si>
  <si>
    <t>BŪVBALSTS SIA, līgums Nr. 1.2-16.4.2/552</t>
  </si>
  <si>
    <t>Nekustamā īpašuma būvniecība, atjaunošana un uzlabošana policijas vajadzībām</t>
  </si>
  <si>
    <t>03.110</t>
  </si>
  <si>
    <t>JPAP_R1.6.2._30</t>
  </si>
  <si>
    <t>Policijas vajadzībām nepieciešamo ēku remonts</t>
  </si>
  <si>
    <t>Smilšu iela 7, siltummzgls</t>
  </si>
  <si>
    <t>Smilšu iela 7, ēkas iekšējā EL un vājstrāvas tīklu remontdarbi</t>
  </si>
  <si>
    <t>Smilšu iela 7, ēkas UK tīklu pieslēguma un uzskaites pārbūve</t>
  </si>
  <si>
    <t>Smilšu iela 7, jauna ūdensvada pieslēguma izbūves izmaksas (projektēšana - 2 500 €; būvdarbi - 3 575.55 €)</t>
  </si>
  <si>
    <t>Smilšu iela 7, ēkas elektrotīkla pieslēguma un uzskaites pārbūve</t>
  </si>
  <si>
    <t xml:space="preserve">Glābšanas stacijas </t>
  </si>
  <si>
    <t>Pieteikums Pašvaldības policija</t>
  </si>
  <si>
    <t>Jauno Slokas kapu izbūve un labiekārtošana</t>
  </si>
  <si>
    <t>JPAP_R2.8.2._114</t>
  </si>
  <si>
    <t>Garantijas nauda (būvdarbi). Līgums Nr.1.2-16.4.2/1562, Timaks Būve SIA</t>
  </si>
  <si>
    <t>Autoruzraudzība (Slokas kapsēta). Līgums Nr. 1.2-16.4.3/995, JLD SIA</t>
  </si>
  <si>
    <t>Pieteikums Jūrmalas kapi</t>
  </si>
  <si>
    <t xml:space="preserve"> Ķemeru kapsētas kapličas tehniskā apsekošana (ekspertīze)</t>
  </si>
  <si>
    <t xml:space="preserve"> Beberbeķu kapsētas kapličas tehniska apsekošana (ekspertīze)</t>
  </si>
  <si>
    <t>Jaundubultu kapsētas sētas renovācija. Projekta dokumentācijas sagatavošana</t>
  </si>
  <si>
    <t>JPAP_R2.9.1._115</t>
  </si>
  <si>
    <t>TASSMA SIA, individuālo ūdens skatītāju uzstādīšana un verifikācija Jūrmalas pilsētas pašvaldības īpašumā esošajos dzīvokļos, līgums Nr. ____</t>
  </si>
  <si>
    <t xml:space="preserve">Objektu apsekošana, to ekonomisko daļu, apjomu, tāmju sastādīšana, Alejas Būve SIA, līgums Nr. 1.2-16.4.3/1006 </t>
  </si>
  <si>
    <t>Pašvaldības īpašumā esošo Dzīvokļu remonta darbi (2019-2020)</t>
  </si>
  <si>
    <t>Pašvaldības īpašumā esošo Dzīvokļu remonta darbi, BŪVBALSTS SIA, Līgums Nr.1.2-16.4.2/913</t>
  </si>
  <si>
    <t>Pieteikums Dzīvokļu nodaļa</t>
  </si>
  <si>
    <t>Ēku nojaukšana</t>
  </si>
  <si>
    <t>JPAP_R2.8.1._105</t>
  </si>
  <si>
    <t>Būvuzraudzība Tūristu ielā 18A</t>
  </si>
  <si>
    <t>Būvdarbi Tūristu ielā 18A</t>
  </si>
  <si>
    <t>Ēku nojaukšana Tūristu ielā 18A</t>
  </si>
  <si>
    <t>Būves nojaukšana Piekrastes 19 (JPD 2018/158RIK)</t>
  </si>
  <si>
    <t>Ēkas nojaukšanas būvprojekta izstrāde Raiņa ielā 70</t>
  </si>
  <si>
    <t>Būves nojaukšana Alejas ielā 3</t>
  </si>
  <si>
    <t>Graustu piespiedu nojaukšana Jūrmalā (Deputāta M.Stulpiņa iesniegums)</t>
  </si>
  <si>
    <t>JPAP P3.1.,R3.1.2._131</t>
  </si>
  <si>
    <t>Jūrmalas pilsētas pašvaldības īpašumā esošo ēku tehniskā apsekošana</t>
  </si>
  <si>
    <t>Kapteiņa Zolta piemiņas vietas teritorijas labiekārtošana Kaugurciema ielā, Jūrmalā</t>
  </si>
  <si>
    <t>JPAP_R2.8.1._98</t>
  </si>
  <si>
    <t>'TILTS'' Kapteiņa Zolta piemiņas vietas labiekārtošana Kaugurciemā 4201, līgums Nr. 1.2-16.4.2/1859</t>
  </si>
  <si>
    <t>Multibau-projekts SIA, vēstule Nr. 1.1-37/2079</t>
  </si>
  <si>
    <t>Tirdzniecības nojumes jaunbūve un inženierkomunikāciju izbūve Slokas ielā 3313, Jūrmalā</t>
  </si>
  <si>
    <t>JPAP_R3.7.2_231</t>
  </si>
  <si>
    <t>Timaks būve SIA, tirdzniecības nojumes jaunbūve un inženierkomunikāciju izbūve Slokas ielā 3313, līgums Nr. 1.2-16.4.2/1078</t>
  </si>
  <si>
    <t>Pieteikums:</t>
  </si>
  <si>
    <t xml:space="preserve">Norobežojošās konstrukcijas uzstādīšana atbilstoši iedzīvotāju un tirgotāju iesniegumam. </t>
  </si>
  <si>
    <t>Pašvaldības īpašumā esošo ēku, kas nav nodotas citu pašvaldības iestāžu valdījumā vai apsaimniekošanā, remonts</t>
  </si>
  <si>
    <t>JPAP_R2.9.1_115</t>
  </si>
  <si>
    <t>RD Consult SIA, ugunsgrēka atklāšanas un trauksmes signalizācijas sistēmas uzstādīšana Jūrmalas pilsētas pašvaldības sociālajās mājās Nometņu ielā 2A, Jūrmalā un Valkas ielā 3, līgums Nr. 1.2-16.4.2/1780</t>
  </si>
  <si>
    <t>Papildus darbi (Ugunsdrošība Nometņu 2a un Valkas 3)</t>
  </si>
  <si>
    <t>Siltummezglu tehniskā apkalpošana un remontdarbi Jūrmalas pilsētas pašvaldības īpašumos</t>
  </si>
  <si>
    <t xml:space="preserve">Pieteikumi: </t>
  </si>
  <si>
    <t>Siltummezglu tehniskā apkalpošana un remontdarbi Jūrmalas pilsētas pašvaldības īpašumos (JPD 2018/152 RIK)</t>
  </si>
  <si>
    <t xml:space="preserve">Lietusūdens kanalizācijas sistēmas remontdarbi Jūrmalas pilsētas pašvaldības īpašumos </t>
  </si>
  <si>
    <t>Lietošanas veida maiņa ēkai Dubultu pr. 11/2 (DU Nr. 50)</t>
  </si>
  <si>
    <t>Būvbalsts SIA, Līgums Nr.1.2-16.4.2/552</t>
  </si>
  <si>
    <t>Ēku konservācija</t>
  </si>
  <si>
    <t>JPAP_R2.8.1_105</t>
  </si>
  <si>
    <t>'VD Service'' pagaidu nožogojuma žoga noma un uzturēšana Ģertrūdes prospektā 31, vēstule Nr. 1.1-37/3185</t>
  </si>
  <si>
    <t>Ēkas restaurācija un atjaunošana Pils ielā 1, Jūrmalā</t>
  </si>
  <si>
    <t>Ēkas atjaunošana Tukuma ielā 30, Jūrmalā</t>
  </si>
  <si>
    <r>
      <rPr>
        <b/>
        <i/>
        <u/>
        <sz val="7"/>
        <rFont val="Times New Roman"/>
        <family val="1"/>
        <charset val="186"/>
      </rPr>
      <t xml:space="preserve">Pieteikumi:  </t>
    </r>
    <r>
      <rPr>
        <i/>
        <sz val="7"/>
        <rFont val="Times New Roman"/>
        <family val="1"/>
        <charset val="186"/>
      </rPr>
      <t>Bijušās pasta ēkas atjaunošana Tukuma ielā 30 (Deputāta M.Stulpiņa iesniegums) Ar būvprojekta izstrādi, autoruzraudzību, būvuzraudzību.</t>
    </r>
  </si>
  <si>
    <t>Pašvaldības policijas postenis ''Priedaine''</t>
  </si>
  <si>
    <t>"Zīme" - karoga masta izbūve (garantijas laika garantija)</t>
  </si>
  <si>
    <t>Aizvietotājizpildes piemērošana patvaļīgi veiktas būvniecības vai vidi degradējošas/bīstamas būves esamības gadījumos</t>
  </si>
  <si>
    <t>'Jūrmalas arhitektu birojs'' paskaidrojuma raksta izstrādāšana un saskaņošana par Strēlnieku pr. 32, vēstule Nr. 1.1-37/3459; PIN precizēja iesniegumu 06.12.2018.</t>
  </si>
  <si>
    <t>Pašvaldības palīdzības sniegšana iedzīvotājiem dzīvojamo telpu remontiem</t>
  </si>
  <si>
    <t>Sabiedriskās tualetes remontdarbi</t>
  </si>
  <si>
    <t>Sabiedriskās tualetes remontdarbi Jomas ielā 35A (kanalizācijas sistēmas pārbūve; ventilācijas izbūve)</t>
  </si>
  <si>
    <t xml:space="preserve">Sporta nams "Taurenītis" </t>
  </si>
  <si>
    <t>JPAP_R1.6.3_41</t>
  </si>
  <si>
    <t>'Asfora'' sporta nama ''Taurenītis'' sporta zāles grīdas seguma atjaunošana Kļavu ielā 29/31, līgums Nr. 1.2-16.4.2/527</t>
  </si>
  <si>
    <t>'SMS Construction'' papildus būvdarbi objektā ''Sporta nama ''Taurenītis'' Kļau ielā 29/31, Jūrmalā, būves telpiskās noturības elementu pārbūvē'', līgums Nr. 1.2-16.4.2/645</t>
  </si>
  <si>
    <t>Dokumentācijas izdevumi (Pārejas balstu stiprināšana)</t>
  </si>
  <si>
    <t xml:space="preserve">Kāpņu telpas norobežojošo konstrukciju tehniskā izpēte un remontdarbi </t>
  </si>
  <si>
    <t>Majoru sporta laukums</t>
  </si>
  <si>
    <t>'GARANTS-RĪGA'' Majoru sporta laukuma nesošo tērauda konstrukciju detalizētas izpētes, mehāniskās stiprības kontrolaprēķinu un pārseguma deformāciju tehniskās izpētes veikšana, līgums Nr. 1.2-16.4.3/1181</t>
  </si>
  <si>
    <t>Jumta seguma remontdarbi</t>
  </si>
  <si>
    <t>Slokas stadions</t>
  </si>
  <si>
    <t>'Arena Sports'' Jūrmalas pilsētas stadiona ''Sloka'' skrejceliņu seguma atjaunošana Skolas ielā 5, līgums Nr. 1.2-16.4.2/944</t>
  </si>
  <si>
    <t>'BŪVREM'' būvuzraudzība objektā ''Jūrmalas pilsētas stadiona ''Sloka'' skrejceliņu seguma atjaunošana'' Skolas ielā 5, līgums Nr. 1.2-16.4.3/1037</t>
  </si>
  <si>
    <t>'BŪVREM'' būvuzraudzība objektā ''Jūrmalas pilsētas stadiona ''Sloka'' skrejceliņu seguma atjaunošana'' Skolas ielā 5, līgums Nr. 1.2-16.4.3/1037 (papildus būvuzraudzība sakarā ar būtiskām būvdarbu termiņa izmaiņām)</t>
  </si>
  <si>
    <t>Dzintaru mežaparks</t>
  </si>
  <si>
    <t>JPAP_R2.8.1_98</t>
  </si>
  <si>
    <t>'Kanalizācijas sistēmas remontdarbi</t>
  </si>
  <si>
    <t>Velonovietnes Jūrmalas pilsētaspašvaldības īpašumos</t>
  </si>
  <si>
    <t>JPAP_R3.2.2._155 JPAP_R3.2.3._165</t>
  </si>
  <si>
    <t>Velonovietnes Jūrmalas pilsētas pašvaldības īpašumos (aptuveni 106 gab.)</t>
  </si>
  <si>
    <t>Avārijas remontdarbi Jūrmalas pilsētas pašvaldības iestādēs, BŪVBALSTS SIA, līgums Nr. 1.2-16.4.2/552</t>
  </si>
  <si>
    <t>R3.2.4</t>
  </si>
  <si>
    <t>Muzeji un izstāžu zāles</t>
  </si>
  <si>
    <t>JPAP_R3.3.1._192</t>
  </si>
  <si>
    <r>
      <t>'Livland Group'' Jūrmalas pilsētas muzeja būvprojekta izstrādi – esošas ēkas atsevišķu daļu nomaiņa un atjaunošana un tā realizācijā veicamo būvdarbu autoruzraudzību,</t>
    </r>
    <r>
      <rPr>
        <sz val="7"/>
        <rFont val="Times New Roman"/>
        <family val="1"/>
        <charset val="186"/>
      </rPr>
      <t xml:space="preserve"> Līgums Nr. 1.2-16.4.3/1175</t>
    </r>
  </si>
  <si>
    <t>Ekspertīze  Jūrmalas pilsētas muzejs Tirgoņu ielā 29</t>
  </si>
  <si>
    <t xml:space="preserve">Būvdarbi </t>
  </si>
  <si>
    <t xml:space="preserve">Būvuzraudzība </t>
  </si>
  <si>
    <t xml:space="preserve">Dokumentācijas izdevumi </t>
  </si>
  <si>
    <t>Būvprojekts (Jūrmalas pilsētas muzeja paplašināšana Lienes ielā 15)</t>
  </si>
  <si>
    <t>Ekspertīze (Jūrmalas pilsētas muzeja paplašināšana Lienes ielā 15)</t>
  </si>
  <si>
    <t>Pieteikums Jūrmalas pilsētas muzejs</t>
  </si>
  <si>
    <t>Ēkas Lienes ielā 15k-2 nojaukšana ar projekta tehniskās dokumentācijas sagatavošanu un saskaņošanu (2018. gada 17. jūlija ēkas apsekošanas atzinums)</t>
  </si>
  <si>
    <t>Jūrmalas pilsētas muzeja filiāle, Bulduru Izstāžu nams (Muižas iela 6)</t>
  </si>
  <si>
    <t>Jumta lietus ūdens noteku apsekošanana, nepieciešamības gadījumā - remonts un detaļu nomaiņa</t>
  </si>
  <si>
    <t>Bojātās koka fasādes daļas apsekošana un remonts (17.07.2018. tehniskās apsekošanas atzinums)</t>
  </si>
  <si>
    <t>Centrālās apkures sistēmas radiatoru apsekošana, izvērtēt iespēju uzstādīt radiatoriem regulatorus</t>
  </si>
  <si>
    <t>Centrālās apkures sistēmas radiatoru apsekošana, izvērtēt iespēju uzstādīt radiatoriem regulatorus (foto Nr. 63)</t>
  </si>
  <si>
    <t>Sētas ieejas kāpņu atjaunošana (ieeja uz Valda Buša dzīvokli pie kāpņu telpas 002-2), 17.07.2018. tehniskās apsekošanas atzinums</t>
  </si>
  <si>
    <t>Gaiteņa un priekštelpas kosmētiskais remonts</t>
  </si>
  <si>
    <t>Logu apsekošana ēkas 2.stāvā, logu remonts vai nomaiņa</t>
  </si>
  <si>
    <t>Būvbalsts, SIA Inženierkomunikāciju un norobežojošo konstrukciju atjaunošana Kauguru kultūras nama ēkā</t>
  </si>
  <si>
    <t>Būvuzraudzība objektā “Inženierkomunikāciju un norobežojošo konstrukciju atjaunošana Kauguru kultūras nama ēkā”, Raiņa ielā 110, Jūrmalā</t>
  </si>
  <si>
    <t>Pieteikums: Kauguru kultūras nams, Raiņa iela 110</t>
  </si>
  <si>
    <t>Atzinums Nr.4-2. - 2017 - 269 - 4007 par publiskas ēkas eksplutācijas parbaudi</t>
  </si>
  <si>
    <t>Atzinums Nr.4-2. - 2017 - 269 - 4007. Ventilācijas sistēmai nav iespējams nomainīt filtrus,lai gan tas ir jādara.Filtrs atduras pret durvju ailu!!!</t>
  </si>
  <si>
    <t>Virs ieejas durvīm jumtiņu nomaiņa</t>
  </si>
  <si>
    <t>Fasādes remontdarbi</t>
  </si>
  <si>
    <t>Izskalotā ieejas laukuma atjaunošana</t>
  </si>
  <si>
    <t>Kosmētiskais remonts kabinetā</t>
  </si>
  <si>
    <t>Kosmētiskais remonts palīgtelpā</t>
  </si>
  <si>
    <t>Kosmētiskais remonts gaitenim</t>
  </si>
  <si>
    <t>Kosmētiskais remonts vējtverim</t>
  </si>
  <si>
    <t>(Lejnieku projektēšanas birojs) inženierkomunikāciju sistēmas tehniskā izpēte un būvprojekta izstrāde Kauguru kulturas nama ēkai</t>
  </si>
  <si>
    <t>Kosmētiskais remonts tualetei</t>
  </si>
  <si>
    <t>Pieteikums Jūrmalas Kultūras centrs, Jomas 35</t>
  </si>
  <si>
    <t>Telpu un norobežojošo konstrukciju remontdarbi saskaņā ar SIA MERU arhitekti 2018.g. būvprojektu.</t>
  </si>
  <si>
    <t>Logos ir šķirbas pa kuram zūd siltums un ūdens tek uz palodzem. Durvis aizslēdzamas tik uz otro reizi
Foajē vairāki stikli ir ar vizuāliem defekltiem.</t>
  </si>
  <si>
    <t>Vietām ir nokritis apmetums un krāsa</t>
  </si>
  <si>
    <t>Veicot rekontrukciju ūdens caurules  vairākās vietās tika atstātas vecās</t>
  </si>
  <si>
    <t>Vasaras periodā nav iespējams pilvērtīgi izmantot ventilācijas sistēmu. Un horna dārza pusē esošajajos kabinetos temperatūra nav atbilstoša darba aizsardzības prasībām.</t>
  </si>
  <si>
    <t xml:space="preserve">Jūrmalas Kultūras centra apmeklētāji un radošo kolektīvu dalībnieki norādījuši, ka ierodoties uz kultūras centru nav kur atstāt velosipēdus. </t>
  </si>
  <si>
    <t>Pieteikums Jūrmalas teātris, Muižas iela 7</t>
  </si>
  <si>
    <t>Skatuves elektrosadales un elektroinstalācijas atjaunošana</t>
  </si>
  <si>
    <t>Apkures sistēmas atjaunošana</t>
  </si>
  <si>
    <t>Teātra mazās zāles vienkāršā renovācija</t>
  </si>
  <si>
    <t>Ierakstu studijas remonts</t>
  </si>
  <si>
    <t>JPAP_R3.2.2._155</t>
  </si>
  <si>
    <t>BŪVBALSTS SIA, Līgums Nr.1.2-16.4.2/552</t>
  </si>
  <si>
    <t>''AQUA Sistema'' ūdens fitru remonts PII "Katrīna"</t>
  </si>
  <si>
    <t>Avārijas remontdarbi pirmsskolas izglītības iestādēs (2019-2020)</t>
  </si>
  <si>
    <t>Pirmsskolas  izglītības iestādes</t>
  </si>
  <si>
    <t>Pirmsskolas izglītības iestāžu pieejamības uzlabošana</t>
  </si>
  <si>
    <t>Būvprojektu izstrāde; Pieejamības nodrošināšana personām ar vide kustību traucējumiem PII "Zvaniņš", PII "Lācītis", PII "Ktarīna", PII "Saulīte";  Investīciju plāns</t>
  </si>
  <si>
    <t>Jūrmalas PII ''Austras koks''</t>
  </si>
  <si>
    <t>Pieteikums PII ''Austras koks''</t>
  </si>
  <si>
    <t>Nesošo konstrukciju stieņi pie nojumēm ir no rūsējoša materiāla</t>
  </si>
  <si>
    <t>Smilšu kastēm vietām jānomaina apmales dēļi, apmales jāpārkrāso</t>
  </si>
  <si>
    <t>Jūrmalas PII ''Katrīna''</t>
  </si>
  <si>
    <t>Pieteikums PII ''Katrīna''</t>
  </si>
  <si>
    <t>Ventilācijas pārbūve un apdares atjaunošana baseinam piegulošajās telpās (DocLogix 07.08.2018)</t>
  </si>
  <si>
    <t>Bioloģiskās attīrīšanas sistēmu remontdarbi</t>
  </si>
  <si>
    <t>Aktu zāles parketa atjaunošana slīpēšana un lakošana</t>
  </si>
  <si>
    <t>Grīdas remonts noliktavas telpās</t>
  </si>
  <si>
    <t xml:space="preserve">Ēkas fasādes remonts </t>
  </si>
  <si>
    <t xml:space="preserve">Ēkas fasādes koka( krāsošana) konstrukciju remonts </t>
  </si>
  <si>
    <t>Rotaļlaukuma vienas nojumes grīdu remonts</t>
  </si>
  <si>
    <t>Rotaļlaukumu  septiņu solu koka detaļu nomaiņa</t>
  </si>
  <si>
    <t>Rotaļlaukumu visu koka atrakciju nomaiņa</t>
  </si>
  <si>
    <t>Saimniecības telpas(atdzelžošana) kapitālais remonts</t>
  </si>
  <si>
    <t>Pagalma bruģa remonts</t>
  </si>
  <si>
    <t>Saimniecības telpa pie jumta izejas griestu un sienas remonts</t>
  </si>
  <si>
    <t>Jumta metāla apmaļu remonts</t>
  </si>
  <si>
    <t>Baseina dušas telpas griestu remonts</t>
  </si>
  <si>
    <t>Baseina tualetes telpas griestu remonts</t>
  </si>
  <si>
    <t>Saimniecības zonas kāpņu flīžu nomaiņa</t>
  </si>
  <si>
    <t>Jūrmalas PII ''Madara''</t>
  </si>
  <si>
    <t>Pieteikums PII ''Madara''</t>
  </si>
  <si>
    <t>Ventilācijas sistēmas izveidošana AKTU ZĀLĒ</t>
  </si>
  <si>
    <t>Kosmētiskais remonts 12.grupiņas  telpās</t>
  </si>
  <si>
    <t>Kosmētiskais remonts 11. grupiņas telpās</t>
  </si>
  <si>
    <t>sporta zāles kosmētiskais remonts</t>
  </si>
  <si>
    <t xml:space="preserve">Kāpņu telpu remonts </t>
  </si>
  <si>
    <t>1.stāva koridora kosmētiskais remonts</t>
  </si>
  <si>
    <t>2.stāva koridora kosmētiskais remonts</t>
  </si>
  <si>
    <t>Lietus stāvvadu nomaiņa</t>
  </si>
  <si>
    <t>Ēkas fasādes krāsošana vai mazgāšana (vai renovācija skat.Investīciju plānu)</t>
  </si>
  <si>
    <t>Sanitārā mezgla- dušas telpas remonts (1.st pie lietvedes)</t>
  </si>
  <si>
    <t>Lietveža, Medicīnas kabineta remontdarbi</t>
  </si>
  <si>
    <t>Vadītājas, ēkas uzraugu kabineta remontdarbi</t>
  </si>
  <si>
    <t xml:space="preserve">Jūrmalas PII ''Mārīte'' </t>
  </si>
  <si>
    <t>VD Service SIA, Jūrmalas pirmsskolas izglītības iestādes „Mārīte” nojumes jaunbūves būvdarbi Engures ielā 4, līgums Nr. 1.2-16.4.2/1134</t>
  </si>
  <si>
    <t>Būvprojekta izstrāde u autoruzraudzība āra nojumei PII Mārīte, Engure 4,  (SIA Meru arhitekti, Līgums Nr. 1.2-16.4.3/540)</t>
  </si>
  <si>
    <t>Pieteikums PII ''Mārīte''</t>
  </si>
  <si>
    <t>Bērnu nojumju un laukumu renovācija ar būvprojekta izstrādi</t>
  </si>
  <si>
    <t>Šķūņa renovācija</t>
  </si>
  <si>
    <t>Konteineru stāvvietas atjaunošana</t>
  </si>
  <si>
    <t>Telpu kosmētiskais remonts grupās</t>
  </si>
  <si>
    <t>Telpu kosmētiskais remonts (8.grupa)</t>
  </si>
  <si>
    <t>Telpu kosmētiskais remonts (9.grupa)</t>
  </si>
  <si>
    <t>Ģērbtuves grīdas remonts grupās</t>
  </si>
  <si>
    <t>Ģērbtuves grīdas remonts (5.grupa)</t>
  </si>
  <si>
    <t>Ģērbtuves grīdas remonts (3.grupa)</t>
  </si>
  <si>
    <t>Telpu kosmētiskais remonts (sporta zāle)</t>
  </si>
  <si>
    <t>Telpu kosmētiskais remonts (koridors)</t>
  </si>
  <si>
    <t>Telpu kosmētiskais remonts (medicīnas kabinets)</t>
  </si>
  <si>
    <t>Produktu noliktavas remonts</t>
  </si>
  <si>
    <t>Saimniecības preču noliktavas remonts</t>
  </si>
  <si>
    <t>Ģērbtuves grīdas remonts (10.grupa)</t>
  </si>
  <si>
    <t>Iekštelpu kāpņu remonts (pie 7., 8., 4., 9., grupām)</t>
  </si>
  <si>
    <t>Tualetes remonts (pieaugušo pie 5.gr.)</t>
  </si>
  <si>
    <t>Tualetes renovācija (sporta zāle)</t>
  </si>
  <si>
    <t>Tualetes renovācija (1.grupa)</t>
  </si>
  <si>
    <t>Grīdas seguma nomaiņa (koridors)</t>
  </si>
  <si>
    <t>Grīdas seguma nomaiņa (virtuve)</t>
  </si>
  <si>
    <t>Kāpņu remonts pie ieejām</t>
  </si>
  <si>
    <t>Būvuzraudzība objektā "Jūrmalas PII Mārīte"nojumju jaunbuve, Engures 4 (SIA Infinitum) Līgums Nr. 1.2-16.4.3/1171</t>
  </si>
  <si>
    <t>Jūrmalas PII ''Podziņa''</t>
  </si>
  <si>
    <t>Pieteikums PII ''Podziņa''</t>
  </si>
  <si>
    <t>Sēdvannu ierīkošana grupu sanitārajos mezglos</t>
  </si>
  <si>
    <t xml:space="preserve">Kāpņu seguma krāsojuma atjaunošana vienā kāpņu telpā </t>
  </si>
  <si>
    <t>Trauku mazgātuves grīdas nomaiņa</t>
  </si>
  <si>
    <t xml:space="preserve">Kāpņu margu stiprinājuma atjaunošana </t>
  </si>
  <si>
    <t>Radiatora  nomaiņa trauku mazgātuvē</t>
  </si>
  <si>
    <t xml:space="preserve">Radiatoru aprīkošana ar termostatiskajiem vārstiem </t>
  </si>
  <si>
    <t>Šķūņa jumta seguma nomaiņa</t>
  </si>
  <si>
    <r>
      <t xml:space="preserve"> </t>
    </r>
    <r>
      <rPr>
        <sz val="7"/>
        <rFont val="Bookman Old Style"/>
        <family val="1"/>
        <charset val="186"/>
      </rPr>
      <t>I</t>
    </r>
    <r>
      <rPr>
        <i/>
        <sz val="7"/>
        <rFont val="Bookman Old Style"/>
        <family val="1"/>
        <charset val="186"/>
      </rPr>
      <t>eejas durvju remonts vai nomaiņa</t>
    </r>
  </si>
  <si>
    <t>Durvju nomaiņas un pielāgošanas darbi (VUGD akti)</t>
  </si>
  <si>
    <t>Pieteikums PII ''Saulīte''</t>
  </si>
  <si>
    <t>Sanitārā mezgla remonts (2.grupā) Saskaņā ar BVKB atzinumu p.3</t>
  </si>
  <si>
    <t>Kosmētiskais remonts grupiņas telpā (2.grupā) Saskaņā ar BVKB atzinumu p.3</t>
  </si>
  <si>
    <t>Kosmētiskais remonts virtuvītes telpā (2.grupā) Saskaņā ar BVKB atzinumu p.3</t>
  </si>
  <si>
    <t>Kosmētiskais remonts garderobes telpā (2.grupā) Saskaņā ar BVKB atzinumu p.3</t>
  </si>
  <si>
    <t>Sanitārā mezgla remonts 3.grupā. Saskaņā ar BVKB atzinumu p.3</t>
  </si>
  <si>
    <t>Kosmētiskais remonts grupiņas telpā (3.grupā) Saskaņā ar BVKB atzinumu p.3</t>
  </si>
  <si>
    <t>Kosmētiskais remonts virtuvītes telpā (3.grupā) Saskaņā ar BVKB atzinumu p.3</t>
  </si>
  <si>
    <t>Kosmētiskais remonts garderobes telpā (3.grupā) Saskaņā ar BVKB atzinumu p.3</t>
  </si>
  <si>
    <t>Sanitārā mezgla remonts sporta zālē. Saskaņā ar BVKB atzinumu p.3</t>
  </si>
  <si>
    <t>Grīdas remonts (9.grupā)</t>
  </si>
  <si>
    <t>Kāpņu durvju nomaiņa. Saskaņā ar 238.noteikumiem</t>
  </si>
  <si>
    <t>Ventilācijas sistēmas pārbūve. Saskaņā ar BVKB atzinumu p.2</t>
  </si>
  <si>
    <t>Jūrmalas PII ''Zvaniņš''</t>
  </si>
  <si>
    <t>Pieteikums PII ''Zvaniņš''</t>
  </si>
  <si>
    <t xml:space="preserve">Kāpņu telpas remonts </t>
  </si>
  <si>
    <t>Nojumes izveide</t>
  </si>
  <si>
    <t>Istādes grupu gridas seguma nomaiņa</t>
  </si>
  <si>
    <t>Jūrmalas PII ''Namiņš''</t>
  </si>
  <si>
    <t>Pieteikums PII ''Namiņš''</t>
  </si>
  <si>
    <t>Iestādes siltummezgla remonts</t>
  </si>
  <si>
    <t>Lietus ūdeņu notekreņu un cauruļu apsekojums un remonts</t>
  </si>
  <si>
    <t>1. grupas nodarbību telpas kosmētiskais remonts</t>
  </si>
  <si>
    <t>1. grupas guļamtelpas kosmētiskais remonts</t>
  </si>
  <si>
    <t>1. grupas garderobes kosmētiskais remonts</t>
  </si>
  <si>
    <t>1. grupas gaiteņa kosmētiskais remonts</t>
  </si>
  <si>
    <t>2. grupas nodarbību telpas kosmētiskais remonts</t>
  </si>
  <si>
    <t>2. grupas guļamtelpas kosmētiskais remonts</t>
  </si>
  <si>
    <t>2. grupas garderobes kosmētiskais remonts</t>
  </si>
  <si>
    <t>2. grupas gaiteņa kosmētiskais remonts</t>
  </si>
  <si>
    <t>3. grupas nodarbību telpas kosmētiskais remonts</t>
  </si>
  <si>
    <t>3. grupas guļamtelpas kosmētiskais remonts</t>
  </si>
  <si>
    <t>3. grupas garderobes kosmētiskais remonts</t>
  </si>
  <si>
    <t>3. grupas gaiteņa kosmētiskais remonts</t>
  </si>
  <si>
    <t>4. grupas nodarbību telpas kosmētiskais remonts</t>
  </si>
  <si>
    <t>4. grupas guļamtelpas kosmētiskais remonts</t>
  </si>
  <si>
    <t>4. grupas garderobes kosmētiskais remonts</t>
  </si>
  <si>
    <t>4. grupas gaiteņa kosmētiskais remonts</t>
  </si>
  <si>
    <t>Nodarbību zāles kosmētiskais remonts</t>
  </si>
  <si>
    <t>1. stāva gaiteņa kosmētiskais remonts</t>
  </si>
  <si>
    <t>2. stāva gaiteņa kosmētiskais remonts</t>
  </si>
  <si>
    <t>Kāpņu telpu kosmētiskais remonts</t>
  </si>
  <si>
    <t>Vējtvera kosmētiskais remonts</t>
  </si>
  <si>
    <t>Vetibila kosmētiskais remonts</t>
  </si>
  <si>
    <t>Jūrmalas PII ''Lācītis''</t>
  </si>
  <si>
    <t>Remontdarbi (VUGD)</t>
  </si>
  <si>
    <t>Durvju pašaizveres mehānismi (VUGD)</t>
  </si>
  <si>
    <t>Pieteikums PII ''Lācītis''</t>
  </si>
  <si>
    <t>Pagrabstāva aprīkošana ar automātisko ugunsgrēka atklāšanas un trauksmes signalizācijas sistēmu (VUGD pārbaudes akts Nr.22/8.4-276-15 2017.27.02)</t>
  </si>
  <si>
    <t>2.stāva gaiteņa remonts (VUGD pārbaudes akts Nr.22/8.4-3.8.1/30 2018.28.02)</t>
  </si>
  <si>
    <t>Žoga sieta ar stabiem nomaiņa iestādes teritorijā</t>
  </si>
  <si>
    <t>Kosmētiskais remonts septiņu grupu palīgtelpās (JPD Izglītības pārvaldes akts Nr.13.1-8/53 2018.07.06. 1.pielikums p.1 p.1.4)</t>
  </si>
  <si>
    <t>Veļas mazgātavas telpu pārbūve (pielāgošana produktīvai izmantošanai)</t>
  </si>
  <si>
    <t>Kāpņu telpas remonts pie 11. un 12. grupas</t>
  </si>
  <si>
    <t>1.stāva gaiteņa remonts</t>
  </si>
  <si>
    <t>Kāpņu telpas remonts pie 10. grupas</t>
  </si>
  <si>
    <t>Medicīnas kabineta remontdarbi</t>
  </si>
  <si>
    <t>Savienotā sanitārtehniskās telpas remonts (izolators)</t>
  </si>
  <si>
    <t>Uzņemšanas telpas remonts (izolators)</t>
  </si>
  <si>
    <t>2.stāva sanitārā mezgla WC kosmētiskais remonts (personāla)</t>
  </si>
  <si>
    <t>Kosmētiskais remonts mūzikas zālē</t>
  </si>
  <si>
    <t>Kosmētiskais remonts lietvedes kabinetā</t>
  </si>
  <si>
    <t>Kosmētiskais remonts 5. grupas telpās</t>
  </si>
  <si>
    <t xml:space="preserve">Kosmētiskais remonts 8. grupas telpās </t>
  </si>
  <si>
    <t xml:space="preserve">Kosmētiskais remonts 4. grupas telpās  </t>
  </si>
  <si>
    <t xml:space="preserve">Kosmētiskais remonts 11. grupas telpās  </t>
  </si>
  <si>
    <t xml:space="preserve">Kosmētiskais remonts 12. grupas telpās </t>
  </si>
  <si>
    <t xml:space="preserve">Kosmētiskais remonts 6. grupas telpās  </t>
  </si>
  <si>
    <t xml:space="preserve">Kosmētiskais remonts 7. grupas telpās </t>
  </si>
  <si>
    <t>Noliktavas un priekštelpas kosmētiskais remonts</t>
  </si>
  <si>
    <t>SIA Būvbalsts, Līgums Nr.1.2-16.4.2/552</t>
  </si>
  <si>
    <t>Avārijas remontdarbi sākumskolās, pamatskolās, vidusskolās (2019-2020)</t>
  </si>
  <si>
    <t>Alejas Būve SIA, līgums Nr. 1.2-16.4.3/1006. Objektu apsekošana, to ekonomisko daļu, apjomu, tāmju sastādīšana</t>
  </si>
  <si>
    <t>Jūrmalas sākumskola ''Atvase''</t>
  </si>
  <si>
    <t>'Cascade mining'' evakuācijas izeju un jumta remontdarbi Jūrmalas sākumskolā ''Atvase'' Raiņa ielā 53</t>
  </si>
  <si>
    <t>Jumta remonts</t>
  </si>
  <si>
    <t>Notekūdeņu kanalizācijas atjaunošana</t>
  </si>
  <si>
    <t xml:space="preserve">Dušas telpas un WC izbūve </t>
  </si>
  <si>
    <t>Pieteikums  sākumskola ''Atvase''</t>
  </si>
  <si>
    <t>Evakuācijas  durvju nomaiņa uz viegli atveramāmdurvī, tai skaitā 25 gab. iekštelpu durvis un 8 gab ārdurvis (VUGD 2017. gada 8. marta Pārbaudes akts Nr. 22/8.4-276-26 p.p.1; 3 un VUGD 2018. gada 29. aprīļa Pārbaudes akts Nr. 22/8.4-3.8.1/50 Problēma daļēji novērsta 2018.gadā)</t>
  </si>
  <si>
    <t xml:space="preserve">Apkures sistēmas atjaunošana </t>
  </si>
  <si>
    <t>Vēdināšanas sistēmas atjaunošana - pilotprojekta veidā</t>
  </si>
  <si>
    <t>El instalācijas rekonstrukcija</t>
  </si>
  <si>
    <t>Vecās siltumtrases demontāža ar būvgružu izvešanu</t>
  </si>
  <si>
    <t xml:space="preserve">Deformētās pagraba grīdas atjaunošana </t>
  </si>
  <si>
    <t>Fasādes mazgāžana ar ķīmiju un a/spiediena mazgātāju</t>
  </si>
  <si>
    <t>Ēkas fasādes apmetuma remonts 10% no 2000m²</t>
  </si>
  <si>
    <t>Fasādes krāsošana 10% no 2000m²</t>
  </si>
  <si>
    <t>Jūrmalas sākumskola ''Ābelīte''</t>
  </si>
  <si>
    <t>'VD Sevice'' telpu remontdarbi jaunākā vecuma bērnu grupai Jūrmalas sākumskolā ''Ābelīte'', līgums Nr. 1.2-16.4.2/1098</t>
  </si>
  <si>
    <t>Pieteikums sākumskola ''Ābelīte''</t>
  </si>
  <si>
    <t xml:space="preserve"> Pabeigt iesākto remontu virtuvē (flīžu nomaiņa sienām, grīdām,santehnikas un elektroinstlācijas nomaiņa, griestu, sienu krāsošana</t>
  </si>
  <si>
    <t>Kosmētiskais remonts sporta zālē( griestu,sienu krāsošana, logiem palodžu nomaiņa, parketa slīpēsana, lakošana)</t>
  </si>
  <si>
    <t>Pabeigt iesākto apkures sistēmas atjaunošanu (radiatoru nomaiņu)</t>
  </si>
  <si>
    <t>Jūrmalas sākumskola ''Taurenītis''</t>
  </si>
  <si>
    <t>Pieteikums Sākumskola ''Taurenītis''</t>
  </si>
  <si>
    <t>Teritorijas labiekārtošanas projekta izstrāde (gājēju celiņi Ssk. Taurenītis, Kļavu ielā 29/31, Jūrmalā)</t>
  </si>
  <si>
    <t>Teritorijas labiekārtošanas darbi, saskaņā ar projektu (gājēju celiņi Ssk. Taurenītis, Kļavu ielā 29/31, Jūrmalā)</t>
  </si>
  <si>
    <t>Būvuzraudzība</t>
  </si>
  <si>
    <t>Grīdas seguma atjaunošana un sienu ugunsnedrošā apšuvuma nomaiņa skolas koplietošanas telpās (galerija, gaiteņi, ēdamzāle) Veselības inspekcijas Kontroles akts Nr.00057018 (19.01.2018.)</t>
  </si>
  <si>
    <t>Durvju aprīkošana, kas atdala kāpņu telpu no citas nozīmes telpas ar pašaizveres mehānismu un noblīvētām piedurlīstēm. VUGD akts Nr.22/8.4-3.8.1/62</t>
  </si>
  <si>
    <t>Ugunsdrošo durvju montāža skolas arhīva telpai</t>
  </si>
  <si>
    <t>Ūdens noteku, reņu remonts</t>
  </si>
  <si>
    <t>Kāpņu remonts pie centrālās ieejas (par avārijas situāciju tika ziņots 09.03.2016.)</t>
  </si>
  <si>
    <t>Apgaismojuma rekonstrukcijas projekta izstrāde, SIA "Jūrmalas gaisma"</t>
  </si>
  <si>
    <t>Instalācijas, slēdžu, apgaismes ķermeņu nomaiņa pagrabtelpās, drošinātāju nomaiņa kāpņu telpu elektrības skapjos</t>
  </si>
  <si>
    <t>Projekta izstrāde un pārbūve skolas teritorijas gājēju celiņiem nodrošinot objektu (nojume, rotaļu laukums, rotaļu rīki) pieejamību</t>
  </si>
  <si>
    <t>Ķemeru pamatskola</t>
  </si>
  <si>
    <t>1.stāva rezerves durvju nomaiņa Tukuma iela 10</t>
  </si>
  <si>
    <t>Jumta konstrukciju pastiprināšana Tukuma iela 10</t>
  </si>
  <si>
    <t>Pieteikums Ķemeru pamatskola</t>
  </si>
  <si>
    <t>Zēnu darbmācības kabineta remonts</t>
  </si>
  <si>
    <t>Skolas ēkas Tukuma 8 pievienošana pie pilsētas kanalizācijas. Būvprojekta izstrāde</t>
  </si>
  <si>
    <t>Monitorings - Ķemeru psk.</t>
  </si>
  <si>
    <t>Lielupes pamatskola</t>
  </si>
  <si>
    <t>Pieteikums Lielupes pamatskola:</t>
  </si>
  <si>
    <t>Spota zāles grīdas, sienu, griestu kapitālais remonts</t>
  </si>
  <si>
    <t>Durvju uzstāšana , esošo durvju kas atdala kāpņu telpas aprīkošana ar pašaizveres mehānismiem un noblīvētām piedurlīstēm (VUGD pārbaudes akts 22/8.4-3.8.1/11)</t>
  </si>
  <si>
    <t>Āra mākslīgā seguma futbola laukuma nožogojuma kapitālais remonts</t>
  </si>
  <si>
    <t>Skolas fasādes,ieejas mezgla, virspandusa daļas kosmētiskais remonts</t>
  </si>
  <si>
    <t>Udens un kanalizācijas sistēmas nomaiņa vecajā korpusā</t>
  </si>
  <si>
    <t>Vecā korp.pamatu hidroizolācija atjaunošana un cokola apdare</t>
  </si>
  <si>
    <t>Ēdnīcas fasādes un jumta remonts</t>
  </si>
  <si>
    <t>Grīdu remonts un seguma nomaiņa</t>
  </si>
  <si>
    <t xml:space="preserve">Sanitārā mezgla kapitālais remonts </t>
  </si>
  <si>
    <t>Koka logu nomaiņa uz PVC</t>
  </si>
  <si>
    <t>Jaundubultu vidusskola</t>
  </si>
  <si>
    <t>Pieteikums: Jaundubultu vidusskola</t>
  </si>
  <si>
    <t>Esošais ierobežojošā sētiņa (50 cm.) istrūkstoša ,nepilda nekādas funkcijas.Nepieciešams lai nodrošinātu skolēnu drošību.</t>
  </si>
  <si>
    <t>Investīciju plāns, stadiona atjaunošana</t>
  </si>
  <si>
    <t>Betona plāksnes salūzušas,izstrūkstošas. Apgrūtināta preču piegāde virtuvei,un atkritumu izvešana.</t>
  </si>
  <si>
    <t>Nolietojušās,izliekušās,bojātas pēc apkures sistēmas avārijām,grūti uzkopjamas.</t>
  </si>
  <si>
    <t>Vairākkārtēji mutiskie aizrādījumi no veselības inspekcijas par telpu slikto tehnisko stāvokli.</t>
  </si>
  <si>
    <t>Remontadrbi nav veikti vairāk kā 30 gadus, telpas nolietojušās.</t>
  </si>
  <si>
    <t xml:space="preserve">Remondarbi nav veikti vairāk kā 30 gabus , telpas nolietojušās, tumšas. Aizrādijumi no apmeklētāju puses. Bojā kopējo iespaidu par skolu. </t>
  </si>
  <si>
    <t>Investīciju plāns - būvprojekta izstrāde</t>
  </si>
  <si>
    <t xml:space="preserve">Kauguru vidusskola </t>
  </si>
  <si>
    <t>Pieteikums Kauguru vidusskola, Raiņa iela 118</t>
  </si>
  <si>
    <t>Ēdamzāles, virtuves un piegulošo palīgtelpu kosmētiskais remonts un kanilizācijas sistēmas nomaiņa līdz pieslēguma akai</t>
  </si>
  <si>
    <t>Galvenās skolas ieejas foajē kosmētiskais remonts</t>
  </si>
  <si>
    <t>Mācību kabineta kosmētiskais remonts ar grīdas seguma nomaiņu (103)</t>
  </si>
  <si>
    <t>Pieteikums: Kauguru vsk.ssk. Lēdurgas iela 27</t>
  </si>
  <si>
    <t>Virtuves kosmētiskais remonts.</t>
  </si>
  <si>
    <t>Aktu zāles remonts – grīdas, durvju nomaiņa.</t>
  </si>
  <si>
    <t>1.stāva gaiteņu remonts – grīdas,  durvju nomaiņa. Sienu un griestu kosmētiskai remonts.</t>
  </si>
  <si>
    <t>Nomainīt izlietnes, atremontēt tualetes priekštelpu  2. kabinetā.</t>
  </si>
  <si>
    <t>Investīciju plāns - apgaismojuma izveide sintētiskajā futbola laukumā</t>
  </si>
  <si>
    <t>Atjaunot durvis, kas atdala kāpņu telpu no citas nozīmes telpām,ar pašaizveres mehānismiem un noblīvētām piedurlīstēm (pamatojoties uz VUGD aktu Nr.22/8.4-3.8.1/48 pārkāpums jānovēršs 31.08.2018)</t>
  </si>
  <si>
    <t>Majoru vidusskola</t>
  </si>
  <si>
    <t>Izbūvēt uzbrauktuvi personām ar kustību traucējumiem (BVKB)</t>
  </si>
  <si>
    <t>Evakuācijas apgaismojuma uzstādīšana</t>
  </si>
  <si>
    <t>Pieteikums Majoru vidusskola</t>
  </si>
  <si>
    <t xml:space="preserve">Izbūvēt skolas A un B korpusos ugunsdrošības apgaismojumu virs durvīm un evakuācijas kāpnēs, atbilstoši MK noteikumiem Nr.238 19.04.2019. par ugunsdrošības prasībām </t>
  </si>
  <si>
    <t xml:space="preserve">Skolas B korpusā III stāvā klašu telpās un vestibilā nepieciešams nomainīt radiatorus uz lielākiem. Pamatojoties uz VUGD pārbaudes aktu Nr. 22/8.4-3.8.1/74 ,25.05.2018.par  pārkāpumu , kuru vajadzēja novērst līdz 01.09.2018. </t>
  </si>
  <si>
    <t>Nomainīt skolas B korpusā logus</t>
  </si>
  <si>
    <t>Centrālās ieejas durvju nostiprināšana un durvju loga nomaiņa</t>
  </si>
  <si>
    <t>Kāpņu telpās uzstādīt sildelementus</t>
  </si>
  <si>
    <t>Jaunu durvju uzstādīšana</t>
  </si>
  <si>
    <t>Aktu zālē papildu sildierīču uzstādīšana</t>
  </si>
  <si>
    <t>Internātpamatskola</t>
  </si>
  <si>
    <t>Pieteikums Internātpamatskola:</t>
  </si>
  <si>
    <t>Sporta zāles piebūves celtniecība (Dzirnavu ielā 50)ģērbtuvju un tualešu ierīkošanai atbilstoši MK noteikumu Nr.610 higiēnas prasībām vai esošo telpu pārbūve atbilstoši normatīvo aktu prasībām. Tai skaitā projekta izstrāde.</t>
  </si>
  <si>
    <t>Dzirnavu ielā 59 Internāta ēkas abu kāpņu telpu kosmētiskais remonts</t>
  </si>
  <si>
    <t>Gāzes apkures sistēmas pārbūve. Dzirnavu ielā 50, Jūrmalā (Pielikumā provizoriska tāme) Pievienots vidējais sadārdzinājums jomā</t>
  </si>
  <si>
    <t>Mācību klašu, internāta izstabu un citu telpu kosmētiskie remonti. Tai skaitā no skolas budžeta ieplānoti kārtējie remonti ar valsts mērķdotāciju finansējumu 3000 EUR apmērā.</t>
  </si>
  <si>
    <t>Dzirnavu ielā 50 siltināšana, fasādes kosmētiskais remonts un (900m2 x 50= ~46000., skolas ēkas siltināšana un kosmētiskais remonts)</t>
  </si>
  <si>
    <t>Dzirnavu ielas 50 siltumtrases (no katlu mājas līdz skolas ēkai) nomaiņa (2caurules x70m=140m; 140m x200,-=28000.); Siltumapgādes sistēms atjaunošanas būvprojekta izstrāde 10 900 EUR apmērā paredzēta iestādes budžetā</t>
  </si>
  <si>
    <t>Ēku pieejamības nodrošināšana izglītojamiem ar kustību traucējumiem (1.lifta izbūve - ~18000, durvju aiļu izveidošana - 2 ailes x1000=2000; telpu piemērošana cilvēkiem ar kustību traucējumiem.</t>
  </si>
  <si>
    <t xml:space="preserve">Pieteikums Slokas pamatskola </t>
  </si>
  <si>
    <t>Žoga rūsas noņemšana, ar posmu un stabu demontāžu, grunts uzlikšanu, un krāsošanu slēgtā telpā</t>
  </si>
  <si>
    <t>Bojāto logu stikla pakešu nomaiņa un bojātā alumīnija rāmja nomaiņa</t>
  </si>
  <si>
    <t>Sporta zāles palodzes nostiprināšana iekšpagalmā</t>
  </si>
  <si>
    <t>Sporta zāles remonts</t>
  </si>
  <si>
    <t>Daļēji nedarbojošos jumta reņu apsildes remonts</t>
  </si>
  <si>
    <t>Bruģa remonts pie iebraukšanas vārtiņiem</t>
  </si>
  <si>
    <t>Žoga trūkstošo posmu izgatavošana,uzstādīšana  un vārtiņu, parka pusē, remonts</t>
  </si>
  <si>
    <t>Visas skolas teritorijas bruģa mazgāšana ar augstspiediena strūklu un pēc tam šuvju aizpildīšana ar smiltīm</t>
  </si>
  <si>
    <t>Skolas āra sporta laukuma līniju -apzīmējumu atjaunošana</t>
  </si>
  <si>
    <t>Klašu telpu sienu kosmētiskais remonts</t>
  </si>
  <si>
    <t>Mežmalas vidusskola</t>
  </si>
  <si>
    <t xml:space="preserve">Apgaismojums skolas teritorijā </t>
  </si>
  <si>
    <t>Pieteikums Mežmalas vidusskola</t>
  </si>
  <si>
    <t xml:space="preserve">Skolas virtuves bloka remonts. </t>
  </si>
  <si>
    <t xml:space="preserve">Mazās sporta zāles remonts  </t>
  </si>
  <si>
    <t xml:space="preserve">Mācību kabinets Nr.34 </t>
  </si>
  <si>
    <t xml:space="preserve">Kabineta Nr.200 remonts </t>
  </si>
  <si>
    <t>Investīciju plāns - sporta zāles pārbūve</t>
  </si>
  <si>
    <t>Darbnīcas + palīgtelpa (mājturības un tehnoloģiju kabinets)</t>
  </si>
  <si>
    <t>Pumpuru vidusskola</t>
  </si>
  <si>
    <t>Pieteikums Pumpuru vidusskola</t>
  </si>
  <si>
    <t>Videonovērošanas sistēmas  remonts un tās darbības atjaunošana Pumpuru vidusskolā</t>
  </si>
  <si>
    <t>Mehāniski bojātā apmetuma labošana skolas ēkas un saimniecības ēkas sienās, lai novērstu siltumizolācijas slāņa bojāšanos mitruma ietekmē (2015.g.tehniskās apsekošanas atzinums)</t>
  </si>
  <si>
    <t>Pandusa rekonstrukcija izveidojot pretslīdes pārklājumu</t>
  </si>
  <si>
    <t>Nokritušā apmetuma atjaunošana saimniecības ēkai</t>
  </si>
  <si>
    <t>Mainīt dienasgaismas  lampas pret LED lampām skolas mācību un koplietošanas telpās</t>
  </si>
  <si>
    <t>Pakāpienu poliuritāna/epoksīda pārklājuma atjaunošana (2015.g.tehniskās apsekošanas atzinums. 2018.g.atjaunots pakāpienu pārklājums 65;75;117; 149.telpā )</t>
  </si>
  <si>
    <t>Mainīt logus jaunā mācību korpusa klasēs un koplietošanas telpās</t>
  </si>
  <si>
    <t>Vaivaru pamatskola</t>
  </si>
  <si>
    <t>Santāro telpu remontdarbi (pii) un grīdas seguma nomaiņa (psk)</t>
  </si>
  <si>
    <t>VI kontroles akts Nr.00254618 (26.04.2018.)</t>
  </si>
  <si>
    <r>
      <t>Pieteikums Vaivaru pamatskola.</t>
    </r>
    <r>
      <rPr>
        <b/>
        <i/>
        <sz val="7"/>
        <rFont val="Times New Roman"/>
        <family val="1"/>
        <charset val="186"/>
      </rPr>
      <t xml:space="preserve"> </t>
    </r>
  </si>
  <si>
    <t>Logu nomaiņa(117 gab)</t>
  </si>
  <si>
    <t>Pirmsskolas izglītības grupu ēkas(lit.002) fasādes remonts</t>
  </si>
  <si>
    <t>Kanalizācijas sistēmas rekonstrukcija</t>
  </si>
  <si>
    <t>Grīdas seguma maiņa koplietojuma telpās (Veselības inspekcijas pārbaudes akts, p.S28)</t>
  </si>
  <si>
    <t>Grīdas seguma maiņa kabinetos (Veselības inspekcijas pārbaudes akts, p.S28)</t>
  </si>
  <si>
    <t>Skolas sanitāro mezglu remonts</t>
  </si>
  <si>
    <t>Skolas sanitārā mezgla remonts</t>
  </si>
  <si>
    <t>Pirmsskolas izglītības grupu sanitāro mezglu remonts</t>
  </si>
  <si>
    <t>Pamatu aizsargapmales atjaunošana apkārt ēkai lit 002</t>
  </si>
  <si>
    <t>Pamatu pastiprināšana ēkām lit 001, lit 002, lai novērstu ēkas sēšanos</t>
  </si>
  <si>
    <t>Vakara vidusskola</t>
  </si>
  <si>
    <t>Remontdarbi Vakara vsk. Cascade mining, līgums Nr. 1.2-16.4.2/686</t>
  </si>
  <si>
    <t>Pieteikums Vakara vidusskola</t>
  </si>
  <si>
    <t>Nolietojušās, slikti slēdzas un veras.Nepietiekama skaņas un siltuma izolācija.</t>
  </si>
  <si>
    <t>Pēc vairākkārtējām kanalizācijas sistēmas pārplūšanas,  esošās durvis ir uzpūtušās deformējušās.Kanalizācijas pārplūšanas iemesli ir novērsti.</t>
  </si>
  <si>
    <t>Telpas ir nolietojušās, birst apmetums no griestu šuvēm.</t>
  </si>
  <si>
    <t>Esošie segumi ir nolietojušies, deformējušies, grūti uzkopjami.</t>
  </si>
  <si>
    <t>Esošās flīzes saplaisājušas,ziemā bīstami slidenas.</t>
  </si>
  <si>
    <t>Interešu un profesionālās ievirzes izglītības iestāžu būvniecība, atjaunošana un uzlabošana</t>
  </si>
  <si>
    <t>09.510</t>
  </si>
  <si>
    <t>Jūrmalas Sporta skola</t>
  </si>
  <si>
    <t>Pieteikums Sporta skola</t>
  </si>
  <si>
    <t>Basketbola zāles koka grīdas klājuma atjaunošana.</t>
  </si>
  <si>
    <t>Basketbola zāles ēkas fasādes dekoratīvā apmetuma atjaunošna.</t>
  </si>
  <si>
    <t xml:space="preserve">Jūrmalas bērnu un jauniešu interešu centrs </t>
  </si>
  <si>
    <t>Pieteikums: Bērnu un jauniešu interešu centrs</t>
  </si>
  <si>
    <t>Pamatu cokola stiprināšana un lietus ūdeņu novadīšana no pamatiem, Jūrmalas BJIC ēkai Zemgales iela 4</t>
  </si>
  <si>
    <t>.</t>
  </si>
  <si>
    <t>Pilsētas ūdensapgādes un kanalizācijas pieslēgums iestādei Zemgales ielā 4. Būvprojekta izstrāde</t>
  </si>
  <si>
    <t>Jūrmalas BJIC teritorijai, Zemgales ielā 4, žoga izbūve, 2 transporta vārti, 1 gājēju vārti. Ar būvprojekta izstrādi</t>
  </si>
  <si>
    <t>Jūrmalas BJIC teritorijā (Zemgales iela 4) celiņu bruģēšana.</t>
  </si>
  <si>
    <t>Asfalta seguma nomaiņa Jūrmalas BJIC teritorijā (Zemgales iela 4).</t>
  </si>
  <si>
    <t>Avārijas remontdarbi Jūrmalas pilsētas pašvaldības iestādēs, BŪVBALSTS SIA, Līgums Nr.1.2-16.4.2/552</t>
  </si>
  <si>
    <t>JPAP_R3.5.1._216</t>
  </si>
  <si>
    <t>Remontdarbi Strēlnieku 38 /“Sprīdītis” audzēkņu izmitināšanai/</t>
  </si>
  <si>
    <t>Ūdens padeves bojājumi (3.kotedža)</t>
  </si>
  <si>
    <t>''TASSMA'' ūdensvada atjaunošana Strēlnieku prospektā 38</t>
  </si>
  <si>
    <t>Logu bloku nomaiņa Jūrmalas pilsētas pašvaldības iestādē "VVSPC", Strēlnieku pr. 38 (JPD 2018/168RIK)</t>
  </si>
  <si>
    <t xml:space="preserve">Avārijas darbi </t>
  </si>
  <si>
    <t>Budžeta finansēta institūcija:</t>
  </si>
  <si>
    <t>Īpašumu pārvaldes Pilsētsaimniecības un labiekārtošanas nodaļa</t>
  </si>
  <si>
    <t>Pašvaldības pārziņā esošo teritoriju apsaimniekošana (kopšana un tīrīšana)</t>
  </si>
  <si>
    <t>05.100</t>
  </si>
  <si>
    <t>Parku, skvēru, atpūtas vietu un apstādījumu kopšana un ierīkošana</t>
  </si>
  <si>
    <t>Budžetā  palielinājums par 9% salīdzinājumā ar 2018.gada vienību līguma cenām. 21.06.2018. līgums Nr. 1.2-16.4.3/823. Apstādījumu rekonstrukcija Rīgas ielā pie Dzintaru ceļu pārvada - esošo rožu stādījumu vietā ierīkot jaukto  (rožu, daudzgadīgo, viengadīgo un sīpolpuķu) stādījumus 378m2 platībā.</t>
  </si>
  <si>
    <t>Iekšpagalmu kopšana</t>
  </si>
  <si>
    <t>Budžetā  palielinājums par 9% salīdzinājumā ar 2018.gada vienību līguma cenām. 21.06.2018. līgums Nr. 1.2-16.4.3/823.</t>
  </si>
  <si>
    <t>Pašvaldības īpašumu kopšana</t>
  </si>
  <si>
    <t>Jaunu puķu trauku iegāde un apsaimniekošana</t>
  </si>
  <si>
    <t>5.1.</t>
  </si>
  <si>
    <t>Jaunu puķu trauku iegāde</t>
  </si>
  <si>
    <t>Palielinājušās puķu trauku cenas par 3.6% salīdzinājumā ar 2018.gada līguma cenām. 21.06.2018. līgums Nr. 1.2-16.4.3/823.</t>
  </si>
  <si>
    <t>?</t>
  </si>
  <si>
    <t>5.2.</t>
  </si>
  <si>
    <t>Jaunu puķu trauku apsaimniekošana</t>
  </si>
  <si>
    <t>Puķu siena</t>
  </si>
  <si>
    <t>Dzintaru mežaparka apsaimniekošana un atjaunošana</t>
  </si>
  <si>
    <t>JPAP_P2.8._R2.8.1._98</t>
  </si>
  <si>
    <t>2008.gadā Dzintaru Mežaparkā  uzstādītie saulesargi ir nolietojušies. Nepieciešamas jaunas saulesargu membrānas un aksesuāri. Atbalstīts Pilsētsaimniecības un drošības komitejā, kā prioritārs pasākums vidējam termiņam.</t>
  </si>
  <si>
    <t>Dzintaru mežaparkā esošo koka laipu atjaunošana</t>
  </si>
  <si>
    <t>Pludmales sakopšana</t>
  </si>
  <si>
    <t>JPAP_P1.6._R1.6.2._33 JPAP_P2.8._R2.8.1._99  JPŪRRP_RV1.6.2_9</t>
  </si>
  <si>
    <t>Cenu palielinājums saskaņā ar 2018.gada 22.augustā noslēgto līgumu Nr. 1.2-16.4.3/1022</t>
  </si>
  <si>
    <t>Sadzīves atkritumu konteinieru izvietošana pludmalē un izejās uz jūru un atkritumu izvešana</t>
  </si>
  <si>
    <t>JPAP_P1.6._R1.6.2._33  JPAP_P2.7._R2.7.1._96 JPŪRRP_RV1.6.2_9</t>
  </si>
  <si>
    <t>Cenu palielinājums saskaņā ar Dabas resusu nodokļa pieaugumu par 18.6%.</t>
  </si>
  <si>
    <t>Sabiedrisko tualešu apsaimniekošana</t>
  </si>
  <si>
    <t xml:space="preserve">JPAP_P1.6._R1.6.2._33 JPAP_P2.8._R2.8.1._99 </t>
  </si>
  <si>
    <t>Stacionārās tualetes Dzintaru Mežaparka , Jomas ielas 35a, Baznīcas ielas 2a,  Mellužu prospekta 6a. Konteinera tipa tualetēm pludmalē un Jomas ielā, cenu palielinājums saskaņā ar noslēgto 2015.gada 29.decembra līgumu Nr. 1.2-16.4.3/1957.  BIO tualetes Kauguru vidusskola, Jaundubultu un Asaru parks, Dubultu tirgus laukums, Zīmuļu parks, Ezeru ielas peldvieta, Skrundas iela 4,  Slokā pie autoostas, peldvietās Dubultos, Majoros un Priedainē, cenu palielinājums saskaņā ar noslēgto 2017.gada 22.decembra līgumu Nr. 1.2-16.4.1/1896.</t>
  </si>
  <si>
    <t>Sadzīves atkritumu savākšana un aizvešana</t>
  </si>
  <si>
    <t>JPAP_P2.7._R2.7.1._96</t>
  </si>
  <si>
    <t>Dzīvnieku uzturēšanas izmaksas patversmē</t>
  </si>
  <si>
    <t>JPAP_P2.8_R2.8.1._110</t>
  </si>
  <si>
    <t>Cenu palielinājums pamatojoties uz 2018.gada 26. oktobra sarunu procedūras rezultātiem</t>
  </si>
  <si>
    <t>Bezsaimnieku dzīvnieku (kaķu) sterilizācija</t>
  </si>
  <si>
    <t>Klejojošu dzīvnieku izķeršana, dzīvnieku līķu apglabāšana</t>
  </si>
  <si>
    <t>Vasara puķu dobes ierīkošana un kopšana Lāčplēša skvērā</t>
  </si>
  <si>
    <t>Pavasara un vasaras puķu iegāde un apsaimniekošana P 128 četros rotācijas apļos</t>
  </si>
  <si>
    <t xml:space="preserve">Apstādījumu ierīkošana pie Kauguru kultūras nama </t>
  </si>
  <si>
    <t>Vasara puķu dobes ierīkošana un kopšana skvērā pie Dzintaru KZ</t>
  </si>
  <si>
    <t>Pilsētas teritoriju labiekārtošanas pasākumi</t>
  </si>
  <si>
    <t>Ielu nosaukumu plāksnīšu un to stiprinājuma stabiņu  komplektu apsaimniekošana</t>
  </si>
  <si>
    <t>1.1.</t>
  </si>
  <si>
    <t>apsaimniekošana</t>
  </si>
  <si>
    <t>Ielu nosaukumu stabi ir tehniski sliktā stāvoklī, jo lielākā daļa stabu ir uzstādīti 2008.gadā. Papildus 35000EUR atbalstīti Pilsētsaimniecības un drošības komitejā, kā prioritārs pasākums vidējam termiņam.</t>
  </si>
  <si>
    <t>1.2.</t>
  </si>
  <si>
    <t>izgatavošana</t>
  </si>
  <si>
    <t>Autobusu pieturu remonts vai izveidošana</t>
  </si>
  <si>
    <t>Investīciju plāns; Metu konkurss par autobusa pieturu dizainu</t>
  </si>
  <si>
    <t>Bērnu rotaļu laukumu un sporta laukumu izveide un remonts iekšpagalmos, parkos un pludmalē</t>
  </si>
  <si>
    <t>3.1.</t>
  </si>
  <si>
    <t>Bērnu rotaļu un sporta laukumu atjaunošana un izveide un sintētiskā seguma ieklāšana</t>
  </si>
  <si>
    <t>JPAP_P2.8._R2.8.1._106 JPAP_P2.8._R2.8.1._99</t>
  </si>
  <si>
    <t>Saskaņā ar investīciju plānu pludmalē un  iekšpagalmos - uzstādīt  jaunus un atjaunot esošos rotaļu laukumus: pludmalē - Mellužos pie Rožu ielas izejas uz jūru, Dubultos pie Baznīcas ielas, Lielupē starp 12.-18.līnijām un iekšpagalmos Kauguri1820; Kauguri 3305, Kauguri 1106; Kauguri 0726;  "Zīmuļu parks",  Dubultos Ievu iela 6, Ķemeros Robežu ielā 19.</t>
  </si>
  <si>
    <t>invest</t>
  </si>
  <si>
    <t>3.2.</t>
  </si>
  <si>
    <t>Bērnu rotaļu laukumu un sporta laukumu remonts iekšpagalmos un pludmalē</t>
  </si>
  <si>
    <t>JPAP_P2.8._R2.8.1._106  JPAP_P2.8._R2.8.1._99</t>
  </si>
  <si>
    <t>Visu Jūrmalas pilsētā esošo pašvaldības uzstādīto rotaļu laukumu remonts</t>
  </si>
  <si>
    <t>3.3.</t>
  </si>
  <si>
    <t>Slidotavas ierīkošana Engures ielas iekšpagalmā</t>
  </si>
  <si>
    <t xml:space="preserve">JPAP_P2.8._R2.8.1._106 </t>
  </si>
  <si>
    <t>Jaunu solu un atkritumu urnu izvietošana parkos un uz ielām</t>
  </si>
  <si>
    <t xml:space="preserve">Izgatavot un uzstādīt 21 jaunu atkritumu urnu Raiņa ielā, Talsu šosejā un pie Kauguru k/n. </t>
  </si>
  <si>
    <t>Pārējie izdevumi pilsētas apsaimniekošanā</t>
  </si>
  <si>
    <t>Strūklaku uzturēšana</t>
  </si>
  <si>
    <t>Turaidas ielas strūklakas, Omnibusa laukuma strūklakas un  strūklakām Mellužu un Ķemeru parku dīķos apsaimniekošanai.</t>
  </si>
  <si>
    <t xml:space="preserve">Paredzēts Mellužu parka, Ķemeru parka, Turaidas ielas un Omnibusa laukuma strūklaku darbībai no 15.05.-15.10. un pārējā laikā pieslēguma nodrošināšanai ar elektrību. </t>
  </si>
  <si>
    <t>Pēc apkopes darbiem konstatēts, ka bojātas 6 gab zemūdens 3 krāsu LED lampas.</t>
  </si>
  <si>
    <t xml:space="preserve">Suņu ekskramentu atkritumu urnu ar piktogramām, maisiņu turētāju un masiņu izgatavošana un uzstādīšana </t>
  </si>
  <si>
    <t>Uzstādīt 20 speciālās suņu ekskramentu atkritumu urnas  daudzdzīvokļu māju iekšpagalmos. Atbalstīts Pilsētsaimniecības un drošības komitejā, kā prioritārs pasākums vidējam termiņam.</t>
  </si>
  <si>
    <t>Jūrmalas daiļdārzu konkursa organizēšana</t>
  </si>
  <si>
    <t>JPAP _P2.10.R2.10._117</t>
  </si>
  <si>
    <t>Apbalvošanas pasākuma organizēšana, veicināšanas balvu iegādei.</t>
  </si>
  <si>
    <t xml:space="preserve">Pludmales labiekārtošana, tai skaitā informatīvo norāžu un pārģērbšanās kabīņu remonts, izvietošana, demontāža, atjaunošana   </t>
  </si>
  <si>
    <t>JPAP_P1.6._R1.6.2._33  JPŪRRP_RV1.6.2_10</t>
  </si>
  <si>
    <t xml:space="preserve"> 2017.gadā izveidoto peldvietu remonta un apsaimniekošanas darbiem.</t>
  </si>
  <si>
    <t>Pludmales stendos esošo uzlīmju nomaiņai.</t>
  </si>
  <si>
    <t>Pludmales solu uzglabāšana ziemas sezonā</t>
  </si>
  <si>
    <t>JPAP_P1.6._R1.6.2._33</t>
  </si>
  <si>
    <t>Darbi tiks veikti pamatojoties uz 2018.gada 22.augustā noslēgto līgumu Nr. 1.2-16.4.3/1022.</t>
  </si>
  <si>
    <t>Izeju uz jūru labiekārtošana pludmalēs (laipas, kāpnes, betona plāksnes)</t>
  </si>
  <si>
    <t>JPAP_P1.6._R1.6.2._33 JPŪRRP_RV1.6.2_10</t>
  </si>
  <si>
    <t>46 izeju koka laipu apsaimniekošanai.</t>
  </si>
  <si>
    <t>Jaunu laipu izgatavošanai izejās  uz jūru, tās ir tehniski sliktā stāvoklī, jo liela daļa laipu ir nolietojušās. Atbalstīts Pilsētsaimniecības un drošības komitejā, kā prioritārs pasākums vidējam termiņam.</t>
  </si>
  <si>
    <t xml:space="preserve">Jaunas betona plāksnes nepieciešamas Vēju un Turaidas ielas un 36.līnijas izejās uz jūru.  1.līnijas, Kaiju ielā un Rūjienas ielā izejās uz jūru kāpnēm nepieciešams remonts; </t>
  </si>
  <si>
    <t>Dušu, kāju mazgājamo krānu, sabiedrisko tualešu konteinieru un ūdens sūkņu apkope, remonts, iegāde un uzstādīšana</t>
  </si>
  <si>
    <t>Kāju mazgātāju un dušu uzstādīšanai pavasarī un noņemšanai rudenī. Esošo kāju mazgātāju, dušu un tualetes konteineru motoru remonta darbiem</t>
  </si>
  <si>
    <t>Divu kāju mazgātāju iegādei  un uzstādīšanai Viktorijas ielas un Vienības prospekta izejās uz jūru.Pie pludmales tualešu konteineriem Kļavu un Līgatnes ielas galā uzstādīt dušas.</t>
  </si>
  <si>
    <t>Jaunu pludmales solu izgatavošanai</t>
  </si>
  <si>
    <t>2017. un 2018. gados noslēgto līgumu garantijas ieturējumi</t>
  </si>
  <si>
    <t>Veselīga dzīvesveida veicināšanas infrastruktūras izveide un atjaunošana</t>
  </si>
  <si>
    <t>Investīciju plāns-izveidoti norobežoti peldceliņi Lielupē</t>
  </si>
  <si>
    <t>Elektrolīnijas rekonstrukcijai Telšu ielā, Kļavu ielā un Līgatnes ielā u.c. ielās (projektu izstrādei)</t>
  </si>
  <si>
    <t>Pārvietot tualešu konteinerus no izejām uz jūru uz pludmali, jo pludmalē īr lielāks apmeklētāju skaits, nepieciešama elektrības pievikšana.</t>
  </si>
  <si>
    <t>Pirmsskolas izglītības iestāžu labiekārtošanas pasākumi</t>
  </si>
  <si>
    <t>Bērnu rotaļu laukumu izveide pirmsskolas izglītības iestādēs un vispārizglītojošās iestādēs</t>
  </si>
  <si>
    <t xml:space="preserve">JPAP_P3.2._3.2.2_155 JPAP_P3.2._3.2.3_165 </t>
  </si>
  <si>
    <t>Saskaņā ar inestīciju plānu  Izglītības iestādēs: Pii Taurenītis, pii Ābelīte, Jūrmalas bērnu un jauniešu interešu centrs.</t>
  </si>
  <si>
    <t>Jūrmalas pilsētas attīstības stratēģija 2010. - 2030.gadam (JPAS)</t>
  </si>
  <si>
    <t xml:space="preserve">K4 Ķemeru kūrortvides veidošana </t>
  </si>
  <si>
    <t xml:space="preserve">J4 Publiskās telpas izcilība </t>
  </si>
  <si>
    <t>Jūrmalas pilsētas attīstības programma 2014. - 2020.gadam (JPAP)</t>
  </si>
  <si>
    <t>Prioritāte P1.6. Aktīvā un dabas tūrisma attīstība</t>
  </si>
  <si>
    <t>Rīcības virziens R1.6.2.: Peldvietu infrastruktūras attīstība</t>
  </si>
  <si>
    <t>Aktivitāte Nr.33 Pludmales zonas labiekārtošana un apsaimniekošana</t>
  </si>
  <si>
    <t>Aktivitāte Nr.34 Transporta piekļuves uzlabošana pludmales zonai</t>
  </si>
  <si>
    <t>Prioritāte P2.7. Atkritumu utilizācijas sistēmas plinveide</t>
  </si>
  <si>
    <t>Rīcības virziens R2.7.1.: Atkritumu apsaimniekošanas sistēmas pilnveide</t>
  </si>
  <si>
    <t>Aktivitāte Nr.96 Atkritumu apsaimniekošanas sistēmas pilnveide</t>
  </si>
  <si>
    <t xml:space="preserve">Prioritāte P2.8. Publiskās telpas labiekārtošana </t>
  </si>
  <si>
    <t>Rīcības virziens R2.8.1.: Publiskās telpas pilnveide</t>
  </si>
  <si>
    <t>Aktivitāte Nr.98 Parku, skvēru un kūrorta mazās infrastruktūras attīstība uzturēšana</t>
  </si>
  <si>
    <t>Aktivitāte Nr.99 Publiskās telpas apsaimniekošana</t>
  </si>
  <si>
    <t>Aktivitāte Nr.106 Jūrmalas pilsētā esošo daudzdzīvokļu namu pagalmu, izglītības iestāžu un piebraucamo ceļu rekonstrukcija</t>
  </si>
  <si>
    <t>Aktivitāte Nr.110 Dzīvnieku labturības pasākumu nodrošināšana</t>
  </si>
  <si>
    <t>Prioritāte P2.10. Privātīpašuma sakārtošanas motivācija</t>
  </si>
  <si>
    <t>Rīcības virziens R2.10.1.: Privātā īpašuma sakopšanas motivēšana</t>
  </si>
  <si>
    <t>Aktivitāte Nr.117 Privātīpašumu sakoptības veicināšana</t>
  </si>
  <si>
    <t>Prioritāte P3.2.   Kvalitatīva un sociāli pieejama izglītība</t>
  </si>
  <si>
    <t>Rīcības virziens R3.2.2.: Pirmsskolas izglītības pakalpojmi</t>
  </si>
  <si>
    <t>Aktivitāte Nr.155 Pirmsskolas izglītības iestāžu mācību vides uzlabošana</t>
  </si>
  <si>
    <t>Rīcības virziens R3.2.3. : Vispārizglītojošo skolu  izglītības pakalpojmi</t>
  </si>
  <si>
    <t>Aktivitāte Nr.165 Vispārējās izglītības iestāžu mācību vides uzlabošana</t>
  </si>
  <si>
    <t>Jūrmalas pilsētas ūdens resursu rīcības plāns 2016.-2020.gadam (JPŪRRP)</t>
  </si>
  <si>
    <t>Mērķis 4: Piekrastes ūdeņu un Lielupes plānotā izmantošana. Rīcības virziens R1.6.2 Peldvietu infrastruktūras attīstība</t>
  </si>
  <si>
    <t>Aktivitāte Nr.9 Uzlabot publisko ūdeņu piekrastes pieejamību</t>
  </si>
  <si>
    <t xml:space="preserve">Aktivitāte Nr.10 Aktualizēt pludmales aktivitāšu zonējumu un labiekārtojumu
</t>
  </si>
  <si>
    <t>Īpašumu pārvaldes Pašvaldības īpašumu nodaļa</t>
  </si>
  <si>
    <t>Pašvaldības īpašumu pārvaldīšana</t>
  </si>
  <si>
    <t>Vērtēšana (tirgus vērtību noteikšana un aktualizācija; kapitālsabiedrību pamatkapitālā iekļaujamo nekustamo īpašumu vērtēšana; kapitālsabiedrību vērtēšana)</t>
  </si>
  <si>
    <t>JPAP_R3.1.2_131</t>
  </si>
  <si>
    <t>Iepirkuma konkursa rezultātā ar  SIA "Vindeks", SIA "Grant Thornton Baltic" un SIA "VESTABALT" 18.07.2018. noslēgta Vispārīga vienošanās Nr.1.2-16.4.3/903 "Par nekustamā īpašuma tirgus vērtības noteikšanu". Vispārīgā vienošanās noslēgta uz 24 mēnešiem, t.i., līdz 18.07.2020. vienošanās līgumcena nevar pārsniegt 41 999 EUR, neieskaitot PVN.</t>
  </si>
  <si>
    <t>Sludinājumi un reklāmas</t>
  </si>
  <si>
    <t>JPAP_R2.2.1_70</t>
  </si>
  <si>
    <r>
      <t xml:space="preserve">Tiek plānoti 40 sludinājumi par nekustamā īpašuma atsavināšanu  laikrakstā "Latvijas Vēstnesis"(100 EURx40=4000 EUR). Laikrakstos “Diena”, "Dienas bizness" </t>
    </r>
    <r>
      <rPr>
        <i/>
        <sz val="9"/>
        <rFont val="Times New Roman"/>
        <family val="1"/>
        <charset val="186"/>
      </rPr>
      <t>(</t>
    </r>
    <r>
      <rPr>
        <b/>
        <i/>
        <u/>
        <sz val="9"/>
        <rFont val="Times New Roman"/>
        <family val="1"/>
        <charset val="186"/>
      </rPr>
      <t>2018.gadā šīs reklāmas izmaksas tika segtas no Mārketinga pārvaldes Mārketinga nodaļas budžeta</t>
    </r>
    <r>
      <rPr>
        <u/>
        <sz val="9"/>
        <rFont val="Times New Roman"/>
        <family val="1"/>
        <charset val="186"/>
      </rPr>
      <t xml:space="preserve">) </t>
    </r>
    <r>
      <rPr>
        <sz val="9"/>
        <rFont val="Times New Roman"/>
        <family val="1"/>
        <charset val="186"/>
      </rPr>
      <t xml:space="preserve"> -  12 moduļu reklāma par summu  ~ 6500 EUR gadā </t>
    </r>
    <r>
      <rPr>
        <i/>
        <sz val="9"/>
        <rFont val="Times New Roman"/>
        <family val="1"/>
        <charset val="186"/>
      </rPr>
      <t>(cenas noteiktas, pamatojoties uz Mārektinga pārvaldes iepirkumu)</t>
    </r>
    <r>
      <rPr>
        <sz val="9"/>
        <rFont val="Times New Roman"/>
        <family val="1"/>
        <charset val="186"/>
      </rPr>
      <t xml:space="preserve"> un  tīmekļa vietnē ss.com  – vidēji 8 sludinājumi katru mēnesi  ~ 2000 EUR gadā </t>
    </r>
    <r>
      <rPr>
        <i/>
        <sz val="9"/>
        <rFont val="Times New Roman"/>
        <family val="1"/>
        <charset val="186"/>
      </rPr>
      <t>(cena atkarīga no objekta pārdošanas cenas)</t>
    </r>
    <r>
      <rPr>
        <sz val="9"/>
        <rFont val="Times New Roman"/>
        <family val="1"/>
        <charset val="186"/>
      </rPr>
      <t xml:space="preserve">. Saistībā ar kustamās mantas atsavināšanu Administratīvās juridiskās pārvaldes Saimniecības nodaļas vajadzībām tiek plānoti 4 sludinājumi (64,03 EUR x4=256,12 EUR).  </t>
    </r>
  </si>
  <si>
    <t>Informatīvie stendi (izgatavošana, uzstādīšana, demontāža)</t>
  </si>
  <si>
    <r>
      <t>Iepirkuma konkursa rezultātā ar  SIA "Kvikworks" 09.10.2017. noslēgts pakalpojuma līgums Nr.1.2-16.4.3/1388.
Līgums noslēgts uz 24 mēnešiem, t.i., līdz 09.10.2019., līgumcena ir 8400 EUR, neskaitot PVN.
Pamatojoties uz to, ka līgumsumma tiks apgūta jau 2018.gadā, 2019.gadā plānots jauns iepirkums, ņemot vērā atsavināmo objektu</t>
    </r>
    <r>
      <rPr>
        <i/>
        <sz val="9"/>
        <rFont val="Times New Roman"/>
        <family val="1"/>
        <charset val="186"/>
      </rPr>
      <t xml:space="preserve"> (dzīvokļa īpašumi</t>
    </r>
    <r>
      <rPr>
        <sz val="9"/>
        <rFont val="Times New Roman"/>
        <family val="1"/>
        <charset val="186"/>
      </rPr>
      <t xml:space="preserve">) pieaugumu.
</t>
    </r>
  </si>
  <si>
    <t>Zemes noma</t>
  </si>
  <si>
    <t>skatīt pielikumu Zemes noma</t>
  </si>
  <si>
    <t>Nekustamā īpašuma nodokļa kompensācija</t>
  </si>
  <si>
    <t>skatīt pielikumu NĪN kompensācija</t>
  </si>
  <si>
    <t>Telpu noma</t>
  </si>
  <si>
    <t>skatīt pielikumu Telpu noma</t>
  </si>
  <si>
    <t>Pašvaldības īpašumā esošo nekustamo īpašumu pārvaldīšana un komunālie pakalpojumi</t>
  </si>
  <si>
    <t>skatīt pielikumu: Pārvaldīšana</t>
  </si>
  <si>
    <t>(Apsardze)</t>
  </si>
  <si>
    <t>(Pārvaldīšana</t>
  </si>
  <si>
    <t>Dzīvojamo telpu īre</t>
  </si>
  <si>
    <t>Dzīvojamo platību īre palīdzības nodrošināšanai dzīvokļu jautājumu risināšanai normatīvajos aktos noteiktajā kārtībā</t>
  </si>
  <si>
    <t>Īpašumu apdrošināšana</t>
  </si>
  <si>
    <t>Iepirkuma konkursa rezultātā ar  ERGO Insurance SE Latvijas filiāle 05.10.2017. noslēgts pakalpojuma līgums Nr.1.2-16.4.3/1380 par nekustamā un kustamā īpašuma apdrošināšanu. Līgums noslēgts uz 24 mēnešiem, t.i., līdz 29.09.2019. 
Iepirkuma konkursa rezultātā ar AAS "BTA Baltic Insurance Company" 7.12.2017. noslēgts pakalpojuma līgums Nr.1.2-16.4.3/1741 par elektronisko iekārtu visu risku apdrošināšanu. Līgums noslēgts uz 24 mēnešiem, t.i. līdz 07.12.2019.</t>
  </si>
  <si>
    <t>skat.pielikumu: Apdrošināšana</t>
  </si>
  <si>
    <t>Ēku tehniskā stāvokļa novērtēšana</t>
  </si>
  <si>
    <t>JPAP_R2.8.1_99</t>
  </si>
  <si>
    <r>
      <t xml:space="preserve">Iepirkuma konkursa rezultātā 24.10.2017. ar SIA "Skanore" noslēgta Vispārīgā vienošanās Nr.1.2-16/1431;
ar SIA "Balti Construction" Vispārīgā vienošanās Nr.1.2-16/1432.
Vienošanās noslēgtas uz 24 mēnešiem, t.i., līdz 24.10.2019.
Līgumcena ir 41999 EUR bez PVN, 2019.gadā tiek paredzēti līdzekļi ēku, būvju tehniskā stāvokļa novērtēšanai </t>
    </r>
    <r>
      <rPr>
        <i/>
        <sz val="9"/>
        <color theme="1"/>
        <rFont val="Times New Roman"/>
        <family val="1"/>
        <charset val="186"/>
      </rPr>
      <t>(~ 22 dzīvokļi, ~ 6 būves</t>
    </r>
    <r>
      <rPr>
        <sz val="9"/>
        <rFont val="Times New Roman"/>
        <family val="1"/>
        <charset val="186"/>
      </rPr>
      <t xml:space="preserve">),  tai skaitā ar tehnisko izpēti, konstrukciju atsegšanu un fotofiksāciju </t>
    </r>
  </si>
  <si>
    <t>Kadastrālā uzmērīšana zemesgabaliem, kas ierakstāmi zemesgrāmatā uz Jūrmalas pilsētas pašvaldības vārda, zemes ierīcības projekti</t>
  </si>
  <si>
    <t>2018.g. piešķirtais budžets bija 23497 EUR - tas pārkārtots, jo Saskaņā ar domes 15.02.2018. lēmumu Nr.81 3.punktu  Pilsētplānošanas nodaļai uzdots organizēt detālplānojuma izstrādi pēc pilnvarojuma saņemšanas. Pilnvarojums ir saņemts 14.05.2018. 
Pilsētplānošanas nodaļa ir sagatavojusi lēmumu par detālplānojuma izstrādes uzsākšanu un dome to ir pieņēmusi 14.06.2018. ar Nr.308. 
Detālplānojuma izstrādes prasības ir saņemt nosacījumus no 11 institūcijām, kas ir laikietilpīgs process, līdz ar to Pilsētplānošanas nodaļa patreiz ir uzsākusi procedūru par iepirkumu detālplānojuma izstrādei. 
Secīgi pēc detālplānojuma izstrādes apstiprināšanas ir iespējams veikt kadastrālo mērniecību. Ņemot vērā, ka detālplānojums nav izstrādāts nav iespējams apgūt budžeta līdzekļus par mērniecības pakalpojumu.
Iepirkuma konkursa rezultātā noslēgtie līgumi par Mērniecības pakalpojumu Jūrmalas pilsētas domes vajadzībām beigsies 28.06.2019. 2019.gadā tiks sagatavots jauns iepirkums šim pakalpojumam periodam uz 24 mēnešiem (2 gadiem) par summu 40000 EUR.</t>
  </si>
  <si>
    <t>Inventarizācijas lietu pasūtīšana Valsts zemes dienestam (VZD), būvju vai dzīvokļu kadastrālās uzmērīšanas lietu pasūtīšana VZD, kuri reģistrējami zemesgrāmatā uz Jūrmalas pašvaldības vārda, datu aktualizācija VZD kadastrā, inventarizācijas lietu sagatavošana reģistrēšanai zemesgrāmatā</t>
  </si>
  <si>
    <t xml:space="preserve">Izpildītājs - Valsts zemes dienests.  Kadastrālās uzmērīšanas lietas: Jomas iela 35 (Jūrmalas kultūras centrs) - aktualizācija pēc būvdarbu veikšanas: 1x100,00 = 100,00; Jaunā iela 21 (garāža) - kadastrālā uzmērīšana un datu aktualizācija: 1x70,00=70,00; K.Barona iela 23A (no valsts pārņemtā dzīv.m.) - kadastrālā uzmērīšana nomas vajadzībām pēc īpašuma sakārtošanas atbilstoši būvniecības prasībām: 1x200,00=200,00; rezervēts būvju dzēšanai: 10x9,25 =92,50. VZD izziņas par iespējamo kadastrālo vērtību nomas vajadzībām: 69x33,35=2301,15; Rezervēts pārējām datu aktualizācijām VZD kadastrā par pašvaldības nekustamajiem īpašumiem 736,35.
2019.gadā paredzēti papildus izdevumi 3628 EUR apmērā īpašuma tiesību sakārtošanai - paskaidrojuma raksta sagatavošana par sekojošiem objektiem: Tirgus iela 6c, Kārsas 22-10, Sedas 4. </t>
  </si>
  <si>
    <t>Kancelejas nodevas, valsts nodevas</t>
  </si>
  <si>
    <t>Pašvaldībai piekrītošu zemesgabalu reģistrācija zemesgrāmatā: 
50x35,57=1778,50; rezervēts pārreģistrēšanai pēc sadales un pārņemšanas  no valsts, dažādiem grozījumiem zemesgrāmatu ierakstos: 321,50.</t>
  </si>
  <si>
    <t>Izdevumi juridiskās palīdzības sniedzējiem - notāra pakalpojumi, juridiskie slēdzieni zemes īpašuma lietās, konsultācijas apdrošināšanas jautājumos</t>
  </si>
  <si>
    <t>Darījumos ar īpašumu iegādi, pārdodot, pie īpašumu sadales, bezmantinieku mantas noteikšanai, notariāla akta sagatavošanai, paraksta apliecināšanai.</t>
  </si>
  <si>
    <t>Zaudējumu segšana trešajām personām</t>
  </si>
  <si>
    <t xml:space="preserve">Trešām personām izdarīto zaudējumu segšana pamatojoties uz iesniegto pretenziju par zaudējumiem, kas nodarīti trešajām personām, ja tādi radīsies. </t>
  </si>
  <si>
    <t>Teritorijas inženierģeoloģiskā izpēte</t>
  </si>
  <si>
    <t xml:space="preserve">Inženierģeoloģiskā izpēte veikta karoga masta izvietošanai Priedaines satiksmes mezglā. </t>
  </si>
  <si>
    <t>Ieņēmumi</t>
  </si>
  <si>
    <t>06.600.</t>
  </si>
  <si>
    <t>Īpašumu atsavināšana</t>
  </si>
  <si>
    <t xml:space="preserve">Uz 25.10.2018. kopumā pārdoti 40 nekustamie īpašumi par kopējo summu 459182 EUR. 2019.gadā plānots atsavināt 40  nekustamos īpašumus par kopējo summu 898310,36 EUR. </t>
  </si>
  <si>
    <t>skat.pielikumu: Atsavināšanas ieņēmumi</t>
  </si>
  <si>
    <t>Pludmales noma</t>
  </si>
  <si>
    <t>skat.pielikumu: Pludmales noma ieņēmumi</t>
  </si>
  <si>
    <t>Ūdenstilpju noma</t>
  </si>
  <si>
    <t>skat.pielikumu: Ūdenstilpes noma ieņēmumi</t>
  </si>
  <si>
    <t>Ieņēmumi samazinās, jo mainījušās ostas robežas līdz ar to samazinās iznomājamā ūdenstilpes daļa</t>
  </si>
  <si>
    <t>Prioritāte: P2.2. Marķējumu un informācijas zīmju sistēmas pilnveide</t>
  </si>
  <si>
    <t>Rīcības virziens: R2.2.1. Jūrmalas vizuālās identitātes standarta izstrāde un ieviešana</t>
  </si>
  <si>
    <t>Aktivitāte Nr.70 Jūrmalas vizuālās identitātes veidošanaun uzraudzīšana</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</si>
  <si>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</si>
  <si>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</si>
  <si>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</si>
  <si>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Īpašumu pārvaldes Dzīvokļu nodaļa</t>
  </si>
  <si>
    <t>Līdzekļi apsaimniekošanas un komunālo pakalpojumu maksas segšanai neizīrētos pašvaldības dzīvokļos</t>
  </si>
  <si>
    <t>Budžets aktivitātei plānots 2018.gada gaidāmās izpildes apmērā. No 01.09. 2018. pašvaldībai piederošām dzīvojamām mājām ir jauns apsaimniekotājs SIA "Jūrmalas Namsaimnieks", kura apsaimniekošanas izmaksas uz 1.kv.m. ir lielākas nekā iepriekšējam apsaimniekotājam SIA "Nekustamā īpašuma pārvalde".</t>
  </si>
  <si>
    <t>Budžets aktivitātei plānots 2018.gada gaidāmās izpildes apmērā.</t>
  </si>
  <si>
    <t>Līdzekļi apsaimniekošanas un komunālo pakalpojumu maksas segšanai pašvaldības dzīvokļos, kur beidzies dzīvojamās telpas īres līguma termiņš</t>
  </si>
  <si>
    <t>Budžets aktivitātei plānots ar samazinājumu pret 2018.gada gaidāmo izpili. Šādu dzīvokļu īpatsvars samazinājies no 80 (astoņdesmit) 2018. gada sākumā uz 20 (divdesmit) dzīvokļiem 2018. gada 4 ceturksnī. 2019.gadā plānots šādu dzīvokļu skaitu turpināt samazināt atbrīvojot dzīvojamo māju Raina ielā 62, Jūrmalā u.c.</t>
  </si>
  <si>
    <t>Izdevumi, kas sasitīti ar izpildu dokumenta nodošanu zvērinātam tiesu izpildītājam un tā veiktajām darbībām</t>
  </si>
  <si>
    <t>2019.gada budžetā nepieciešama papildu aktivitāte  JPD 15.02.2018. noteikumos Nr.1 "Jūrmalas pilsētas pašvaldības īpašumā esošo dzīvojamo telpu īres līgumu pagarināšanas, apsaimniekošanas reķinu samaksas, dzīvojamo telpu īres maksas un maksas par pakalpojumiem debitoru parāda piedziņas un administrēšanas kārtība" Dzīvokļu nodaļai noteikto uzdevumu izpildei.</t>
  </si>
  <si>
    <t>MAKSAS PAKALPOJUMI (ieņēmumi)</t>
  </si>
  <si>
    <t>Valsts nodeva par dzīvesvietas deklarēšanu</t>
  </si>
  <si>
    <t>Valsts nodeva par informācijas sniegšanu no iedzīvotāju reģistra</t>
  </si>
  <si>
    <t>Valsts nodeva par vēlētāju paraksta apliecināšanu</t>
  </si>
  <si>
    <t>Prioritāte: P2.9.Dzīvojamā fonda attīstība</t>
  </si>
  <si>
    <t>Rīcības virziens: R2.9.1.:Pašvaldības dzīvojamā fonda attīstība</t>
  </si>
  <si>
    <t>Aktivitāte Nr.115: Jūrmalas pašvaldības dzīvojamā fonda attīstības plānošana un plānu realizācija</t>
  </si>
  <si>
    <t>Īpašumu pārvaldes Mežsaimniecības nodaļa</t>
  </si>
  <si>
    <t>Pilsētas mežu un publiskās teritorijas esošo koku un apstādījumu kopšanas pasākumi</t>
  </si>
  <si>
    <t>04.220</t>
  </si>
  <si>
    <t>Nokaltušo, avārijas un ainaviski mazvērtīgo koku nociršana</t>
  </si>
  <si>
    <r>
      <t xml:space="preserve">Pilsētvides sakopšanai nepieciešams pastāvīgi nocirst nokaltušos, ainaviski mazvērtīgos un avārijas  kokus visa gada garumā. Avārijas koku nociršana/novākšana īpaši aktuāla rudens/ziemas vētru laikā. </t>
    </r>
    <r>
      <rPr>
        <u/>
        <sz val="9"/>
        <rFont val="Times New Roman"/>
        <family val="1"/>
        <charset val="186"/>
      </rPr>
      <t>Tikai 2018.gada 4.oktobra vētras seku likvidēšanai bija nepeiciešams 6000 eiro.</t>
    </r>
    <r>
      <rPr>
        <sz val="9"/>
        <rFont val="Times New Roman"/>
        <family val="1"/>
        <charset val="186"/>
      </rPr>
      <t xml:space="preserve"> Bez tam apzināti daudz kalstošu koku, kurus būtu jānocērt 2019.gadā. 2018.gada pieprasījums bija 43 000 eiro. 2018.gada 21.jūnija līgums Nr.1.2-16.4.3/823. </t>
    </r>
  </si>
  <si>
    <t>Ielu apstādījumu koku vainagu regulārā kopšana</t>
  </si>
  <si>
    <r>
      <t>Nepieciešama ielu apstādījumu liepu regulāra vainagu veidošana, piem. Rēzeknes pulka ielā, P.Stradiņa ielā, Kapteiņa P.Zolta ielā, Bulduru prospektā u.</t>
    </r>
    <r>
      <rPr>
        <b/>
        <sz val="9"/>
        <rFont val="Times New Roman"/>
        <family val="1"/>
        <charset val="186"/>
      </rPr>
      <t xml:space="preserve">c. </t>
    </r>
    <r>
      <rPr>
        <sz val="9"/>
        <rFont val="Times New Roman"/>
        <family val="1"/>
        <charset val="186"/>
      </rPr>
      <t xml:space="preserve">Vasarā jāveic ikgadējā liepu vainagu formēšana Z.Meierovica prosp., Horna dārzā, Lācplēša skvērā un Turaidas ielas posmā. 2018.gada 21.jūnija līgums Nr.1.2-16.4.3/823.  </t>
    </r>
  </si>
  <si>
    <t>Zaru nozāģēšana ielu koiem</t>
  </si>
  <si>
    <t xml:space="preserve">Nepieciešams veikt zaru nozāģēšanu visā pilsētā kokiem pie ielu apgaismes stabiem, kā arī zaru nozāģēšanu, kuri traucē satiksmes drošībai (zemu noliekušies uz ielu un ietvēm, krustojumu pārredzamība u.c.). 2018.gada 21.jūnija līgums Nr.1.2-16.4.3/823. </t>
  </si>
  <si>
    <t>Atvasāju nopļaušana mežos</t>
  </si>
  <si>
    <t xml:space="preserve">Atvasāju nopļaušana mežos veicama, lai nepieļautu priežu mežu aizaugšanu ar lapu kokiem. Galvenoārt pļaušana plānota kāpu meža joslā gar gājēju takām un izejām uz jūru, piem. posmā Aspazijas iela - Parka iela, 13.līn. - 20.līnija,, Gulbenes - Kr.Barona iela u.c. 2018.gada 21.jūnija līgums Nr.1.2-16.4.3/823. </t>
  </si>
  <si>
    <t>Celmu izfrēzēšana apstādījumos</t>
  </si>
  <si>
    <t xml:space="preserve">Nocirsto koku celmus nepieciešams izfrēzēt un atjaunot zālienu, lai celmi netraucētu zaļās zonas kopšanai. Celmu daudzums palielinās, kā arī ir paaugstināta pakalpojuma līgumcena. 2018.gada 21.jūnija līgums Nr.1.2-16.4.3/823. </t>
  </si>
  <si>
    <t>Papildu dokumentācija</t>
  </si>
  <si>
    <r>
      <t>Nepieciešams veikt pašvaldības mežu dokumentācijas papildu noformēšanu, apstādījumu atsevišķu koku novērtēšanu, ciršanas apliecinājumu saņemšanu u.c. 2018.gada pieprasījums bija 1000 eiro.</t>
    </r>
    <r>
      <rPr>
        <b/>
        <sz val="9"/>
        <rFont val="Times New Roman"/>
        <family val="1"/>
        <charset val="186"/>
      </rPr>
      <t xml:space="preserve"> </t>
    </r>
  </si>
  <si>
    <t>Meža stādu iegāde</t>
  </si>
  <si>
    <r>
      <t xml:space="preserve">Ikgadējā Mežsaimniecības nodaļas aktivitāte - jaunu priežu stādīšana meža degumos un kāpu zonā. </t>
    </r>
    <r>
      <rPr>
        <b/>
        <sz val="9"/>
        <rFont val="Times New Roman"/>
        <family val="1"/>
        <charset val="186"/>
      </rPr>
      <t xml:space="preserve"> </t>
    </r>
    <r>
      <rPr>
        <sz val="9"/>
        <rFont val="Times New Roman"/>
        <family val="1"/>
        <charset val="186"/>
      </rPr>
      <t/>
    </r>
  </si>
  <si>
    <t>Atkritumu savākšana mežos un kāpu joslā</t>
  </si>
  <si>
    <t xml:space="preserve">Profesināla dažādu atkritumu savākšana. 2018.gada 21.jūnija līgums Nr.1.2-16.4.3/823.  </t>
  </si>
  <si>
    <t>Zaudējumu atlīdzība par koku nociršanu</t>
  </si>
  <si>
    <t>M2:P2.8. R2.8.1._100</t>
  </si>
  <si>
    <t>Stratēģiskā dokumenta kodu atšifrējums: M2: Komunālā un transporta infrastruktūra; P2.8 Publiskās telpas labiekārtošana; R2.8.1. Publiskās telpas pilnveide; P2.7 Atkritumu utilāzicijas sistēmas pilnveide; R2.7.1. Atkritumu apsaimniekošanas sistēmas pilnveide; RV2.8.1. Publiskās telpas pilnveide</t>
  </si>
  <si>
    <t>Aktivitāte Nr.100 – Nokaltušo, avārijas un ainaviski mazvērtīgo koku nociršana ielu apstā'dijumos;</t>
  </si>
  <si>
    <t>Aktivitāte Nr.101 – Ielu apstādījumu koku sakopšana;</t>
  </si>
  <si>
    <t>Aktivitāte Nr.102 – Atvasāju nopļaušana un savākšana mežos;</t>
  </si>
  <si>
    <t>Aktivitāte Nr.99 – Publiskās telpas apsaimniekošana;</t>
  </si>
  <si>
    <t>Aktivitāte Nr.104 – Lielupes krastmalas un piekrastes ekosistēmas ilgtspējīga apsaimniekošana.</t>
  </si>
  <si>
    <t>Aktivitāte Nr.96 – Atkritumu apsaimniekošanas sistēmas pilnveide;</t>
  </si>
  <si>
    <t>Aktivitāte Nr.12 – Lielupes krastmalas un piekrastes ekosistēmas ilgtspējīga apsaimniekošana.</t>
  </si>
  <si>
    <t>Informācijas un komunikācijas tehhnoloģiju pārvalde</t>
  </si>
  <si>
    <t>Iebraukšanas nodevas iekasēšanas nodrošinājums</t>
  </si>
  <si>
    <t>Tīkla telefons un internets</t>
  </si>
  <si>
    <t>JPAP_P3.1._R.3.1.2._120</t>
  </si>
  <si>
    <t>Elektrība</t>
  </si>
  <si>
    <t>JPAP_P2.1._R.2.1.1._63
JPAP_P2.1._R.2.1.1._65
JPAP_P3.4._R3.4.1._209
IKTRP_R2.1.3._10</t>
  </si>
  <si>
    <t>Papildus pie esošajiem pieslēgumiem tiks pievienota Pērkonu ielas kopne. Elektropieslēgums jau izbūvēts.</t>
  </si>
  <si>
    <t>Naudas maiņas un caurlaižu aparātu remonts</t>
  </si>
  <si>
    <t>JPAP_P2.1._R.2.1.1._63
JPAP_P2.1._R.2.1.1._65
IKTRP_R2.1.3._10</t>
  </si>
  <si>
    <t>2019. gada sezonā 7 nodevas iekasēšanas aparātiem būs beigusies ražotāja garantija. Iekļauts karšu maksājumu autorizācijas uzturēšanas pakalpojums EUR 2,700.</t>
  </si>
  <si>
    <t>Apsaimniekošana</t>
  </si>
  <si>
    <t>Pirmssezonas un sezonas profilaktiskie apkopes pasākumi numuru fiksēšanas kamerām, nodevas iekasēšanas aparātiem un citiem ārtelpu infrastruktūras objektiem</t>
  </si>
  <si>
    <t>Informācijas sistēmas uzturēšana</t>
  </si>
  <si>
    <t>JPAP_P2.1._R.2.1.1._65
IKTRP_R2.1.3._10</t>
  </si>
  <si>
    <t>Specializētā LPR programmu nodrošinājuma uzturēšanas pakalpojumi</t>
  </si>
  <si>
    <t>Informācijas tehnoloģiju pakalpojumi</t>
  </si>
  <si>
    <t>CSDD</t>
  </si>
  <si>
    <t>Iekārtu, aparatūras un inventāra īre un noma</t>
  </si>
  <si>
    <t>Pacēlāju tehnikas un citas specializētas tehnikas noma.</t>
  </si>
  <si>
    <t>Vienreizējo čeku iegāde</t>
  </si>
  <si>
    <t xml:space="preserve">Aprēķins ir aptuvens ņemot vērā pagājušās sezonas patēriņu un materiālu atlikumu </t>
  </si>
  <si>
    <t>Kancelejas preces</t>
  </si>
  <si>
    <t>Uzlīmes automātiem.</t>
  </si>
  <si>
    <t>Inventārs</t>
  </si>
  <si>
    <t>Aparātu pārvalku nomaiņa.</t>
  </si>
  <si>
    <t>Pievienotās vērtības nodoklis</t>
  </si>
  <si>
    <t>Datorprogrammas</t>
  </si>
  <si>
    <t>JPAP_P2.1._R.2.1.1._65
IKTRP_R2.1.3._10
JPAP_P3.1._R3.1.2._121</t>
  </si>
  <si>
    <t xml:space="preserve">1) Saist. noteikumu izmaiņas 17h, EUR 15,000; E-pakalpojuma, VISBARIS uzlabojumi 442h: EUR 33,000  2) DocLogix papildinājumi automātisko Protokolu izveidei 8,000. JPD IKTP jaunais prioritārais pasākums 2019.-2021.gadā, atbalstīts 10.10.2018 Attīstības un vides jautājumu komitejas sēdē </t>
  </si>
  <si>
    <t xml:space="preserve">Klienta  pakalpojumi caurlaides.jurmala.lv (kļūdu labojumi, atgādinājumi), autorizējoties ar transporta līdzekļa rekvizītiem. JPD IKTP jaunais prioritārais pasākums 2019.-2021.gadā, atbalstīts 10.10.2018 Attīstības un vides jautājumu komitejas sēdē </t>
  </si>
  <si>
    <t>Datortehnika</t>
  </si>
  <si>
    <t>Kopņu industriālā aparatūra (četri komplekti par EUR4000) darbības nepārtrauktības un dati drošības nodrošināšanai.</t>
  </si>
  <si>
    <t>Pārējie pamatlīdzekļi</t>
  </si>
  <si>
    <t>Optisko tīklu diagnostikas un uzturēšanas ierīču komplekts (9200EUR), videokameras videofiksācijai (720EUR*6=4320).</t>
  </si>
  <si>
    <t>Detaļu iegāde caurlaižu aparātiem</t>
  </si>
  <si>
    <t>2019. gada sezonā 7 nodevas iekasēšanas aparātiem būs beigusies ražotāja garantija, aplēses balstītas uz 2018. gadā mainīto detaļu apjomu (divi monētu selektori 2*300EUR, viens skārienjūtīgais ekrāns 40EUR)</t>
  </si>
  <si>
    <t>Pamatlīdzekļu izveidošana</t>
  </si>
  <si>
    <t>Metāla kopnes. Projekti un to izbūve: a) elektropieslēguma projekts un izbūve Asaru pr. kopnei un pie Tūrisma informācijas centra.</t>
  </si>
  <si>
    <t>Piemaksas par virstundu darbu</t>
  </si>
  <si>
    <t xml:space="preserve">Ārštata līgumi </t>
  </si>
  <si>
    <t>Sociālais nodoklis</t>
  </si>
  <si>
    <t>Informācijas un komunikācijas tehnoloģiju uzturēšana, atjaunošana un uzlabošana</t>
  </si>
  <si>
    <t>Interneta pakalpojumi - interneta pieslēgumi domes nodaļām</t>
  </si>
  <si>
    <t>JPAP_P2.6._R2.6.3._90
JPAP_P3.1._R3.1.2._120</t>
  </si>
  <si>
    <t>Interneta pakalpojumi, Interneta pieslēgums un datu kanālu nodrošinašana.</t>
  </si>
  <si>
    <t xml:space="preserve">Maksa par elektroenerģiju    </t>
  </si>
  <si>
    <t>JPAP_P3.4._R3.4.1._209
IKTRP_R3.4.1._5
IKTRP_R3.4.1._6</t>
  </si>
  <si>
    <t>Papildus izdevumi videotīkla energoapgādei Engures ielā.</t>
  </si>
  <si>
    <t xml:space="preserve">Iekārtu, invent. un aparat. remonts, tehniskā apkalpošana     </t>
  </si>
  <si>
    <t>JPAP_P2.6._R2.6.3._92
JPAP_P3.4._R3.4.1._209
IKTRP_R3.4.1._5
IKTRP_R3.4.1._6</t>
  </si>
  <si>
    <t>Pašvaldības vienotās informācijas sistēmas uzturēšana saskaņā ar līgumu (NEKIP, NINO, PERS, SOPA, DZIMTS, BUDZIS)</t>
  </si>
  <si>
    <t>JPAP_P2.8._R2.8.1._112
JPAP_P3.5._R3.5.1._218
IKTRP_3.5.1._8
IKTRP_2.8.1._13</t>
  </si>
  <si>
    <t xml:space="preserve">Uzturēšanas izmaksas tiek fiksētas uz gadu, pakalpojumu iepērkot EIS. Šobrīd līgums ar fiksēto cenu 3090+PVN EUR/mēn ir spēkā līdz 30.06.2019. Nākamajam gadam izmaksas pakalpojumu sniedzējs nosaka individuāli atkarībā no pašvaldības lieluma, sistēmu un papildinājumu apjoma. Tā kā sistēmas ir papildinātas, ieplānots 10% pieaugums. </t>
  </si>
  <si>
    <t>Lietvedības programmas DocLogix uzturēšana</t>
  </si>
  <si>
    <t>JPAP_P3.1._R3.1.5._144
IKTRP_R3.1.5._18</t>
  </si>
  <si>
    <t>8 gab 36.3 EUR un 368gab. 54.45 EUR</t>
  </si>
  <si>
    <t>Grāmatvedības programmas Ozols  uzturēšana</t>
  </si>
  <si>
    <t>JPAP_P3.1._R3.1.2._123
JPAP_P3.1._R3.1.2._124
IKTRP_R3.1.2._19
IKTRP_R3.1.2._20</t>
  </si>
  <si>
    <t xml:space="preserve">3000*12*1.21=43560EUR Līdz 02.08.2018. spēkā uzturēšanas līgums ar fiksētu mēneša maksu 3000+PVN EUR/mēn. Atlikušajam gada periodam izmaksas plānotas tādā pat apjomā.  </t>
  </si>
  <si>
    <t>DocLogix  pakalpojumu darbi - lietvedības gada slēgšana un kosultācijas</t>
  </si>
  <si>
    <t xml:space="preserve">1-cilvēkstunda 85.91 EUR   </t>
  </si>
  <si>
    <t>Qliksense tehniskā apkalpošana</t>
  </si>
  <si>
    <t xml:space="preserve">Esošo licenču apkalpošana, JPD IKTP jaunais prioritārais pasākums 2019.-2021.gadā, atbalstīts 10.10.2018 Attīstības un vides jautājumu komitejas sēdē </t>
  </si>
  <si>
    <t>Informācijas sistēmas licenču nomas izdevumi</t>
  </si>
  <si>
    <t>Oracle tehniskā apkalpošana</t>
  </si>
  <si>
    <t>Oracle notiektais 3% pieaugums gadā tehniskai uzturēšanai</t>
  </si>
  <si>
    <t>Microsoft licenču noma</t>
  </si>
  <si>
    <t>JPAP_P3.1._R3.1.5._140
IKTRP_R3.1.5._35</t>
  </si>
  <si>
    <t>Šajā summā iekļautas arī izglītības iestāžu licences! 2018. izglītības iestāžu licences nebija "Centralizētajos pasākumos".</t>
  </si>
  <si>
    <t>Pārējie informācijas tehnoloģiju pakalpojumi</t>
  </si>
  <si>
    <t>Elektronisko datu abonēšana (VZD)</t>
  </si>
  <si>
    <t>JPAP_P1.9._R1.9.2._54
IKTRP_R1.9.2._15</t>
  </si>
  <si>
    <t>Uzņēmumu datu bāzu izmantošana</t>
  </si>
  <si>
    <t>Domēna vārda gada īres maksa</t>
  </si>
  <si>
    <t>JPAP_P3.1._R3.1.2.</t>
  </si>
  <si>
    <t>Pašvaldības klientu monitoriga pakalpojumi</t>
  </si>
  <si>
    <t>Uzņēmumu datu bāzu papildus atlases pakalpojumi</t>
  </si>
  <si>
    <t>Domain vārda lietošana (jurmala.lv, lifesaving.lv, visitjurmala.lv, jurmalatravel.lv)</t>
  </si>
  <si>
    <t>Balss un kontaktu centra produktu pakalpojumi</t>
  </si>
  <si>
    <t>JPAP_P3.4._R3.4.1._208
JPAP_P3.4._R3.4.1._210
IKTRP_R3.4.1._44
IKTRP_R3.4.1._45</t>
  </si>
  <si>
    <t>Ģis programmatūras pielāgojumu pakalpojumi</t>
  </si>
  <si>
    <t>E-klases sistēmas uzturēšana izglības iestādēm</t>
  </si>
  <si>
    <t>Ietaupījums 20% JPD kopējā budžetā, ja tiek centralizēti visu izglītības iestāžu līgumi.</t>
  </si>
  <si>
    <t>Biroja preces</t>
  </si>
  <si>
    <t>JPAP_P3.1._R3.1.5._139
IKRRP_R3.1.5._4</t>
  </si>
  <si>
    <t>Viedkaršu printera pilnkrāsu lenšu kasetņu  piegāde papildus karšu izgatavošanai iedzīvotājiem un skolēniem</t>
  </si>
  <si>
    <t>Datortehnikas remonts un uzturēšana</t>
  </si>
  <si>
    <t>Viedkaršu printera pilnkrāsu piederumu piegāde papildus karšu izgatavošanai iedzīvotājiem un skolēniem</t>
  </si>
  <si>
    <t>Papildinājumi ZZDats programmatūrā  NINO, SOPA,NEKIP, BUDZIS</t>
  </si>
  <si>
    <t>Esošo sistēmu papildinājumi, saskaņā ar struktūrvienību prasībām</t>
  </si>
  <si>
    <t>Ugunsmūris</t>
  </si>
  <si>
    <t>JPAP_P3.1._R3.1.5._142
IKTRP_R3.1.5._25</t>
  </si>
  <si>
    <t>"Fortinet" licenču ikgadējie atjauninājumi esošajām trīs ugunsmūra ierīcēm.</t>
  </si>
  <si>
    <t>Lietvedības programmas DocLogix licence</t>
  </si>
  <si>
    <t>20 papildus licences iestādēm</t>
  </si>
  <si>
    <t>Grāmatvedības programmas Ozols papildinājumi</t>
  </si>
  <si>
    <t>Grāmatvedības programmas Ozols Personāla moduļa licences</t>
  </si>
  <si>
    <t>JPAP_P3.1._R3.1.2._124
IKTRP_R3.1.2._20</t>
  </si>
  <si>
    <t xml:space="preserve"> Qlik Sense Analyzer lietotāju licenču iegāde</t>
  </si>
  <si>
    <t>JPAP_P3.1._R3.1.2._122
JPAP_P3.1._R3.1.2._128
IKTRP_R1.1.1._1</t>
  </si>
  <si>
    <t xml:space="preserve">10 papildus licenču iegāde, JPD IKTP jaunais prioritārais pasākums 2019.-2021.gadā, atbalstīts 10.10.2018 Attīstības un vides jautājumu komitejas sēdē </t>
  </si>
  <si>
    <t>IP zvanu centra aprīkojums - programmu nodrošinājums</t>
  </si>
  <si>
    <t>JPAP_P3.4._R3.4.1._208
JPAP_P3.4._R3.4.1._210
IKTRP_R3.4.1._44
IKTRP_R3.4.1._45
Jūrmalas pilsētas videonovērošanas konceptuālais ziņojums.</t>
  </si>
  <si>
    <t xml:space="preserve">IP telefonijas papildinājumi. Papildus licenču komplekti 100 IP telefonijas lietotājiem </t>
  </si>
  <si>
    <t>Jūrmalas kapu uzskaites sistēmas izmaiņas</t>
  </si>
  <si>
    <t>JPAP_P2.8._R2.8.2._114</t>
  </si>
  <si>
    <t>Pašvaldības operatīvās informācijas centra  darba vietas izstrādne</t>
  </si>
  <si>
    <t xml:space="preserve">JPD IKTP jaunais prioritārais pasākums 2019.-2021.gadā, atbalstīts 10.10.2018 Attīstības un vides jautājumu komitejas sēdē </t>
  </si>
  <si>
    <t>Centralizēta drošības informācijas un notikumu pārvaldības sistēma</t>
  </si>
  <si>
    <t>JPAP_P3.1._R3.1.5._141
IKTRP_R3.1.5._25
IKTRP_R3.1.5._27</t>
  </si>
  <si>
    <t>Nepieciešams Personu datu aizsardzības regulas prasību nodrošināšanai.</t>
  </si>
  <si>
    <t>Centralizētā divu faktoru autentifikācijas sistēma</t>
  </si>
  <si>
    <t>JPAP_P3.1._R3.1.5._140
JPAP_P3.1._R3.1.5._141
JPAP_P3.1._R3.1.5._142
JPAP_P3.1._R3.1.5._145
IKTRP_R3.1.5._25
IKTRP_R3.1.5._26
IKTRP_R3.1.5._27
IKTRP_R3.1.5._28</t>
  </si>
  <si>
    <t>Nepieciešams Personu datu aizsardzības regulas prasību nodrošināšanai. 2019.gadā 2 faktoru autorizāciju paredzēts ieviest lietotājiem, kuri JPD vārdā nodibina saistības kā arī IS administratoriem. Projektējamais apjoms 100 lietotāji.</t>
  </si>
  <si>
    <t>Videonovērošanas kameras</t>
  </si>
  <si>
    <t>10 publiskās videokameras (720EUR*10) Kauguros, tai skaitā Engures ielā, 6 kamerasw Jomas ielā 1/5</t>
  </si>
  <si>
    <t>JPAP_P2.1._R2.1.1._64
JPAP_P2.1._R2.1.1._65
JPAP_P2.1._R2.1.3._69
JPAP_P2.6._R2.6.3._92
JPAP_P2.6._R2.6.3._93
JPAP_P3.1._R3.1.2._120
JPAP_P3.1._R3.1.2._127
JPAP_P3.4._R3.4.1._208
JPAP_P3.4._R3.4.1._209
JPAP_P3.4._R3.4.1._210 
IKTRP_R3.1.5._29
IKTRP_R2.6.3._31
IKTRP_R3.1.2._34
IKTRP_R3.4.1._44
IKTRP_R3.4.1._45</t>
  </si>
  <si>
    <t>Šajā pozīcijā 35,000 EUR lūgums "pārnest"no 2018.gada (Jaundubultu vsk datortīkli). 2019.gadā: 1) Jaundubultu vidusskola iekšējais tīkls 50000; 2) Optiskā tīkla izbūve no Raiņa 79 līdz kopnei Valtera prospektā EUR 50000; 3) Strēlnieku prosp. - Pumpuru vidusskola projektēšana un izbūve EUR 10000; 4)  Jomas 1/5 - Smilšu 7 projektēšana un izbūve 26000; 5) Jaundubultu vidusskola/PII "Taurenītis" -  Strēlnieku prosp. projektēšana un izbūve EUR 9300;  6) Labklājības pārvalde (Talsu šoseja), PII"Podziņa", PII"Zvaniņš" - Kauguru optiskais tīkls - projektēšana un izbūve EUR 14800. Visos objektos iepirkumi notiks esošās Vispārīgās vienošanās ietvaros.</t>
  </si>
  <si>
    <t>R1.9.2. Informācijas pieejamības nodrošināšana</t>
  </si>
  <si>
    <t>Aktivitāte Nr.54 Ģeogrāfijas informācijas sistēmas ieviešana</t>
  </si>
  <si>
    <t>R2.1.1. Ielu un ceļu rekonstrukcija, satiksmes drošības uzlabošana</t>
  </si>
  <si>
    <t>Aktivitāte Nr.64 Pilsētas ielu apgaismojuma informācijas sistēmas ieviešana</t>
  </si>
  <si>
    <t>Aktivitāte Nr.65 Iebraukšanas caurlaižu informācijas sistēmas ieviešana</t>
  </si>
  <si>
    <t>R2.1.3. Elektrotransporta infrastruktūras attīstība</t>
  </si>
  <si>
    <t>Aktivitāte Nr.69 Transporta vadības informācijas sistēmas ieviešana</t>
  </si>
  <si>
    <t>R2.6.3. Sakaru un komunikācijas sistēmu attīstība</t>
  </si>
  <si>
    <t>Aktivitāte Nr.90 Interneta pieejamības nodrošināšana</t>
  </si>
  <si>
    <t>Aktivitāte Nr.92 Pašvaldības platjoslas optiskā datu pārraides tīkla izveide</t>
  </si>
  <si>
    <t>Aktivitāte Nr.93 Pašvaldības brīvpiekļuves publiskā bezvadu tīkla izveide</t>
  </si>
  <si>
    <t>R2.8.1. Publiskās telpas pilnveide</t>
  </si>
  <si>
    <t>Aktivitāte Nr.112 Nekustamā īpašuma uzskaites un nodokļu administrēšanas sistēmas funkcionalitātes paplašināšana</t>
  </si>
  <si>
    <t>R2.8.2. Kapsētu un to infrastruktūras labiekārtošana</t>
  </si>
  <si>
    <t>Aktivitāte Nr.114 Kapsētu paplašināšana un jaunu kapsētu izveide un to apsaimniekošana</t>
  </si>
  <si>
    <t>P.3.1. Uz nākotni orientēta pilsētas pārvaldība, kas atbalsta pilsonisko iniciatīvu</t>
  </si>
  <si>
    <t>R.3.1.2. Pašvaldības pārvaldes kapacitātes celšana</t>
  </si>
  <si>
    <t xml:space="preserve">Aktivitāte Nr.120 Ātrgaitas interneta nodrošinājums Jūrmalas pašvaldības iestādēs </t>
  </si>
  <si>
    <t>Aktivitāte Nr.121 Pašvaldības e-pakalpojumu platformas ieviešana</t>
  </si>
  <si>
    <t>Aktivitāte Nr.122 Jaunu e-pakalpojumu ieviešana</t>
  </si>
  <si>
    <t>Aktivitāte Nr.123 Grāmatvedības informācijas sistēmas uzlabošana</t>
  </si>
  <si>
    <t xml:space="preserve">Aktivitāte Nr.124 Personālvadības informācijas sistēmas ieviešana </t>
  </si>
  <si>
    <t>Aktivitāte Nr.127 Bezvadu datu pārraides tīkla risinājuma ieviešana Pašvaldības iestādēs</t>
  </si>
  <si>
    <t>Aktivitāte Nr.128 Budžeta plānošanas, formēšanas un izpildes kontroles informācijas sistēmas ieviešana</t>
  </si>
  <si>
    <t>R3.1.5. Pilsētas pārvaldības infrastruktūras pilnveide</t>
  </si>
  <si>
    <t>Aktivitāte Nr.139 Jūrmalas kartes ieviešana</t>
  </si>
  <si>
    <t>Aktivitāte Nr.140 Centralizētas infrastruktūras pārvaldības un rezerves kopēšanas risinājuma ieviešana</t>
  </si>
  <si>
    <t>Aktivitāte Nr.141 Centralizēta drošības informācijas un notikumu pārvaldības sistēmas (SIEM) ieviešana</t>
  </si>
  <si>
    <t>Aktivitāte Nr.142 Tīkla ielaušanās noteikšanas un novēršanas sistēmas (IDS/IPS) ieviešana</t>
  </si>
  <si>
    <t>Aktivitāte Nr.144 Dokumentu vadības sistēmas ieviešana</t>
  </si>
  <si>
    <t>P3.4. Droša dzīves vide</t>
  </si>
  <si>
    <t>R3.4.1. Sabiedriskās kārtības un iedzīvotāju drošības nodrošināšana</t>
  </si>
  <si>
    <t>Aktivitāte Nr.208 Vides monitoringa informācijas sistēmas ieviešana un dažādu vides monitoringu veikšana</t>
  </si>
  <si>
    <t>Aktivitāte Nr.209 Videonovērošanas sistēmas un videonovērošanas tīkla ieviešana</t>
  </si>
  <si>
    <t>Aktivitāte Nr.210 Pašvaldības civilās aizsardzības preventīvo un glābšanas pasākumu efektivitātes uzlabošana</t>
  </si>
  <si>
    <t>R3.5.1. Sociālo pakalpojumu attīstība</t>
  </si>
  <si>
    <t>Aktivitāte Nr.218 Sociālās palīdzības administrēšanas lietojumprogrammas funkcionalitātes paplašināšana</t>
  </si>
  <si>
    <t>R.1.1.1. Kūrortu tiesiskās sistēmas un organizāciju izveides veicināšana</t>
  </si>
  <si>
    <t>Aktivitāte Nr.1 Datu noliktavas un datu analīzes rīka ieviešana</t>
  </si>
  <si>
    <t>R1.9.1. Jūrmalas kā kūrorta un tikšanās vietas tēla veidošana</t>
  </si>
  <si>
    <t>Aktivitāte Nr.2 Digitālo informācijas stendu informācijas sistēmas  ieviešana</t>
  </si>
  <si>
    <t>Aktivitāte Nr.3 Jūrmalas pilsētas portāla funkcionalitātes paplašināšana (ārējais portāls, mobilā aplikācija, Domes sēžu videotranslēšana un iekšējais portāls )</t>
  </si>
  <si>
    <t>Aktivitāte Nr.15 Ģeogrāfijas informācijas sistēmas ieviešana</t>
  </si>
  <si>
    <t>R2.1.3. Sabiedriskā transporta attīstība Jūrmalā</t>
  </si>
  <si>
    <t>Aktivitāte Nr.10 Iebraukšanas caurlaižu informācijas sistēmas ieviešana</t>
  </si>
  <si>
    <t>R2.6.3. Mobilo sakaru un interneta pieejamības nodrošināšana</t>
  </si>
  <si>
    <t>Aktivitāte Nr.31 Pašvaldības platjoslas optiskā datu pārraides tīkla izveide</t>
  </si>
  <si>
    <t>R2.8.1 Publiskās telpas pilnveide</t>
  </si>
  <si>
    <t>Aktivitāte Nr.13 Nekustamā īpašuma uzskaites un nodokļu administrēšanas sistēmas funkcionalitātes paplašināšana</t>
  </si>
  <si>
    <t>R3.1.2. Pašvaldības pārvaldes kapacitātes celšana</t>
  </si>
  <si>
    <t>Aktivitāte Nr.19 Grāmatvedības informācijas sistēmas ieviešana</t>
  </si>
  <si>
    <t>Aktivitāte Nr.20 Personālvadības informācijas sistēmas ieviešana</t>
  </si>
  <si>
    <t>R3.1.2. Ātrgaitas interneta nodrošinājums Jūrmalas pašvaldības iestādēs</t>
  </si>
  <si>
    <t>Aktivitāte Nr.34 Bezvadu datu pārraides tīkla risinajuma ieviešana Pašvaldības iestādēs</t>
  </si>
  <si>
    <t>R.3.1.5. Jūrmalnieka kartes izveide</t>
  </si>
  <si>
    <t>Aktivitāte Nr.4 Jūrmalas e-kartes informācijas sistēmas ieviešana</t>
  </si>
  <si>
    <t>R3.1.5. Dokumentu sagatavošanas un iesniegšanas tiešsaistes sistēmas izveide</t>
  </si>
  <si>
    <t>Aktivitāte Nr.17 Jaunu e-pakalpojumu ieviešana</t>
  </si>
  <si>
    <t>Aktivitāte Nr.18 Dokumentu vadības sistēmas ieviešana</t>
  </si>
  <si>
    <t xml:space="preserve">Aktivitāte Nr.25 Tīkla ielaušanās noteikšanas un novēršanas sistēmas (IDS/IPS) ieviešana </t>
  </si>
  <si>
    <t xml:space="preserve">Aktivitāte Nr.26 Centralizētas infrastruktūras pārvaldības un rezerves kopēšanas risinājuma ieviešana </t>
  </si>
  <si>
    <t xml:space="preserve">Aktivitāte Nr.27 Centralizēta drošības informācijas un notikumu pārvaldības sistēmas (SIEM) ieviešana </t>
  </si>
  <si>
    <t>Aktivitāte Nr.28 Lietotāju incidentu, problēmu un izmaiņu pieteikumu informācijas sistēmas funkcionalitātes paplašināšana</t>
  </si>
  <si>
    <t>Aktivitāte Nr.29 Pašvaldības datu centra modernizācija un rezerves virtuālā datu centra izveide</t>
  </si>
  <si>
    <t>R3.4.1. Sabiedriskās kārtības un iedzīvotāju drošīnas nodrošināšana</t>
  </si>
  <si>
    <t>Aktivitāte Nr.5 Videonovērošanas informācijas sistēmas ieviešana</t>
  </si>
  <si>
    <t>Aktivitāte Nr.6 Videonovērošanas tīkla ieviešana</t>
  </si>
  <si>
    <t>Aktivitāte Nr.44 Vides monitoringa informācijas sistēmas ieviešana</t>
  </si>
  <si>
    <t>Aktivitāte Nr.45 Pašvaldības civilās aizsardzības preventīvo un glābšanas pasākumu efektivitātes uzlabošana</t>
  </si>
  <si>
    <t>R3.5.1. Sociālā atbalsta infrastruktūras attīstība</t>
  </si>
  <si>
    <t>Aktivitāte Nr.8 Sociālās palīdzības administrēšanas lietojumprogrammas funkcionalitātes paplašināšana</t>
  </si>
  <si>
    <t>R3.7.2. Vietējās uzņēmējdarbības atbalsta infrastruktūras attīstība</t>
  </si>
  <si>
    <t>Aktivitāte Nr.9 Ielu tirdzniecības un citu Pašvaldības atļauju informācijas sistēmas ieviešana</t>
  </si>
  <si>
    <t>90000056357</t>
  </si>
  <si>
    <t>Izglītības pārvalde</t>
  </si>
  <si>
    <t>Kultūrizglītības un vides izglītības pasākumi</t>
  </si>
  <si>
    <t>1.</t>
  </si>
  <si>
    <t>Pilsētas mēroga pasākumi</t>
  </si>
  <si>
    <t>Kapteiņa  P. Zolta piemiņas pasākums un NBS diena Jūrmalā  „Augsim Latvijai!”</t>
  </si>
  <si>
    <t>JPAP_R3.2.1._146 JPIAK_R3.2.1._1</t>
  </si>
  <si>
    <t>Pasākumi Latvijas simtgadei "Jaunais Muzeju eksperts"</t>
  </si>
  <si>
    <t xml:space="preserve">JPAP_R3.2.4._184 JPKAP_P2.2.1. </t>
  </si>
  <si>
    <t>Vidusskolēnu militārās spēles</t>
  </si>
  <si>
    <t xml:space="preserve">JPAP_R3.2.4._184 </t>
  </si>
  <si>
    <t>Literārās jaunrades konkurss "Izlaid vēju caur matiem"</t>
  </si>
  <si>
    <t>Teātra un literāro uzvedumu skate "Labais!"</t>
  </si>
  <si>
    <t xml:space="preserve">Zēnu koru un 1.- 4. klašu koru skate pilsētā </t>
  </si>
  <si>
    <t>Mazo vokālistu konkurss "Jūrmalas Cālis"</t>
  </si>
  <si>
    <t>Konkurss "Popiela"</t>
  </si>
  <si>
    <t>Vokālās mūzikas konkurss "Balsis"</t>
  </si>
  <si>
    <t>Tautisko deju kolektīvu skate-koncerts</t>
  </si>
  <si>
    <t>Skatuves runas konkurss "Jūras malā"</t>
  </si>
  <si>
    <t xml:space="preserve">Profesora Valtnera konkurss "Pazīsti savu organismu" </t>
  </si>
  <si>
    <t>JPAP_R3.2.4._184</t>
  </si>
  <si>
    <t>Balvām</t>
  </si>
  <si>
    <t>Kulturoloģijas konkurss „Jūrmalas kultūras kanons”</t>
  </si>
  <si>
    <t xml:space="preserve">JPAP_R3.2.4._184 JPKAP_P2.4.1. JPKAP_P2.2.1. </t>
  </si>
  <si>
    <t>Vēstures konkurss 6.-8.kl. „Jaunais vēsturnieks”</t>
  </si>
  <si>
    <t xml:space="preserve">Matemātikas konkurss </t>
  </si>
  <si>
    <t>Konkurss „Pazīsti savu organismu”</t>
  </si>
  <si>
    <t>IT konkurss 10.-12. klašu skolēniem</t>
  </si>
  <si>
    <t>Sākumskolas olimpiādes</t>
  </si>
  <si>
    <t xml:space="preserve">Atklātā angļu val. olimpiāde </t>
  </si>
  <si>
    <t>Atklātā vizuālās mākslas olimpiāde</t>
  </si>
  <si>
    <t xml:space="preserve">Skolēnu un jauno pedagogu zinātnisko darbu lasījumu konference "Es dzīvoju pie jūras" </t>
  </si>
  <si>
    <t>Kaligrāfijas konkurss</t>
  </si>
  <si>
    <t>Pilsētas valodu konkurss</t>
  </si>
  <si>
    <t>Jauniešu diena</t>
  </si>
  <si>
    <t>JPAP_R3.21.3._134</t>
  </si>
  <si>
    <t>Mazās Mākslas dienas, sadarbībā ar Jūrmalas mākslinieku namu un Jūrmalas teātri</t>
  </si>
  <si>
    <t>JPAP_R3.2.4._184  JPKAP_P2.4.1.</t>
  </si>
  <si>
    <t>Rudens svētki Kauguros</t>
  </si>
  <si>
    <t>Meistarklases "Mācies" mūžizglītības kontekstā pilsētas interesentiem</t>
  </si>
  <si>
    <t>Ziemassvētku mākslas akcija "Bērnu egle Jaundubultos"</t>
  </si>
  <si>
    <t>Mazie baltā galdauta svētki Jaundubultos sadarbībā ar kaimiņu kultūras un izglītības iestādēm - LV 100 gades pasākums</t>
  </si>
  <si>
    <t>JPAP_R3.2.4._184  JPKAP_P2.2.1.</t>
  </si>
  <si>
    <t>Sadziedāšanās svētki pirmsskolas un sākumskolas vecuma bērniem ar un bez īpašām vajadzībām</t>
  </si>
  <si>
    <t xml:space="preserve">JPAP_R3.2.5._186  VVPJP_2.3.2_1._1.8.      </t>
  </si>
  <si>
    <t>Aktivitāšu pasākums "Pepija tūrisma takās " bērniem ar un bez attīstības traucējumiem</t>
  </si>
  <si>
    <t>JPAP_R3.2.5._186 VVPJP_2.3.2_1._1.8.</t>
  </si>
  <si>
    <t>Aktivitāšu pasākums "Pepija Ziemassvētkos " bērniem ar un bez invaliditātes</t>
  </si>
  <si>
    <t>Baltā spieķa diena</t>
  </si>
  <si>
    <t>Konkurss "Skolēni eksperimentē"</t>
  </si>
  <si>
    <t>Vides izziņas spēļu konkurss</t>
  </si>
  <si>
    <t xml:space="preserve">Konkurss "Vides erudīts" </t>
  </si>
  <si>
    <t>Vides pētnieku konkurss</t>
  </si>
  <si>
    <t>Konkurss "Gada jaunietis"</t>
  </si>
  <si>
    <t>JPAP_R3.1.3._184</t>
  </si>
  <si>
    <t xml:space="preserve">Jauniešu forums Jūrmalā </t>
  </si>
  <si>
    <t>JPAP_R3.1.3._180</t>
  </si>
  <si>
    <t>Sabiedriski nozīmīgi publiskie pasākumi</t>
  </si>
  <si>
    <t xml:space="preserve">JPKAP_RV2_P2.4.1. JPAP_P3.2._R3.2.4._184 JPAP_P3.2._R3.2.5._186 VVPJP_2.3.2_1._1.8. JPP_AM1_U1.4._P1.4.1 ; JPP_AM3_U3.2._P3.2.2 </t>
  </si>
  <si>
    <t>Konkursi un olimpiādes</t>
  </si>
  <si>
    <t xml:space="preserve">JPAP_P3.2._R3.2.4._184 </t>
  </si>
  <si>
    <t>1.3.</t>
  </si>
  <si>
    <t>Skates</t>
  </si>
  <si>
    <t>JPAP_P3.2._R3.2.4._184  JPKAP_RV2_U2.4._P2.4.1.</t>
  </si>
  <si>
    <t>2.</t>
  </si>
  <si>
    <t>Reģiona un valsts mēroga skates, konkursi, sacensības</t>
  </si>
  <si>
    <t>Literāro uzvedumu un skatuves runas novada skate</t>
  </si>
  <si>
    <t>Latvijas izglītības iestāžu profesionālās ievirzes izglītības mākslas un dizaina jomas programmu audzēkņu Valsts konkurss "DIZAINS"</t>
  </si>
  <si>
    <t xml:space="preserve">Vokālās mūzikas novada konkurss "Balsis" </t>
  </si>
  <si>
    <t xml:space="preserve">Tautasdziesmu dziedāšanas sacensības "Lakstīgala" </t>
  </si>
  <si>
    <t>JPAP_R3.2.4._184 .</t>
  </si>
  <si>
    <t>5.-9. klašu koru novada skate</t>
  </si>
  <si>
    <t>Zēnu koru novada skate</t>
  </si>
  <si>
    <t>Festivāls "Latvju bērni danci veda"</t>
  </si>
  <si>
    <t xml:space="preserve">Deju kolektīvu pasākums "Lecam pa jaunam, lecam pa vecam" </t>
  </si>
  <si>
    <t xml:space="preserve"> Latvijas zēnu koru salidojums "Puikas var!"</t>
  </si>
  <si>
    <t xml:space="preserve">JPAP_R3.2.4._184  </t>
  </si>
  <si>
    <t>Latvijas bērnu un jauniešu teātra festivāls "..Un es iešu un iešu" Valmierā</t>
  </si>
  <si>
    <t xml:space="preserve">JPAP_R3.2.4._184        </t>
  </si>
  <si>
    <t>Starptautiskās vizuāli plastiskās mākslas konkurss "Es dzīvoju pie jūras"</t>
  </si>
  <si>
    <t>JPAP_R3.2.4._170  JPKAP_P2.4.1.</t>
  </si>
  <si>
    <r>
      <rPr>
        <sz val="9"/>
        <rFont val="Times New Roman"/>
        <family val="1"/>
        <charset val="186"/>
      </rPr>
      <t>Starptautiskais konkurss "Jūrmala" daudzstīgu mūzikas instrumentiem</t>
    </r>
    <r>
      <rPr>
        <sz val="9"/>
        <color rgb="FFFF0000"/>
        <rFont val="Times New Roman"/>
        <family val="1"/>
        <charset val="186"/>
      </rPr>
      <t xml:space="preserve"> </t>
    </r>
  </si>
  <si>
    <t>Latvijas profesionālās ievirzes un profesionālās vidējās mūzikas izglītības iestāžu izglītības programmu "Stīgu lociņinstrumentu spēles" audzēkņu valsts konkurss</t>
  </si>
  <si>
    <t>Radošas darbnīcas kora klasei</t>
  </si>
  <si>
    <t>Konkurss mūzikas literatūrā  "Komponistam E.Grīgam 175"</t>
  </si>
  <si>
    <t>JMV reģiona skolu klavierspēles festivāls -Lietuvai un Igaunijai 100</t>
  </si>
  <si>
    <t>Koncerts pirmajā adventē</t>
  </si>
  <si>
    <t>2.1.</t>
  </si>
  <si>
    <t>Konkursi un skates</t>
  </si>
  <si>
    <t>JPAP_P3.2._R3.2.4._170 JPAP_P3.2._R3.2.1._146 JPAP_P3.2._R3.2.4._184  JPKAP_RV2_U2.4._P2.4.1.</t>
  </si>
  <si>
    <t>2.2.</t>
  </si>
  <si>
    <t xml:space="preserve">JPAP_P3.2._R3.2.4._184 ; JPP_AM1_U1.4._P1.4.1 ; JPP_AM3_U3.2._P3.2.2 </t>
  </si>
  <si>
    <t>Citi pasākumi</t>
  </si>
  <si>
    <t>Iniciatīvas ''Latvijas skolas soma'' atvēršanas pasākums</t>
  </si>
  <si>
    <t>Sporta pasākumi</t>
  </si>
  <si>
    <t>Skolēnu olimpiādes sacensības spēlē "Tautas bumba"</t>
  </si>
  <si>
    <t>JPAP_R3.2.4._174 JPSAAAS_2.1</t>
  </si>
  <si>
    <t>Latvijas skolēnu sacensības "Tautas bumba"</t>
  </si>
  <si>
    <t>Skolēnu olimpiādes sacensības dambretē un šahā</t>
  </si>
  <si>
    <t>Latvijas skolu sacensības dambretē un šahā</t>
  </si>
  <si>
    <t xml:space="preserve">Skolēnu olimpiādes sacensības florbolā  </t>
  </si>
  <si>
    <t>"Lāses" kauss</t>
  </si>
  <si>
    <t xml:space="preserve">Skolēnu olimpiādes sacensības vieglatlētikā "Jūrmalas pavasaris" </t>
  </si>
  <si>
    <t xml:space="preserve">Sporta svētki pirmsskolas vecuma bērniem "Jautrie starti" </t>
  </si>
  <si>
    <t>Bērnu sporta svētki "Pirmais solis"</t>
  </si>
  <si>
    <t>Skolēnu olimpiādes sacensības basketbolā</t>
  </si>
  <si>
    <t>Jūrmalas pilsētas bērnu un jauniešu atklātais čempionāts individuālajā  programmā mākslas vingrošanā</t>
  </si>
  <si>
    <t>Jūrmalas pilsētas bērnu un jauniešu atklātais turnīrs basketbolā meitenēm</t>
  </si>
  <si>
    <t>Jūrmalas pilsētas bērnu un jauniešu atklātās meistarsacīkstes individuālajā programmā mākslas vingrošanā</t>
  </si>
  <si>
    <t>Jūrmalas meistarsacīkstes vieglatlētikas krosā "Jūrmalas rudens"</t>
  </si>
  <si>
    <t>Jūrmalas pilsētas bērnu un jauniešu atklātais čempionāts daudzcīņā</t>
  </si>
  <si>
    <t>Jūrmalas pilsētas bērnu un jauniešu  atklātais turnīrs hokejā trijās vecuma grupās</t>
  </si>
  <si>
    <t>Skolēnu olimpiādes sacensības stafetēs "Drošie un veiklie"</t>
  </si>
  <si>
    <t>Latvijas skolu sacensības "Veiklo stafetes"</t>
  </si>
  <si>
    <t>Jūrmalas pilsētas bērnu un jauniešu atklātais turnīrs basketbolā "Pirtnieka kauss"</t>
  </si>
  <si>
    <t>JPAP_R3.2.4._174  JPSAAAS_2.1</t>
  </si>
  <si>
    <t>Jūrmalas pilsētas bērnu un jauniešu atklātais daiļslidošanā</t>
  </si>
  <si>
    <t>Jūrmalas pilsētas bērnu un jauniešu atklātais turnīrs pludmales volejbolā</t>
  </si>
  <si>
    <t xml:space="preserve">Jūrmalas pilsētas bērnu un jauniešu Atklātais turnīrs handbolā </t>
  </si>
  <si>
    <t>Jūrmalas pilsētas skolēnu čempionāts futbolā</t>
  </si>
  <si>
    <t>Futbola sacensības "Lieldienu kauss"</t>
  </si>
  <si>
    <t xml:space="preserve">Regbija sacensības "JSS ziemas kauss" </t>
  </si>
  <si>
    <t>Pludmales regbija sacensības "JD kauss"</t>
  </si>
  <si>
    <t xml:space="preserve">Jūrmalas skolēnu peldēšanas čempionāts </t>
  </si>
  <si>
    <t>Starptautiskās peldēšanas sacensības "Medūzas kauss"</t>
  </si>
  <si>
    <t>Peldēšanas sacensības "Jūrmalas domes kauss"</t>
  </si>
  <si>
    <t>Peldēšanas  sacensības "JSS kauss"</t>
  </si>
  <si>
    <t>Peldēšanas sacensības "Ziemassvētku čempionāts"</t>
  </si>
  <si>
    <t>Futbola sacensības  "Zelta rudens"</t>
  </si>
  <si>
    <t>"Olimpiskā diena"</t>
  </si>
  <si>
    <t>Peldēšanas sacensības "Jaunais līderis"</t>
  </si>
  <si>
    <t>Peldēšanas sacensības "Uzlecošā zvaigzne"</t>
  </si>
  <si>
    <t>Peldēšanas sacensības "Pirmais burbulis"</t>
  </si>
  <si>
    <t>Autodaudzcīņa ar kartingiem Jūrmalā</t>
  </si>
  <si>
    <t>JPAP_R3.2.4._174  JPAP_R3.2.4._184</t>
  </si>
  <si>
    <t>Starptautisks PLUDMALES regbija turnīrs “Together In Jurmala"</t>
  </si>
  <si>
    <t>Grupu sporta veidu sacensības</t>
  </si>
  <si>
    <t>JPAP_P3.2._R3.2.4._174 
JPSAAAS_2_2.1_PP.3</t>
  </si>
  <si>
    <t>Individuālo sporta veidu sacensības</t>
  </si>
  <si>
    <t>Pasākumi kvalitatīvas un daudzveidīgas izglītības attīstībai un atbalstam</t>
  </si>
  <si>
    <t>Konference "Bērnu  tiesību aizsardzības stāvoklis Jūrmalā"</t>
  </si>
  <si>
    <t xml:space="preserve">JPAP_R3.2.3._157 JPIAK_R_3.2.3._1. </t>
  </si>
  <si>
    <t xml:space="preserve">Pilsētas Skolēnu bērnu tiesību aizsardzības komisijas dalībnieku diskusija ar Jūrmalas pilsētas domes deputātiem un pašvaldības institūciju vadītājiem </t>
  </si>
  <si>
    <t xml:space="preserve">JPAP_R3.2.3._159 JPIAK_R_3.2.3._5.  </t>
  </si>
  <si>
    <t xml:space="preserve">Ekskursija skolēnu bērnu tiesību aizsardzības komisijas dalībniekiem </t>
  </si>
  <si>
    <t>JPAP_R3.2.3._159  JPIAK_R_3.2.3._5.</t>
  </si>
  <si>
    <t xml:space="preserve">Talantīgo Jūrmalas skolēnu  nometne </t>
  </si>
  <si>
    <t xml:space="preserve">Projekts- Digitālā rokasgrāmata - ceļvedis karjeras izglītībā par Jūrmalas pašvaldības teritorijā esošajiem uzņēmumiem </t>
  </si>
  <si>
    <t>JPAP_R3.2.3._159 JPIAK_R_3.2.3._5.</t>
  </si>
  <si>
    <t>Skolotāju dienai veltīts pasākums</t>
  </si>
  <si>
    <t>JPAP_R3.2.1._147 JPIAK_R_3.2.1._2.</t>
  </si>
  <si>
    <t xml:space="preserve">Mācību priekšmetu olimpiāžu uzvarētāju apbalvošana </t>
  </si>
  <si>
    <t>Labāko pedagogu apbalvošana</t>
  </si>
  <si>
    <t>Labāko izglītojamo apbalvošana</t>
  </si>
  <si>
    <t>Bukleta "Izglītība Jūrmalā" atjaunošana</t>
  </si>
  <si>
    <t>JPAP_R3.2.1._146</t>
  </si>
  <si>
    <t xml:space="preserve">Metodiskās reģiona pasākumi (JMVS - zonas skolu centrs). Stīgu instrumentu spēles audzēkņiem un pedagogiem (paralēli ģitārspēle, čells, aktiermeistarība) pasākumi </t>
  </si>
  <si>
    <t>JPAP_R3.2.4._175</t>
  </si>
  <si>
    <t xml:space="preserve">Starptautiskā konference </t>
  </si>
  <si>
    <t>Izglītības darbinieku augusta konference, ietverot izbraukuma semināru izglītības iestāžu vadītājiem, viņu vietniekiem un metodisko apvienību vadītājiem</t>
  </si>
  <si>
    <t xml:space="preserve">JPAP_R3.2.3._157 JPIAK_R_3.2.3._2. </t>
  </si>
  <si>
    <t>Semināri, konferences un kursi metodiskajām apvienībām, pedagogiem</t>
  </si>
  <si>
    <t>JPAP_R3.2.3._157  JPIAK_R3.2.1._2</t>
  </si>
  <si>
    <t>Semināri un kursi pašvaldības iestāžu, t.sk. izglītības iestāžu tehniskajam personālam</t>
  </si>
  <si>
    <t>JPAP_R3.2.3._157</t>
  </si>
  <si>
    <t xml:space="preserve">Kursi un praktiskās apmācības mūžizglītības kontekstā </t>
  </si>
  <si>
    <t>E-apmācības sistēma e-apmācības sistēma efektivitātes, kvalitātes un kontroles uzlabošanai</t>
  </si>
  <si>
    <t>JPAP_R3.2.3._163 JPIAK_R3.2.3._3</t>
  </si>
  <si>
    <t>Izglītības iestāžu vadītāju praktiskās darbības semināri</t>
  </si>
  <si>
    <t>JPAP_R3.2.3._157 AK_R3.2.1._2</t>
  </si>
  <si>
    <t>Vides interešu izglītības pedagogu metodisko izstrādņu skate</t>
  </si>
  <si>
    <t>JPAP_R3.2.4._169 AK_R3.2.1._2</t>
  </si>
  <si>
    <t>Ziemassvētku pasākums pedagogiem</t>
  </si>
  <si>
    <t>JPAP_R3.2.1._147 JPIAK_R3.2.1._2</t>
  </si>
  <si>
    <t>Vecāku forums "Vecāki 2030"</t>
  </si>
  <si>
    <t>Semināri, kursi, konferences</t>
  </si>
  <si>
    <t>JPAP_P3.2._R3.2.3._157 JPIAK_R3.2.1._2</t>
  </si>
  <si>
    <t>Pedagogu un izglītojamo apbalvošana</t>
  </si>
  <si>
    <t>JPAP_P3.2._R3.2.1._147 JPIAK_R3.2.1._2. JPAP_P3.2._R3.1.3._184</t>
  </si>
  <si>
    <t>3.</t>
  </si>
  <si>
    <t>Pasākumi izglītojamo karjeras kompetences attīstībai</t>
  </si>
  <si>
    <t xml:space="preserve">JPAP_P3.2._R3.2.3._159 JPIAK_R3.2.3._5.; JPP_AM1_U1.4._P1.4.1 ; JPP_AM3_U3.2._P3.2.2 </t>
  </si>
  <si>
    <t>karjeras attīstības pasākumu īstenošanas finansējums pārņemts no Attīstības pārvaldes budžeta</t>
  </si>
  <si>
    <t>4.</t>
  </si>
  <si>
    <t>Pedagoģiski medicīniskās komisijas dalībnieku darba apmaksai</t>
  </si>
  <si>
    <t>JPAP_P3.2._R3.2.5._186</t>
  </si>
  <si>
    <t>Programma</t>
  </si>
  <si>
    <t>Centralizētie pasākumi vispārējās izglītības jomā</t>
  </si>
  <si>
    <t>Atestāti un apliecības</t>
  </si>
  <si>
    <t>Izglītības iestāžu akreditācija</t>
  </si>
  <si>
    <t>Majoru vidusskola - 3 pr. - 1631 EUR, Ķemeru pamatskola - 3 progr. - 1498 EUR, Jūrmalas Mūzikas vidusskola - 6 progr. - 3141 EUR, Jūrmalas Sporta skola - 3 progr. - 1712 EUR</t>
  </si>
  <si>
    <t>Līdzfinansējums privātajām izglītības iestādēm</t>
  </si>
  <si>
    <t>Līdzfinansējums privātajām pirmsskolas izglītības ietādēm</t>
  </si>
  <si>
    <t>Prioritāte P3.1. Uz nākotni orientēta pilsētas pārvaldība, kas atbalsta pilsonisko iniciatīvu</t>
  </si>
  <si>
    <t>Prioritāte P3.2. Kvalitatīva un sociāli pieejama izglītība</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</si>
  <si>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</si>
  <si>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</si>
  <si>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</si>
  <si>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R3.2.3.: Vispārizglītojošo skolu izglītības pakalpojumi</t>
  </si>
  <si>
    <t>Aktivitāte Nr.157 Pašvaldības atbalsts pedagogu tālākizglītībai</t>
  </si>
  <si>
    <t>Aktivitāte Nr.159 Karjeras konsultāciju attīstība</t>
  </si>
  <si>
    <t>Rīcības virziens R3.2.4.: Profesionālās ievirzes un interešu izglītības pakalpojumi</t>
  </si>
  <si>
    <t>Aktivitāte Nr.170. Starptautiskās sadarbības attīstība</t>
  </si>
  <si>
    <t>Aktivitāte Nr.174. Jūrmalas skolu un valsts mēroga sacensību rīkošana izglītojamajiem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</si>
  <si>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</si>
  <si>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</si>
  <si>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</si>
  <si>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Prioritāte P3.3. Daudzveidīgas kultūras un sporta vide</t>
  </si>
  <si>
    <t xml:space="preserve">Jūrmalas pilsētas izglītības attīstības koncepcija 2015.-2020.gadam (JPIAK): </t>
  </si>
  <si>
    <t>2.aktivitāte Labāko izglītības sektora darbinieku godināšanas tradīciju izveide</t>
  </si>
  <si>
    <t>5.aktivitāte Karjeras konsultāciju attīstība</t>
  </si>
  <si>
    <t xml:space="preserve">Jūrmalas pilsētas kultūrvides attīstības plāns 2017.-2020.gadam (JPKAP): </t>
  </si>
  <si>
    <t>P2.2.1. Valsts svētku un atceres dienu rīkošana pilsētas iedzīvotājiem un viesiem, tai skaitā Latvijai-100 atzīmēšana.</t>
  </si>
  <si>
    <t>U2.4.uzdevums: Iesaistīt kultūrizglītības audzēkņus un pasniedzējus Jūrmalas unikalitātes veidošanā.</t>
  </si>
  <si>
    <t>P2.4.1.Jūrmalas Mākslas skolas un Jūrmalas Mūzikas skolas iesaiste jaunas auditorijas veidošanā ar izstādēm un koncertiem.</t>
  </si>
  <si>
    <t>Jūrmalas pilsētas sporta un aktīvās atpūtas attīstības stratēģija 2008.-2020.gadam (JPSAAAS):</t>
  </si>
  <si>
    <t>2.uzdevums "Sadarbības veicināšana starp sporta un aktīvās atpūtas nodrošināšanā iesaistītajām institūcijām"</t>
  </si>
  <si>
    <t>2.1.apakšuzdevums "Sadarbības veicināšana starp sporta klubiem, izglītības iestādēm un uzņēmējiem sporta un aktīvās atpūtas infrastruktūras izmantošanā"</t>
  </si>
  <si>
    <t>Veselības veicināšanas plāns Jūrmalas pilsētai 2013.-2020.gadam (VVPJP)</t>
  </si>
  <si>
    <t>2.3.2. Mērķis "Fizisko aktivitāšu veicināšana"</t>
  </si>
  <si>
    <t>1.uzdevums "Sporta sistēmas, infrastruktūras attīstīšana un pakalpojumu piedāvājuma paplašināšana bērnu (skolēnu) fizisko aktivitāšu veicināšanas nolūkos"</t>
  </si>
  <si>
    <t>1.8.pasākums "Nodrošināt bērnu ar īpašām vajadzībām iespējas līdzdalībai izglītības iestāžu sporta aktivitātēs"</t>
  </si>
  <si>
    <t>Jūrmalas pilsētas jaunatnes politikas attīstības plāns 2018.-2020.gadam (JPP)</t>
  </si>
  <si>
    <t>apakšmērķa AM1 "Jauniešu līdzdalības veicināšana jaunatnes politiku ietekmējošu lēmumu pieņemšanā pašvaldības un valsts mērogā, sekmēt jauniešu līdzdalību pārstāvniecības demokrātijā un attīstot jauniešu iesaistīšanos organizācijās, sabiedriskajā un kultūras dzīvē" uzdevums U1.4 “Labās prakses piemēru līdzdalībā popularizēšana” pasākums P1.4.1 “Izteikt pateicību aktīvajiem jauniešiem, izcelt labās prakses piemērus”</t>
  </si>
  <si>
    <t>Marketinga un ārējo sakaru pārvaldes Ārējo sakaru un protokola nodaļa</t>
  </si>
  <si>
    <t>Ar ārējo sakaru attīstību saistītās starptautiskās un institucionālās sadarbības aktivitātes</t>
  </si>
  <si>
    <t>Jūrmalas sadraudzības pilsētu delegāciju, ārvalstu delegāciju un ārvalstu vēstnieku uzņemšana</t>
  </si>
  <si>
    <t>Ārvalstu vēstniecību delegāciju uzņemšana; sadraudzības pilsētu un ārvalstu vēstniecību līdzdalība Kūrorta svētkos 2019: valstu teltis, priekšnesumi, konkursi</t>
  </si>
  <si>
    <t>Jūrmalas domes oficiālo delegāciju vizītes uz esošajām un potenciālajām sadraudzības pilsētām, domes vadības oficiālie ārvalstu komandējumi</t>
  </si>
  <si>
    <t>Sadarbības aktivitāšu/projektu attīstīšana un veidošana ar sadraudzības pilsētām pilsētām Izraēlā, Uzbekistānā, Ukrainā, Igaunijā, Gruzijā, Polijā,  Lietuvā - UBC konference</t>
  </si>
  <si>
    <t>Ārvalstu komandējumu dienas naudas</t>
  </si>
  <si>
    <t>Domes vadības komandējumi; sadarbības aktivitāšu/projektu attīstīšana un veidošana ar sadraudzības pilsētām sadarbības aktivitāšu/projektu ietvaros  ar sadraudzības pilsētām pilsētām Izraēlā, Uzbekistānā, Ukrainā, Igaunijā, Gruzijā, Polijā,  Lietuva - UBC konference</t>
  </si>
  <si>
    <t>Ar ārējiem sakariem un sadraudzības pilsētu aktivitāšu īstenošanu saistīto pasākumu organizēšanas izdevumi (ēdināšana, izmitināšana, u.c. saistītie izdevumi</t>
  </si>
  <si>
    <t xml:space="preserve">Budžets palielināts par 12500 EUR, jo iekļauta Attīstības pārvaldes un Priekšsēdētāja biroja akceptētā UBC divu komisiju uzņemšana, iekļauta Jūrmalas goda zīmes pasniegšanas pieņemšanas organizēšana. Atbalsts LR ministriju, UBC sadarbības partneru, LPS starptautiskām vizītēm Jūrmalas kā kūrorta pilsētas pieredzes un potenciālā projektu sadarbības partnera iepazīstināšanai (izglītības, sociālie, veselības, administratīvie).  </t>
  </si>
  <si>
    <t>Oficiālie reprezentācijas materiāli (dāvanas, prezentācijas, bukleti, plakāti, u.c.)</t>
  </si>
  <si>
    <t>Budžets samazināts par 1260 EUR</t>
  </si>
  <si>
    <t>Sadraudzības līgumu notariālie tulkojumi, oficiālās sarakstes tulkojumi, reprezentatīvo oficiālo informatīvo materiālu tulkojumi (t.sk. notariāli apstiprināti tulkojumi)</t>
  </si>
  <si>
    <t>JPAP_P1.10.2_ R1.10.2._58</t>
  </si>
  <si>
    <t xml:space="preserve">Angļu valodas tulkojumi, krievu valodas tulkojumiem tiks slēgs autoratlīdzības līgumus. </t>
  </si>
  <si>
    <t>Dalībmaksa starptautiskajās organizācijās (UBC)</t>
  </si>
  <si>
    <t>JPAP_P1.10._ R.1.10.3._59</t>
  </si>
  <si>
    <t>Atbilstoši UBC prasībām</t>
  </si>
  <si>
    <t>Autotransports, autotransporta noma</t>
  </si>
  <si>
    <t>Gadījumos, ja JPD transports nav pieejams vai pasažieru skaits pārsniedz 7 pers.</t>
  </si>
  <si>
    <t>Autoratlīdzību honorāri</t>
  </si>
  <si>
    <t>JPAP_P1.10._ R1.10.2._58; JPAP_P1.10._ R.1.10.3._59</t>
  </si>
  <si>
    <t>Budžets palielināts par 250,00 EUR, lai nodrošinātu ne tikai informatīvo materiālu vizuālo izstrādi, bet arī tekstu izstrādi krievu valodā</t>
  </si>
  <si>
    <t>Jūrmalas pilsētas attīstības programmas 2014-2020 (JPAP) 2.daļas „Rīcības plāns” g) nodaļa „Darbības un pasākumi”:</t>
  </si>
  <si>
    <t>Rīcības virziens: R1.7.1. Kultūras tūrisma piedāvājuma attīstība</t>
  </si>
  <si>
    <t xml:space="preserve">                          Aktivitātes: Nr.43. Kultūras dzīves piedāvājuma attīstība visa gada garumā </t>
  </si>
  <si>
    <t>Rīcības virziens: R1.8.2. Konferenču un korporatīvo pasākumu nodrošināšanas pakalpojumu attīstība</t>
  </si>
  <si>
    <t xml:space="preserve">                          Aktivitātes: Nr.48. Esošo un jaunu starptautisku kultūras un tikšanās pasākumu iniciēšana un īstenošana</t>
  </si>
  <si>
    <t>Rīcības virziens: R1.10.1. Sadarbība ar Jūrmalas sadraudzības pilsētām</t>
  </si>
  <si>
    <t xml:space="preserve">                          Aktivitātes: Nr.57. Sadarbības projekti ar Jūrmalas sadraudzības pilsētām</t>
  </si>
  <si>
    <t>Rīcības virziens: R1.10.2. Sadarbība ar diplomātisko korpusu (ārvalstu vēstniecībām Latvijā un Latvijas Republikas vēstniecībām un konsulātiem ārvalstīs)</t>
  </si>
  <si>
    <t xml:space="preserve">                          Aktivitātes: Nr.58. Diplomātiskā dienesta Latvijā un ārvalstīs pārstāvju informēšanas aktivitātes</t>
  </si>
  <si>
    <t>Rīcības virziens: R1.10.3. Sadarbība ar asociācijām, starptautiskām organizācijām un institūcijām Latvijā un ārvalstīs</t>
  </si>
  <si>
    <t xml:space="preserve">                          Aktivitātes: Nr.59. Asociācijām, starptautisko organizāciju informēšanas un monitoringa aktivitātes</t>
  </si>
  <si>
    <t>Mārketinga un ārējo sakaru pārvaldes Mārketinga nodaļa</t>
  </si>
  <si>
    <t>Tūrisma informācijas centrs</t>
  </si>
  <si>
    <t>Tūrisma mārketinga pasākumi</t>
  </si>
  <si>
    <t>Tūrisma informatīvo materiālu sagatavošana</t>
  </si>
  <si>
    <t>Tūrisma informatīvo materiālu drukāšanas darbi izplatīšanai Tūrisma informācijas centrā un citviet Jūrmalas pilsētā un Rīgā.</t>
  </si>
  <si>
    <t>Tulkošanas darbu veikšana</t>
  </si>
  <si>
    <t>JPTARP_U.3.3._ P.3.3.2.</t>
  </si>
  <si>
    <t>Izpilde nav notikusi plānotajā apmērā, jo ticis lauzts līgums ar tulkošanas darbu veicēju, uzņēmumu "Baltic translations" nekvalitatīvi veiktu tulkojumu dēļ. 2019.gadā tulkošanas darbiem plānots veikt jaunu iepirkumu, piesaistot citus pakalpojuma sniedzējus. Paredzēts, ka Tūrisma informācijas centrs veiks tulkošanas darbus tūrisma informatīvajiem materiāliem un mājas lapas vajadzībām, kā arī tūrisma reklāmas kampaņu vajadzībām ( Mārketinga nodaļas budžetā tulkošanas darbu vairs nav, tie tiks veikti centralizēti, caur Tūrisma informācijas centru).  Pieaugot darbu apjomam, tulkošanas darbu izmaksas šajā budžetā plānojam lielākas. Turklāt, veicot tirgus izpēti, salīdzinot cenu piedāvājumus, secinām, ka kvalitatīvu tulkojumu veikšanai jāvelta lielāki līdzekļi kā tika plānots 2018.gadā. Tūrisma informatīvajiem materiāliem un mājas lapai ir pilsētas reprezentācijas funkcija, tādēļ tekstu kvalitāte ir būtiska.</t>
  </si>
  <si>
    <t>Tūrisma mobilās aplikācijas izstrādāšana</t>
  </si>
  <si>
    <t>Tūrisma mobilās aplikācijas izstrāde, kas satur Jūrmalas pilsētas maršrutus. Darbi tiks veikti 2018. gadā noslēgtā līguma ietvaros.</t>
  </si>
  <si>
    <t>1.4.</t>
  </si>
  <si>
    <t>Mārketinga kampaņu īstenošana augsti prioritāros mērķa tirgos</t>
  </si>
  <si>
    <t>1.5.</t>
  </si>
  <si>
    <t>Darījuma tūrisma kampaņu īstenošana Baltijas valstīs</t>
  </si>
  <si>
    <t>Jūrmalas pilsētas Tūrisma attīstības rīcības plāna augstas prioritātes aktivitāte- darījuma tūrisma kampaņu īstenošana plānota arī 2019. gadā, attīstot Jūrmalu kā darījumu tūrisma galamērķi. 2018.gadā piešķirtais finansējums nav pietiekams, lai kampaņu īstenotu pietiekamā apjomā un sasniegtu mērķauditoriju, tādēļ 2019.gadā vēlams finansējuma pieaugums.</t>
  </si>
  <si>
    <t>1.6.</t>
  </si>
  <si>
    <t>Videoklipa par veselības tūrismu izstrāde</t>
  </si>
  <si>
    <t>JPAP_ P1.9 / R1.9.1./Nr.55 JPTARP_U2.2._2.4.4.</t>
  </si>
  <si>
    <t>1.7.</t>
  </si>
  <si>
    <t>Tūrisma mājas lapas visitjurmala.lv attīstības nodrošināšana</t>
  </si>
  <si>
    <t>JPTARP P.1.8.2.nr.66             IKTRP_R1.9.1._3</t>
  </si>
  <si>
    <t>1.8.</t>
  </si>
  <si>
    <t xml:space="preserve">Visitjurmala.lv mājas lapas funkcionalitātes papildināšana </t>
  </si>
  <si>
    <t>Izmaksas skaidrojams ar to, ka mājas lapas attīstībai nepieciešami  līdzekļi, kas ietvertu tūrisma mājas lapas funkcionalitātes izvērtēšanas pasākumus un nozīmīgus lapas struktūras uzlabojumus. Šobrīd visitjurmala.lv saskaras ar virkni tehniskiem ierobežojumiem, kas galarezultātā apmeklētājiem mājas lapu padara neērtu lietošanā. Darbus paredzēts veikt jau noslēgtā līguma ietvaros ar uzņēmumu “Senet”.</t>
  </si>
  <si>
    <t>Skārienjūtīgas sienas planšetes iegāde</t>
  </si>
  <si>
    <t xml:space="preserve">Tūrisma informācijas centrā šobrīd novietots interneta piekļuves punkts, kas ir morāli novecojis. To nepieciešams nomainīt ar mūsdienīgu skārienjūtīgu planšeti, kur uz liela ekrāna apmeklētājs varēs aplūkot visitjurmala.lv sadaļas, informatīvās kartes, video. </t>
  </si>
  <si>
    <t>Mediju pārstāvju uzņemšana Jūrmalā</t>
  </si>
  <si>
    <t>JPTARP_U1.9._ P.1.9.10.</t>
  </si>
  <si>
    <t>Jūrmalas kā atpazīstama galamērķa veidošanai būtiska ir sadarbība ar mediju pārstāvjiem, kuri informāciju par Jūrmalas kā tūrisma galamērķa priekšrocībām var nodot auditorijai, izmantojot savus informatīvos kanālus. Saskaņā ar strukturālajām izmaiņām un tūrisma nodaļas funkciju pārdali, Attīstības pārvaldes TUAN nodaļa nodrošina dalību izstādēs,  tūroperātoru delegāciju uzņemšanu, savukārt Tūrisma infomācijas centrs- ārvalstu mediju pārstāvju uzņemšanu.</t>
  </si>
  <si>
    <t>Tūrisma produktu attīstības pasākumi</t>
  </si>
  <si>
    <t>Tūrisma informatīvo ceļa zīmju kājāmgājējiem un autotransportam finansējums, kultūras objektu plāksnes, tai skaitā norādes uz ārstniecības iestādēm, tūrisma stendu uzlabošana</t>
  </si>
  <si>
    <t>Palielinājums nepieciešams, jo daudziem esošajiem statņiem jāatjauno krāsa, kā arī norādes ir jānomaina, tā kā tās ir aprūsējušas. Nepieciešamas arī jaunas zīmes ( tualešu vietas norādes), tādēļ jāparedz izmaksas izgatavošanai un uzstādīšanai. Jūrmalas pilsētā izvietotajiem foto stendiem nepieciešama apdrošināšana pret bojājumiem un regulāri atjaunošanas darbi.</t>
  </si>
  <si>
    <t>PVN</t>
  </si>
  <si>
    <t xml:space="preserve">Suvenīru un reprezentācijas materiālu realizācijas līgumi </t>
  </si>
  <si>
    <t>Tūrisma piesaistes veicināšanas mārketinga kampaņu reklāmu izveidošana medijos Latvijā</t>
  </si>
  <si>
    <t>Tūrisma kampaņu komunikācijas nodrošināšanai medijos ( reklāmu un publikāciju izvietošanai). Plānotas divas tūrisma piesaistes veicināšanas kampaņas nesezonā- pavasarī un rudenī ar mērķi popularizēt Jūrmalas tūrisma piedāvājumu un produktus Latvijas iedzīvotājiem.</t>
  </si>
  <si>
    <t>Izvēlēta un pārdomāta prezentmateriālu izvēle nodrošina saskaņotu un vienotu prezentmateriālu  pasūtīšanu JPD struktūrvienībās, kā arī izstrādātajai stila grāmatai atbilstošu suvenīru līnijas izveidi tūrisma informācijas centra vajadzībām. Ieplānots atjaunot suvenīru klāstu.</t>
  </si>
  <si>
    <t xml:space="preserve"> Aptuvenās plānotās izmaksas: 1) radošās aģentūras pakalpojuma nodrošināšanai tūrisma veicināšanas kampaņām par summu 20 000 euro (reklāmas aktivitāšu stratēģija, radošās koncepcijas,  reklāmas materiālu dizaina izstrāde vairākām kampaņām, 2) digitālās aģentūras piesaistīšanai- visitjurmala.lv, Facebook un Instagram kontu stratēģiskā komunikācijas plāna sagatavošanai un šo kontu attīstībai, kā arī reklāmas aktivitātēm šajos kanālos nepieciešami 12 100 euro.</t>
  </si>
  <si>
    <t>Reprezentatīvu Jūrmalas video materiālu izgatavošana.</t>
  </si>
  <si>
    <t>Pilsētas reprezentatīvie video nepieciešami Jūrmalas zīmola veidošanas pasākumiem Jūrmalā un ārvalstīs. Šie klipi tiks izmantoti prezentācijās par Jūrmalu, darba semināros un citos tūrisma un pilsētas mārketinga pasākumos un pašvaldības mediju kanālos.</t>
  </si>
  <si>
    <t xml:space="preserve">Aptuvenās plānotās izmaksas reklāmu izvietošanai medijos: 1) pilsētas svētku un citu pasākumu komunikācijas nodrošināšanai medijos ( reklāmu un publikāciju izvietošanai)- Meteņi/Masļenica 3 000 eur,  Jūrmalas kā kūrortpilsētas tēla veidošanas kampaņa 25 000 eur, Kūrorta svētki 35 000 eur, Iebraukšanas kampaņa Jūrmalā 20 000 eur, Regulāras publikācijas par pasākumiem vasaras sezonā 15 000 euro, Kauguru svētki 35 000 eur, Gaismas parks 25 000 eur. Lojalitātes un Jūrmalas 60.gadadienas kampaņa 10 000 eur, Informatīva kampaņa par energoefektivitāti 5 000 eur 2) Jūrmalas pilsētas zīmola un pasākumu reklāmu vizuālās identitātes integrēšana pilsētvidē – reklāmas stendos, autobusu pieturvietās, uz sabiedriskā transporta aizmugurēm, pilsētas lielformāta reklāmas stendos iedzīvotāju un tūristu informēšanai, kopā 30 000 eur. 3) Atbalsts citu pilsētas pasākumu popularizēšanā 5 000 eur.
</t>
  </si>
  <si>
    <t>Jūrmalas pilsētas popularizēšana Latvijas un starptautiskajos komunikāciju kanālos starptautiska festivāla komunikācijas kampaņas ietvaros.</t>
  </si>
  <si>
    <t>Budžeta līdzekļi nepieciešami, lai nodrošinātu publicitāti starptautiskam mūzikas festivālam ar mērķi popularizēt Jūrmalu. Tādejādi tiks akcentēta Dzintaru koncertzāles nozīmība pilsētas kultūras dzīves bagātināšanā un nodrošināta pilsētas starptautiskā atpazīstamība un veicināts tūrisms Jūrmalā.</t>
  </si>
  <si>
    <t>Pilsētas mārketinga reklāmas materiālu izstrāde un izgatavošana, izvietošana.</t>
  </si>
  <si>
    <t xml:space="preserve">Aptuvenās plānotās izmaksas: 1. Pilsētas reklāmas materiālu ražošana, drukātie materiāli 8 000 eur 2.Vides baneru ražošana un izvietošana pilsētā 20 000 eur 3. Pludmales kabīņu apdruka 5 000 eur.  
4. Autobusu aizmugures līmplēves 4 000 eur. 5. Dažādu pilsētas mārketinga materiālu izstrāde un izgatavošana ( sociālo tīklu reklāmas materiāli, radio džingli,  interneta baneri, karogi u.c). 5 000 eur
</t>
  </si>
  <si>
    <t>Jaunu lielformāta metāla stendu uzstādīšanai Jūrmalā ( ~4 gab., piemēram, Slokā, Priedainē, Buļļuciemā, Jaunķemeros) ar mērķi  integrēt  pilsētas zīmola vizuālo identitāti  pilsētvidē un sniegt informāciju par aktuālajiem pasākumiem dažādās pilsētas apkaimēs.</t>
  </si>
  <si>
    <t xml:space="preserve">Mārketinga rīcības plāna izstrāde nepieciešama, jo ir beidzies Jūrmalas pilsētas zīmola attīstības stratēģijas un ieviešanas vadlīniju termiņš ( 2015-2018). Lai mārketinga aktivitātes būtu efektīvas, nepieciešams nospraust stratēģiskos mērķus un aktivitātes nākamajam posmam 2019.-2022. gadam. </t>
  </si>
  <si>
    <t>Ar zīmola mārketingu saistīto pasākumu tehnisko izmaksu segšanai (piemēram, Meteņi, Gaismas parka pasākumi, Kaugursvētki);  Pasākumu saimnieciskā apkalpošana (ēdināšanas izdevumi, transporta un telpu īre u.c .).</t>
  </si>
  <si>
    <t xml:space="preserve">1) Komunikācijas aģentūru pakalpojumi 7 000 eur 2) Mākslinieciskā risinājuma izstrāde reklāmas materiāliem 5 000 eur 3) Atbalsts publisko pasākumu nodrošināšanai ( piemēram, Mellužu estrādes atklāšana) 4 000 eur 4) Reklāmu montāža un demontāža Jūrmalas vides reklāmas stendos 6 500 eur 5) vairāku nestandarta kampaņu un pasākumu informatīvo stendu (sezonas pasākumu kalendāru) izvietošanu tūristu un iedzīvotāju blīvi apmeklētās vietās par summu 2 000 euro 6) Esošo un jaunu vides reklāmas stendu un objektu uzturēšana 2 000 eur 7) Reklāmu izvietošana Jūrmalas pilsētas māju kāpņu telpās 7 500 eur. </t>
  </si>
  <si>
    <t>Līgumi ar fiziskām personām (autoratlīdzības).</t>
  </si>
  <si>
    <t>Tēla kampaņu un zīmola aktivitāšu vajadzībām -  video grafiķu, pasākumu gaismu režisoru, scenogrāfu, reprezentatīvu pilsētas attēlu uzņemšana, pasākuma tekstu radīšana un rediģēšana, komponistu u.c. mākslinieku autordarbi.</t>
  </si>
  <si>
    <t>Tulkošanas darbi un tulka pakalpojumi.</t>
  </si>
  <si>
    <t>Tulkošanas darbi iekļauti Tūrisma informācijas centra budžetā.</t>
  </si>
  <si>
    <t>Pētījumu veikšana</t>
  </si>
  <si>
    <t xml:space="preserve">Plānots noslēgt līgumu socioloģiski pamatotas aptaujas veikšanai par Latvijas iedzīvotāju viedokli un Jūrmalas pilsētas tēla uztveri, lai izvērtētu Jūrmalas pilsētas zīmola attīstības stratēģiju 2015-2018  un sagatavotu jaunu rīcības dokumentu. </t>
  </si>
  <si>
    <t>Jūrmalas pilsētas tūrisma attīstības rīcības plāns 2018.-2020.gadam (JPTARP)</t>
  </si>
  <si>
    <t>Uzdevums: U1.9. Jūrmalas kā tūrisma galamērķa mārketings Latvijas un ārvalstu mērķa tirgos</t>
  </si>
  <si>
    <t>P.1.9.4. Tūrisma informatīvo reklāmas materiālu izveide mērķa tirgu vajadzībām.</t>
  </si>
  <si>
    <t>P.1.9.7. Nestandarta tūrisma reklāmas pilsētvidē Rīgā un/vai lidostā par Jūrmalu kā tūrisma galamērķi.</t>
  </si>
  <si>
    <t>P.1.9.9. Sadarbībā ar LIVE Rīga un citām Latvijas tūrismu veicinošām organizācijām kopēju mārketinga kampaņu īstenošana ārvalstīs.</t>
  </si>
  <si>
    <t>P.1.9.10. Žurnālistu un tūrisma operatoru iepazīšanās vizīšu uzņemšana no ārvalstu tirgiem.</t>
  </si>
  <si>
    <t>P.1.9.12 . Jūrmalas tūrisma piedāvājuma mobilās aplikācijas izveide</t>
  </si>
  <si>
    <t>P1.9.13. Dalība vietējās un starptautiskās tūrisma organizācijās un darbības efektivitātes izvērtēšana</t>
  </si>
  <si>
    <t>P 1.9.14. Tūrisma tirgus pētījumi</t>
  </si>
  <si>
    <t>AM2: Veselības tūrisma tai skaitā veselīga dzīvesveida produktu un pakalpojumu attīstība</t>
  </si>
  <si>
    <t>Uzdevums: U.2.2 Infrastruktūras attīstības veselības tūrisma attīstībai</t>
  </si>
  <si>
    <t>P.2.2.4. Norāžu izvietošana vienotas zīmju sistēmas ietvaros t.sk.uz medicīnas pakalpojumu iestādēm.</t>
  </si>
  <si>
    <t>P.2.4.2. Veselības tūrisma gada aktivitātes.</t>
  </si>
  <si>
    <t>P.2.4.4. Mārketinga kampaņa augsti prioritāros mērķa tirgos (Igaunija, Lietuva, Krievija), uzsverot ārpus tūrisma sezonas</t>
  </si>
  <si>
    <t>AM3: Jūrmalas kā konferenču, kongresu, pasākumu un motivējošā tūrksma ( MICE) galamērķa attīstība</t>
  </si>
  <si>
    <t>Uzdevums: U 2.4. Jūrmalas kā veselības kūrorta un medicīnas tūrisma galamērķa mārketings</t>
  </si>
  <si>
    <t>P.2.4.3. Mērķtiecīga veselīga dzīvesveida popularizēšanas kampaņa Latvijas tirgū</t>
  </si>
  <si>
    <t>P.2.4.4. Mārketinga kampaņa augsti prioritāros tirgos, uzsverot ārpus tūrisma sezonu</t>
  </si>
  <si>
    <t>Uzdevums:</t>
  </si>
  <si>
    <t>Uzdevums: U3.3. Kultūras pasākumu kā atraktīvu tūrisma piesaišu izmantošana, koncentrējoties uz dažādu tūristu segmentu vajadzībām un pieprasījuma sezonālām svārtībām</t>
  </si>
  <si>
    <t>P.3.3.2. Informācijas par pasākumiem nodrošināšana dažādiem mērķa tirgiem (tic)</t>
  </si>
  <si>
    <t>Uzdevums: U3.7. MICE tūrisma piedāvājuma mārketings</t>
  </si>
  <si>
    <t>P.3.7.2. Sadarbība ar Latvijas konferenču un kongresu biroju un Meet Riga.</t>
  </si>
  <si>
    <t>P.3.7.6. Darījuma tūrisma kampaņu īstenošana Baltijas valstīs.</t>
  </si>
  <si>
    <t>Jūrmalas pilsētas informācijas un komunikācijas tehnoloģiju rīcības plāns 2015.-2020.gadam (IKTRP)</t>
  </si>
  <si>
    <t>M1: Pilsētas tūrisma vides veicināšana</t>
  </si>
  <si>
    <t>R1.9.1._1 Jūrmalas kūrorta pārstāvniecība interneta un mobilo aplikāciju resursos</t>
  </si>
  <si>
    <t>R1.9.1._2 Saistošu informācijas pasniegšanas objektu izveide</t>
  </si>
  <si>
    <t>R1.9.1._3 Jūrmalas pilsētas portāla funkcionalitātes paplašināšana (ārējais portāls, mobilā aplikācija, Domes sēžu videotranslēšana un iekšējais portāls )</t>
  </si>
  <si>
    <t>Jūrmalas pilsētas attīstības programmas 2014.–2020.gadam (JPAP)</t>
  </si>
  <si>
    <t>M1. Kūrorts un tikšanās vieta</t>
  </si>
  <si>
    <t>P1.1. Kūrortu tiesiskā un plānošanas statusa nostiprināšana</t>
  </si>
  <si>
    <t xml:space="preserve">  Rīcības virziens R1.1.2. Kūrorta attīstības plānošana</t>
  </si>
  <si>
    <t>Aktivitāte Nr.6 Jūrmalas viesu aptauju veikšana</t>
  </si>
  <si>
    <t xml:space="preserve"> Aktivitāte Nr.47 Kultūras dzīves piedāvājuma attīstība ziemā</t>
  </si>
  <si>
    <t xml:space="preserve"> P1.8. Konferenču tūrisma attīstība</t>
  </si>
  <si>
    <t>Rīcības virziens: R1.8.2.: Konferenču un korporatīvo pasākumu nodrošināšanas pakalpojumu attīstība</t>
  </si>
  <si>
    <t>Aktivitāte nr.53. Konferenču un citu pasākumu komplekso piedāvājumu sagatavošana un popularizēšana</t>
  </si>
  <si>
    <t>Aktivitāte Nr.54 Esošo un jaunu starptautisku kultūras un tikšanās pasākumu iniciēšana un īstenošana</t>
  </si>
  <si>
    <t xml:space="preserve"> P1.9. Kūrorta un tikšanās vietas tēla veidošana</t>
  </si>
  <si>
    <t>Rīcības virziens: R1.9.1.: Jūrmalas kā kūrorta un tikšanās vietas tēla veidošana</t>
  </si>
  <si>
    <t>Aktivitāte nr.53 Konferenču un citu pasākumu komplekso piedāvājumu sagatavošana un popularizēšana</t>
  </si>
  <si>
    <t>Aktivitāte nr. 55 Jūrmalas kūrorta tēla izveide un attīstība</t>
  </si>
  <si>
    <t>Aktivitāte nr.58 Jūrmalas kā konferenču un tikšanās vietas popularizēšana nozares speciālistu vidē</t>
  </si>
  <si>
    <t>Aktivitāte nr.63 Jūrmalas kūrorta pārstāvniecība interneta un mobilo aplikāciju resursos</t>
  </si>
  <si>
    <t>Aktivitāte nr. 65 Pakalpojumu informācijas zīmju izvietošana</t>
  </si>
  <si>
    <t>Aktivitāte nr. 66 Jūrmalas kūrorta mājas lapas attīstība</t>
  </si>
  <si>
    <t>M2: Komunālā un transporta infrastruktūra</t>
  </si>
  <si>
    <t>P2.2. Marķējumu un informācijas zīmju sistēmas pilnveide</t>
  </si>
  <si>
    <t>Rīcības virziens R2.2.1. Jūrmalas vizuālās identitātes standarta izstrāde un ieviešana</t>
  </si>
  <si>
    <t>Aktivitāte nr. 10 Jūrmalas vizuālās identitātes veidošana</t>
  </si>
  <si>
    <t>RV2_ 2. rīcības virziens Kultūras piedāvājuma izcilība un daudzveidība Jūrmalā: kvalitatīva un sistemātiska kultūras piedāvājuma veidošana dažādām mērķauditorijas grupām vietējā, nacionālā un starptautiskā mērogā</t>
  </si>
  <si>
    <t>U.2.1. Rīkot kvalitatīvas un daudzveidīgas kultūras norises konkrētiem auditorijas segmentiem (jūrmalniekiem, vietēja mēroga un starptautiskiem tūristiem) katrā sezonā).</t>
  </si>
  <si>
    <t>P2.1.2. Dzintaru koncertzāles konkurētspējas stiprināšana nacionālā un starptautiskā mērogā (t.sk. ilgtermiņa finanšu instrumenta nodrošināšana starptautisko mākslinieku piesaistei).</t>
  </si>
  <si>
    <t>P2.1.3. Jūrmalu kā kūrortpilsētu pozicionējošu ikgadēju profesionālās mākslas festivālu un pasākumu rīkošana vai līdzfinansēšana</t>
  </si>
  <si>
    <t xml:space="preserve">U2.2. Nostiprināt Jūrmalas kā kultūras un mākslas pilsētas identitāti un konkurētspēju </t>
  </si>
  <si>
    <t>P2.2.3. Gadskārtu svētku, pilsētas svētku un dažādām sabiedrības mērķgrupām domātu pasākumu rīkošana, nostiprinot Jūrmalas zīmolu vietējā, nacionālā un starptautiskā mērogā.</t>
  </si>
  <si>
    <t>P2.2.5. Jūrmalas kā festivālu pilsētas tēla nostiprināšana.</t>
  </si>
  <si>
    <t>Mārketinga un ārējo sakaru pārvaldes Sabiedrisko attiecību nodaļa</t>
  </si>
  <si>
    <t>Sabiedrisko attiecību veidošanas pasākumi</t>
  </si>
  <si>
    <t>08.300</t>
  </si>
  <si>
    <t>Tipogrāfijas un maketēšanas pakalpojumi Jūrmalas pašvaldības informatīvā izdevuma izdošanai</t>
  </si>
  <si>
    <t>JPAP_R3.1.4._135
JPAP_R.3.1.2._131</t>
  </si>
  <si>
    <t xml:space="preserve">Iepirkums par tipogrāfijas pakalpojumiem izsludināts 2018.gada oktobrī. Līgums par maketēšanas un korektūras pakalpojumiem ar SIA "Rīgas Apriņķa Avīze" spēkā līdz 2020.gada beigām. Plānots par 5-10% palielināt tirāžu. </t>
  </si>
  <si>
    <t xml:space="preserve">Pašvaldības informatīvā izdevuma piegāde </t>
  </si>
  <si>
    <t xml:space="preserve">Līgums 1.2-16.4.3/1626 ar VAS "Latvijas Pasts", spēkā līdz 20.06.2019 vai summas 41999 EUR sasniegšanai. </t>
  </si>
  <si>
    <t>Sociālo pakalpojumu informatīvā bukleta sagatavošana un izdošana</t>
  </si>
  <si>
    <t xml:space="preserve">Sadarbībā ar Labklājības pārvaldi plānots izdot aktualizētu sociālo pakalpojumu un atbalsta informatīvo bukletu, lai nodrošinātu iedzīvotāju informētību par pašvaldības sociālo atbalstu un pakalpojumiem. </t>
  </si>
  <si>
    <t>Online ziņu abonements (ziņu aģentūra LETA), mediju monitorings un publicitātes pārskati</t>
  </si>
  <si>
    <t>Iepirkuma līgums "Ziņu aģentūras un fotoreportiera pakalpojumi" ar SIA LETA 1.2-16.4.3/74 spēkā līdz 31.12.2019.</t>
  </si>
  <si>
    <t>Sabiedrisko attiecību kampaņu, mediju pasākumu, konferenču, semināru, gadadienu u.c. pasākumu organizēšanas izdevumi. Aģentūru pakalpojumi.</t>
  </si>
  <si>
    <t>JPAP_R3.1.4._135
JPAP_R1.2.2._11
JPAP_R1.7.1._43
JPAP_R3.3.1._199
JPAP_R3.3.1._202</t>
  </si>
  <si>
    <t>Iepirkumi pasākumu, mediju pasākumu, objektu atklāšanu organizēšanai, sabiedrisko attiecību, radošo aģentūru pakalpojumi. Paredzams izmaksu pieaugums, jo 2019.gadā plānoti vairāki lieli atklāšanas/ publicitātes pasākumi - PVO "Veselīga pilsēta" statusa piešķiršanas pasākums; pamatakmens ielikšana Ķemeru atjaunošanas darbiem; Teritorijas plānojuma grozījumu video izgatavošana; Zilā Karoga pacelšanas - peldsezonas sākuma - pasākums u.c.</t>
  </si>
  <si>
    <t>Citi pakalpojumi, kas saistīti ar sabiedrisko attiecību, mediju pasākumu, atklāšanu organizēšanu.</t>
  </si>
  <si>
    <t xml:space="preserve">Preces pašvaldības sabiedrisko attiecību pasākumu nodrošināšanai, lielāko daļu budžeta veido Ziemassvētku paciņas pirmsskolas izglītības iestāžu audzēkņiem. </t>
  </si>
  <si>
    <t>Jūrmalas pilsētas sociālo kontu pašreklāma, kampaņu organizēšana sociālajos tīklos (Facebook, Twitter, Instagram)</t>
  </si>
  <si>
    <t>JPAP_R3.1.4._135
JPAP_R1.2.2._11</t>
  </si>
  <si>
    <t xml:space="preserve">Pakalpojums: pašvaldības sociālo mediju profilu reklāmai un papildus mērķauditorijas sasniegšanai Facebook, Instagram un Twitter sociālajos tīklos. </t>
  </si>
  <si>
    <t>JPAP_R3.1.4._135
JPAP_R.3.1.2._131
JPAP_R1.9.1._51</t>
  </si>
  <si>
    <t>2020.-2021.gadā plānota jaunas pašvaldības tīmekļa vietnes www.jurmala.lv izstrāde, līdz iepirkuma izsludināšanai ir jāveic vietnes funkcionālā izpēte un jāizstrādā ieteikumi un vadlīnijas jaunas tīmekļa vietnes izstrādei.</t>
  </si>
  <si>
    <t>Līgumi ar fiziskām personām (autoratlīdzības, uzņēmuma līgumi)</t>
  </si>
  <si>
    <t>JPAP_R3.1.4._135
JPAP_R1.2.2._11
JPAP_R1.7.1._43
JPAP_R1.9.1._51
JPAP_R3.3.1._199
JPAP_R3.3.1._202</t>
  </si>
  <si>
    <t xml:space="preserve">Autoratlīdzības un uzņēmuma līgumi video materiālu izgatavošanai mājaslapai un sociālajiem tīkliem; datu vizualizāciajai un infografiku izveidei komunikācijas vajadzībām; maksa par pasākumu vadīšanu u.c. </t>
  </si>
  <si>
    <t>Informācijas izvietošana vietējā laikrakstā</t>
  </si>
  <si>
    <t>Pakalpojums: pašvaldības informācijas izvietošana vietējā lairakstā. Tiks organizēts iepirkums.</t>
  </si>
  <si>
    <t>Tulkošanas pakalpojumi</t>
  </si>
  <si>
    <t>JPAP_R3.1.4._135
JPAP_R1.9.1._51</t>
  </si>
  <si>
    <t xml:space="preserve">Nepieciešamie tulkojumi visitjurmala.lv saturam paredzami Mārketinga un tūrisma nodaļas budžetā. </t>
  </si>
  <si>
    <t>JPAP_R3.1.4._135 Uzlabota komunikācija ar pilsētas iedzīvotājiem</t>
  </si>
  <si>
    <t xml:space="preserve">JPAP_R1.9.1._51 Jūrmalas kā kūrorta un tikšanās vietas tēla veidošana (Jūrmalas pilsētas portāla funkcionalitātes paplašināšana); </t>
  </si>
  <si>
    <t>JPAP_R.3.1.2._131 Pašvaldības pārvaldes kapacitātes celšana (Kvalitatīva pašvaldības pārvaldes nodrošināšana)</t>
  </si>
  <si>
    <t>JPAP_R1.2.2._11 Kultūrvēsturiskā mantojuma saglabāšana un attīstība (esošās kultūrvēsturiskās koka arhitektūras vērtību apzināšana un popularizēšana);</t>
  </si>
  <si>
    <t xml:space="preserve">JPAP_R1.7.1._43 Kultūras tūrisma piedāvājuma attīstība (Kultūras dzīves piedāvājuma attīstība visa gada garumā) </t>
  </si>
  <si>
    <t>JPAP_R3.3.1._199 Pilsētas kultūras iestāžu un muzeju darbības pilnveide (Jūrmalas muzeju popularizēšana)</t>
  </si>
  <si>
    <t>JPAP_R3.3.1._202 Pilsētas kultūras iestāžu un muzeju darbības pilnveide (Pilsētas tēla "Jūrmala - Raiņa un Aspazijas pilsēta" izveide)</t>
  </si>
  <si>
    <t>Administratīvi juridiskās pārvaldes Juridiskā nodrošinājuma nodaļa</t>
  </si>
  <si>
    <t>Juridiskie pakalpojumi ar pašvaldības darbu saistītos jautājumos</t>
  </si>
  <si>
    <t>01.330</t>
  </si>
  <si>
    <t>Juridiskā pārstāvniecība</t>
  </si>
  <si>
    <t>Personu datu apstrādes atbilstības novērtējuma sagatavošana</t>
  </si>
  <si>
    <t>Eiropas Parlamenta un Padomes regulas Nr.2016/679 par fizisku personu aizsardzību attiecībā uz personas datu apstrādi un šādu datu brīvu apriti un ar ko atceļ Direktīvu 95/46/EK (Vispārīgā datu aizsardzības regula) 35. pants</t>
  </si>
  <si>
    <t>Rīcības virziens: R.3.1.2. Pašvaldības pārvaldes kapacitātes celšana</t>
  </si>
  <si>
    <t xml:space="preserve">Struktūrvienība: </t>
  </si>
  <si>
    <t>Administratīvi juridiskās pārvaldes Tiesvedības nodaļa</t>
  </si>
  <si>
    <t>Ar tiesvedības procesiem saistītie izdevumi</t>
  </si>
  <si>
    <t>JPAP_ R.3.1.2._131</t>
  </si>
  <si>
    <t>Tiesas spriedumu izpilde</t>
  </si>
  <si>
    <t>2018.gada gaidāmā izpilde, ja 2018.gada 12.novembrī ir nelabvēlīgs Augstākās tiesas spriedums civillietā Nr. C17089010 (SIA "Creato"). Pieprasījums 2019.gadam saskaņā ar paskaidrojuma rakstu.</t>
  </si>
  <si>
    <t>Tiesāšanās izdevumi</t>
  </si>
  <si>
    <t>Aktivitāte Nr.131: Kvalitatīva pašvaldības pārvaldes kapacitātes nodrošināšana</t>
  </si>
  <si>
    <t>Inženierbūvju un ģeodēzijas nodaļa</t>
  </si>
  <si>
    <t>06.200</t>
  </si>
  <si>
    <t>Meliorācijas sistēmu tehniskā apsekošana</t>
  </si>
  <si>
    <t>Pilsētas meliorācijas būvju tehniskā apsekošana atbilstoši Jūrmalas pilsētas attīstības programmas 2014.-2020. Rīcības plānam un Inženierbūvju un ģeodēzijas nodaļas funkcijām.
Pakalpojuma līgums Nr.1.2-16.4.3/1322, 25.10.2018., ar prognozējamo izpildi 2018.gada decembrī.</t>
  </si>
  <si>
    <t>Ģeodēziskā tīkla pilnveidošana un jaunu punktu izbūve</t>
  </si>
  <si>
    <t>Punktu izbūve un pilnveidošana pamatota ar Jūrmalas pilsētas domes 2016.gada 25.februāra lēmumu Nr. 50 "Par vietējā ģeodēziskā tīkla pilnveidošanu Jūrmalas pilsētā" un citiem normatīviem aktiem. Šī gada laikā ir veikta grunts punktu izbūve. Izbūvētajiem punktiem ir jāiziet viens sasaluma cikls un  2019. gadā  punktiem jāveic validēšana -pilnveidošana. Nākamā gadā arī  jāturpināta punktu izbūve, kurus validēs 2020.gadā.</t>
  </si>
  <si>
    <t>3</t>
  </si>
  <si>
    <t>Priekšizpēte par ģeotermālās enerģijas izmantošanas potenciālu</t>
  </si>
  <si>
    <t>Aktivitāte paredz informatīvu apkopojumu par ģeoloģiskajiem apstākļiem un teorētiskajām aplēsēm par ģeotermālās enerģijas izmantošanas potenciālu energoapgādes vajadzībām Jūrmalā. Priekšizpētes atskaitē izstrādājama sadaļa par turpmāko rīcību un uzdevumiem problēmas tālākai, padziļinātai izpētei.
Aktivitāti paredzēts realizēt sadarbībā ar SIA "Jūrmalas siltums" un ar SIA "Jūrmalas siltums" līdzfinansējumu 5000 EUR apmērā.</t>
  </si>
  <si>
    <t>ADTI maksas pakalpojumi  (topo pārbaudes un pārskata shēmas)</t>
  </si>
  <si>
    <t>Nodaļas maksas pakalpojumi (atzinumi)</t>
  </si>
  <si>
    <t>Nodaļas maksas pakalpojumi (pārskata shēmas)</t>
  </si>
  <si>
    <t>Rakšanas atļaujas</t>
  </si>
  <si>
    <t>Jūrmalas pilsētas Attīstības programma 2014.-2020.gadam (JPAP)</t>
  </si>
  <si>
    <t>M1 - vidējā termiņa mērķis "Kūrorts un tikšanās vieta"</t>
  </si>
  <si>
    <t>M2 - vidējā termiņa mērķis "Komunālā un transporta infrastruktūra"</t>
  </si>
  <si>
    <t>P2.5. - prioritāte "Ūdensapgādes un notekūdeņu apsaimniekošanas sistēmu pilnveide"</t>
  </si>
  <si>
    <t>P2.8. - prioritāte "Publiskās telpas labiekārtošana"</t>
  </si>
  <si>
    <t>Jūrmalas pilsētas ūdens resursu aizsardzības rīcības plāns 2016.–2020.gadam (JPŪR)</t>
  </si>
  <si>
    <t>M1 - mērķis "Tīri piekrastes ūdeņi"</t>
  </si>
  <si>
    <t>Kultūras nodaļa</t>
  </si>
  <si>
    <t>Kultūras pasākumi</t>
  </si>
  <si>
    <t>08.620</t>
  </si>
  <si>
    <t>Jūrmala Raiņa un Aspazijas pilsēta</t>
  </si>
  <si>
    <t>Latvijas jauniešu festivāls "Rainis un Aspazija Tev!" notiek katru orto gadu, tas notiks 2019.gadā.; Priekšlikums - 2017.gada līmenī, kad tika arī organizēts festivāls</t>
  </si>
  <si>
    <t>Kultūras projektu konkurss - Profesionālās mākslas pieejamība Jūrmalā</t>
  </si>
  <si>
    <t xml:space="preserve">JPAP_R1.7.1._42 JPAP_R1.7.1._43  JPAP_R3.3.1._191      JPKAP_U2.1_P2.1.1    JPKAP_U2.1_P2.1.3 </t>
  </si>
  <si>
    <t>Jūrmalas pilsētas domes līdzfinansēto iniciatīvas projektu konkurss</t>
  </si>
  <si>
    <t xml:space="preserve">JPAP_R3.3.1._191  JPAP_R1.7.1._43    JPKAP_U1.3_U1.3.3      JPKAP_U4.1_P4.1.1 </t>
  </si>
  <si>
    <t>Projektu konkurss Jūrmala - Latvijas valsts simtgadei</t>
  </si>
  <si>
    <t xml:space="preserve">JPAP_R1.7.1._42 JPAP_R1.7.1._43  JPAP_R3.3.1._191   JPKAP_U1.3_U1.3.3   JPKAP_U2.2_P2.2.1   </t>
  </si>
  <si>
    <t>Jāpārceļ 7914.45 un jārezervē 34523.00. Jaunu projektu līdzfinansēšanai nepieciešami 50 000,00</t>
  </si>
  <si>
    <t>Izglītības semināri nozares darbiniekiem</t>
  </si>
  <si>
    <t xml:space="preserve">JPAP_R.1.4.3._17   JPAP_R1.7.1._42    JPKAP_U4.2_P4.2.1   </t>
  </si>
  <si>
    <t>Kūrorta svētki</t>
  </si>
  <si>
    <t xml:space="preserve">JPAP_R.1.4.3._17 JPAP_R1.7.1._42 JPAP_R3.3.1._191    JPAP_R3.3.1._193  JPKAP_U2.1_P2.1.2 JPKAP_U2.1._P.2.1.3 JPKAP_U2.2_P2.2.3     JPKAP_U4.1_P4.1.2 </t>
  </si>
  <si>
    <t>Starptautiskas A līmeņa grupas nodrošināšanai nepieciešams papildus finansējums</t>
  </si>
  <si>
    <t>Kauguru svētki</t>
  </si>
  <si>
    <t xml:space="preserve">JPAP_R1.7.1._42 JPAP_R3.3.1._191   JPAP_R3.3.1._193    JPKAP_U2.2_P2.2.3     JPKAP_U4.1_P4.1.2      </t>
  </si>
  <si>
    <t>Gada balva kultūrā</t>
  </si>
  <si>
    <t xml:space="preserve">JPAP_R1.7.1._42  JPAP_R1.7.1._43 JPAP_R3.3.1._191   JPAP_R3.3.1._193        JPKAP_U4.2_P4.2.2 </t>
  </si>
  <si>
    <t>Starptautiskais Baltijas jūras koru konkurss, festivāls u.tml.</t>
  </si>
  <si>
    <t xml:space="preserve">JPAP_R1.7.1._42    JPAP_R3.3.1._193   JPKAP_U2.1_P2.1.2 JPKAP_U2.1_P2.1.3    JPKAP_U2.2_P2.2.5  </t>
  </si>
  <si>
    <t>Valsts svētku svinīgais pasākums</t>
  </si>
  <si>
    <t>JPAP_R1.7.1._43     JPKAP_U2.2_P2.2.1</t>
  </si>
  <si>
    <t xml:space="preserve">Radošā darba stipendijas, tai skaitā uzturēšanās izdevumu kompensācijas </t>
  </si>
  <si>
    <t>JPAP_R3.3.1._193     JPKAP_U4.2_P4.2.3</t>
  </si>
  <si>
    <t>Latvija simtgades projekts - Brīvības ielas stāsts</t>
  </si>
  <si>
    <t>JPAP_R3.3.1._191    JPAP_R3.3.1._193      JPKAP_U2.2_P2.2.1</t>
  </si>
  <si>
    <t>Kultūras nozares mājas lapas izstrāde</t>
  </si>
  <si>
    <t>JPAP_R1.7.1._42  JPAP_R1.7.1._43    JPKAP_U 4.1._P4.1.4     JPKAP_U 4.3._P4.3.1.     JPTARP_U3.3_P.3.3.2.</t>
  </si>
  <si>
    <t>Audiogida izveidošana Jūrmalas pilsētas muzejā</t>
  </si>
  <si>
    <t xml:space="preserve">JPAP_R1.7.1._42 JPAP_R3.3..1._199 JPKAP_U2.1_P2.1.1  </t>
  </si>
  <si>
    <t>Iepirkuma līgums tiks noslēgts 2018.g.novembrī, līguma termiņš 5 mēneši.</t>
  </si>
  <si>
    <t>Muzeja informatīvā stenda izveide</t>
  </si>
  <si>
    <t>Nepieciešams līdzekļu palielinājums saistībā ar muzeja stendu projekta izstrādi, saskaņošanu, stendu izgatavošanu, uzstādīšanu un elektrības pieslēgumu. Līdzekļu palielinājums ir uz 7 sadaļas "Kauguru svētki" samazinājuma rēķina. Kopējais budžeta pieprasījums nemainās.</t>
  </si>
  <si>
    <t>Starptautiska festivāla organizēšana</t>
  </si>
  <si>
    <t xml:space="preserve">JPAP_R1.7.1._42 JPAP_R3.3..1._191 JPKAP_U2.1_P2.1.3  </t>
  </si>
  <si>
    <t>Katalogs ''Bibliotēkas, kas palīdzēja izaugt Latvijai''</t>
  </si>
  <si>
    <t xml:space="preserve">JPAP_R1.7.1._43  JPAP_R3.3.1._193 JPKAP_U2.2._P2.2.3 JPKAP_U4.1_P4.1.4      </t>
  </si>
  <si>
    <t>Pilsētas ģērboņa dekoratīvais gleznojums ''Latvijas pilsētas un novadi valsts simtgadei'' Vecrīgā</t>
  </si>
  <si>
    <t>JPKAP_U2.2_P2.2.1</t>
  </si>
  <si>
    <t>Grāmata ''Zelta laiki''</t>
  </si>
  <si>
    <t xml:space="preserve">JPAP_R3.3.1._193 JPKAP_U1.3._U1.3.3 JPKAP_U4.3_P4.3.3      </t>
  </si>
  <si>
    <t>Jūrmalas teātrim 40.dzimšanas diena</t>
  </si>
  <si>
    <t xml:space="preserve">JPAP_R3.3.1._193 </t>
  </si>
  <si>
    <t xml:space="preserve">"Projektu konkurss par mākslinieciski augstvērtīgu vides objektu izveidi Jūrmalā" </t>
  </si>
  <si>
    <t>Rīcības virziens: R1.4.3.: Citu tūrisma pakalpojumu attīstība</t>
  </si>
  <si>
    <t>Aktivitāte: Nr. 17. Tūrisma pakalpojumu piedāvājuma dažādošana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</si>
  <si>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</si>
  <si>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</si>
  <si>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</si>
  <si>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</si>
  <si>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Nr.202. Pilsētas tēla "Jūrmala - Raiņa un Aspazijas pilsēta" izveide</t>
  </si>
  <si>
    <t>Aktivitāte: Nr. 193 Jūrmalas kā kultūras un mākslas pilsētas identitātes un konkurētspējas nostiprināšana</t>
  </si>
  <si>
    <t>U.1.3.: Nodrošināt  mūžizglītības un radošuma attīstīšanas iespējas jūrmalniekiem.</t>
  </si>
  <si>
    <t xml:space="preserve">Pasākums: U1.3.3.Jūrmalas pilsētas iedzīvotāju un nevalstisko organizāciju radošo kultūras iniciatīvu atbalstīšana, </t>
  </si>
  <si>
    <t>līdzfinansējot un līdzorganizējot dažādu žanru kultūras pasākumus specifiskām iedzīvotāju auditorijām</t>
  </si>
  <si>
    <t>Pasākums: P2.1.1. Nodrošināt dažādu mērķauditorijas segmentu vajadzībām atbilstošas profesionālās mākslas pieejamību Jūrmalā.</t>
  </si>
  <si>
    <t>Pasākums: P2.1.3. Jūrmalu kā kūrortpilsētu pozicionējošu ikgadēju profesionālās mākslas festivālu un pasākumu rīkošana vai līdzfinansēšana</t>
  </si>
  <si>
    <t xml:space="preserve">U.2.2. Nostiprināt Jūrmalas kā kultūras un mākslas pilsētas identitāti un konkurētspēju </t>
  </si>
  <si>
    <t>Pasākums: P2.2.1. Valsts svētku un atceres dienu rīkošana pilsētas iedzīvotājiem un viesiem, tai skaitā Latvijai-100 atzīmēšana.</t>
  </si>
  <si>
    <t>Pasākums: P2.2.2. Jūrmalas kā Aspazijas un Raiņa pilsētas tēla nostiprināšana</t>
  </si>
  <si>
    <t xml:space="preserve">Pasākums: P2.2.3. Gadskārtu svētku, pilsētas svētku un dažādām sabiedrības mērķgrupām domātu pasākumu rīkošana, nostiprinot Jūrmalas zīmolu vietējā, nacionālā un starptautiskā mērogā. </t>
  </si>
  <si>
    <t>Pasākums: P2.2.5. Jūrmalas kā festivālu pilsētas tēla nostiprināšana</t>
  </si>
  <si>
    <t>U.4.1. Attīstīt sadarbību starp dažādām pašvaldības kultūras un citām iestādēm, ģeogrāfiski līdzsvarota kultūras piedāvājuma veidošanā un pieejamības veicināšanā.</t>
  </si>
  <si>
    <t>Pasākums: P4.1.1. Nevalstisko organizāciju un citu operatoru iesaiste apkaimju piederības sajūtas veidošanā un mehānisms tā nodrošināšanai –iedzīvotāju iniciatīvu projektu konkurss.</t>
  </si>
  <si>
    <t>Pasākums: P4.1.2. Mazākumtautību iesaiste apkaimju kultūras dzīvē</t>
  </si>
  <si>
    <t>U.4.2. Stiprināt kultūras nozares darbinieku kapacitāti un profesionālo izaugsmi.</t>
  </si>
  <si>
    <t xml:space="preserve">Pasākums: P4.2.1. Kultūras nozares darbinieku profesionālās izaugsmes atbalsta programma </t>
  </si>
  <si>
    <t>Pasākums: P4.2.2. Konkursa „Gada balva kultūrā"  rīkošana, novērtējot Jūrmalas pilsētas kultūras dzīves spilgtākos notikumus pašvaldības, valsts un starptautiskā mērogā.</t>
  </si>
  <si>
    <t xml:space="preserve">Pasākums: P4.2.3. Mūža stipendijas izciliem kultūras un sabiedriskiem darbiniekiem. </t>
  </si>
  <si>
    <t>Pilsētplānošanas nodaļa</t>
  </si>
  <si>
    <t>Jauns detāl/lokālplānojums un/vai izpētes darbi</t>
  </si>
  <si>
    <t>JPAP_P3.1._ R3.1.1. 119</t>
  </si>
  <si>
    <t>Līgums Nr.1.2-16.4.3/1250, METRUM</t>
  </si>
  <si>
    <t>Līgums Nr.1.2-16.4.3/1251, METRUM</t>
  </si>
  <si>
    <t>Līgums Nr.1.2-16.4.3/1453, Reģionālie projekti + papildus finansējums jāparedz izpētēm atbilstoši institūciju norādījumiem un pilnveidotās redakcijas izstrādei, ja tiks pieņemts attiecīgs Domes lēmums; Detālplāna izstrādei Dubultu glābšanas stacijas jaunbūves projektēšanai</t>
  </si>
  <si>
    <t>Jaunam teritorijas attīstības plānošanas dokumentam (lokāl/detālplānojumam) - Detālplānojuma izstrāde zemesgabaliem Priedaine 2302, Priedaine 2001, Priedaine 1201,  Priedaine 2303 un Lielais prospekts 0041, Jūrmalā</t>
  </si>
  <si>
    <t>Jūrmalas pilsētas teritorijas plānojuma grozījumu izstrāde</t>
  </si>
  <si>
    <t>Jūrmalas pilsētas domes 2018.gada 15.marta lēmums Nr.122 par Jūrmalas pilsētas Teritorijas plānojuma grozījumu izstrādi. Ietverts PPN prioritāro pasākumu 2019-2021 plānā.</t>
  </si>
  <si>
    <t>Bioloģiskās daudzveidības vai cita izpēte teritorijas attīstības plānošanas dokumentu izstrādes nodrošināšanai</t>
  </si>
  <si>
    <t>Nepieciešams paredzēt finansējumu bioloģiskās daudzveidības vai citas izpētes organizēšanai, lai nodrošinātu attīstības plānošanas dokumentu izstrādi.</t>
  </si>
  <si>
    <t>Jūrmalas pilsētas ainavu aizsardzības un plānošanas koncepcija/Slokas papīrfabrikas teritorijas tematiskais plānojums</t>
  </si>
  <si>
    <t>JPAP_P3.1._ R3.1.1._119; JPAP_P2.8._R.2.8.1._97; JPAP_P3.7._R3.7.2._233</t>
  </si>
  <si>
    <t>Jūrmalas ainavas saglabāšanas, pārvaldības un attīstības koncepcijas izstrāde, lai nodrošinātu regulējumu ar kura palīdzību tiktu veicināta Jūrmalas ainavas saglabāšana un līdzsvarota attīstība vai Sokas papīrfabrikas tematiskā plānojuma izstrāde, ietverot attīstības perspektīvas, vietējās uzņēmējdarbības atbalsta infrastruktūras attīstībai.</t>
  </si>
  <si>
    <t>Pilsētas svētku noformējums</t>
  </si>
  <si>
    <t>Pilsētas dekoratīvā svētku apgaismojuma uzturēšana un atjaunošana</t>
  </si>
  <si>
    <t>JPAP_P2.2._R.2.2.1._70</t>
  </si>
  <si>
    <t>Papildus apgaismojuma demont., uzglabāšana , atjaunošana, montāža</t>
  </si>
  <si>
    <t>Ziemassvētku egles (iegāde, uzstādīšana, demontāža)</t>
  </si>
  <si>
    <t>Egles</t>
  </si>
  <si>
    <t>Pilsētas svētku noformējuma izveide, montāža un demontāža</t>
  </si>
  <si>
    <t>Lieldienu, Līgo noformējums. Papildus finansējums karogu mastu remontam.</t>
  </si>
  <si>
    <t>Karogi. Nepieciešams paredzēt papildus finansējumu, jo karogi jāmaina 3-4 reizes gadā.</t>
  </si>
  <si>
    <t xml:space="preserve">Lieldienas,  Līgo, vainagi, Ziemassv. Konstrukc.noformējums  Priedainē                  </t>
  </si>
  <si>
    <t>Vides  objekta Dubultu kultūras kvartālā mākslinieciskā risinājuma izstrāde, piegāde un uzstādīšana</t>
  </si>
  <si>
    <t xml:space="preserve">Ziemassvētku noformējuma konkurss (atzinības raksti, apbalvojumi, ēdināšanas pakalpojumi )                                                                                                                                                                                                                                                                                                                                                          </t>
  </si>
  <si>
    <t>Konkursa noslēguma pasākuma ēdināšanas pakalpojumi</t>
  </si>
  <si>
    <t>Rāmīši, balvas, iesaiņojums</t>
  </si>
  <si>
    <t xml:space="preserve">Svētku apgaismojuma noformējuma izveide, montāža un demontāža                                                                                                                                                                                                                                                                                                                                                    </t>
  </si>
  <si>
    <t>Jaunu gaismas dekoru izveide Asaru prosp.,M.Nometņu ielā, Dubultu/Strēlnieku prosp. u.c.</t>
  </si>
  <si>
    <t xml:space="preserve">Pilsētas apkaimes zīmju un  robežzīmju izveide, projekta izstrādāšana                                                                                                                                                     </t>
  </si>
  <si>
    <t>JPAP_P2.2._R.2.2.1._70 JPTARP_U1.2._P.1.2.9. JPKVAP_U1.1._P.1.1.3.</t>
  </si>
  <si>
    <t>Robežzīmes, apkaimju zīmes projekts</t>
  </si>
  <si>
    <t>Pasākums "Ziemas pasaka  Dzintaru mežaparkā" uzturēšana un atjaunošana, jauna noformējuma izveide</t>
  </si>
  <si>
    <t>JPAP_P1.7._R.1.7.1._43 JPTARP_U1.2_P1.2.5.</t>
  </si>
  <si>
    <t>esošā noformējuma uzturēšana,atjaunošana un papildināšana, atsevišķu daļu demontāža, uzglabāšana  un montāža</t>
  </si>
  <si>
    <t>jauna noformējuma izveide</t>
  </si>
  <si>
    <t>Pilsētas kultūrvēsturiskā mantojuma saglabāšana</t>
  </si>
  <si>
    <t>08.290</t>
  </si>
  <si>
    <t>Līdzfinansējuma nodrošināšanai sabiedriski pieejama kultūrvēsturiskā mantojuma saglabāšanai objektos, kuros notiek pilsētas nozīmes pasākumi</t>
  </si>
  <si>
    <t>JPAP_P1.2._R.1.2.2._10 JPKVAP_U1.2._U.1.2.4. JPKVAP_U3.3._P.3.3.4.</t>
  </si>
  <si>
    <t>Kultūrvēsturiski vērtīgu - saglabājumu ēku datu bāzes izveide</t>
  </si>
  <si>
    <t>JPAP_P1.2._R.1.2.2._10_11 JPKVAP_U1.2._U.1.2.4. JPKVAP_U3.3._P.3.3.4.</t>
  </si>
  <si>
    <t>Datu bāzē tiks iekļautas 1100 kulturvēsturiski vērtīgas - saglabājamas ēkas. Pasākums ietverts PPN jauno prioritāro pasākumu 2019-2021 plānā.</t>
  </si>
  <si>
    <t>Grāmatas "“Jūrmalas vēsturisko koka ēku būvdetaļas un dekoratīvie fasāžu apdares elementi" izdošana</t>
  </si>
  <si>
    <t>2000 eksemplāri. Pasākums ietverts PPN jauno prioritāro pasākumu 2019-2021 plānā.</t>
  </si>
  <si>
    <t>Jūrmalas pilsētas attīstības programma 2014. – 2020.gadam (JPAP)</t>
  </si>
  <si>
    <t>Rīcības virziens: R.1.2.2. Kultūrvēsturiskā mantojuma saglabāšana un attīstība</t>
  </si>
  <si>
    <t>Aktivitāte: Nr.10 Kultūrvēsturiski vērtīgās koka arhitektūras vērtību saglabāšanas pasākumi</t>
  </si>
  <si>
    <t>Rīcības virziens R1.7.1. Kultūras tūrisma piedāvājuma attīstība</t>
  </si>
  <si>
    <t>Aktivitāte:Nr.43 Kultūras dzīves piedāvājuma attīstība visa gada garumā</t>
  </si>
  <si>
    <t>Rīcības virziens: R.2.2.1. Jūrmalas vizuālās identitātes standarta izstrāde un ieviešana</t>
  </si>
  <si>
    <t>Aktivitāte: Nr.70 Jūrmalas vizuālās identitātes veidošana un uzraudzīšana</t>
  </si>
  <si>
    <t>Rīcības virziens: R.3.1.1. Pilsētas attīstības plānošana</t>
  </si>
  <si>
    <t>Aktivitāte: Nr.119 Pašvaldības attīstības plānošanas dokumentu izstrāde un uzraudzība</t>
  </si>
  <si>
    <t>Jūrmalas pilsētas tūrisma attīstības rīcības plāns 2018 - 2020 (JPTARP)</t>
  </si>
  <si>
    <t>Uzdevums U 1.2. Atpūtas , rekreācijas tūrisma piedāvājuma pilnveidošana vietējiem un ārvalstu viesiem</t>
  </si>
  <si>
    <t>P 1.2.5. Ziemas pasakas izveide Dzintaru Mežaparkā (interaktīvas gaismas instalācijas ziemas periodā (decembris–aprīlis))</t>
  </si>
  <si>
    <t>P.1.2.9. Pilsētas apkaimju atpazīstamības veicināšana un zīmju izvietošana, apkaimju nosaukumu un vērtību integrēšana tūrisma mārketingā</t>
  </si>
  <si>
    <t>Jūrmalas pilsētas kultūrvides attīstības plāns 2017.-2020.gadam (JPKVAP)</t>
  </si>
  <si>
    <r>
      <t xml:space="preserve">U1.1: </t>
    </r>
    <r>
      <rPr>
        <sz val="9"/>
        <color rgb="FF000000"/>
        <rFont val="Times New Roman"/>
        <family val="1"/>
        <charset val="186"/>
      </rPr>
      <t>Rosināt un atbalstīt radošu un oriģinālu kultūras piedāvājumu integrēšanu pilsētvidē; akcentēt apkaimju vizuālo un saturisko identitāti.</t>
    </r>
  </si>
  <si>
    <t>P.1.1.3.Radoši risinājumi pilsētas apkaimju vizuālai un saturiskai marķēšanai.</t>
  </si>
  <si>
    <r>
      <t xml:space="preserve">U1.2. </t>
    </r>
    <r>
      <rPr>
        <sz val="9"/>
        <color rgb="FF000000"/>
        <rFont val="Times New Roman"/>
        <family val="1"/>
        <charset val="186"/>
      </rPr>
      <t>Stiprināt bibliotēku lomu kā apkaimju izglītības, informācijas, kultūras un sabiedriskās saskarsmes centrus.</t>
    </r>
  </si>
  <si>
    <t>U.1.2.4. Jūrmalas kultūrvēstures izpēte un atraktīva popularizēšana.</t>
  </si>
  <si>
    <r>
      <t xml:space="preserve">U3.3. </t>
    </r>
    <r>
      <rPr>
        <sz val="9"/>
        <color rgb="FF000000"/>
        <rFont val="Times New Roman"/>
        <family val="1"/>
        <charset val="186"/>
      </rPr>
      <t xml:space="preserve">Izstrādāt mantojumā balstītus kultūrtūrisma produktus un pakalpojumus. </t>
    </r>
  </si>
  <si>
    <t>P.3.3.4. Koka arhitektūras kultūrvēsturiskā mantojuma popularizēšana.</t>
  </si>
  <si>
    <t>Jūrmalas Sporta servisa centrs</t>
  </si>
  <si>
    <r>
      <t>Programma:</t>
    </r>
    <r>
      <rPr>
        <b/>
        <i/>
        <sz val="9"/>
        <rFont val="Times New Roman"/>
        <family val="1"/>
        <charset val="186"/>
      </rPr>
      <t xml:space="preserve"> </t>
    </r>
  </si>
  <si>
    <t>Jūrmalas čempionāts basketbolā vīriešiem</t>
  </si>
  <si>
    <t>JPAP_M1_P1.6._R1.6.3._41 JPSAAAS Mērķi Nr.1;Nr.3;Nr.4.</t>
  </si>
  <si>
    <t>Jūrmalas atklātais amatieru čempionāts  hokejā</t>
  </si>
  <si>
    <t>Jūrmalas domes kauss pludmales futbolā</t>
  </si>
  <si>
    <t>Jūrmalas čempionāts pludmales volejbolā</t>
  </si>
  <si>
    <t xml:space="preserve">Jūrmalas gada balva sportā </t>
  </si>
  <si>
    <t>Jūrmalas čempionāts basketbolā 2018/19</t>
  </si>
  <si>
    <t>CEV/FIVB starptautiskās pludmales volejbola sacensības</t>
  </si>
  <si>
    <t>Jūrmalas skriešanas svētki</t>
  </si>
  <si>
    <t>Neatkarības dienas velobrauciens</t>
  </si>
  <si>
    <t>Jūrmalas velomaratons</t>
  </si>
  <si>
    <t>Jūrmalas krāsu skrējiens</t>
  </si>
  <si>
    <t>Electric Run Jūrmala</t>
  </si>
  <si>
    <t>Jūrmalas MTB velomaratons</t>
  </si>
  <si>
    <t>Latvijas čempionāts pludmales volejbolā</t>
  </si>
  <si>
    <t>Pasaules kausa posms ielu vingrošanā</t>
  </si>
  <si>
    <t>Ielu dejošanas pasākums "Ghetto dance"</t>
  </si>
  <si>
    <t>24. starptautiskās sacensības mākslas vingrošanā "Mazā un lielā grācija"</t>
  </si>
  <si>
    <t>"Jurmala Cup" ūdens motosporta sacensības</t>
  </si>
  <si>
    <t>Jāņa Roviča kauss boksā</t>
  </si>
  <si>
    <t>Starptautiskais pludmales handbola turnīrs "Jūrmala"</t>
  </si>
  <si>
    <t>Latvijas senioru atklātais čempionāts tenisā</t>
  </si>
  <si>
    <t>Starptautiskās karatē sacensības "Jūrmalas kauss "</t>
  </si>
  <si>
    <t>SSB Sporta spēles</t>
  </si>
  <si>
    <t>LAF organizētās sacensības airēšanā</t>
  </si>
  <si>
    <t>Jūrmalas Rogainings</t>
  </si>
  <si>
    <t>Jūrmalas domes atklātais futbola kauss 2018</t>
  </si>
  <si>
    <t>Džudo turnīrs "Young Stars Jrmala"</t>
  </si>
  <si>
    <t>Jūrmalas kauss Pludmales Regbijā-5</t>
  </si>
  <si>
    <t>Skriešanas seriāls "Dzintaru apļi"</t>
  </si>
  <si>
    <t>Starptautiskais karatē WKF turnīrs "Grand Prix Jūrmala"</t>
  </si>
  <si>
    <t>Orientēšanās spēles "Ķemeri 181/41"</t>
  </si>
  <si>
    <t>Starptautiskais bērnu un jauniešu šaha turnīrs Rudaga-Kaissa vasara/ziema</t>
  </si>
  <si>
    <t>Projektu konkurss sporta pasākumiem</t>
  </si>
  <si>
    <t>Līdzfinansējuma nodrošināšana Jūrmalas pilsētai raksturīgiem un nozīmīgiem sporta pasākumiem, kas Jūrmalā norisinājušies vismaz trīs gadus</t>
  </si>
  <si>
    <t>Filter velokauss</t>
  </si>
  <si>
    <t>Eiropas pludmales tenisa čempionāts</t>
  </si>
  <si>
    <t>Sporta veidu attīstība</t>
  </si>
  <si>
    <t>Līdzfinansējums biedrībai "Jūrmalai un sportam"</t>
  </si>
  <si>
    <t>JPAP_M3_P3.3_R3.3.3. 207 JPAP_M3_P3.1_R3.1.3. 133 JPAP_M1_P1.6._R1.6.3._41  JPSAAAS Mērķi Nr 1;Nr.4.</t>
  </si>
  <si>
    <t>Biedrība "Jūrmalas Sports" handbola komandas līdzfinansēšana</t>
  </si>
  <si>
    <t>Jūrmalas futbola attīstības atbalsta fonds</t>
  </si>
  <si>
    <t>Aleksandra Samoilova atbalstam</t>
  </si>
  <si>
    <t>Pludmales volejbolistes Tīnas Lauras Graudiņas atbalstam</t>
  </si>
  <si>
    <t>Gargabalnieces Jeļenas Čelnovas - Prokopčukas attīstībai</t>
  </si>
  <si>
    <t>Ratiņtenisistes Žanetes Vasaraudzes - Gailītes attīstībai</t>
  </si>
  <si>
    <t xml:space="preserve">Alvila Branta atbalstam Pasaules kausā parabobslejā </t>
  </si>
  <si>
    <t>Mihaila Samoilova atbalstam</t>
  </si>
  <si>
    <t>Karatistes Marijas Luīzes Muižnieces atbalstam</t>
  </si>
  <si>
    <t>Loka šāvējas Anetes Kreicbergas atbalstam</t>
  </si>
  <si>
    <t>Dambretista Gunta Valnera atbalstam</t>
  </si>
  <si>
    <t>Biedrības PAPA'S sacīkšu komandas atbalstam</t>
  </si>
  <si>
    <t>Jurmala Racing Team</t>
  </si>
  <si>
    <t>Biedrība "Skolas sporta klubs "Neguss""</t>
  </si>
  <si>
    <t>Jāņa Roviča boksa klubs</t>
  </si>
  <si>
    <t>Florbola klubs Jūrmala</t>
  </si>
  <si>
    <t>Karatista Leonīda Vorožeikina atbalstam</t>
  </si>
  <si>
    <t>Airētāja Ģirta Sokolova atbalstam</t>
  </si>
  <si>
    <t>Airētājas Jelizavetes Simačevas atbalstam</t>
  </si>
  <si>
    <t>Airētājas Zanes Putniņas atbalstam</t>
  </si>
  <si>
    <t>Airētāja Oskara Anša Ruģeļa atbalstam</t>
  </si>
  <si>
    <t>Airētāja Markusa Imanta Saulītes atbalstam</t>
  </si>
  <si>
    <t>Airētāja Valtera Dirnēna atbalstam</t>
  </si>
  <si>
    <t>Airētāja Krišjāņa Strautiņa atbalstam</t>
  </si>
  <si>
    <t>Airētāja Krista Tomasa Krūmiņa atbalstam</t>
  </si>
  <si>
    <t>Par burāšanas sporta vienības fonda "Collatis viribus" līdzfinansēšanu</t>
  </si>
  <si>
    <t>Olivera Ritenieka atbalstam</t>
  </si>
  <si>
    <t xml:space="preserve">Veterānu futbola kluba "Devro Jūrmala" atbalstam </t>
  </si>
  <si>
    <t>Senioru sporta biedrības Jūrmala galda tenisistu atbalstam</t>
  </si>
  <si>
    <t>Līdzfinansējuma nodrošināšana sporta organizāciju, to pārstāvēto komandu un individuālo sportistu atbalstam</t>
  </si>
  <si>
    <t>Pašvaldības atzinības izteikšana par īpašiem sasniegumiem un rezultātiem</t>
  </si>
  <si>
    <t>Airētāja Kaspara Golmeistara atbalstam</t>
  </si>
  <si>
    <t>Biedrība "Jūrmalas Sports" airēšanas komandas līdzfinansēšana</t>
  </si>
  <si>
    <t>Airētājas Annas Karasas atbalstam</t>
  </si>
  <si>
    <t>Golfera Roberta Matisona atbalstam</t>
  </si>
  <si>
    <t>Regbija kluba Jūrmala atbalstam</t>
  </si>
  <si>
    <t>Airētāja Kalvja Kazāka atbalstam</t>
  </si>
  <si>
    <t>Airēšanas sporta attīstībai un sporta inventāra iegādei</t>
  </si>
  <si>
    <t>Profboksa klubs Jūrmalā, atbalstam</t>
  </si>
  <si>
    <t xml:space="preserve">Veterānu futbola kluba "Devro Jūrmala" atbalstam 2017. gadā </t>
  </si>
  <si>
    <t>Sportistes Žanetes Vasaraudzes Gailītes ratiņtenisa attīstībai</t>
  </si>
  <si>
    <t>Hokeja attīstības veicināšanai Jūrmalas pilsētā</t>
  </si>
  <si>
    <t>Biedrības "Hokeja klubs "Kauguri" ledus" īres nomaksai</t>
  </si>
  <si>
    <t>Volejbola attīstība Jūrmalā</t>
  </si>
  <si>
    <t>Darta spēlētāja Ulda Zeitmaņa atbalstam</t>
  </si>
  <si>
    <t>Jūrmalas komandas dalība Latvijas Jaunatnes Olimpiādē</t>
  </si>
  <si>
    <t>Sporta attīstība un publicitātes pasākumi</t>
  </si>
  <si>
    <t>JPAP_P1.6._R1.6.3._41</t>
  </si>
  <si>
    <t>Grāmata "Jūrmalas sporta vēsture"</t>
  </si>
  <si>
    <t>Prioritāte 1.6. Aktīvā un dabas tūrisma attīstība</t>
  </si>
  <si>
    <t>Rīcības virziens: R.1.6.3. Sporta pasākumu un pakalpojumu attīstība</t>
  </si>
  <si>
    <t>Aktivitāte 41 Sporta infrastruktūras un pasākumu un pakalpojumu attīstība</t>
  </si>
  <si>
    <t>Prioritāte 3.1. Uz nākotni orientēta pilsētas pārvaldība, kas atbalsta pilsonisko iniciatīvu</t>
  </si>
  <si>
    <t>Rīcības virziens: R.3.1.3. Nevalstiskā sektora attīstības atbalsts</t>
  </si>
  <si>
    <t>Aktivitāte 133 Sadarbība ar nevalstiskajām organizācijām</t>
  </si>
  <si>
    <t>Prioritāte 3.3. Daudzveidīga kultūras un sporta vide</t>
  </si>
  <si>
    <t>Rīcības virziens: R.3.3.3.: Sporta sektora attīstība</t>
  </si>
  <si>
    <t>Aktivitāte 207 Valsts vadošo sporta speciālistu piesaiste</t>
  </si>
  <si>
    <t>Mērķi no JPAAAS - Jūrmalas pilsētas aktīvās atpūtas attīstības stratēģija</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</si>
  <si>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</si>
  <si>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</si>
  <si>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</si>
  <si>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</si>
  <si>
    <t>Jūrmalas Kultūras centrs</t>
  </si>
  <si>
    <t>Pilsētas kultūras un atpūtas pasākumi</t>
  </si>
  <si>
    <t>Valsts svētki, svinamās un atceres dienas</t>
  </si>
  <si>
    <t>JPAP_R3.3.1._191 JPAP_R3.3.1._194  JPKAP_U2.2._P2.2.1.</t>
  </si>
  <si>
    <r>
      <rPr>
        <sz val="9"/>
        <rFont val="Times New Roman"/>
        <family val="1"/>
        <charset val="186"/>
      </rPr>
      <t>1991. gada janvāra barikāžu atceres diena</t>
    </r>
    <r>
      <rPr>
        <b/>
        <sz val="9"/>
        <rFont val="Times New Roman"/>
        <family val="1"/>
        <charset val="186"/>
      </rPr>
      <t xml:space="preserve"> = 412</t>
    </r>
    <r>
      <rPr>
        <sz val="9"/>
        <rFont val="Times New Roman"/>
        <family val="1"/>
        <charset val="186"/>
      </rPr>
      <t xml:space="preserve"> (KKN); komunistiskā genocīda upuru piemiņas dienas = </t>
    </r>
    <r>
      <rPr>
        <b/>
        <sz val="9"/>
        <rFont val="Times New Roman"/>
        <family val="1"/>
        <charset val="186"/>
      </rPr>
      <t>890</t>
    </r>
    <r>
      <rPr>
        <sz val="9"/>
        <rFont val="Times New Roman"/>
        <family val="1"/>
        <charset val="186"/>
      </rPr>
      <t xml:space="preserve"> (KKN); Neatkarības deklarācijas pieņemšanas gadadiena = </t>
    </r>
    <r>
      <rPr>
        <b/>
        <sz val="9"/>
        <rFont val="Times New Roman"/>
        <family val="1"/>
        <charset val="186"/>
      </rPr>
      <t>865</t>
    </r>
    <r>
      <rPr>
        <sz val="9"/>
        <rFont val="Times New Roman"/>
        <family val="1"/>
        <charset val="186"/>
      </rPr>
      <t xml:space="preserve"> (KKN); Lāčplēša diena= </t>
    </r>
    <r>
      <rPr>
        <b/>
        <sz val="9"/>
        <rFont val="Times New Roman"/>
        <family val="1"/>
        <charset val="186"/>
      </rPr>
      <t>6150</t>
    </r>
    <r>
      <rPr>
        <sz val="9"/>
        <rFont val="Times New Roman"/>
        <family val="1"/>
        <charset val="186"/>
      </rPr>
      <t xml:space="preserve">; LR </t>
    </r>
    <r>
      <rPr>
        <sz val="9"/>
        <color rgb="FFFF0000"/>
        <rFont val="Times New Roman"/>
        <family val="1"/>
        <charset val="186"/>
      </rPr>
      <t>Proklamēšanas 101 gadadiena = 29000 + torte un skatuve 8386</t>
    </r>
  </si>
  <si>
    <t>Gadskārtu svētki</t>
  </si>
  <si>
    <t>JPAP_R3.3.1._191  JPAP_R3.3.1._194 JPKAP_ U2.2._P2.2.3.</t>
  </si>
  <si>
    <r>
      <rPr>
        <sz val="9"/>
        <rFont val="Times New Roman"/>
        <family val="1"/>
        <charset val="186"/>
      </rPr>
      <t xml:space="preserve">Meteņi Kauguros = </t>
    </r>
    <r>
      <rPr>
        <b/>
        <sz val="9"/>
        <rFont val="Times New Roman"/>
        <family val="1"/>
        <charset val="186"/>
      </rPr>
      <t>7113</t>
    </r>
    <r>
      <rPr>
        <sz val="9"/>
        <rFont val="Times New Roman"/>
        <family val="1"/>
        <charset val="186"/>
      </rPr>
      <t xml:space="preserve">  Lielā diena Kauguros = </t>
    </r>
    <r>
      <rPr>
        <b/>
        <sz val="9"/>
        <rFont val="Times New Roman"/>
        <family val="1"/>
        <charset val="186"/>
      </rPr>
      <t>5692</t>
    </r>
    <r>
      <rPr>
        <sz val="9"/>
        <rFont val="Times New Roman"/>
        <family val="1"/>
        <charset val="186"/>
      </rPr>
      <t xml:space="preserve">; Lielā diena Horna dārzā = </t>
    </r>
    <r>
      <rPr>
        <b/>
        <sz val="9"/>
        <rFont val="Times New Roman"/>
        <family val="1"/>
        <charset val="186"/>
      </rPr>
      <t xml:space="preserve">8356; </t>
    </r>
    <r>
      <rPr>
        <sz val="9"/>
        <rFont val="Times New Roman"/>
        <family val="1"/>
        <charset val="186"/>
      </rPr>
      <t>Vasaras Saulgrieži</t>
    </r>
    <r>
      <rPr>
        <sz val="9"/>
        <color rgb="FFFF0000"/>
        <rFont val="Times New Roman"/>
        <family val="1"/>
        <charset val="186"/>
      </rPr>
      <t xml:space="preserve"> Dzintaru pludmalē = 0;</t>
    </r>
    <r>
      <rPr>
        <sz val="9"/>
        <rFont val="Times New Roman"/>
        <family val="1"/>
        <charset val="186"/>
      </rPr>
      <t xml:space="preserve"> Vasaras Saulgrieži Kauguru pludmalē = </t>
    </r>
    <r>
      <rPr>
        <b/>
        <sz val="9"/>
        <rFont val="Times New Roman"/>
        <family val="1"/>
        <charset val="186"/>
      </rPr>
      <t>16236</t>
    </r>
    <r>
      <rPr>
        <sz val="9"/>
        <rFont val="Times New Roman"/>
        <family val="1"/>
        <charset val="186"/>
      </rPr>
      <t xml:space="preserve">; Zsv pasākums Kauguros = </t>
    </r>
    <r>
      <rPr>
        <b/>
        <sz val="9"/>
        <rFont val="Times New Roman"/>
        <family val="1"/>
        <charset val="186"/>
      </rPr>
      <t>8200;</t>
    </r>
    <r>
      <rPr>
        <sz val="9"/>
        <rFont val="Times New Roman"/>
        <family val="1"/>
        <charset val="186"/>
      </rPr>
      <t xml:space="preserve"> Zsv egles iedegšana </t>
    </r>
    <r>
      <rPr>
        <sz val="9"/>
        <color rgb="FFFF0000"/>
        <rFont val="Times New Roman"/>
        <family val="1"/>
        <charset val="186"/>
      </rPr>
      <t>(Gaismas parks) =</t>
    </r>
    <r>
      <rPr>
        <b/>
        <sz val="9"/>
        <color rgb="FFFF0000"/>
        <rFont val="Times New Roman"/>
        <family val="1"/>
        <charset val="186"/>
      </rPr>
      <t xml:space="preserve"> 10 000</t>
    </r>
    <r>
      <rPr>
        <sz val="9"/>
        <color rgb="FFFF0000"/>
        <rFont val="Times New Roman"/>
        <family val="1"/>
        <charset val="186"/>
      </rPr>
      <t>;</t>
    </r>
    <r>
      <rPr>
        <sz val="9"/>
        <rFont val="Times New Roman"/>
        <family val="1"/>
        <charset val="186"/>
      </rPr>
      <t xml:space="preserve"> Mārtiņi = </t>
    </r>
    <r>
      <rPr>
        <b/>
        <sz val="9"/>
        <rFont val="Times New Roman"/>
        <family val="1"/>
        <charset val="186"/>
      </rPr>
      <t xml:space="preserve">500 </t>
    </r>
    <r>
      <rPr>
        <sz val="9"/>
        <rFont val="Times New Roman"/>
        <family val="1"/>
        <charset val="186"/>
      </rPr>
      <t>(KKN)</t>
    </r>
  </si>
  <si>
    <t>Lielākie Jūrmalas pilsētas pasākumi</t>
  </si>
  <si>
    <t>Kūrorta svētku gājiens</t>
  </si>
  <si>
    <t>JPAP_R3.3.1._191 JPAP_R3.3.1._194  JPKAP_U2.2._P2.2.3.</t>
  </si>
  <si>
    <t>Maijs. No Dzintaru mežaparka līdz Majoru pludmalei</t>
  </si>
  <si>
    <t>Jomas ielas svētki</t>
  </si>
  <si>
    <t>JPAP_R3.3.1._191  JPKAP_U2.2._P2.2.3. JPTARP_AM1_U1.2._P.1.2.4.</t>
  </si>
  <si>
    <t xml:space="preserve"> 6. jūlijs - uz Jomas ielas, Horna dārzā  un Majoru stāvlaukumā</t>
  </si>
  <si>
    <t>Nakts ekspedīcija ģimenei "Nestāsti pasaciņas"</t>
  </si>
  <si>
    <t>JPAP_R1.7.1._43 JPAP_R3.3.1._191  JPKAP_U2.2._P2.2.3. JPKAP_U1.3._U1.3.6. JPKAP_U1.3._U1.3.7.  JPTARP_AM1_U1.5._P.1.5.1.</t>
  </si>
  <si>
    <t xml:space="preserve"> 9. - 10. augusts. Dzintaru mežaparkā</t>
  </si>
  <si>
    <t>Jaunā gada sagaidīšana</t>
  </si>
  <si>
    <t>JPAP_R1.7.1._43 JPAP_R3.3.1._191   JPKAP_U2.2._P2.2.3.</t>
  </si>
  <si>
    <t>31. decembris - KKN pagalmā</t>
  </si>
  <si>
    <t xml:space="preserve">JKC piedāvājums </t>
  </si>
  <si>
    <t>4.1.</t>
  </si>
  <si>
    <t xml:space="preserve">Vasaras koncerti </t>
  </si>
  <si>
    <t>JPAP_R3.3.1._191  JPKAP_U1.3._U1.3.6.</t>
  </si>
  <si>
    <t>6 koncerti ; Horna dārzā; apmeklējums bez maksas</t>
  </si>
  <si>
    <t>4.2.</t>
  </si>
  <si>
    <t xml:space="preserve">Dzejas dienas </t>
  </si>
  <si>
    <t>4.3.</t>
  </si>
  <si>
    <t>Pasākumu cikli</t>
  </si>
  <si>
    <t>JPAP_R3.3.1._191  JPKAP_U1.3._U1.3.6.  JPKAP_U2.1._P2.1.4. JPTARP_U1.5.</t>
  </si>
  <si>
    <r>
      <t xml:space="preserve">7 interaktīvi pasākumi bērniem (oktobris - aprīlis).  Plānotie ieņēmumi </t>
    </r>
    <r>
      <rPr>
        <b/>
        <sz val="9"/>
        <rFont val="Times New Roman"/>
        <family val="1"/>
        <charset val="186"/>
      </rPr>
      <t>1680,-</t>
    </r>
    <r>
      <rPr>
        <sz val="9"/>
        <rFont val="Times New Roman"/>
        <family val="1"/>
        <charset val="186"/>
      </rPr>
      <t xml:space="preserve"> Apmeklējums 60 personas. Ieejas maksa 4,-EUR. Kods 2312 būs vienreizēji ieguldījumi pasākuma norises nodrošināšanai (paklājs, mazie galdiņi, pufi), kas tiks izmantoti visos cikla pasākumos, kā arī citos JKC organizētos pasākumos pēc vajadzības.</t>
    </r>
  </si>
  <si>
    <t>4.4.</t>
  </si>
  <si>
    <t>Atpūtas pasākumi - džeza klubs, balles</t>
  </si>
  <si>
    <t>JPAP_R3.3.1_191 JPKAP_U1.3._U1.3.6.  JPKAP_U2.1._P2.1.4.</t>
  </si>
  <si>
    <t>6 pasākumi; maksimālais vietu skaits zālē 180; vidējais apmeklējums 170 personas; ieejas biļešu cenas 7,00 EUR (50%) un 4,00 EUR (50%). Plānotie ieņēmumi 5880.-</t>
  </si>
  <si>
    <t>Mākslas izstādes</t>
  </si>
  <si>
    <t xml:space="preserve">JPAP_R3.3.1._191 JPKAP_U1.3._U1.3.6.  JPKAP_U2.1._P2.1.4.  </t>
  </si>
  <si>
    <r>
      <t>9 izstādes gadā. Līdz šim izmantojām JPD  transportu, kas  ne vienmēr ir pieejams. Darbus ir nepieciešams apdrošināt</t>
    </r>
    <r>
      <rPr>
        <sz val="9"/>
        <color rgb="FFFF0000"/>
        <rFont val="Times New Roman"/>
        <family val="1"/>
        <charset val="186"/>
      </rPr>
      <t>.</t>
    </r>
  </si>
  <si>
    <t>Kinoseansi</t>
  </si>
  <si>
    <t>JPAP_R3.3.1._203 JPKAP_U2.1._P2.1.4.</t>
  </si>
  <si>
    <t>2 kinoseansi svētdienās (no septembra līdz maijam, 32 reizes); vidējais apmeklējums 18 personas, ieejas maksa 4,00 EUR(50%) un 2,50 EUR (50%)</t>
  </si>
  <si>
    <t>KKN piedāvājums</t>
  </si>
  <si>
    <t>"Jokosim tautiski"</t>
  </si>
  <si>
    <t>JPAP_R3.3.1._191 JPAP_R3.3.1._194 JPKAP_U1.3._U1.3.4.  JPKAP_U1.3._U1.3.6.</t>
  </si>
  <si>
    <t>1. aprīlis</t>
  </si>
  <si>
    <t>Ceļojošais mini festivāls "Pirkstiņi pa taustiņiem"</t>
  </si>
  <si>
    <t>Festivāls Jūrmalā 2019. gadā nenotiek - ceļojošs</t>
  </si>
  <si>
    <t>5.3.</t>
  </si>
  <si>
    <t xml:space="preserve">Neformālo pianistu festivāls </t>
  </si>
  <si>
    <t>JPAP_R3.3.1._191 JPAP_R3.3.1._194 JPKAP_U1.3._U1.3.2. JPKAP_U2.2._P2.2.5.</t>
  </si>
  <si>
    <t>19. maijs</t>
  </si>
  <si>
    <t>5.4.</t>
  </si>
  <si>
    <t>Pasākumu cikls "Bērnu vasara"</t>
  </si>
  <si>
    <t>JPAP_R3.3.1._191 JPKAP_U1.3._U1.3.6. JPKAP_U1.3._U1.3.7.</t>
  </si>
  <si>
    <t>Ceturtdienās - jūnijā, jūlijā un augustā (6 reizes)</t>
  </si>
  <si>
    <t>5.5.</t>
  </si>
  <si>
    <t xml:space="preserve">Pasākumu cikli </t>
  </si>
  <si>
    <t>No cikliem atsakāmies, pievienojam ballēm, kur ierodas ne tikai grupa, bet arī kāds viesis</t>
  </si>
  <si>
    <t>5.6.</t>
  </si>
  <si>
    <t>2 kinoseansi svētdienās (no septembra līdz maijam, 32 reizes), vidējais apmeklējums 20 personas, ieejas maksa 4,00 EUR(50%) un 2,50 EUR (50%)</t>
  </si>
  <si>
    <t>5.7.</t>
  </si>
  <si>
    <t>JPAP_R3.3.1._191  JPKAP_U1.3.U_1.3.6.</t>
  </si>
  <si>
    <t>13. septembris - kultūras namā un pagalmā</t>
  </si>
  <si>
    <t>5.8.</t>
  </si>
  <si>
    <t>Jauniešu teātra studija  "Eksperiments"</t>
  </si>
  <si>
    <t>Pāriet kopējā kolektīvu budžetā</t>
  </si>
  <si>
    <t>Mātes dienas koncerts</t>
  </si>
  <si>
    <t>JPAP_R3.3.1._191. JPAP_R3.3.1._194. JPKAP_U1.3._U1.3.6. JPKAP_U2.2._P2.2.3.</t>
  </si>
  <si>
    <t>11. maijs (apmeklējums bez maksas)</t>
  </si>
  <si>
    <t>Plānotas 6 balles; max vietu skaits 100; vidējais apmeklējums 70 personas; ieejas biļetes cena 7,00 EUR (40%) un 4,00 EUR (60%). Plānotie ieņēmumi 2184,-</t>
  </si>
  <si>
    <t>JPAP_R3.3.1._191. JPKAP_U1.3._U1.3.6.  JPKAP_U2.1._P2.1.4. JPKAP_U1.3._U1.3.7.</t>
  </si>
  <si>
    <t>Jūrmalas teātra piedāvājums</t>
  </si>
  <si>
    <t>6.1.</t>
  </si>
  <si>
    <t xml:space="preserve">Jauniestudējumi </t>
  </si>
  <si>
    <r>
      <t>Izrāde bērniem un jauniešiem"Tutta I Vienīgā..."</t>
    </r>
    <r>
      <rPr>
        <b/>
        <sz val="9"/>
        <rFont val="Times New Roman"/>
        <family val="1"/>
        <charset val="186"/>
      </rPr>
      <t>4205.-/2584.--</t>
    </r>
    <r>
      <rPr>
        <sz val="9"/>
        <rFont val="Times New Roman"/>
        <family val="1"/>
        <charset val="186"/>
      </rPr>
      <t>pamatbudž.</t>
    </r>
    <r>
      <rPr>
        <b/>
        <sz val="9"/>
        <rFont val="Times New Roman"/>
        <family val="1"/>
        <charset val="186"/>
      </rPr>
      <t xml:space="preserve">1620.- </t>
    </r>
    <r>
      <rPr>
        <sz val="9"/>
        <rFont val="Times New Roman"/>
        <family val="1"/>
        <charset val="186"/>
      </rPr>
      <t>maksas pak</t>
    </r>
    <r>
      <rPr>
        <b/>
        <sz val="9"/>
        <rFont val="Times New Roman"/>
        <family val="1"/>
        <charset val="186"/>
      </rPr>
      <t xml:space="preserve">.; </t>
    </r>
    <r>
      <rPr>
        <sz val="9"/>
        <rFont val="Times New Roman"/>
        <family val="1"/>
        <charset val="186"/>
      </rPr>
      <t>Vēja stikls</t>
    </r>
    <r>
      <rPr>
        <b/>
        <sz val="9"/>
        <rFont val="Times New Roman"/>
        <family val="1"/>
        <charset val="186"/>
      </rPr>
      <t xml:space="preserve"> 1500.-/400.- </t>
    </r>
    <r>
      <rPr>
        <sz val="9"/>
        <rFont val="Times New Roman"/>
        <family val="1"/>
        <charset val="186"/>
      </rPr>
      <t>pamatbudž.</t>
    </r>
    <r>
      <rPr>
        <b/>
        <sz val="9"/>
        <rFont val="Times New Roman"/>
        <family val="1"/>
        <charset val="186"/>
      </rPr>
      <t>1124.-</t>
    </r>
    <r>
      <rPr>
        <sz val="9"/>
        <rFont val="Times New Roman"/>
        <family val="1"/>
        <charset val="186"/>
      </rPr>
      <t>maksas pak.; Vilks,kurš rija grāmatas</t>
    </r>
    <r>
      <rPr>
        <b/>
        <sz val="9"/>
        <rFont val="Times New Roman"/>
        <family val="1"/>
        <charset val="186"/>
      </rPr>
      <t xml:space="preserve"> 1740.-</t>
    </r>
    <r>
      <rPr>
        <sz val="9"/>
        <rFont val="Times New Roman"/>
        <family val="1"/>
        <charset val="186"/>
      </rPr>
      <t xml:space="preserve">pamatbudž.; </t>
    </r>
    <r>
      <rPr>
        <b/>
        <sz val="9"/>
        <rFont val="Times New Roman"/>
        <family val="1"/>
        <charset val="186"/>
      </rPr>
      <t xml:space="preserve">Ziemassvētku izrāde 2770.- </t>
    </r>
    <r>
      <rPr>
        <sz val="9"/>
        <rFont val="Times New Roman"/>
        <family val="1"/>
        <charset val="186"/>
      </rPr>
      <t>maksas pakalp/</t>
    </r>
  </si>
  <si>
    <t>JPAP_R3.3.1._191 JPAP_R3.3.1._194 JPAP_R3.3.1._197 JPKAP_U1.3._U1.3.1. JPKAP_U1.3._U1.3.4.</t>
  </si>
  <si>
    <t>6.2.</t>
  </si>
  <si>
    <t>Jūrmals Bērnu un jauniešu teātris.                                         Uzvedums - eksāmens sezonas noslēgumā</t>
  </si>
  <si>
    <t>6.3.</t>
  </si>
  <si>
    <t>Teātra pirmizrādes</t>
  </si>
  <si>
    <t>JPAP_R3.3.1._191. JPAP_R3.3.1._194. JPAP_R3.3.1._197. JPKAP_U1.3._U1.3.6.</t>
  </si>
  <si>
    <t>6.4.</t>
  </si>
  <si>
    <t>Ziemassvētku koncerts</t>
  </si>
  <si>
    <t>JPAP_R1.7.1._43 JPAP_R3.3.1._191 JPAP_R3.3.1._194 JPKAP_U1.3._U1.3.6. JPKAP_U1.3._U1.3.4.</t>
  </si>
  <si>
    <t>6.5.</t>
  </si>
  <si>
    <t>Piedalīšanās amatierteātru skatēs, festivālos valsts robežās un ārvalstīs</t>
  </si>
  <si>
    <t>JPAP_R3.3.1._191. JPAP_R3.3.1._194. JPKAP_U1.3._U1.3.2.</t>
  </si>
  <si>
    <r>
      <rPr>
        <b/>
        <sz val="9"/>
        <rFont val="Times New Roman"/>
        <family val="1"/>
        <charset val="186"/>
      </rPr>
      <t>14.Latvijas teātru salidojums</t>
    </r>
    <r>
      <rPr>
        <sz val="9"/>
        <rFont val="Times New Roman"/>
        <family val="1"/>
        <charset val="186"/>
      </rPr>
      <t xml:space="preserve"> Alūksnē 19..20..21.jūlijā  30 dalībnieki </t>
    </r>
    <r>
      <rPr>
        <b/>
        <sz val="9"/>
        <rFont val="Times New Roman"/>
        <family val="1"/>
        <charset val="186"/>
      </rPr>
      <t>3040.-</t>
    </r>
    <r>
      <rPr>
        <sz val="9"/>
        <rFont val="Times New Roman"/>
        <family val="1"/>
        <charset val="186"/>
      </rPr>
      <t xml:space="preserve">/dalības maksa, naktsmītņu nodrošinājums, ēdināšana, transporta pakalpojumi -pamatbudžets// </t>
    </r>
    <r>
      <rPr>
        <b/>
        <sz val="9"/>
        <rFont val="Times New Roman"/>
        <family val="1"/>
        <charset val="186"/>
      </rPr>
      <t xml:space="preserve">Reģionālā  skate un Leļļu teātru festivāls </t>
    </r>
    <r>
      <rPr>
        <sz val="9"/>
        <rFont val="Times New Roman"/>
        <family val="1"/>
        <charset val="186"/>
      </rPr>
      <t xml:space="preserve">"Kad atdzīvojas lelles 2019" 6.06. Rokiškos, Lietuvā </t>
    </r>
    <r>
      <rPr>
        <b/>
        <sz val="9"/>
        <rFont val="Times New Roman"/>
        <family val="1"/>
        <charset val="186"/>
      </rPr>
      <t>500</t>
    </r>
    <r>
      <rPr>
        <sz val="9"/>
        <rFont val="Times New Roman"/>
        <family val="1"/>
        <charset val="186"/>
      </rPr>
      <t>.-/Transports - maksas pakalpojumi</t>
    </r>
  </si>
  <si>
    <t>Mellužu estrādes piedāvājums</t>
  </si>
  <si>
    <t>7.1.</t>
  </si>
  <si>
    <t>Mellužu klasika</t>
  </si>
  <si>
    <t>JPAP_R3.3.1._191.  JPKAP_U1.3._U1.3.6. JPKAP_U1.3._U1.3.7.  JPTARP_AM1_U1.2._P.1.2.4.</t>
  </si>
  <si>
    <r>
      <rPr>
        <b/>
        <sz val="9"/>
        <rFont val="Times New Roman"/>
        <family val="1"/>
        <charset val="186"/>
      </rPr>
      <t>2019. gadā Mellužu estrādes atklāšanas pasākums.</t>
    </r>
    <r>
      <rPr>
        <sz val="9"/>
        <rFont val="Times New Roman"/>
        <family val="1"/>
        <charset val="186"/>
      </rPr>
      <t xml:space="preserve"> Citus gadus godinot Jūrmalā dzīvojošos izcilos māksliniekus-pasākums, kas veltīts kādai īpašai personībai, kas savu dzīvi vai radošo darbību saistījusi ar Jūrmalu. </t>
    </r>
  </si>
  <si>
    <t>7.2.</t>
  </si>
  <si>
    <t>Oda jūrai un Zvejnieksvētku balle</t>
  </si>
  <si>
    <t>Atjaunota Jūrmalas pilsētas tradīcija, kad tika svinēti Zvejnieksvēti, vēlāk Jūras svētki. Ar Jūrmalas pilsētas radošo kolektīvu piedalīšanos un nakts balli noslēgumā.</t>
  </si>
  <si>
    <t>7.3.</t>
  </si>
  <si>
    <t>Mellužu gadatirgus</t>
  </si>
  <si>
    <t>Notiks katru gadu un noslēgs Mellužu estrādes pasākumu  vasaras sezonu</t>
  </si>
  <si>
    <t>7.4.</t>
  </si>
  <si>
    <t>Atpūtas vakari - balles</t>
  </si>
  <si>
    <r>
      <t xml:space="preserve">Plānotas </t>
    </r>
    <r>
      <rPr>
        <sz val="9"/>
        <color rgb="FFFF0000"/>
        <rFont val="Times New Roman"/>
        <family val="1"/>
        <charset val="186"/>
      </rPr>
      <t>2</t>
    </r>
    <r>
      <rPr>
        <sz val="9"/>
        <rFont val="Times New Roman"/>
        <family val="1"/>
        <charset val="186"/>
      </rPr>
      <t xml:space="preserve"> balles sezonā. Bezmaksas. Programmās skanēs dažādu laiku estrādes melodijas.</t>
    </r>
  </si>
  <si>
    <t>7.5.</t>
  </si>
  <si>
    <t>Līgo svētki Mellužu estrādē</t>
  </si>
  <si>
    <t xml:space="preserve">Plānota 1 Līgo balle.  Bezmaksas. </t>
  </si>
  <si>
    <t>7.6.</t>
  </si>
  <si>
    <t xml:space="preserve">Pasākumu cikls "Bērnu vasara" </t>
  </si>
  <si>
    <t>13 pasākumi svētdienās Mellužu parkā - jūnijā, jūlijā un augustā</t>
  </si>
  <si>
    <t>Dažādi projekti</t>
  </si>
  <si>
    <t>8.1.</t>
  </si>
  <si>
    <t>Pilsētas Ziemassvētku noformējuma konkursa noslēguma pasākums</t>
  </si>
  <si>
    <t>JPAP_R3.3.1._191. JPKAP_U1.3._U1.3.3.</t>
  </si>
  <si>
    <t>8.2.</t>
  </si>
  <si>
    <t>Dubultu karnevāls</t>
  </si>
  <si>
    <t>Dažādas mūzikas, vizuālās mākslas un teātra performances</t>
  </si>
  <si>
    <t>8.3.</t>
  </si>
  <si>
    <t>Zvaigznes dienas pasākums</t>
  </si>
  <si>
    <t xml:space="preserve">JPAP_R3.3.1_191 </t>
  </si>
  <si>
    <t>janvāra sākums</t>
  </si>
  <si>
    <t>8.4.</t>
  </si>
  <si>
    <t>Starptautiskais senioru deju festivāls "Puķu balle"</t>
  </si>
  <si>
    <t>JPAP_R3.3.1._191. JPKAP_U2.2._P2.2.5.</t>
  </si>
  <si>
    <t>Jūnijs. Bulduru dārzkopības vidusskolā</t>
  </si>
  <si>
    <t>8.5.</t>
  </si>
  <si>
    <t>Atklāšanas un tematiskie pasākumi</t>
  </si>
  <si>
    <t>JPAP_R3.3.1._191. JPKAP_U2.1._P2.1.4.</t>
  </si>
  <si>
    <t>8.6.</t>
  </si>
  <si>
    <t>Ķemeru svētki</t>
  </si>
  <si>
    <t>8.7.</t>
  </si>
  <si>
    <t>18. novembra svinības Ķemeros</t>
  </si>
  <si>
    <t>Pasākums jauniešiem "Augsim Latvijai"</t>
  </si>
  <si>
    <t>JPAP_R3.3.1._191. JPKAP_U1.3._U1.3.6. JPKAP_U1.3._U1.3.7.</t>
  </si>
  <si>
    <t>18. maijs. Pie kapteiņa P.Zolta pieminekļa</t>
  </si>
  <si>
    <t>8.9.</t>
  </si>
  <si>
    <t>Projekti / pasākumi Latvijas simtgadei</t>
  </si>
  <si>
    <t>8.10.</t>
  </si>
  <si>
    <t>XXVI Dziesmu un XVI Deju svētku translācija Majoros un Kauguros</t>
  </si>
  <si>
    <t>Pasākuma norise paredzēta Jomas ielas svētku ietvaros ar ~800 dejotāju piedalīšanos, no kuriem 4 plānoti viesu kolektīvi no ārzemēm.</t>
  </si>
  <si>
    <t>Jūrmalas radošo kolektīvu darbības finansējums</t>
  </si>
  <si>
    <t>9.1.</t>
  </si>
  <si>
    <t>Pilsētas radošo kolektīvu piedalīšanās republikas mēroga pasākumos</t>
  </si>
  <si>
    <t>JPAP_R3.3.1._194. JPKAP_U1.3._U1.3.2. JPKAP_U3.1._P3.1.4. JPKAP_U3.1._P3.1.5.</t>
  </si>
  <si>
    <t>9.2.</t>
  </si>
  <si>
    <t>Pilsētas radošo kolektīvu un kultūras darbinieku pilsētas mēroga konkursi un skates</t>
  </si>
  <si>
    <t>JPAP_R3.3.1._194 JPKAP_U1.3._U1.3.2. JPKAP_U3.1._P3.1.4. JPKAP_U3.1._P3.1.5.</t>
  </si>
  <si>
    <t>9.3.</t>
  </si>
  <si>
    <t>Radošo kolektīvu jubilejas un citi kolektīvu iniciēti projekti</t>
  </si>
  <si>
    <t>JPAP_R3.3.1._194. JPKAP_U1.3._U1.3.4. JPKAP_U2.1._P2.1.4. JPKAP_U2.2._P2.2.3.</t>
  </si>
  <si>
    <t xml:space="preserve">Saskaņā ar atšifrējumu pielikumā </t>
  </si>
  <si>
    <t>9.4.</t>
  </si>
  <si>
    <t>Pilsētas radošo kolektīvu piedalīšanās ārzemēs rīkotajos koncertos, festivālos, konkursos un izstādēs</t>
  </si>
  <si>
    <t>JPAP_R3.3.1._194 JPKAP_U1.3._U1.3.2.</t>
  </si>
  <si>
    <t>9.5.</t>
  </si>
  <si>
    <t>Tērpi</t>
  </si>
  <si>
    <t>Citas kultūras pasākumu izmaksas</t>
  </si>
  <si>
    <t>10.1.</t>
  </si>
  <si>
    <t>Tipogrāfijas pakalpojumi (biļetes, afišas un tml.)</t>
  </si>
  <si>
    <t>JPAP_R3.3.1._191. JPKAP_U4.1._P4.1.4. JPKAP_U4.3._P4.3.3. JPTARP_AM3_U3.3._P.3.3.2.</t>
  </si>
  <si>
    <t>10.2.</t>
  </si>
  <si>
    <t>AKKA/LAA un LaIPA</t>
  </si>
  <si>
    <t>JPAP_R3.3.1._191</t>
  </si>
  <si>
    <t>2018. gadā pietrūka līdzekļi LaIPA atlīdzību apmaksai, kā arī nāk klāt Mellužu estrādes pasākumi</t>
  </si>
  <si>
    <t>10.3.</t>
  </si>
  <si>
    <t>Publisko pasākumu apdrošināšana</t>
  </si>
  <si>
    <t>klāt Mellužu estrādes pasākumi</t>
  </si>
  <si>
    <t>10.4.</t>
  </si>
  <si>
    <t>Elektroenerģijas apmaksa un pieslēguma nodrošinājums kultūras pasākumos dabā</t>
  </si>
  <si>
    <t>10.5.</t>
  </si>
  <si>
    <t>Reklāmas izdevumi kultūras pasākumiem</t>
  </si>
  <si>
    <r>
      <t xml:space="preserve">Papildus plānoti  </t>
    </r>
    <r>
      <rPr>
        <b/>
        <sz val="9"/>
        <rFont val="Times New Roman"/>
        <family val="1"/>
        <charset val="186"/>
      </rPr>
      <t>14600,-</t>
    </r>
    <r>
      <rPr>
        <sz val="9"/>
        <rFont val="Times New Roman"/>
        <family val="1"/>
        <charset val="186"/>
      </rPr>
      <t xml:space="preserve">  izdevumi reklāmai Mellužu estrādes pasākumiem un </t>
    </r>
    <r>
      <rPr>
        <b/>
        <sz val="9"/>
        <rFont val="Times New Roman"/>
        <family val="1"/>
        <charset val="186"/>
      </rPr>
      <t xml:space="preserve">1400,- </t>
    </r>
    <r>
      <rPr>
        <sz val="9"/>
        <rFont val="Times New Roman"/>
        <family val="1"/>
        <charset val="186"/>
      </rPr>
      <t xml:space="preserve">(kodā 2239) Bērnu pasākumu ciklu reklamēšanai  </t>
    </r>
  </si>
  <si>
    <t>I.Stratēģiskā dokumenta nosaukums - Jūrmalas pilsētas attīstības programmas 2014.-2020.gadam (JPAP)</t>
  </si>
  <si>
    <t>Rīcības virziena aktivitātes:</t>
  </si>
  <si>
    <t>43 Kultūras dzīves piedāvājuma attīstība visa gada garumā</t>
  </si>
  <si>
    <t>Rīcības virziens R3.3.1. Pilsētas kultūras iestāžu un muzeju darbības pilnveide.</t>
  </si>
  <si>
    <t>191 Daudzveidīgu kultūras pasākumu pieejamība Jūrmalas iedzīvotājiem Jūrmalas pilsētā;</t>
  </si>
  <si>
    <t>194 Amatiermākslas attīstības veicināšana;</t>
  </si>
  <si>
    <t>197 Tēātra attīstība;</t>
  </si>
  <si>
    <t>203 Kino pakalpojuma attīstība.</t>
  </si>
  <si>
    <t>II. Stratēģiskā dokumenta nosaukums - Jūrmalas pilsētas kultūrvides attīstības plāns 2017.-2020. gadam (JPKAP)</t>
  </si>
  <si>
    <t>Strātēģiskā dokumenta kodu atšifrējums - 1.rīcības virziens  "Radošā Jūrmala: apkaimju unikalitātes stiprināšana un iedzīvotāju līdzdalības sekmēšana":</t>
  </si>
  <si>
    <t>Rīcības virziena uzdevums - U1.3.: Nodrošināt mūžizglītības un radošuma attīstīšanas iespējas jurmalniekiem.</t>
  </si>
  <si>
    <t>Rīcības virziena uzdevuma pasākumi:</t>
  </si>
  <si>
    <t>U1.3.1. Daudzveidīgu amatiermākslas un interešu izglītības iespēju nodrošināšana Jūrmalas iedzīvotājiem</t>
  </si>
  <si>
    <t>U1.3.2. Jūrmalas radošo kolektīvu dalība pilsētas, nacionāla unstarptautiska mēroga pasākumos (ārpus Dziesmu un deju svētku kustības)</t>
  </si>
  <si>
    <t>U1.3.4. Jūrmalas radošo kolektīvu koncertuzvedumu un izrāžu veidošana (t.sk. Jūrmalas teātra iestudējumi).</t>
  </si>
  <si>
    <t>U1.3.6. Kultūrizglītojošu pasākumu veidošana ģimenēm, bērniem un jauniešiem, senioriem.</t>
  </si>
  <si>
    <t>U1.3.7. Interaktīvu līdzdalības formu attīstība kultūras pasākumos.</t>
  </si>
  <si>
    <t>Strātēģiskā dokumenta kodu atšifrējums - rīcības virziens 2  "Kultūras piedāvājuma izcilība un daudzveidība Jūrmalā: kvalitatīva un sistema'tiska kultūras piedāvājuma veidošana dažādām mērķauditorījas</t>
  </si>
  <si>
    <t>grupām vietējā, nacionālā un starptautiskā mērogā''.</t>
  </si>
  <si>
    <t>Rīcības virziena uzdevums -  U2.1.: Rīkot kavalitatīvas un daudzveidīgas kultūras norises konkrētiem auditorijas segmentiem katrā sezonā.</t>
  </si>
  <si>
    <t>P2.1.4. Kultūras centru piedāvājuma daudzveidošana, tajā skaitā ar mērķauditorijas iesaisti.</t>
  </si>
  <si>
    <t>Rīcības virziena uzdevums - U2.2.: Nostiprināt Jūrmalas kā kultūras un mākslas pilsētas identitāti un konkurentspēju.</t>
  </si>
  <si>
    <t>P2.2.3. Gadskārtu svētku, pilsētassvētku un dažādām sabiedrības mērķgrupām domātu pasākumu rīkošana, nostiprinot Jūrmalas zīmolu vietējā, nacionālā un starptautiskā mērogā.</t>
  </si>
  <si>
    <t>Strātēģiskā dokumenta kodu atšifrējums - rīcības virziens 3  "Jūrmalas kultūras mantojums: kultūras mantojuma saglabāšana, musdienīga interpretācija un popularizēšana"</t>
  </si>
  <si>
    <t>Rīcības virziena uzdevums - U3.1.: Nodrošināt Latvijas Dziesmu un deju svētku tradīcijas saglabāšanu un attīstību.</t>
  </si>
  <si>
    <t>P3.1.4. Jūrmalas kolektīvu līdzdalības nodrošināšana Latvijas Dziesmu un deju svētku procesā.</t>
  </si>
  <si>
    <t>P3.1.5. Dziesmu un deju svētku kustības pasākumu atbalsts.</t>
  </si>
  <si>
    <t>Strātēģiskā dokumenta kodu atšifrējums - rīcības virziens 4  "Sadarbība Jūrmalā: kultūrvides attīstībā iesaistīto dalībnieku sadarbības veicināšana"</t>
  </si>
  <si>
    <t>Rīcības virziena uzdevums - U4.1.: Attīstīt sadarbību starp dažādām pašvaldības kultūras un citām iestādēm, ģeogrāfiski līdzsvarotā kultūras piedāvājuma veidošanā un pieejamības veicināšanā.</t>
  </si>
  <si>
    <t>P4.1.4. Informācijas nodrošināšana par apkaimju kultūras pasākumu norises vietām un pasākumiem.</t>
  </si>
  <si>
    <t>Rīcības virziena uzdevums - U4.3.: Nodrošināt informācijas pieejamību atbilstoši kultūras auditorijas vajadzībām.</t>
  </si>
  <si>
    <t>P4.3.3. Kultūras pasākumu reklāmas un mārketinga materiālu izdošana.</t>
  </si>
  <si>
    <t>III. Stratēģiskā dokumenta nosaukums - Jūrmalas pilsētas tūrisma attīstības rīcības plāns  2018.-2020. gadam (JPTARP)</t>
  </si>
  <si>
    <t>Strātēģiskā dokumenta kodu atšifrējums - mērķis AM 1: Atpūtas, rekreācijas un viesmīlības pakalpojumu pilnveidošana un kvalitāte.</t>
  </si>
  <si>
    <t>Mērķa uzdevums - U 1.2. Atpūtas, rekreācijas tūrisma piedāvājuma pilnveidošana vietējiem un ārvalstu viesiem.</t>
  </si>
  <si>
    <t>Mērķa uzdevuma pasākums - P.1.2.4. Liela izmēra galda spēļu dažādām vecuma grupām izvietošana Horna dārzā, Mellužu estrādes teritorijā, Ķemeru kūrparkā un citās vietās.</t>
  </si>
  <si>
    <t>Mērķa uzdevums - U 1.5. Pasākumu/aktivitāšu piedāvājuma pilnveidošana ģimenēm ar bērniem</t>
  </si>
  <si>
    <t>Mērķa uzdevuma pasākums - P 1.5.1. Pasākuma ''Nestasti pasaciņas'' pilnveidošana, divu dienu pasākuma programmas (festivāla) izveide un popularizēšana Latvijā, perspektīvā Baltijas valstīs</t>
  </si>
  <si>
    <t>Strātēģiskā dokumenta kodu atšifrējums - mērķis AM 3: Jūrmalas kā konferenču, kongresu, pasākumu un motivējošā tūrisma (MICE) galamērķa attīstība</t>
  </si>
  <si>
    <t>Mērķa uzdevums - U 3.3.Kultūras pasākumu kā atraktīvu tūrisma piesaišu izmantošana, koncentrejoties uz dažādu tūristu segmentu vajadzībām un pieprasījuma sezonālām svārstībām</t>
  </si>
  <si>
    <t>Mērķa uzdevuma pasākums - P.3.3.2. Informācijas par pasākumiem nodrošināšana dažādiem mērķa tirgiem (afišu valodas, informācija tūrisma portālā, TIC).</t>
  </si>
  <si>
    <t>Jūrmalas pilsētas muzejs</t>
  </si>
  <si>
    <t>Jūrmalas brīvdabas muzejs</t>
  </si>
  <si>
    <t>Lieldienu pasākums</t>
  </si>
  <si>
    <t>JPAP_P3.3._R3.3.1._191; 199; KAP_RV1_U1.3._P1.3.6.; KAP_RV3_U3.2._P3.2.3.</t>
  </si>
  <si>
    <t>2 pasākuma vadītāji, 2 radošo darbnīcu vadītāji, 2 trušu izstādes vadītāji (84 EUR x 6 personas); folkloras kopa vai 2 aktieri (200 EUR)</t>
  </si>
  <si>
    <t>VSAOI (5%)</t>
  </si>
  <si>
    <t>Skaņu aparatūras noma, uzstādīšana un pasākuma apskaņošana</t>
  </si>
  <si>
    <t>Kokmateriāli putnu būrīšu darbnīcai, finieris koka olām noformējumam, reklāma, pārtikas produkti (olas u.c.), zīmēšanas materiāli</t>
  </si>
  <si>
    <t>Saimniecības preces</t>
  </si>
  <si>
    <t>Starptautiskā muzeju nakts</t>
  </si>
  <si>
    <t>JPAP_P3.3._R3.3.1._191; 199; KAP_RV3_U3.2._P3.2.3.</t>
  </si>
  <si>
    <t>Mūzikas grupa (950 EUR), pasākuma vadītājs (92 EUR), ekspressizstādes autors (84 EUR), 4 radošo darbnīcu vadītāji (84 EUR x 4 personas), zivju zupas vārītāja/zivju kūpinātājs (84 EUR x 2 personas)</t>
  </si>
  <si>
    <t>Skaņu aparatūras noma, uzstādīšana, pasākuma apskaņošana</t>
  </si>
  <si>
    <t>Reklāmas izdevumi - A3 plakāti (makets un druka), pārtikas  produkti</t>
  </si>
  <si>
    <t xml:space="preserve">3. </t>
  </si>
  <si>
    <t>Senlatviešu Līgo svētku tradīcijas</t>
  </si>
  <si>
    <t>Fokloras kopa (532 EUR) , 4 amatu meistari (84 EUR x 4 personas), pasākuma vadītājs (92 EUR)</t>
  </si>
  <si>
    <t>Reklāmas izdevumi - A3 plakāti ( makets un druka), pārtikas  produkti</t>
  </si>
  <si>
    <t>Ceturtdiena - zivju diena</t>
  </si>
  <si>
    <t xml:space="preserve"> 9 pasākumi no 4.jūl. līdz 29.aug.</t>
  </si>
  <si>
    <t>JPAP_P3.3._R3.3.1._191; 198; 199: 200; KAP_RV3_U3.2._P3.2.3.; U.3.3._P3.3.2.</t>
  </si>
  <si>
    <t>Autoratlīdzība zivju kūpinātājam (92,77 EUR)+ autoratlīdzība 3 amatu meistariem (53 EUR x 3)  x 9 ceturtdienas =  2266 EUR</t>
  </si>
  <si>
    <t>Tipogrāfijas pakalpojumi ieejas biļešu izgatavošanai (0,035 EURx1100 gab.=38,50 EUR)</t>
  </si>
  <si>
    <t>Reklāmas izdevumi - A3 un A2 plakāti, flaijeri ( makets un druka)</t>
  </si>
  <si>
    <t>Saimniecības preces - vienreizējie trauki, salvetes (15 EUR x 9 pasākumi=135 EUR)</t>
  </si>
  <si>
    <t>5.</t>
  </si>
  <si>
    <t>Vīna svētki zvejnieka sētā</t>
  </si>
  <si>
    <t>JPAP_P3.3._R3.3.1._191; 199: 200; KAP_RV3_U3.2._P3.2.3.; U.3.3._P3.3.2.</t>
  </si>
  <si>
    <t>Autorhonorārs mūzikas grupai (760 EUR), pasākuma vadītājam (92 EUR), radošās darbnīcas vadītājam (84 EUR), zupas vārītājai (84 EUR)</t>
  </si>
  <si>
    <t>Autortiesību apmaksa AKKA/ALA</t>
  </si>
  <si>
    <t>Balvas, pārtikas produkti, reklāma</t>
  </si>
  <si>
    <t>Saimniecības preces - vienreizējie trauki, termobļodas, salvetes, papīra dvieļi u.c.</t>
  </si>
  <si>
    <t>Aspazijas māja</t>
  </si>
  <si>
    <t xml:space="preserve">1. </t>
  </si>
  <si>
    <t>Dzejas dienas</t>
  </si>
  <si>
    <t>JPAP_P3.3._R3.3.1._191; 199; KAP_RV2_U2.2._P2.2.2.; RV3_U3.3._P3.3.3.</t>
  </si>
  <si>
    <t>Autorhonorārs aktieriem/mūziķiem (63 EUR x 7 pers. + 93 EUR x 2 pers.)</t>
  </si>
  <si>
    <t>Inventāra un aparatūras noma</t>
  </si>
  <si>
    <t>Rekvizītu un tērpu noma</t>
  </si>
  <si>
    <t>Ārvalstu viesu ēdināšanas pakalpojumi (10 EURx10 personas)</t>
  </si>
  <si>
    <t>Ziedi, cienasts, afišas, ielūgumi, suvenīri ārvalstu viesiem (dzejniekiem, tulkotājiem)</t>
  </si>
  <si>
    <t>Izstādes (Noformēšana, reklāma un atklāšana)</t>
  </si>
  <si>
    <t>JPAP_P3.3._R3.3.1._191; 199; KAP_RV2_U2.2._P2.2.2.; RV3_U3.3._P3.3.3.; P3.3.4.</t>
  </si>
  <si>
    <t>Afišas, ielūgumi, ziedi, cienasts  (50 EUR x2  izstādes)</t>
  </si>
  <si>
    <t>Aspazijas dzimšanas dienas pasākums</t>
  </si>
  <si>
    <t>Autorhonorārs aktieriem/mūziķiem (2 personas)</t>
  </si>
  <si>
    <t>Saimnieciskā apkalpošana (2,50 EUR x 40 personas)</t>
  </si>
  <si>
    <t xml:space="preserve">Afišas, ielūgumi, ziedi, suvenīri </t>
  </si>
  <si>
    <t>Starptautiskā Muzeju nakts</t>
  </si>
  <si>
    <t>Autorhonorārs māksliniekiem un radošo darbnīcu vadītājiem (66,6 EUR x 5 personas)</t>
  </si>
  <si>
    <t>Ziedi, cienasts</t>
  </si>
  <si>
    <t>Elzas diena</t>
  </si>
  <si>
    <t>JPAP_P3.3._R3.3.1._191; 199; KAP_RV2_U2.2._P2.2.2.; RV3_U3.2._P3.2.3.</t>
  </si>
  <si>
    <t>Autoratlīdzība māksliniekiem (85,50 EUR x 2 personas)</t>
  </si>
  <si>
    <t>Afišas, ielūgumi, ziedi, suvenīri, pārtikas preces</t>
  </si>
  <si>
    <t>6.</t>
  </si>
  <si>
    <r>
      <t xml:space="preserve">Tikšanās ar radošām personībām pasākumu ciklā "Kafija ar </t>
    </r>
    <r>
      <rPr>
        <sz val="10"/>
        <rFont val="Times New Roman"/>
        <family val="1"/>
        <charset val="186"/>
      </rPr>
      <t>ASPAZIJU</t>
    </r>
    <r>
      <rPr>
        <sz val="9"/>
        <rFont val="Times New Roman"/>
        <family val="1"/>
        <charset val="186"/>
      </rPr>
      <t>"</t>
    </r>
  </si>
  <si>
    <t>JPAP_P3.3._R3.3.1._191; 199; KAP_RV1_U1.3._P1.3.6.; RV3_U3.2._P3.2.3.</t>
  </si>
  <si>
    <t>Autoratlīdzība māksliniekiem/  mūziķiem (63,42 EUR x 12 personas/ mēneši)</t>
  </si>
  <si>
    <t>Afišas ielūgumi, ziedi, kafija, konditoreja, suvenīri (15 EURx12 mēneši)</t>
  </si>
  <si>
    <t>7.</t>
  </si>
  <si>
    <t>Pasākumu cikls "Jauns cilvēks pēkšņi raksta"</t>
  </si>
  <si>
    <t>Autorhonorārs pasākumu cikla vadītājam un dzejniekam  (66,66 EUR x 6 mēneši)</t>
  </si>
  <si>
    <t>Afišas ielūgumi, ziedi, kafija, konditoreja, suvenīri (30 EUR x 6 mēneši)</t>
  </si>
  <si>
    <t>8.</t>
  </si>
  <si>
    <t>Kultūrvēsturiska izstāde "Ceļā uz Latvijas valsti"</t>
  </si>
  <si>
    <t>Izstādes "Ceļā uz Latvijas valsti"otra daļa, kas veltīta Aspazijas radošā mantojuma izpētei un popularizēšanai saistībā ar pirmo Latvijas brīvvalsti un tās tapšanu (Latvijas simtgades aktivitāte).</t>
  </si>
  <si>
    <t>JPAP_P3.3._R3.3.1._191; 199; KAP_RV2_U2.2._P2.2.1.; P2.2.2.</t>
  </si>
  <si>
    <t>Autorhonorārs izstādes māksliniekam</t>
  </si>
  <si>
    <t>Afišas, ielūgumi, reklāma, digitālās izdrukas, materiāli noformējumam,  ziedi, cienasts</t>
  </si>
  <si>
    <t>Autorhonorārs radošo darbnīcu vadītājiem (50 EURx4 personas) un mūziķiem</t>
  </si>
  <si>
    <t xml:space="preserve">Prožektoru noma pagalma apgaismošanai graffiti radošās darbnīcas norises laikā pēc tumsas iestāšanās. </t>
  </si>
  <si>
    <t>Reklāma, digitālās izdrukas, dažādi materiāli radošajām darbnīcām, kafija, konditoreja</t>
  </si>
  <si>
    <t>Starptautiskā jūras ainavu izstāde "Marīna"</t>
  </si>
  <si>
    <t xml:space="preserve">2019. gadā notiks otra starptautiskā jūras tematikai veltītā mākslas biennāle MARĪNA, kas notiek reizi divos gados ar vērienīgu pasākumu programmu visā Jūrmalas pilsētā. 2018.gads ir starpgads, kurā notika tikai izstāde muzejā, tāpēc finansējums 2 gadu ciklā ir atšķirīgs, ar ievērojamu pieaugumu 2019.g. Biennāles ietvaros plānotas vismaz 9 izstādes 13 norises vietās, 7 radošās darbnīcas un 3 veidu informatīvie materiāli. </t>
  </si>
  <si>
    <t>JPAP_P1.7._R1.7.1._42; P3.3._R3.3.1._191; 193; 199; KAP_RV2_U2.1._P2.1.3.; U2.2._P2.2.3.; U2.3._P2.3.1.; RV3_U3.2._P3.2.2.; U3.3._P3.3.5.</t>
  </si>
  <si>
    <t>Autoratlīdz.- 571 Eur biennāles reklāmas koncepc. izstrāde un norise; 1325 Eur biennāles ceļveža teksts, sastādīšana; rediģēšana; dizains, maketēš.; 380 EUR konkursa izstādes komunikāc. nodrošin. ar māksliniekiem, soc. medijiem); 124 Eur izstādes tekstu maketēšana; 428 Eur ceļveža, izstādes un kartes "Vētra" tekstu tulkoš. ENG, RU; 714 Eur žūrijai (142,80 EUR x 5 ); 571 Eur izstādes scenogrāfam; 955 Eur elektron. kataloga teksts, sastādīšana, korekt.(191 Eur x 5 pers.); 190 Eur mūziķiem atklāšanas pasāk. (95 Eur x 2); 571 Eur izstādes darbu fotografēš. publicitātei (4,76 Eur x 120); 285 Eur sociālā bērnu projekta norises foto un video dokumentēš. izstādei; 840 Eur radošo darbn. saturs un vadīšana (120 Eurx7).</t>
  </si>
  <si>
    <t>Pasta pakalpojumi korespondecei un darbu sūtīšanai</t>
  </si>
  <si>
    <t>Saimnieciskā apkalpošana izstādes atklāšanā (5,5 Eur x 100 pers.)</t>
  </si>
  <si>
    <t>Transporta noma mākslas darbu un izstāžu inventāra pārvadāšanai</t>
  </si>
  <si>
    <t>440 Eur konkursa izstādes anotāciju, etiķešu, reklāmas banera ražošana; 102 Eur JPD foaje izstādes anotāciju, etiķešu, reklāmas izgatavošana; 288 Eur fotogrāfiju izgatavošana un noformēšana sociālā projekta izstādei; 400 EUR kartes "Vētra" maketēšana.</t>
  </si>
  <si>
    <t>420 Eur vides reklāma, plakāti biennāles 13 norises vietās; 3247 Eur biennāles ceļvedis 900 gab. 3 valodās; 80 Eur sociālā projekta izstādes reklāmas materiāli; 500 Eur materiāli biennāles izstādei Bulduru Izstāžu namā; 700 Eur materiāli 7 radošajām darbnīcām (fotopapīrs, lielformāta papīra lo9ksnes, guaša, pasteļi, otas, putukartons, plēve u.c.; suvenīru izgatavošana biennālei.</t>
  </si>
  <si>
    <t>Konkursa izstādes balvu fonds.</t>
  </si>
  <si>
    <t>Kultūras projekts "Bērnu gada balva mākslā "Lielā zemene""</t>
  </si>
  <si>
    <t>JPAP_P3.3._R3.3.1._191; 192; 199; KAP_RV3_U3.2._P3.2.4.;</t>
  </si>
  <si>
    <t>Autorhonorārs par nodarbību vadīšanu (14 EUR x 20 nodarbības) un noslēguma pasākuma scenārija izstrādi (60 EUR)</t>
  </si>
  <si>
    <t xml:space="preserve">Biroja preces nodarbībām </t>
  </si>
  <si>
    <t>Dažādu materiālu iegāde bērnu nodarbībām (0,20 EUR  x 20 bērni x 20 nodarbības), balvas māksliniekiem un bērniem (90 EUR)</t>
  </si>
  <si>
    <t>Materiālu iegāde muzejpedagoģiskām programmām</t>
  </si>
  <si>
    <t>JPAP_P3.3._R3.3.1._191; 192; 199; KAP_RV1_U1.3._P1.3.6.; RV3_U3.2._P3.2.4.;</t>
  </si>
  <si>
    <t>Akvareļu papīrs (A3 3,45 x 10 gab, A4 1,50x 10 gab, A 5 1,20 x10 gab.= 61,5 EUR); lielie papīra ruļļi 180 g/ 1,5x  10 m (41 EURx 3gab.= 123 EUR); eļļas krītiņi (5,80 EURx18 gab .= 104,40 EUR); temperas krītiņi, akvareļzīmuļi (45,30 EUR); dažādi materiāli "Ģimenes pēcpusdienai muzejā" (20 EUR x 5 nodarbības = 100 EUR)</t>
  </si>
  <si>
    <t>Muzeja mākslas krājuma izstādes</t>
  </si>
  <si>
    <t>2019. gada plānā ir apstiprinātas 2 izstādes no muzeja mākslas kolekcijas: "Interjers un eksterjers" (2.01.-10.02.) un "Daba klusē" (25.11.-31.12.).</t>
  </si>
  <si>
    <t>JPAP_P3.3._R3.3.1._191; 192; 199; KAP_RV2_U2.2._P2.2.3.; RV3_U3.2._P3.2.1.; P3.2.2.</t>
  </si>
  <si>
    <t xml:space="preserve">Paspartu izgatavošana 75 grafikas darbiem (620 EUR); 2 gleznu ierāmēšana (120 EUR); jaunu rāmju izgatavošana (21,20 EUR x 20 gab. = 422 EUR); ploterēšanas un drukas darbi (200 EUR x 2 izstādes = 400 EUR).  </t>
  </si>
  <si>
    <t>Konditorejas izstrādājumi, ziedi, suvenīri (70 EUR x 2 pasākumi).</t>
  </si>
  <si>
    <t>Pārējo mākslas izstāžu iekārtošanas, noformēšanas, atklāšanas un reklāmas pasākumi</t>
  </si>
  <si>
    <t>16 mākslas izstādes, t.sk. 4 Jūrmalas mākslinieku izstādes, kurām nepieciešams pašvaldības līdzfinansējums reklāmai</t>
  </si>
  <si>
    <t>JPAP_P3.3._R3.3.1._191; 192; 193; 199; KAP_RV2_U2.1._P2.1.3.</t>
  </si>
  <si>
    <t>Autorhonorārs maketētājam (anotācijas, etiķetes, baneri, plakāti, ielūgumi Natālijas Maļikovas, Zigmunda Šņores, Jāna Veisa un Edītes Zvagules izstādēm): 100 EUR x 4 izstādes</t>
  </si>
  <si>
    <t>Transporta noma baneru nomaiņai 39,11 EUR x  1 stunda x 10 baneri</t>
  </si>
  <si>
    <t>Reprezentācijas izdevumi (ziedi u.c.): 15 EUR x 16 izstādes</t>
  </si>
  <si>
    <t>Priekšmetu iepirkumi muzeja kolekciju papildināšanai</t>
  </si>
  <si>
    <t>JPAP_P3.3._R3.3.1._191; 192; 199; KAP_RV3_U3.2._P3.2.1.</t>
  </si>
  <si>
    <t>Vēsturisko prieksmetu iepirkumi ekspozīcijas un izstāžu papildināšanai</t>
  </si>
  <si>
    <t>Iepirkumi mākslas kolekcijas papildināšanai</t>
  </si>
  <si>
    <t>Muzeja priekšmetu restaurācija</t>
  </si>
  <si>
    <t xml:space="preserve">Mākslas darbu un vēstures krājuma priekšmetu restaurācija </t>
  </si>
  <si>
    <t>9.</t>
  </si>
  <si>
    <t xml:space="preserve">Dažādu kopiju izgatavošana izstāžu un muzeja krājuma vajadzībām </t>
  </si>
  <si>
    <t>JPAP_P3.3._R3.3.1._191; 192; 199; KAP_RV1_U1.3._P1.3.6.; RV3_U3.2._P3.2.3.</t>
  </si>
  <si>
    <t>Palielinājums sakarā ar papildu tēmas - Ķemeru vēstures - izpēti arhīvos un muzejos, lai izstrādātu vēstures ekspozīciju Ķemeru ūdenstornī</t>
  </si>
  <si>
    <t>10.</t>
  </si>
  <si>
    <t>Projekts "Esmu Jūrmalas muzeju eksperts"</t>
  </si>
  <si>
    <t>JPAP_P3.3._R3.3.1._191; 199; KAP_ RV3_U3.2._P3.2.4.</t>
  </si>
  <si>
    <t>Autoratlīdzība ekspertam par projekta izvērtējumu mācību gada un projekta noslēguma pasākumā</t>
  </si>
  <si>
    <r>
      <t xml:space="preserve">Bukletu (dienasgrāmatu) druka 20 lpp. + vāks (700 gab.) = 732,05 EUR; atstarotāji  </t>
    </r>
    <r>
      <rPr>
        <i/>
        <sz val="9"/>
        <rFont val="Times New Roman"/>
        <family val="1"/>
        <charset val="186"/>
      </rPr>
      <t>Swangift</t>
    </r>
    <r>
      <rPr>
        <sz val="9"/>
        <rFont val="Times New Roman"/>
        <family val="1"/>
        <charset val="186"/>
      </rPr>
      <t xml:space="preserve"> (200 gab.) ar projekta logo - 440,44 EUR; atstarojošās nozīmītes ar projekta logo (200 gab.) = 130,68 EUR un cienasts - 75 EUR (2,50 EURx30 pers.) Ir sadārdzinājusies dienasgr. druka, jo vairāk lpp., dārgāks papīrs un pieaug projekta dalībnieku skaits, kā arī ir paredzēti 400 gab. suvenīri ar projekta logo projekta beidzējiem.</t>
    </r>
  </si>
  <si>
    <t>11.</t>
  </si>
  <si>
    <t xml:space="preserve">Muzejpedagoģiskā programma "Tēja ielas garumā" </t>
  </si>
  <si>
    <t>Latvijas simtgades aktivitāte, 6-8 reizes gadā.</t>
  </si>
  <si>
    <t>JPAP_P3.3._R3.3.1._191; 192; 199; KAP_RV1_U1.3._P1.3.6.; RV2_U2.2._P2.2.1.; RV3_U3.3._P3.3.3.</t>
  </si>
  <si>
    <t>LTV videoierakstu izmantošanas tiesības (45,21 EUR x 6 raidījumi = 271,26 EUR</t>
  </si>
  <si>
    <t xml:space="preserve">LTV raidījuma "Ielas garumā" videoierakstu iegāde muzeja krājumam un muzejpedagoģiskajām nodarbībām (14,64 EUR x 6 ieraksti = 87,84 EUR); plakātu A3 druka (1 EUR x 15 plakāti x 6 pasākumi = 90 EUR; tēja un konditoreja atmiņstāstu vakaru dalībniekiem (0,80 EUR x 19 dalībnieki x 6 pasākumi = 91,20 EUR). </t>
  </si>
  <si>
    <t>12.</t>
  </si>
  <si>
    <t>Valdis. Bušs. Izstādes buklets</t>
  </si>
  <si>
    <t xml:space="preserve">Interaktīva karte-ceļvedis ģimenēm ar bērniem </t>
  </si>
  <si>
    <r>
      <rPr>
        <b/>
        <sz val="9"/>
        <rFont val="Times New Roman"/>
        <family val="1"/>
        <charset val="186"/>
      </rPr>
      <t>Jauna iniciatīva!</t>
    </r>
    <r>
      <rPr>
        <sz val="9"/>
        <rFont val="Times New Roman"/>
        <family val="1"/>
        <charset val="186"/>
      </rPr>
      <t xml:space="preserve"> Mērķauditorijai - ģimenēm ar bērniem -izstrādāta karte-ceļvedis, kas interaktīvā veidā iepazīstina ar Jūrmalas pašvaldības muzejiem  (Jūrmalas pilsētas muzeju, Aspazijas māju, Jūrmalas brīvdabas muzeju un Bulduru Izstāžu namu) un to piedāvājumu 3 valodās.</t>
    </r>
  </si>
  <si>
    <t>JPAP_P1.7._R1.7.1._42; P3.3._R3.3.1._191; 193; 199; KAP_ RV3_U3.2._P3.2.2.; P3.2.4.; U3.3._P3.3.1.; P3.3.3.</t>
  </si>
  <si>
    <t>Autorhonorārs ceļveža maketēšanai un dizaina izstrādei</t>
  </si>
  <si>
    <r>
      <t xml:space="preserve">Ceļveža-kartes druka 
(izklājumā A3, salocīts uz 140 x 148 mm; 4+4; 
papīrs 120 gr </t>
    </r>
    <r>
      <rPr>
        <i/>
        <sz val="9"/>
        <rFont val="Times New Roman"/>
        <family val="1"/>
        <charset val="186"/>
      </rPr>
      <t>Amber Graphic</t>
    </r>
    <r>
      <rPr>
        <sz val="9"/>
        <rFont val="Times New Roman"/>
        <family val="1"/>
        <charset val="186"/>
      </rPr>
      <t>; locīšana, pakošana) pa veidiem:
RU 350 + ENG 350 + LV 700 eksempl.</t>
    </r>
  </si>
  <si>
    <t>Bulduru Izstāžu nams</t>
  </si>
  <si>
    <t>Mākslas dienas</t>
  </si>
  <si>
    <t>JPAP_P3.3._R3.3.1._191; 193; 199; KAP_RV1_U1.3._P1.3.6.; P1.3.7.; RV2_U2.1._P2.1.1.; RV3_U3.3._P3.3.3.</t>
  </si>
  <si>
    <t>Autoratlīdzības 3-4 māksliniekiem.</t>
  </si>
  <si>
    <t xml:space="preserve">Materiāli radošām darbnīcām (krāsas, otas, papīrs, kartons u.c.); tēja, kafija, konditoreja, ziedi. </t>
  </si>
  <si>
    <t>Muzeju nakts</t>
  </si>
  <si>
    <t>JPAP_P3.3._R3.3.1._191; 193; 199; KAP_RV1_U1.3._P1.3.6.; P1.3.7.; RV3_U3.2._P3.2.3.</t>
  </si>
  <si>
    <t xml:space="preserve">Autoratlīdzības 2-3 personām par pasākuma vietas un teritorijas noformējumu. </t>
  </si>
  <si>
    <t>Materiāli pasākuma norisei atbilstoši koncepcijai</t>
  </si>
  <si>
    <t>Mākslas projekts-konkurss-izstāde "JĀ/Neatkarība"</t>
  </si>
  <si>
    <t xml:space="preserve">Autoratlīdzības: žūrijas komisijai 172 EUR x 5 personas; 95 EUR izstādes māksliniekam; 92 EUR anotāciju, etiķešu tulkošana;  </t>
  </si>
  <si>
    <t xml:space="preserve">Materiāli izstādes iekārtošanai, noformējums, cienasts, ziedi, suvenīri </t>
  </si>
  <si>
    <t>Konkursa balvu fonds</t>
  </si>
  <si>
    <t>8 izstādes</t>
  </si>
  <si>
    <t>Autoratlīdzība tulkam par anotāciju, etiķešu un plakātu tekstu tulkojumu angļu valodā</t>
  </si>
  <si>
    <t>Noformējuma materiāli, cienasts, ziedi. Bulduru Izstāžu nams ir muzeja filiāle kopš 2018.gada 1.maija, pirms tam tas bija Kultūras centra struktūrvienība, kurai gada budžetā apstiprinātā summa izstādēm 2018.gadā bija 1500 EUR</t>
  </si>
  <si>
    <t>Projekti/ pasākumi Latvijas simtgadei</t>
  </si>
  <si>
    <t>Tipogrāfijas pakalpojumi</t>
  </si>
  <si>
    <t>JPAP_P3.3._R3.3.1._191; 199; KAP_RV4_U4.1._P4.1.4.; U4.3._P4.3.3.</t>
  </si>
  <si>
    <t xml:space="preserve">Plakāti, ielūgumi, flajeri, anotācijas </t>
  </si>
  <si>
    <t>Valda Buša izstādes, radošās darbnīcas un mini plenēri</t>
  </si>
  <si>
    <r>
      <rPr>
        <b/>
        <sz val="9"/>
        <rFont val="Times New Roman"/>
        <family val="1"/>
        <charset val="186"/>
      </rPr>
      <t>Jauna iniciatīva!</t>
    </r>
    <r>
      <rPr>
        <sz val="9"/>
        <rFont val="Times New Roman"/>
        <family val="1"/>
        <charset val="186"/>
      </rPr>
      <t xml:space="preserve"> Sakarā ar nepieciešamību saglabāt un popularizēt jūrmalnieka gleznotāja Valda Buša radošo mantojumu, tika izveidota jauna muzeja filiāle - Bulduru izstāžu nams, kura 2.stāvā ir iespēja organizēt nelielas izstādes, radošās darbnīcas, kā arī plenērus Izstāžu nama dārzā. 2019.g. - 2 izstādes, 10 radošās darbnīcas, 5 mini plenēri.</t>
    </r>
  </si>
  <si>
    <t>JPAP_P1.7._R1.7.1._42; JPAP_P3.3._R3.3.1._191; 193; 199; KAP_RV3_U3.2._P3.2.3.</t>
  </si>
  <si>
    <t>Autoratlīdzība mūziķiem/ māksliniekiem izstāžu atklāšanas pasākumos un Lieldienu/ Ziemassvētku radošajās darbnīcās (55 EUR x 4 personas)</t>
  </si>
  <si>
    <t>Materiāli radošajām darbnīcām (10 gab.): 380 EUR- akrila krāsas; 90 EUR-krītiņi, flomasteri; 100 EUR-otas; 120 EUR-papīrs; 160 EUR-audekli.</t>
  </si>
  <si>
    <t>Valda Buša darbu pastkaršu komplekts</t>
  </si>
  <si>
    <r>
      <rPr>
        <b/>
        <sz val="9"/>
        <rFont val="Times New Roman"/>
        <family val="1"/>
        <charset val="186"/>
      </rPr>
      <t>Jauna iniciatīva</t>
    </r>
    <r>
      <rPr>
        <sz val="9"/>
        <rFont val="Times New Roman"/>
        <family val="1"/>
        <charset val="186"/>
      </rPr>
      <t>! Sakarā ar nepieciešamību saglabāt un popularizēt jūrmalnieka gleznotāja Valda Buša radošo mantojumu, tiks izdots 10 pastkaršu komplekts, kas būs ievietots kartona aploksnē. 1000 komplekti ar tekstu latviešu un angļu valodā.</t>
    </r>
  </si>
  <si>
    <t>JPAP_P3.3._R3.3.1._191; 199; KAP_RV2_U2.3._P2.3.1.; RV4_U4.1._P4.1.4.; U4.3._P4.3.3.</t>
  </si>
  <si>
    <t>Autoratlīdzības: 100 EUR- teksta autoram un redaktoram; 50 EUR- tulkam par tulkojumu angļu valodā; 200 EUR fotogrāfam; 240 EUR par maketēšanu un bilžu apstrādi.</t>
  </si>
  <si>
    <r>
      <t xml:space="preserve">Pastkaršu komplekti 1000 gab. Izmērs 10x15 cm; druka 4+4; kartons </t>
    </r>
    <r>
      <rPr>
        <i/>
        <sz val="9"/>
        <rFont val="Times New Roman"/>
        <family val="1"/>
        <charset val="186"/>
      </rPr>
      <t xml:space="preserve">MetsaBoard Prime </t>
    </r>
    <r>
      <rPr>
        <sz val="9"/>
        <rFont val="Times New Roman"/>
        <family val="1"/>
        <charset val="186"/>
      </rPr>
      <t>FBB 270 gr/m2</t>
    </r>
  </si>
  <si>
    <t>Stratēģiskā dokumenta nosaukums; stratēģiskā dokumenta kodu atšifrējums:</t>
  </si>
  <si>
    <t>R1.7.1. Kultūras tūrisma piedāvājuma attīstība</t>
  </si>
  <si>
    <t>Aktivitātes Nr. 42.  Jaunu kultūras tūrisma produktu attīstība.</t>
  </si>
  <si>
    <t>R3.3.1. Pilsētas kultūras iestāžu un muzeju darbības pilnveide</t>
  </si>
  <si>
    <t>Aktivitātes Nr. 191  Daudzveidīgu kultūras pasākumu pieejamība Jūrmalas iedzīvotājiem Jūrmalas pilsētā</t>
  </si>
  <si>
    <t>Aktivitātes Nr. 192 Jūrmalas kultūras iestāžu ēku remonts un būvniecība, teritoriju labiekārtošana un materiāltehniskais nodrošinājums</t>
  </si>
  <si>
    <t>Aktivitātes Nr. 193 Jūrmalas kā kultūras un mākslas pilsētas identitātes un konkurentspējas nostiprināšana</t>
  </si>
  <si>
    <t>Aktivitātes Nr. 198 Zvejniecības amatu kultūras mantojuma saglabāšana</t>
  </si>
  <si>
    <t>Aktivitātes Nr. 199 Jūrmalas muzeju popularizēšana</t>
  </si>
  <si>
    <t>Aktivitātes Nr. 200 Jūrmalas brīvdabas muzeja attīstība.</t>
  </si>
  <si>
    <t>RV1 Radošā Jūrmala: apkaimju unikalitātes stiprināšana un iedzīvotāju līdzdalības sekmēšana.</t>
  </si>
  <si>
    <t>RV2 Kultūras piedāvājuma izcilība un daudzveidība Jūrmalā: kvalitatīva un sistemātiska kultūras piedāvājuma veidošana dažādām mērķauditorijas grupām vietējā, nacionālā un starptautiskā mērogā</t>
  </si>
  <si>
    <t>RV3 Jūrmalas kultūras mantojums: kultūras mantojuma saglabāšana, mūsdienīga interpretācija un popularizēšana.</t>
  </si>
  <si>
    <t>RV4 Sadarbība Jūrmalā: kultūrvides attīstībā iesaistīto dalībnieku sadarbības veicināšana</t>
  </si>
  <si>
    <t>Uzdevums U1.3. Nodrošināt mūžizglītības un radošuma attīstīšanas iespējas jūrmalniekiem</t>
  </si>
  <si>
    <t xml:space="preserve">Uzdevums U.2.1. Rīkot kvalitatīvas un daudzveidīgas kultūras norises konkrētiem auditorijas segmentiem (jūrmalniekiem, vietēja mēroga un starptautiskiem tūristiem) katrā sezonā): </t>
  </si>
  <si>
    <t>Uzdevums U2.2. Nostiprināt Jūrmalas kā kultūras un mākslas pilsētas identitāti un konkurētspēju</t>
  </si>
  <si>
    <t>Uzdevums U2.3. Attīstīt starptautisko sadarbību, popularizējot Jūrmalu kā Baltijas lielāko kūrortpilsētu ar kvalitatīvu kultūras piedāvājumu</t>
  </si>
  <si>
    <t>Uzdevums U3.2. Palielināt pilsētas muzeju lomu kultūrvēsturiskā mantojuma mūsdienīgā interpretācijā</t>
  </si>
  <si>
    <t>Uzdevums U3.3. Izstrādāt mantojumā balstītus kultūrtūrisma produktus un pakalpojumus</t>
  </si>
  <si>
    <t>Uzdevums U4.1. Attīstīt sadarbību starp dažādām pašvaldības kultūras un citām iestādēm, ģeogrāfiski līdzsvarota kultūras piedāvājuma veidošanā un pieejamības veicināšanā.</t>
  </si>
  <si>
    <t>Uzdevums U4.3. Nodrošināt informācijas pieejamību atbilstoši kultūras auditorijas vajadzībām.</t>
  </si>
  <si>
    <t>Pasākuma Nr. P1.3.6. Kultūrizglītojošu pasākumu veidošana ģimenēm, bērniem un jauniešiem, senioriem.</t>
  </si>
  <si>
    <t>Pasākuma Nr. P1.3.7. Interaktīvu līdzdalības formu attīstība kultūras pasākumos</t>
  </si>
  <si>
    <t>Pasākuma Nr. P2.1.1. Nodrošināt dažādu mērķauditorijas segmentu vajadzībām atbilstošas profesionālās mākslas pieejamību Jūrmalā.</t>
  </si>
  <si>
    <t>Pasākuma Nr. P2.1.3. Jūrmalu kā kūrortpilsētu pozicionējošu ikgadēju profesionālās mākslas festivālu un pasākumu rīkošana vai līdzfinansēšana.</t>
  </si>
  <si>
    <t>Pasākuma Nr. P2.2.1. Valsts svētku un atceres dienu rīkošana pilsētas iedzīvotājiem un viesiem, tai skaitā Latvijai-100 atzīmēšana.</t>
  </si>
  <si>
    <t>Pasākuma Nr. P2.2.2. Jūrmalas kā Aspazijas un Raiņa pilsētas tēla nostiprināšana.</t>
  </si>
  <si>
    <t xml:space="preserve">Pasākuma Nr. P2.2.3. Gadskārtu svētku, pilsētas svētku un dažādām sabiedrības mērķgrupām domātu pasākumu rīkošana, nostiprinot Jūrmalas zīmolu vietējā, nacionālā un starptautiskā mērogā. </t>
  </si>
  <si>
    <t>Pasākuma Nr. P2.3.1. Kultūras sadarbības attīstīšana ar Jūrmalas sadraudzības pilsētām un citiem starptautiskiem partneriem.</t>
  </si>
  <si>
    <t>Pasākuma Nr. P3.2.1. Jūrmalas pilsētas muzeju pamatdarbības nodrošināšana, krājuma papildināšana un saglabāšana, veidojot atbilstošus glabāšanas apstākļus, krājuma izpēte un popularizēšana.</t>
  </si>
  <si>
    <t>Pasākuma Nr. P3.2.2. Muzeju krājuma pieejamības veicināšana, veicot krājuma digitalizāciju, izstāžu un tematisku izdevumu veidošana.</t>
  </si>
  <si>
    <t xml:space="preserve">Pasākuma Nr. P3.2.3. Jūrmalas pašvaldības muzeju rīkotie tematiskie pasākumi, izstādes auditorijas paplašināšanai. </t>
  </si>
  <si>
    <t>Pasākuma Nr. P3.2.4. Jūrmalas pilsētas muzeju sadarbības ar izglītības iestādēm un muzejpedagoģiskā darba attīstīšana.</t>
  </si>
  <si>
    <t>Pasākuma Nr. P3.3.2. Amatu prasmju apguves darbnīca Jūrmalas brīvdabas muzejā.</t>
  </si>
  <si>
    <t>Pasākuma Nr. P3.3.3. Ar izcilām personībām – jūrmalniekiem – saistītā kultūrvēsturiskā mantojuma popularizēšana, kultūras tūrisma produktu veidošana (izstādes, pilsētvides objekti, pasākumi).</t>
  </si>
  <si>
    <t>Pasākuma Nr. P3.3.4.Koka arhitektūras kultūrvēsturiskā mantojuma popularizēšana</t>
  </si>
  <si>
    <t>Pasākuma Nr. P3.3.5. Mantojumā balstītu dizaina produktu izstrāde, intelektuālie suvenīri, ar izcilām personībām – jūrmalniekiem – saistītu suvenīru izstrāde.</t>
  </si>
  <si>
    <t>Sporta skolas pasākumi</t>
  </si>
  <si>
    <t>Basketbols</t>
  </si>
  <si>
    <t>Basketbols, 7 treneri - 174 izglītojamie</t>
  </si>
  <si>
    <t>Dalība čempionātos</t>
  </si>
  <si>
    <t>1.1.1.</t>
  </si>
  <si>
    <t>Dalība LJBL</t>
  </si>
  <si>
    <t>JPAP_R3.2.4._174  JPSAAS_3_3.3.</t>
  </si>
  <si>
    <t>40 izbraukumi</t>
  </si>
  <si>
    <t xml:space="preserve">2018./2019.g.s. Kalendārā ir komandas no Alūksnes, Daugavpils, Rēzeknes, Smiltenes, Rūjienas, Gulbenes, spēles kalendārā tiks saliktas, lai 2 dienās varētu izspēlēt vairākas spēles ar tālajām komandām līdz ar to būs nepieciešamas naktsmītnes 8,00EUR x 15audz.x 2 naktis x  5 izbraukumi =1200 EUR, </t>
  </si>
  <si>
    <t>40 braucieni x 10st.x 20 EUR</t>
  </si>
  <si>
    <t xml:space="preserve">Dalības maksas LJBL un Latvijas čempionātos. </t>
  </si>
  <si>
    <t>1) 7.00EUR x15aud.x 2 dienas * 5 sacensības =1050 EUR, 2)3.50EUR x 15audz.x 20 sacensības = 1050EUR</t>
  </si>
  <si>
    <t>1.1.2.</t>
  </si>
  <si>
    <t>Dalība EGBL</t>
  </si>
  <si>
    <t>JPAP_R3.2.4._170</t>
  </si>
  <si>
    <t>2019.g.s. Jūrmalas Sporta skolas meiteņu komanda nepiedalīsies Eiropas Jaunatnes Basketbola līgā</t>
  </si>
  <si>
    <t>Atklātais turnīrs "Fēnikss kauss"</t>
  </si>
  <si>
    <t>Atklātā turnīra "Fenikss kauss" Superfinālu rīkošanas izdevumi Jūrmalā un 2 izbraukuma posmi Krievijā.</t>
  </si>
  <si>
    <t>20 spēļu tiesnešu, sekretariāta, laika operatora  nodrošinājums, video operators spēļu tiešraides nodrošināšanai</t>
  </si>
  <si>
    <t>Darba devēja valsts sociālās apdrošināšanas obligātās iemaksas</t>
  </si>
  <si>
    <t>Komandējuma nauda Maskava 5 dienas *45 EUR = 225 EUR, Komandējuma nauda Sanktpēterburga 4 dienas * 45 EUR = 180 EUR</t>
  </si>
  <si>
    <t>Autobusa biļete LuxExpress Rīga-Maskava-Rīga 90 EUR, Autobusa biļete LuxExpress Rīga-Sanktpēterburga-Rīga 55 EUR, Ceļojuma apdrošināšana 2 braucieni * 1 treneris * 7 EUR = 14 EUR</t>
  </si>
  <si>
    <t>Mājas posma organizēšana:  Transfērs no lidostas, autoostas, vai dzelzceļa stacijas -400 EUR; Transfēri 3 dienas 2 komandas uz katru spēli no viesnīcas Dubultos uz sacensību vietu JVĢ halli 3 dienas * 2 autobusi * 240 EUR = 1440;  Treneru seminārs 450 EUR; informatīvie materiāli 460 EUR, sporta zāles noformēšana 200 EUR, reklāmas materiāli 420 EUR, ielūgumi 40 EUR</t>
  </si>
  <si>
    <t>Dzeramais ūdens - 20 spēlēm * 2 komandām * 1.95 EUR = 78 EUR; vienreizlietojamās glāzes 10 iepakojumi(100 gab.) * 1.20 = 12 EUR</t>
  </si>
  <si>
    <t>Autobusa biļete LuxExpress Rīga-Maskava-Rīga 13 izglītojamās * 90 EUR = 1170 EUR, Autobusa biļete LuxExpress Rīga-Sanktpēterburga-Rīga 13 izglītojamās * 55 EUR = 715 EUR, Ceļojuma apdrošināšana 2 braucieni * 13 izglītojamās * 7 EUR = 182 EUR</t>
  </si>
  <si>
    <t>Mājas posms - Balvas sacensību dalībniekiem - medaļas, kausi, diplomi, individuālie apbalvojumi 700 EUR; T-krekli katram dalībniekam ar Jūrmalas logo 120 pers. * 6 EUR = 720 EUR, saldās balvas 8 klinģeri * 25 EUR= 200 EUR; ziedi 50 EUR</t>
  </si>
  <si>
    <t>Pirmās palīdzības aptieciņa 20 mājas spēlēm</t>
  </si>
  <si>
    <t>Basketbola programmas īstenošanas nodrošināšana</t>
  </si>
  <si>
    <t>JPAP_R3.2.4._173</t>
  </si>
  <si>
    <t>Pirmās palīdzības aptieciņas papildināšana</t>
  </si>
  <si>
    <t>Spēļu formas ar apdruku 2 meiteņu komandām (gaišais krekls, šorti + tumšais krekls, šorti + iesildīšanās krekls) 30 komplekti * 75 EUR = 2250 EUR</t>
  </si>
  <si>
    <t>SKILZ pretestības gumijas 3 gab * 80 EUR = 240 EUR, b/b bumbas 10 gab.* 43 EUR = 430 EUR, bumbu soma 2 gab. * 55 EUR = 110 EUR, b/b grozu tīkliņi 6 gab. * 10.00 EUR = 60 EUR, putu ruļļi 10 gb. * 26 EUR = 260 EUR</t>
  </si>
  <si>
    <t>Nometnes</t>
  </si>
  <si>
    <t>1.3.1.</t>
  </si>
  <si>
    <t>Dienas nometnes</t>
  </si>
  <si>
    <t>JPAP_R3.2.4._184 JPSAAS_3_3.3.</t>
  </si>
  <si>
    <t>4 nometnes</t>
  </si>
  <si>
    <t>5 grupas: 100 bēni x 10 dienas x 3.5 =3500 EUR</t>
  </si>
  <si>
    <t>1.3.2.</t>
  </si>
  <si>
    <t>Izbraukuma nometnes</t>
  </si>
  <si>
    <t>7 nometnes</t>
  </si>
  <si>
    <t>6 treneri 10 dienas x 6 EUR = 360 EUR</t>
  </si>
  <si>
    <t xml:space="preserve">6 grupas: 74 bērni x 10 dienas x 8 =5920, sporta zāles īre </t>
  </si>
  <si>
    <t>Transportas izbraukuma nometnēm un braucieniem uz ekskursijām~ 1200 km</t>
  </si>
  <si>
    <t>Dalības maksa ekskursijām74 izgl. * 4.50 EUR = 333 EUR</t>
  </si>
  <si>
    <t>Medikamenti</t>
  </si>
  <si>
    <t>6 grupas: 74 bērni x 10 dienas x 7 = 5180</t>
  </si>
  <si>
    <t xml:space="preserve">Burāšana </t>
  </si>
  <si>
    <t>Burāšana, 2 treneri - 26 izglītojamie</t>
  </si>
  <si>
    <t xml:space="preserve">2.1. </t>
  </si>
  <si>
    <t>Dalība sacensībās</t>
  </si>
  <si>
    <t>6 izbraukumi</t>
  </si>
  <si>
    <t>2.1.1.</t>
  </si>
  <si>
    <t>Dalība Latvijas čempionātos</t>
  </si>
  <si>
    <t>Telpu noma naktsmītnēm 8 izgl. * 5 izbr. * 3 naktis * 8 EUR = 960 EUR</t>
  </si>
  <si>
    <t>Dalības maksas Latvijas čempionātos</t>
  </si>
  <si>
    <t xml:space="preserve"> 8 izgl. * 5 izbr. * 4 dienas * 7 EUR = 1120 EUR, </t>
  </si>
  <si>
    <t>2.1.2.</t>
  </si>
  <si>
    <t>40.Starptautiskā Spinaker  regate, Tallina</t>
  </si>
  <si>
    <t>komandējuma nauda 1 treneris * 29 EUR = 145 EUR</t>
  </si>
  <si>
    <t>viesnīca 4 naktis * 40 EUR = 160 EUR</t>
  </si>
  <si>
    <t>Telpu noma naktsmītnēm 5 izgl.* 4 naktis * 18 EUR =  360 EUR</t>
  </si>
  <si>
    <t>5 izglītojamie * 60 EUR = 300 EUR</t>
  </si>
  <si>
    <t>5 izgl. * 5 dienas * 10 EUR = 250 EUR</t>
  </si>
  <si>
    <t>Burāšanas programmas īstenošanas nodrošināšana</t>
  </si>
  <si>
    <t>JPAP_R3.2.4._173  JPSAAS_1_1.3.</t>
  </si>
  <si>
    <t>Drošības baloni Optimist laivām 10 gab.* 28 EUR = 280 EUR</t>
  </si>
  <si>
    <t>Motorlaiva 5.4 m-  8500 EUR, Motors 60Zs - 6000 EUR. Esošā motorlaiva ir novecojusi (remontējama), ar pārāk mazu motoru (15Zs), grūti vadāma, nav izmantojama jūrā un stiprā vējā un ir nedroša pašiem treneriem. Glābšanas darbiem piemērota tikai mērenā vējā un upē. LZS ir noteikusi vairākumu republikas sacensības rīkot jūrā, tādēļ nav iespējams nodrošināt drošību sacensību laikā</t>
  </si>
  <si>
    <t>2.3.</t>
  </si>
  <si>
    <t>Jūrmalas Sporta skolas bilancē esošas motorlaivas  un piekabes (laivu pārvadāšanai uz sacensībām) izmantošanas izmaksas</t>
  </si>
  <si>
    <t>Motorlaivas ikgadējā tehniskā apkope 120 EUR</t>
  </si>
  <si>
    <t>Degviela 7 mēn. x 192.86EUR. Patēriņš 3L/stundā, norma 49 stundas mēnesī</t>
  </si>
  <si>
    <t xml:space="preserve">Piekabes sakabes ierīce 28.50 EUR (TA atzīmēja, ka patreizējā sakabes ierīce jāmaina), piekabes atbalsta ritenis 39 EUR ( piekabes komplektā šī detaļa nav) Vinča 55 EUR (laivu pacelšanai un novietošanai uz piekabes), piekabes dubļu sargi 2 gab. * 21.50 EUR = 43 EUR (esošie salūzuši) </t>
  </si>
  <si>
    <t xml:space="preserve">Daiļslidošana </t>
  </si>
  <si>
    <t>Daiļslidošana, 2 treneri - 39 izglītojamie</t>
  </si>
  <si>
    <t>3 izbraukumi</t>
  </si>
  <si>
    <t>Dalības maksa Latvijas čempionātos 3 sac. * 10 izgl. * 60 EUR = 1800 EUR,</t>
  </si>
  <si>
    <t>1  sac * 10 izgl. * 3.50 = 105 EUR, 1 sac * 30 izgl. * 3.50 EUR = 105 EUR</t>
  </si>
  <si>
    <t>Daiļslidošanas programmas īstenošanas nodrošināšana</t>
  </si>
  <si>
    <t>Siltie treniņtērpi 30 izgl. * 35 EUR = 1050 EUR</t>
  </si>
  <si>
    <t>Sfēra balansēšanai 4 gb * 25.00 EUR = 100 EUR, CD diski 100 gb * 0.10 EUR = 10 EUR, Lecamauklas 30 gb. * 7 EUR =210 EUR. Smaguma aproces 30 pāri * 2.50 EUR = 75 EUR</t>
  </si>
  <si>
    <t>1 dienas nometne</t>
  </si>
  <si>
    <t>Vingrošanas zāles noma 10 d. * 2h x 10,00 = 200 EUR, Ledus noma 10 h x 250,00 EUR =2500 eiro</t>
  </si>
  <si>
    <t>29 izgl. * 10 d. * 3,50EUR = 1523 EUR</t>
  </si>
  <si>
    <t xml:space="preserve">Džudo  </t>
  </si>
  <si>
    <t>Džudo, 1 treneris - 30 izglītojamie</t>
  </si>
  <si>
    <t>4 izbraukumi</t>
  </si>
  <si>
    <t xml:space="preserve">Telpu noma naktsmītnēm 6 izgl.* 4 izbr.*2 naktis * 8.00 EUR = 384 EUR </t>
  </si>
  <si>
    <t>Dalības maksa Latvijas džudo čempionātos</t>
  </si>
  <si>
    <t>Ēdināšana 6 izgl.*4 izbr.*3 dienas * 7.00 EUR = 504EUR</t>
  </si>
  <si>
    <t>Džudo programmas īstenošanas nodrošināšana</t>
  </si>
  <si>
    <t>Hronometrs - 32 EUR, Lecamauklas 15 gb * 7.00 EUR = 105 EUR, Virve - 88 EUR</t>
  </si>
  <si>
    <t xml:space="preserve">Futbols  </t>
  </si>
  <si>
    <t>Futbols, 7 treneri - 207 izglītojamie</t>
  </si>
  <si>
    <t>Tālāko spēļu nodrošināšanai nepieciešamas naktsmītnes, finālsacensības notiek 2 dienas *15 audzēkņi*8 euro= 240 euro</t>
  </si>
  <si>
    <t>Transporta noma - 40izbr.*9st*20.00EUR=7200EUR</t>
  </si>
  <si>
    <t>Dalības maksa Latvijas futbola čempionātos</t>
  </si>
  <si>
    <t xml:space="preserve">3.50EUR*15 izgl.*15izbr.=788 EUR, 2 dienas *15 izglīt* 7 EUR = 210 EUR </t>
  </si>
  <si>
    <t>Kaposvar cup 2019 2 komandas (25 izglītojamie) + 2 treneri 3.06.-11.06.2020</t>
  </si>
  <si>
    <t xml:space="preserve">Transporta noma Jūrmala - Ungārija, Kaposvar - Jūrmala 3700 km </t>
  </si>
  <si>
    <t>Viesnīca treneriem 2 naktis Polijā * 2 treneri * 45 EUR = 180, Viesnīca Ungārijā 7 naktis * 2 treneri * 45 EUR = 630</t>
  </si>
  <si>
    <t>Dalības maksa turnīrā 2 komandas * 250 EUR = 500</t>
  </si>
  <si>
    <t>Dienas nauda treneriem 2 treneri * 9 dienas * 29 EUR = 522</t>
  </si>
  <si>
    <t>Dalība Fragaria Cup sacensībās Slovākijā</t>
  </si>
  <si>
    <t>Futbola programmas īstenošanas nodrošināšana</t>
  </si>
  <si>
    <t xml:space="preserve">JPAP_R3.2.4._173 </t>
  </si>
  <si>
    <t xml:space="preserve">Treniņi notiek stadionā gan ziemas gan vasaras periodā, nepieciešamas cepures ar nagu un ziemas cepures 50 gab. * 10EUR = 500 EUR </t>
  </si>
  <si>
    <t xml:space="preserve">Bumbas 50gab.*30.00EUR=1500EUR, lielo vārtu tīkli 4 gab. * 100 EUR = 400 EUR, konusi 12 gab. * 20.00 EUR = 240 EUR, konusi cepurītes kompl. 12 * 10 EUR = 120 EUR, Futbola taktiskā tāfele 6 treneri * 40 EUR = 240 </t>
  </si>
  <si>
    <t>5.5.1.</t>
  </si>
  <si>
    <r>
      <rPr>
        <b/>
        <sz val="9"/>
        <rFont val="Times New Roman"/>
        <family val="1"/>
        <charset val="186"/>
      </rPr>
      <t>6 nometnes:</t>
    </r>
    <r>
      <rPr>
        <sz val="9"/>
        <rFont val="Times New Roman"/>
        <family val="1"/>
        <charset val="186"/>
      </rPr>
      <t xml:space="preserve"> </t>
    </r>
    <r>
      <rPr>
        <b/>
        <sz val="9"/>
        <rFont val="Times New Roman"/>
        <family val="1"/>
        <charset val="186"/>
      </rPr>
      <t>100 izglītojamie</t>
    </r>
  </si>
  <si>
    <t>Autobusa noma 2 ekskursijām ~ 300 km</t>
  </si>
  <si>
    <t>80 izgl.*5 dienas * 3.50 EUR = 1400EUR</t>
  </si>
  <si>
    <t>5.5.2.</t>
  </si>
  <si>
    <t>3 nometnes: 75 izglītojamie</t>
  </si>
  <si>
    <t>4 treneri * 7 dienas * 6.00 EUR = 168EUR</t>
  </si>
  <si>
    <t xml:space="preserve">4 grupas: 50 x 7 d. x 8 .00 = 2800 EUR, </t>
  </si>
  <si>
    <t>Transportas izbraukuma nometnēm ~ 500 km</t>
  </si>
  <si>
    <t>Ēdināšana 50 izgl.* 7 dienas * 7,00 EUR = 2940 EUR</t>
  </si>
  <si>
    <t xml:space="preserve">Handbols </t>
  </si>
  <si>
    <t>Handbols, 2 treneri - 48 izglītojamie</t>
  </si>
  <si>
    <t>10 izbraukumi</t>
  </si>
  <si>
    <t>Telpu noma naktsmītnēm 4 izbr.*15 izgl.*8.00EUR= 480 EUR</t>
  </si>
  <si>
    <t>Transporta noma 10 izbr. * 10 h *20.00EUR = 2000 EUR</t>
  </si>
  <si>
    <t>Dalības maksa Latvijas handbola čempionātos</t>
  </si>
  <si>
    <t>Ēdināšana 4 izbr.*15 izgl.* 7.00 EUR=420 EUR, 2 izbr * 15 izgl.*3.50 EUR = 105 EUR</t>
  </si>
  <si>
    <t>Handbola programmas īstenošanas nodrošināšana</t>
  </si>
  <si>
    <t>Spēļu formas 14 izgl. * 22.10 EUR = 310 EUR + 2 vārtsargu formas * 45.00 EUR = 90.00 EUR</t>
  </si>
  <si>
    <t>Mini handbola bumbas 10 gb*26.00 EUR = 260.00 EUR</t>
  </si>
  <si>
    <t>6.3.1.</t>
  </si>
  <si>
    <t>20 izgl.*5 dienas *3.50 EUR = 350 EUR</t>
  </si>
  <si>
    <t>Hokejs</t>
  </si>
  <si>
    <t>Hokejs, 3 treneri - 71 izglītojamais</t>
  </si>
  <si>
    <t>17 izbraukumi</t>
  </si>
  <si>
    <t>17 izbr.* 8 h*30.00 EUR = 4080 EUR</t>
  </si>
  <si>
    <t>Dalības maksa Latvijas hokeja čempionātos</t>
  </si>
  <si>
    <t>17 izbr.*20 izgl.*3.50 = 1190 EUR</t>
  </si>
  <si>
    <t>Hokeja programmas īstenošanas nodrošināšana</t>
  </si>
  <si>
    <t>Iesildīšanās un treniņkrekli 20 gb* 25.00 EUR = 500 EUR</t>
  </si>
  <si>
    <t>Hokeja ripas 500 gb*1.50 EUR = 750 EUR</t>
  </si>
  <si>
    <t>7.3.1.</t>
  </si>
  <si>
    <t>1 nom.*30 izgl.*5 dienas *3.50 EUR = 525</t>
  </si>
  <si>
    <t>7.3.2.</t>
  </si>
  <si>
    <t>1 izbraukuma nometne</t>
  </si>
  <si>
    <t>2 treneri * 1 nom.*7 dienas * 6.00 EUR = 84EUR</t>
  </si>
  <si>
    <t>Telpu noma naktsmītnēm 30 izgl.*1 nom.*7 dienas * 8.00 EUR = 1680 EUR, Ledus laukuma noma 7 dienas * 2 h * 140.00 EUR = 1960 EUR</t>
  </si>
  <si>
    <t>Transportas izbraukuma nometnēm ~ 350 km</t>
  </si>
  <si>
    <t>Ēdināšana 30 izgl.* 1 nom.*7 dienas * 7.00 EUR = 1470 EUR</t>
  </si>
  <si>
    <t xml:space="preserve">Mākslas vingrošana  </t>
  </si>
  <si>
    <t>Mākslas vingrošana, 8 treneri - 114 izglītojamie</t>
  </si>
  <si>
    <t>10 izbraukumi, lai izpildītu MK not.prasības katrā grupā ir jāpiedalās ar grupu vingrojumu</t>
  </si>
  <si>
    <t>Telpu noma naktsmītnēm 30 izgl.*6 izbr.*8.00 EUR = 1440 EUR</t>
  </si>
  <si>
    <t>Dalības maksa Latvijas mākslas vingrošanas čempionātos un sacensībās, pieaug JSS grupas vingrojumu komandu skaits</t>
  </si>
  <si>
    <t>Ēdināšana 30.izgl.* 6 izbr.*7.00 EUR = 1260.00 EUR, 20 izg.* 4 izbr.*3.50 EUR = 280.00 EUR</t>
  </si>
  <si>
    <t>Mākslas vingrošanas programmas īstenošanas nodrošināšana</t>
  </si>
  <si>
    <t>LR Olimpiādes dalībniecēm grupu vingrojumos, vienādu tērpu šūšanai elastīgs audums + sietiņš + dekoratīvie akmeņi - 6 izgl.*200 EUR = 1200 EUR, čībiņas 6 izgl.*25 EUR = 150 EUR</t>
  </si>
  <si>
    <t>LR Olimpiādes dalībniecēm grupu vingrojumos, vienāda inventāra iegādei Lentas ar kociņu 6 gab.* 55.00 EUR =330.00 EUR, Apļi 6 gab. *30.00 EUR = 180.00 EUR, Vāles 6 gab.*80.00 EUR = 480 EUR, Bumbas 6 gab. * 80 EUR = 480 EUR</t>
  </si>
  <si>
    <t>8.3.1.</t>
  </si>
  <si>
    <t>4 nometnes: 80izglītojamās</t>
  </si>
  <si>
    <t>80 izgl.*10 dienas * 3.50 EUR = 2800 EUR</t>
  </si>
  <si>
    <t>8.3.2.</t>
  </si>
  <si>
    <t>1 nometne: 30 izglītojamās</t>
  </si>
  <si>
    <t>3 treneres * 10 dienas * 6.00 EUR = 180 EUR</t>
  </si>
  <si>
    <t>Telpu noma naktsmītnēm 30 izgl. * 10 dienas * 8.00 EUR = 2400 EUR</t>
  </si>
  <si>
    <t>Transporta noma ~400 km</t>
  </si>
  <si>
    <t>Ēdināšanas 30 izgl. * 10 dienas * 7.00 EUR = 2100 EUR</t>
  </si>
  <si>
    <t xml:space="preserve">Peldēšana   </t>
  </si>
  <si>
    <t>Peldēšana, 10 treneri - 205 izglītojamie</t>
  </si>
  <si>
    <t>26 izbraukumi</t>
  </si>
  <si>
    <t xml:space="preserve">Telpu noma naktsmītnēm 8,00EUR * 30 izgl.* 5 izbraukumi =1200 EUR, </t>
  </si>
  <si>
    <t>26 izbr.* 9 h*30.00 EUR = 7020EUR</t>
  </si>
  <si>
    <t>Dalības maksa Latvijas peldēšanas čempionātos un sacensībās</t>
  </si>
  <si>
    <t>Ēdināšana 30 izgl.*5 izbr.*7.00 EUR =1050 EUR, 19 izgl.*10 izbr*3.50=665.00 EUR</t>
  </si>
  <si>
    <t>Peldēšanas programmas īstenošanas nodrošināšana</t>
  </si>
  <si>
    <t>Pirmās palīdzības aptieciņas papildināšana treneriem un peldbaseina medicīnas kabinetā</t>
  </si>
  <si>
    <t>Siltās sporta jakas ar apdruku 50 gab.* 40.00 EUR = 2000 EUR</t>
  </si>
  <si>
    <t>Peldēšanas dēlīši kājām 20 gb* 9.00 EUR = 180 EUR, Peldēšanas dēlīši rokām 60 gb. *11.00EUR = 660EUR, Jostas pludiņi 25 gb.* 7.00 EUR = 175 EUR, Speciālās gumijas treniņiem ūdenī 12 gb.* 21.00 EUR = 252 EUR, Vingrošanas paklāji 12 gb.* 14.00 EUR =168 EUR, Ātruma trepīte 4 gb.*15.00= 60EUR</t>
  </si>
  <si>
    <t>9.3.1.</t>
  </si>
  <si>
    <t>Izbraukuma nometne, Elektiņai Lietuva</t>
  </si>
  <si>
    <t>JPAP_R3.2.4._170  JPAP_R3.2.4._184 JPSAAS_3_3.3.</t>
  </si>
  <si>
    <t xml:space="preserve">1 nometne </t>
  </si>
  <si>
    <t>Dienas nauda 2 treneri * 7 dienas *29.00 EUR = 406EUR</t>
  </si>
  <si>
    <t>Ar kom.saist izd. Naktsmītnes 2 treneri * 7 dienas *8.00 EUR = 112 EUR</t>
  </si>
  <si>
    <t>Telpu noma naktsmītnēm 20 izgl.*7 dienas * 8.00 EUR = 1120 EUR</t>
  </si>
  <si>
    <t>Transporta noma ~700 km</t>
  </si>
  <si>
    <t>Ēdināšana 20 izgl.*7dienas * 7.00 EUR = 980 EUR</t>
  </si>
  <si>
    <t>9.3.2.</t>
  </si>
  <si>
    <t>Dienas nometne, Jūnijs</t>
  </si>
  <si>
    <t>1 nometne: 80 izglītojamie</t>
  </si>
  <si>
    <t>Transporta noma ekskursijai ~ 200 km</t>
  </si>
  <si>
    <t>Dalības maksa ekskursijā 80 izgl.* 2.00 EUR = 160 EUR</t>
  </si>
  <si>
    <t>80 izgl.*10 dienas *3.50 EUR = 2800 EUR</t>
  </si>
  <si>
    <t>9.3.3.</t>
  </si>
  <si>
    <t>Dienas nometne, Augusts</t>
  </si>
  <si>
    <t>9.3.4.</t>
  </si>
  <si>
    <t>Dienas nometne</t>
  </si>
  <si>
    <t>Izbraukuma nometne, Baltkrievija</t>
  </si>
  <si>
    <t>Dienas nauda 2 treneri * 10 dienas *29.00 EUR = 580 EUR</t>
  </si>
  <si>
    <t>Ar kom.saist.izdevumi naktsmītnes 2 treneri * 10 dienas *8.00 EUR =160 EUR</t>
  </si>
  <si>
    <t>Telpu noma naktsmītnēm 20 izgl.*10 dienas * 8.00 EUR = 1600 EUR</t>
  </si>
  <si>
    <t>Ēdināšašana 20 izgl.*10 dienas * 7.00 EUR = 1400 EUR</t>
  </si>
  <si>
    <t xml:space="preserve">Regbijs  </t>
  </si>
  <si>
    <t>Regbijs, 4 treneri - 49 izglītojamie</t>
  </si>
  <si>
    <t>10 izbr.*10 h *20.00 EUR = 2000 EUR</t>
  </si>
  <si>
    <t>Dalības maksa LR čempionātā regbijā</t>
  </si>
  <si>
    <t>10 izbr.*14 izgl.*3.50EUR = 490EUR</t>
  </si>
  <si>
    <t>Regbija programmas īstenošanas nodrošināšana</t>
  </si>
  <si>
    <t>Spēļu krekli 25 gb. * 30.00 EUR = 750 EUR</t>
  </si>
  <si>
    <t>Regbija bumbas 8 gb*25 EUR = 200 EUR</t>
  </si>
  <si>
    <t>10.3.1.</t>
  </si>
  <si>
    <t>Transporta noma uz ekskursiju ~200 km</t>
  </si>
  <si>
    <t xml:space="preserve">Dalības maksa ekskursijā 35 izgl.* 5.00 EUR = 175 EUR </t>
  </si>
  <si>
    <t>Ēdināšana 35 izgl.*10 dienas*3.50 EUR= 1225 EUR</t>
  </si>
  <si>
    <t xml:space="preserve">Vieglatlētika  </t>
  </si>
  <si>
    <t>Vieglatlētika, 6 treneri - 76 izglītojamie</t>
  </si>
  <si>
    <t>11.1.</t>
  </si>
  <si>
    <t>2izbr.*15 izgl.*8.00 EUR = 240.00 EUR</t>
  </si>
  <si>
    <t>Dalības maksas LR čempionātos un sacensībās vieglatlētikā</t>
  </si>
  <si>
    <t>2.izbr.*15 izgl. * 7.00 EUR = 210.00 EUR, 5 izbr.*12 izgl.*3.50EUR = 210.00 EUR</t>
  </si>
  <si>
    <t>11.2.</t>
  </si>
  <si>
    <t>Vieglatlētikas programmas īstenošanas nodrošināšana</t>
  </si>
  <si>
    <t>Rīgas Nacionālā Sporta manēža organizācijām abonamentus vairs nepārdod, līdz ar to ir nepieciešami līdzekļi telpu nomai lai ziemas mēnešos varētu izmantot Rīgas Nacionālo Sporta manēžu</t>
  </si>
  <si>
    <t>T krekli 50 gb* 6.00 EUR = 300 EUR, naglu kurpes skriešanai 12 gb*35.00 EUR = 420EUR</t>
  </si>
  <si>
    <t>Stafešu kociņi 4 kompl.* 30.00 EUR = 120.00 EUR, Alumīnija barjeras ar regulējamu augstumu 6 gb. * 10.00 EUR = 60.00 EUR, Pildbumbas dažāda svara 4 gb.*25.00 EUR= 100 EUR, vingrošanas paklāji 6 gb.* 14.00 EUR =84.00 EUR, Konusi cepurītes 3 kompl.* 10.00 EUR = 30 EUR, Skriešanas starta bloks 4 gb.*41.50 EUR= 166 EUR</t>
  </si>
  <si>
    <t>11.3.</t>
  </si>
  <si>
    <t>11.3.1.</t>
  </si>
  <si>
    <t>2 dienas nometnes: 30 izglītojamie</t>
  </si>
  <si>
    <t>30 izgl.*10 dienas *3.50 EUR = 1050 EUR</t>
  </si>
  <si>
    <t>11.3.2.</t>
  </si>
  <si>
    <t>2 izbraukuma nometnes</t>
  </si>
  <si>
    <t>1 treneris *2nom. * 10 dienas * 6.00 EUR = 120 EUR</t>
  </si>
  <si>
    <t>7 izgl.*2 nom.*10 dienas * 8.00 = 1120 EUR, stadiona noma 2 nom * 10 dienas * 4 h*8.00 EUR = 640 EUR</t>
  </si>
  <si>
    <t>Transporta noma ~ 200 km</t>
  </si>
  <si>
    <t>7 izgl.*2 nom.*10 dienas * 7.00 = 980 EUR</t>
  </si>
  <si>
    <t>11.3.3.</t>
  </si>
  <si>
    <t>Izbraukuma nometne, Spānija</t>
  </si>
  <si>
    <t>JPAP_R3.2.4._170 JPSAAS_3_3.3.</t>
  </si>
  <si>
    <t>1 nometne, 20 dienas</t>
  </si>
  <si>
    <t>Komandējuma nauda Spānija 1 treneris  * 20 dienas * 40.00 EUR = 800 EUR</t>
  </si>
  <si>
    <t>Ar komandējumu saist. izdevumi 1 treneris * 890 EUR (aviobiļete, telpu noma naktsmītnēm)</t>
  </si>
  <si>
    <t>Ar komandējumu saist. izdevumi 3 izglītojamie * 890 EUR (aviobiļete, telpu noma naktsmītnēm, stadiona īre)</t>
  </si>
  <si>
    <t xml:space="preserve">Volejbols </t>
  </si>
  <si>
    <t>Volejbols, 1 trenere - 18 izglītojamie</t>
  </si>
  <si>
    <t>12.1.</t>
  </si>
  <si>
    <t>Telpu noma naktsmītnēm 4 izbr.*12 izgl.*8.00 EUR=384 EUR</t>
  </si>
  <si>
    <t>10 izbr.*10 h * 20.00 EUR=2000</t>
  </si>
  <si>
    <t>Dalības maksa LR čempionātos un kausos</t>
  </si>
  <si>
    <t>Ēdināšana 4 izbr.*12 izgl.*7.00 EUR=336 EUR, 4 izbr.*12 izgl.*3.50 EUR = 168 EUR</t>
  </si>
  <si>
    <t>12.2.</t>
  </si>
  <si>
    <t>Volejbola programmas īstenošanas nodrošināšana</t>
  </si>
  <si>
    <t>Volejbola formas 18 izgl.* 35.00 EUR = 630 EUR</t>
  </si>
  <si>
    <t xml:space="preserve">Volejbola bumbas 5 gb. * 35.00 EUR = 175 EUR, Stiepšanās spēka gumijas dažādas - 75.00 EUR </t>
  </si>
  <si>
    <t>12.3.</t>
  </si>
  <si>
    <t>12.3.1.</t>
  </si>
  <si>
    <t>Izbraukuma nometne</t>
  </si>
  <si>
    <t>1 izbraukumu nometne</t>
  </si>
  <si>
    <t>7 dienas * 6 EUR = 60 EUR</t>
  </si>
  <si>
    <t>Telpu noma naktsmītnēm 18 izgl * 7 dienas * 8.00 =1008 EUR</t>
  </si>
  <si>
    <t>Transporta noma uz/no nometnes norises vietu ~ 200 EUR</t>
  </si>
  <si>
    <t>Ēdināšana 18 izgl.*7 dienas * 7.00 EUR = 882 EUR</t>
  </si>
  <si>
    <t xml:space="preserve">Līdzfinansējums sportistei A.Baikovai (arī viņas trenerei) </t>
  </si>
  <si>
    <t>Mācību treniņu nometne Ģēra (Ungārija), 18.-30.01.2019
Mācību treniņu nometne Koperā (Slovēnija), 04.-24.04.2019
Dalība kvalifikācijas sacensībās Berlīnē (Vācija), 28.02.-04.03.2019
Dalība kvalifikācijas sacensībās Ļubļanā (Slovēnija), 17.-22.05.2019
Inventārs, ekipējums un medicīna</t>
  </si>
  <si>
    <t>* Informatīvi -Attīstības plānošanas dokumenta nosaukums un rīcības virzienu atšifrējums.</t>
  </si>
  <si>
    <t xml:space="preserve">JPAP - Jūrmalas pilsētas attīstības programma 2014.-2020.gadam </t>
  </si>
  <si>
    <t>prioritāte P3.2. "Kvalitatīva un sociāli pieejama izglītība"</t>
  </si>
  <si>
    <t>rīcības virziens R3.2.4. "Profesionālās ievirzes un interešu izglītības pakalpojumi"</t>
  </si>
  <si>
    <t>aktivitāte Nr.170 "Starptautiskās sadarbības attīstība"</t>
  </si>
  <si>
    <t>aktivitāte Nr.174 "Jūrmalas skolu un valsts mēroga sacensību rīkošana izglītojamajiem"</t>
  </si>
  <si>
    <t>aktivitāte Nr.173 "Profesionālās ievirzes un interešu izglītības iestāžu mācību vides uzlabošana"</t>
  </si>
  <si>
    <t>JPSAAS - Jūrmalas pilsētas sporta un aktīvās atpūtas attīstības stratēģija 2008.-2020.gadam</t>
  </si>
  <si>
    <t>1.mērķis "Sporta un aktīvās atpūtas infrastruktūras pilnveide un pieejamības veicināšana"</t>
  </si>
  <si>
    <t>1.1.uzdevums "Sporta bāžu attīstība esošiem un jauniem sporta veidiem, sporta infrastruktūras pilnveide izglītības iestādēs, t.sk., pielāgojot to personām ar kustību traucējumiem"</t>
  </si>
  <si>
    <t>3.mērķis "3. Sadarbības veicināšana starp sporta un aktīvās atpūtas nodrošināšanā iesaistītajām institūcijām"</t>
  </si>
  <si>
    <t>3.3. uzdevums "Pašvaldību, sporta klubu un uzņēmēju sadarbības sekmēšana sporta un aktīvās atpūtas infrastruktūras attīstībā un sporta sacensību finansēšanā"</t>
  </si>
  <si>
    <t>3.5.apakšuzdevums “Sportistu sasniegumu sekmēšana (stipendiju nodrošināšana).</t>
  </si>
  <si>
    <t>Jūrmalas pilsētas Labklājības pārvalde</t>
  </si>
  <si>
    <t>Sociālā darba daļa</t>
  </si>
  <si>
    <t>Atbalsts ģimenēm ar bērniem</t>
  </si>
  <si>
    <t>10.400.</t>
  </si>
  <si>
    <t>Pabalsts audžu  ģimenei</t>
  </si>
  <si>
    <t>JPAS_J10 JPAP_P3.5_R3.5.1_216</t>
  </si>
  <si>
    <t>MK noteikumi Nr.1036 (19.12.2006.)'' Audžuģimeņu noteikumi''. Pabalsti paredzēti sešām audžu ģimenēm - Jūrmalā - 2 ģimene (katrā ģimenē1 bērns). Citur Latvijā 4 ģimenes (katrā ģimenē 1 bērns). JPD Saistošie noteikumi nr. 49 paredz pabalstu bērna uzturam 75% apmērā no Valstī noteiktās minimālās algas - 6 bērni, katram 322.50 euro mēnesī; kā arī atlīdzība vecākiem, dzīvojošiem Jūrmalā 114 euro par katru bērnu. Pabalsts mīkstā inventāra un apģērba iegādei 300 euro gadā katram bērnam. Pabalsta audžu ģimenei aprēķins - (6 x 322.5 x12)+(6 x 300) = 25020 euro, atlīdzības audžu ģimenes vecākiem aprēķins - 2 x 114 x 12 = 2736 euro.</t>
  </si>
  <si>
    <t>Atlīdzība audžu ģimenes vecākiem</t>
  </si>
  <si>
    <t xml:space="preserve">Pabalsts jaundzimušā aprūpei </t>
  </si>
  <si>
    <t>JPAS_J10 JPAP_P3.5_R3.5.1_223</t>
  </si>
  <si>
    <t>JPD Saistošie noteikumi Nr.51 (17.10.2013.)- 285 euro par katru jaundzimušo. 2018.gadā pabalstu saņēma vidēji 52-55 jaundzimušie mēnesī.</t>
  </si>
  <si>
    <t>Pabalsts aizbildņiem</t>
  </si>
  <si>
    <t>JPD Saistošie noteikumi Nr.47. (17.10.2013.)- 55 euro/mēnesī par bērnu par aizbildņa pienākumu veikšanu aprūpējot divus un vairāk bērnus (16 aizbildņi)</t>
  </si>
  <si>
    <t>Pabalsts kultūras pasākumu apmeklēšanai daudzbērnu ģimenēm</t>
  </si>
  <si>
    <t>JPAS_J10 JPAP_P3.5_R3.5.1_217</t>
  </si>
  <si>
    <t xml:space="preserve">JPD Saistošie noteikumi Nr.66 (17.10.2013.) ''Par Jūrmalas pilsētas pašvaldības sociālo un pašvaldības palīdzību'' - pabalsta apmērs- līdz 20euro/gadā personai. </t>
  </si>
  <si>
    <t>Ziemassvētku apsveikums aizbildnībā esošiem bērniem un bērniem no sociālā riska ģimenēm</t>
  </si>
  <si>
    <t xml:space="preserve">Ikgadējais Ziemassvētku pasākums bērniem. </t>
  </si>
  <si>
    <t>Sociālās rehabilitācijas pakalpojumu nodrošināšana bērnam invalīdam VSAC''Rīga'' filiālē ''Rīga''</t>
  </si>
  <si>
    <t>JPAS_J10 JPAP_P3.5_R3.5.1_220</t>
  </si>
  <si>
    <t>viena bērna pakalpojuma izmaksas VSAC ''Rīga'' filiāle ''Rīga'' 2019.gadā EUR 35.48 (2018.gadā - EUR 19.49 dienā )</t>
  </si>
  <si>
    <t>Mājokļa atbalsts</t>
  </si>
  <si>
    <t>10.600.</t>
  </si>
  <si>
    <t>Īres maksa par īrētiem dzīvokļiem bāreņiem un bez vecāku gādības palikušiem bērniem pēc ārpusģimenes aprūpes beigšanās, līdz pašvaldība nodrošina ar dzīvojamo platību</t>
  </si>
  <si>
    <t>JPAS_J10 JPAP_P3.5_R3.5.1_224</t>
  </si>
  <si>
    <t>MK noteikumi Nr. 857 (15.11.2005) nosaka sociālās garantijas bārenim un bez vecāku gādības palikušam bērnam, kurš ir ārpusģimenes aprūpē, kā arī pēc ārpusģimenes aprūpes beigšanās (2018.gadā 12 personas (2017.gadā 25 personas) īres maksas apmērs 100 euro mēnesī, saskaņā ar tirgus izpēti par īres maksām Jūrmalā un Rīgā )</t>
  </si>
  <si>
    <t>Pārējais citur nekvalificēts atbalsts sociāli atstumtām personām</t>
  </si>
  <si>
    <t>Pabalsts garā slimo rīcības nespējīgo personu aizgādnim</t>
  </si>
  <si>
    <t>JPD Saistošie noteikumi Nr.63 (17.10.2013) - 72 euro/mēnesī personai, 12 personas-aizgādņi</t>
  </si>
  <si>
    <t>Pabalsts sociālās rehabilitācijas mērķu sasniegšanai</t>
  </si>
  <si>
    <t xml:space="preserve">JPD Saistošie noteikumi Nr.66 (17.10.2013.) ''Par Jūrmalas pilsētas pašvaldības sociālo un pašvaldības palīdzību'' līdz 570 euro personai gadā. </t>
  </si>
  <si>
    <t>MK noteikumi Nr. 857 (15.11.2005) nosaka sociālās garantijas bārenim un bez vecāku gādības palikušam bērnam, kurš ir ārpusģimenes aprūpē, kā arī pēc ārpusģimenes aprūpes beigšanās. 2018.gadā pabalstu izglības apguvei saņem 29 personas (2017.gadā 33 peronas), t.sk. divas personas ar invaliditāti). Pabalsta apmērs 64.03 euro mēnesī, personām ar invaliditāti 106.72 euro mēnesī. (pabalsta aprēķins - (29 x 64.03 x12) + (2 x 106.72 x 12)= 23311 euro</t>
  </si>
  <si>
    <t>Sociālās rehabilitācijas pakalpojumu sniegšana no vardarbības cietušām un vardarbību veikušām pilngadīgām personām</t>
  </si>
  <si>
    <t>VB</t>
  </si>
  <si>
    <t xml:space="preserve">Bērnu namu audzēkņiem un aizbildnībā esošiem bērniem sasniedzot pilngadību </t>
  </si>
  <si>
    <t>JPD Saistošie noteikumi Nr.66 un MK noteikumi Nr. 857 (15.11.2005) nosaka sociālās garantijas bārenim un bez vecāku gādības palikušam bērnam, kurš ir ārpusģimenes aprūpē, kā arī pēc ārpusģimenes aprūpes beigšanās pabalstiem bērnu uzturam 150 euro un sadzīves priekšmetu iegādei 350 euro. 2019.gadā 5 personas no b/n''Sprīdītis'' un 11 personas no aizbildnībā esošiem bērniem. (pabalsta aprēķins - (11 x 500) + (5 x 350) = 7250 euro)</t>
  </si>
  <si>
    <t>Jūrmalas pilsētas attīstības stratēģija 2010-2030 (JPAS)</t>
  </si>
  <si>
    <t>Aktivitāte: J10 sociāli drošas vides nodrošināšana</t>
  </si>
  <si>
    <t>Prioritāte P3.5. “kvalitatīvs sociālais atbalsts”</t>
  </si>
  <si>
    <t>Rīcības virziens: R3.5.1. Sociālo pakalpojumu attīstība</t>
  </si>
  <si>
    <t>Aktivitāte: Nr.216 Sociālā atbalsta infrastruktūras attīstība</t>
  </si>
  <si>
    <t>Aktivitāte: Nr.217 Daudzbērnu ģimeņu atbalsta pasākumi</t>
  </si>
  <si>
    <t>Aktivitāte: Nr.220 Sociālās aprūpes un sociālās rehabilitācijas pakalpojumu pieejamība</t>
  </si>
  <si>
    <t>Aktivitāte: Nr.223 Kvalitatīva sociālās palīdzības nodrošināšana un sociālā atbalsta sniegšana</t>
  </si>
  <si>
    <t>Aktivitāte: Nr.224 Kvalitatīva sociālā atbalsta sniegšana mazaizsargātām personām mājokļa nodrošināšanai</t>
  </si>
  <si>
    <t>Sociālās palīdzības daļa</t>
  </si>
  <si>
    <t>Sociālā aizsardzība invaliditātes gadījumā</t>
  </si>
  <si>
    <t>10.120.</t>
  </si>
  <si>
    <t xml:space="preserve">Pabalsts personām ar funkcionāliem traucējumiem </t>
  </si>
  <si>
    <t>JPAS_J10; JPAP_P3.5_R3.5.1 - 223</t>
  </si>
  <si>
    <t>JPD Saistošie noteikumiNr.66 (17.10.2013.) ''Par Jūrmalas pilsētas pašvaldības sociālo un pašvaldības palīdzību'' - trūcīgām un maznodrošinātām personām pabalsta apmērs līdz 150 euro/gadā</t>
  </si>
  <si>
    <t xml:space="preserve">Speciāli pielāgota autotransporta degvielas iegādes apmaksa </t>
  </si>
  <si>
    <t>JPD Saistošie noteikumi Nr.48 (17.10.2013.) - 2018.gadā 12 pesonas saņēma pabalstu degvielas iegādei pielāgotam autotransportam 18 euro mēnesī . Pabalsta aprēķins 12 x 18 x12 = 2592 euro</t>
  </si>
  <si>
    <t>Atbalsts gados veciem cilvēkiem</t>
  </si>
  <si>
    <t>10.200.</t>
  </si>
  <si>
    <t xml:space="preserve">Veselības aprūpes pabalsts </t>
  </si>
  <si>
    <t xml:space="preserve">JPD Saistošie noteikumi Nr.66 (17.10.2013.) ''Par Jūrmalas pilsētas pašvaldības sociālo un pašvaldības palīdzību'' - pabalsta apmērs līdz 120 euro vientuļiem pensionāriem/invalīdiem, līdz 86 euro gadā pārējiem šīs kategorijas pabalstu saņēmējiem. pabalstu saņem vidēji 105 personas mēnesī </t>
  </si>
  <si>
    <t>Veselības uzlabošanas pabalsts pensijas vecuma cilvēkiem</t>
  </si>
  <si>
    <t xml:space="preserve">JPD saistošie noteikumi Nr 7. (12.01.2017) ''Par Jūrmalas pilsētas pašvaldības pabalstu veselības aprūpes pieejamības palielināšanai pensijas vecuma personām'' Pabalsta apmērs 50 euro gadā personai. Vidēji 850 personas mēnesī. 2019.gadā tiks papildināti Saistošie noteikumi - pabalsts tiks piešķirts arī izdienas pensionāriem, t.i. apm.18 250 EUR papildus
</t>
  </si>
  <si>
    <t xml:space="preserve">Pabalsts garentētā minimālā ienākumu GMI līmeņa nodrošināšanai </t>
  </si>
  <si>
    <t>JPD Saistošie noteikumi Nr.66 (17.10.2013.) ''Par Jūrmalas pilsētas pašvaldības sociālo un pašvaldības palīdzību'' - pilngadīgai personai-57euro/mēnesī; bērnam-65euro/mēnesī</t>
  </si>
  <si>
    <t>JPD Saistošie noteikumi Nr.66 (17.10.2013.) ''Par Jūrmalas pilsētas pašvaldības sociālo un pašvaldības palīdzību'' - līdz 86 euro personai gadā</t>
  </si>
  <si>
    <t>Pabalsts ģimenēm, kurās bērns uzsāk mācības pirmajā klasē</t>
  </si>
  <si>
    <t xml:space="preserve">JPD Saistošie noteikumi Nr.66 (17.10.2013.) ''Par Jūrmalas pilsētas pašvaldības sociālo un pašvaldības palīdzību'' Jūrmalas skolās 2018.gadā pirmo reizi uz skolu devās 410 bērni. </t>
  </si>
  <si>
    <t>Pabalsts skolas piederumu iegādei daudzbērnu ģimenēm</t>
  </si>
  <si>
    <t>JPAS_J10; JPAP_P3.5_R3.5.1 - 217</t>
  </si>
  <si>
    <t xml:space="preserve">JPD Saistošie noteikumi Nr.66 (17.10.2013.) ''Par Jūrmalas pilsētas pašvaldības sociālo un pašvaldības palīdzību'' 2018.gadā līdz 1.oktobrim pabalstu skolas piederumu iegādei ir saņēmušas jau 106 ģimenes, vidēji katrā ģimenē mācību iestādes apmeklē 2-3 bērni (pabalsta aprēķins - 139 x 2.7 x 50 = 18765 euro) </t>
  </si>
  <si>
    <t>Pabalsts izglītības ieguves atbalstam</t>
  </si>
  <si>
    <t>JPD Saistošie noteikumi Nr.66 (17.10.2013.) ''Par Jūrmalas pilsētas pašvaldības sociālo un pašvaldības palīdzību'' -trūcīgām un maznodrošinātām personām, pabalsta apmērs līdz 72 euro</t>
  </si>
  <si>
    <t>Dzīvokļa pabalsts</t>
  </si>
  <si>
    <t>JPD Saistošie noteikumi Nr.66 (17.10.2013.) ''Par Jūrmalas pilsētas pašvaldības sociālo un pašvaldības palīdzību'' trūcīgām un maznodrošinātām personām</t>
  </si>
  <si>
    <t>JPD Saistošie noteikumi Nr.66 (17.10.2013.) ''Par Jūrmalas pilsētas pašvaldības sociālo un pašvaldības palīdzību'' pakalpojumu sniedzējam</t>
  </si>
  <si>
    <t>JPD Saistošie noteikumi Nr.66 (17.10.2013.) ''Par Jūrmalas pilsētas pašvaldības sociālo un pašvaldības palīdzību''</t>
  </si>
  <si>
    <t xml:space="preserve">JPD Saistošie noteikumi Nr.66 (17.10.2013.) ''Par Jūrmalas pilsētas pašvaldības sociālo un pašvaldības palīdzību'', kas neatbilst trūcīgas vai maznodrošinātas personas statusam </t>
  </si>
  <si>
    <t xml:space="preserve">Pārējais citur nekvalificēts atbalsts sociāli atstumtām personām </t>
  </si>
  <si>
    <t>10.700.</t>
  </si>
  <si>
    <t>JPD Saistošie noteikumi Nr.66 (17.10.2013.) ''Par Jūrmalas pilsētas pašvaldības sociālo un pašvaldības palīdzību'' - pilngadīgai personai-57euro/mēnesī; bērnam-65euro/mēnesī; vientuļam pensionāram, invalīdam vai valsts sociālā nodrošinājuma pabalsta saņēmējam 120 euro mēnesī</t>
  </si>
  <si>
    <t>JPD Saistošie noteikumi Nr.66 (17.10.2013.) ''Par Jūrmalas pilsētas pašvaldības sociālo un pašvaldības palīdzību'' - pabalsta apmērs līdz 100 euro gadā personai</t>
  </si>
  <si>
    <t>Apbedīšanas pabalsts</t>
  </si>
  <si>
    <t>JPD Saistošie noteikumi Nr.66 (17.10.2013.) ''Par Jūrmalas pilsētas pašvaldības sociālo un pašvaldības palīdzību'' līdz 350 euro par personu, kā arī starpība starp VSAA pabalstu un pašvaldības pabalstu gadā apm.37 personas</t>
  </si>
  <si>
    <t xml:space="preserve">Vienreizējie pabalsti krīzes situācijās, kā arī stihiskas nelaimes gadījumiem un ugunsgrēka gadījumiem   </t>
  </si>
  <si>
    <t>Pārējie citur neklasificētie sociālās aizsardzības pasākumi</t>
  </si>
  <si>
    <t>10.920.</t>
  </si>
  <si>
    <t>Jūrmalas pašvaldības pabalsts politiski represētām personām</t>
  </si>
  <si>
    <t>JPD Saistošie noteikumi Nr.46. (17.10.2013.) - 72 euro/mēnesī personai (373 personas)</t>
  </si>
  <si>
    <t>Pabalsts ilgdzīvotājiem</t>
  </si>
  <si>
    <t>Personas,  kas sasniegušas 100 un vairāk gadu (2018 gadā 7 personas)</t>
  </si>
  <si>
    <t>Pabalsts personām ar izcilu mūža ieguldījumu Jūrmalas pilsētas attīstībā</t>
  </si>
  <si>
    <t>Atsevišķi domes lēmumi. 2018.gadā 10 personas  (no jūlija 9 personas)- 100 euro mēnesī. 2019.gadā plānotas vēl 3 personas</t>
  </si>
  <si>
    <t>Pabalsts Černobiļas atomelektrostacijas avārijas seku likvidēšanas dalībniekiem</t>
  </si>
  <si>
    <t>JPD Saistošie noteikumi Nr.17. (26.04.2018.) - 1000 euro/gadā personai (52 personas)</t>
  </si>
  <si>
    <t>Sociālo pakalpojumu daļa</t>
  </si>
  <si>
    <t>Sociālā palīdzība</t>
  </si>
  <si>
    <t>03.110.</t>
  </si>
  <si>
    <t>Sabiedriskās vietās mirušo personu transporta izdevumu segšana</t>
  </si>
  <si>
    <t>JPAS_J10; JPAP_P3.5_R3.5.1_ 225</t>
  </si>
  <si>
    <t>2018.gadā nav bijusi nepieciešamība pēc sabiedriskās vietās mirušo persona transporta izdevumiem (Līgums ar Valsts policiju), turpmāk PI "Jūrmalas kapi" budžetā</t>
  </si>
  <si>
    <t xml:space="preserve">Pabalsts mājokļa vides pieejamības nodrošināšanai    </t>
  </si>
  <si>
    <t>JPAS_J10; JPAP_P3.5_R3.5.1_ 216</t>
  </si>
  <si>
    <t xml:space="preserve">JPD Saistošie noteikumi Nr.50 (17.10.2013.) - 2846 euro par vienu gadījumu </t>
  </si>
  <si>
    <t>Ergoterapeita vides novērtējumam, ja prasītājs ir trūcīga persona</t>
  </si>
  <si>
    <t>JPD Saistošie noteikumi Nr.50 (17.10.2013.)</t>
  </si>
  <si>
    <t>Ergoterapeita novērtējuma nodrošināšana</t>
  </si>
  <si>
    <t>JPAS_J10; JPAP_P3.5_R3.5.1_ 223</t>
  </si>
  <si>
    <t>Pašvaldības ergoterapeita atzinuma nodrošināšanai, saskaņā ar LR MK noteikumiem Nr.805. Tiek veikta iepirkuma procedūra. Iepirkuma procedūras rezultātā - 25 euro par gadījumu, mēnesī 16-18 novērtējumi.</t>
  </si>
  <si>
    <t>Asistenta pakalpojuma nodrošināšana (Valsts atmaksāts)</t>
  </si>
  <si>
    <t>asistenti uz uzņēmuma līguma pamata (apm.200 personas) MK not. Nr. 942 (18.12.2012)</t>
  </si>
  <si>
    <t>asistenti kā pašnodarbinātas personas (20 personas ) MK not. Nr. 942 (18.12.2012)</t>
  </si>
  <si>
    <t>degviela MK not. Nr. 942 (18.12.2012)</t>
  </si>
  <si>
    <t>asistenti VSAOI uz uzņēmuma līguma pamata MK not. Nr. 942 (18.12.2012)</t>
  </si>
  <si>
    <t xml:space="preserve">Veselības un sociālās aprūpes centrs - Sloka -sociālās aprūpes nodaļa SAN   </t>
  </si>
  <si>
    <t>JPAS_J10; JPAP_P3.5_R3.5.1_ 220</t>
  </si>
  <si>
    <r>
      <t xml:space="preserve">25 gultas finansējums no pašvaldības budžeta _JPD saistošie noteikumi nr.2 (17.01.2009.) (2018.gadā -  </t>
    </r>
    <r>
      <rPr>
        <b/>
        <sz val="9"/>
        <rFont val="Times New Roman"/>
        <family val="1"/>
        <charset val="186"/>
      </rPr>
      <t>21.91</t>
    </r>
    <r>
      <rPr>
        <sz val="9"/>
        <rFont val="Times New Roman"/>
        <family val="1"/>
        <charset val="186"/>
      </rPr>
      <t xml:space="preserve"> euro/dienā (t.sk.pensijas)   (JPD SN Nr.39 (19.12.2017.) 32. pielikums))</t>
    </r>
  </si>
  <si>
    <t>SIA''Pansionāts Dzimtene'' līdz 1998.gada 1.janvārim ievietotajiem iemītniekiem paredzētie līdzekļi</t>
  </si>
  <si>
    <t>Viena persona 356x12=4272(dotācija no valsts)</t>
  </si>
  <si>
    <t>Sociālie dzīvokļi un mājas</t>
  </si>
  <si>
    <t>JPAS_J10; JPAP_P3.5_R3.5.1_ 224</t>
  </si>
  <si>
    <t>Jūrmalas pilsētas domes saistošie noteikumi Nr.40 (20.10.2016) ''Par Jūrmalas pilsētas pašvaldības palīdzību dzīvokļa jautājumu risināšanā'' (40.punkts) Sociālās dzīvojamās telpas īrnieks maksā 25 procentus no sociālās dzīvojamās telpas īres maksas, apkures, kanalizācijas, aukstā un karstā ūdens pakalpojumu maksas. Atlikušie 75 procenti no īres maksas, apkures, kanalizācijas, aukstā un karstā ūdens pakalpojumu maksas, pamatojoties uz dzīvojamās telpas apsaimniekotāja iesniegtajiem maksājuma dokumentiem, tiek segti no pašvaldības budžeta līdzekļiem</t>
  </si>
  <si>
    <t xml:space="preserve">Pārējais citur nekvalificēts atbalsts sociāli atstumtām personām  </t>
  </si>
  <si>
    <t xml:space="preserve">Veselības un sociālās aprūpes centrs - Sloka -īslaicīga sociālās aprūpes un sociālās rehabilitācijas nodaļa SASRN    </t>
  </si>
  <si>
    <t>15 gultas finansējums no pašvaldības budžeta _JPD saistošie noteikumi nr.2 (17.01.2009.) (2018.gadā -  35.69 euro/dienā (t.sk.personas līdzmaksājums)   (JPD SN Nr.Nr.39 (19.12.2017.) 32. pielikums))</t>
  </si>
  <si>
    <t xml:space="preserve">Veselības un sociālās aprūpes centrs - Sloka - Veselības un sociālās aprūpes nodaļa   </t>
  </si>
  <si>
    <t>20 gultas finansējums no pašvaldības budžeta _JPD saistošie noteikumi nr.2 (17.01.2009.) (2018.gadā -  35.56 euro/dienā (t.sk.personas līdzmaksājums)   (JPD SN Nr.Nr.39 (19.12.2017.) 32. pielikums))</t>
  </si>
  <si>
    <t xml:space="preserve">Bezpiederīgo apglabāšana </t>
  </si>
  <si>
    <t>turpmāk PI ''Jūrmalas kapi'' budžetā</t>
  </si>
  <si>
    <t xml:space="preserve">Pabalsts aprūpes mājās nodrošināšanai </t>
  </si>
  <si>
    <t>JPD Saistošie noteikumi Nr.66 (17.10.2013.) ''Par Jūrmalas pilsētas pašvaldības sociālo un pašvaldības palīdzību'' līdz 57euro/mēnesī personai. Aprēķināts 4 personām</t>
  </si>
  <si>
    <t>Higiēnas un sociālo iemaņu apgūšanas pakalpojumu nodrošinājums sociāli mazaizsargātiem pašvaldības iedzīvotājiem</t>
  </si>
  <si>
    <t>iepirkuma procedūras rezultātā Romu dienas centrs VSAC -''Sloka'' - līdz 5000 euro mēnesī; Higiēnas centrs ''Sarkanais krusts'' - līdz 850 euro mēnesī</t>
  </si>
  <si>
    <t>Aktivitāte: J5 droša pilsēta</t>
  </si>
  <si>
    <t>Aktivitāte: J6 labs mājoklis</t>
  </si>
  <si>
    <t>Veselības aprūpes nodaļa</t>
  </si>
  <si>
    <t>Specializēto medicīnisko pakalpjumu līdzfinansējums</t>
  </si>
  <si>
    <t>07.220.</t>
  </si>
  <si>
    <t>Bērnu ortodontija un sakodiena anomāliju izdevumu segšana</t>
  </si>
  <si>
    <t>JPAS_J8 JPAP_P3.6_R3.6.1._226  VVP_2.3.4._1._1.3.</t>
  </si>
  <si>
    <t>Katru gadu notiek iepirkuma procedūra par pakalpojuma iepirkšanu - 2018.gadā noslēgts līgums ar SIA ''Modus Invest'' Pakalpojums tiek nodrošināts saskaņā ar Veselības veicināšanas plāna 2013.-2020.gadam</t>
  </si>
  <si>
    <t>Eksperta-ortodonta novērtējuma apmaksa</t>
  </si>
  <si>
    <t>Saistošo noteikumu izpildes nodrošinājuma kontroles funkcijas veikšanai pieaicināta eksperta-konsultanta apmaksa</t>
  </si>
  <si>
    <t>Atkarību profilakses programmu finansējums</t>
  </si>
  <si>
    <t>07.410.</t>
  </si>
  <si>
    <t>Atkarību profilakses centra darba nodrašinājums, tajā skaitā pa klasifikācijas kodiem:</t>
  </si>
  <si>
    <t>JPAS_J8 JPAP_P3.6_R3.6.2._227 VVP_2.3.3._4._4.3., 5._5.8.</t>
  </si>
  <si>
    <t>Atkarību profilakses centra telpas Nometņu 2a apsaimniekošanas izdevumi un komunālie izdevumi</t>
  </si>
  <si>
    <t>Atkarību profilakses centra telpas Nometņu 2a izdevumi par atkritumiem</t>
  </si>
  <si>
    <t>ūdens un kanalizācija</t>
  </si>
  <si>
    <t xml:space="preserve">Atkarību profilakses centra telpas Nometņu 2a izdevumi par elektrību </t>
  </si>
  <si>
    <t xml:space="preserve">Atkarību profilakses centra Nometņu 2a - 113 interneta  izdevumumi </t>
  </si>
  <si>
    <t>Apkures izdevumi centrā</t>
  </si>
  <si>
    <t>Kancelejas preces Atkarību profilakses centram Nometņu 2a</t>
  </si>
  <si>
    <t>konteineri šļircēm 20 gb x 8.1 EUR</t>
  </si>
  <si>
    <t>Iepirkums  ''Par pakalpojumu sniegšanu mobilajā atkarību profilakses punktā un atkarību centrā Jūrmalas pilsētā'' - Katru gadu notiek iepirkuma procedūra par pakalpojuma iepirkšanu. 2018.gadā līgums ar biedrību ''Artemīda'' ; Izlietoto šļirču utilizācija.</t>
  </si>
  <si>
    <t>ECAD projektiem</t>
  </si>
  <si>
    <t>JPAS_J8 JPAP_P3.6_R3.6.2._227  VVP_2.3.3._2._2.1.</t>
  </si>
  <si>
    <t xml:space="preserve">ECAD projektiem </t>
  </si>
  <si>
    <t>Dalības maksa ECAD (Eiropas pilsētu kustība pret narkotikām)</t>
  </si>
  <si>
    <t>Dalības maksa ECAD</t>
  </si>
  <si>
    <t>Informatīvas aktivitātes pret atkarību izraisošu vielu lietošanu iedzīvotāju vidū personām darbspējas vecumā **</t>
  </si>
  <si>
    <t xml:space="preserve">JPAS_J8 JPAP_P3.6_R3.6.2._227 VVP_2.3.3._5._5.1. </t>
  </si>
  <si>
    <t xml:space="preserve"> Aktivitātes īstenošanai sertificēta speciālista sagatavotas atbildes 10 mēnešix150 EUR/mēnesī=1500 EUR, specializētas mājas lapas un piesaistīta e-pasta izveide un uzturēšana 400 EUR, plakātu izgatavošana aktivitāšu informēšanai, maketa izstrāde un 30 gb A3 plakātu druka = 100EUR</t>
  </si>
  <si>
    <t>Pārējo veselības aprūpes pakalpojumu līdzfinansējums</t>
  </si>
  <si>
    <t>07.620.</t>
  </si>
  <si>
    <t>Protezēšanas izdevumi</t>
  </si>
  <si>
    <t>JPAS_J8 JPAP_P3.6_R3.6.1._226  VVP_2.3.4._3._3.2.</t>
  </si>
  <si>
    <t xml:space="preserve">Protezēšanas pakalpojumi saskaņā ar Saistošajiem noteikumiem Nr.67 (17.10.2013) ''Par veselības veicināšanas pakalpojumiem'' (25% atlaide pensionāriem 7-12 cilv.mēnesī). </t>
  </si>
  <si>
    <t>Zobu ekstrakcija bezpajumtniekiem</t>
  </si>
  <si>
    <t>JPAS_J8 JPAP_P3.6_R3.6.1._226, VVPJP 2.3.4</t>
  </si>
  <si>
    <t>Saistošie noteikumi Nr.2 (17.01.2008.) ''Par sociāliem pakalpojumiem'' (bezpajumtniekiem un trūcīgām personām)</t>
  </si>
  <si>
    <t>Starptautiski projekti(dalības maksa)</t>
  </si>
  <si>
    <t>JPAS_J8 JPAP_P3.6_R3.6.1._226</t>
  </si>
  <si>
    <r>
      <rPr>
        <i/>
        <sz val="9"/>
        <rFont val="Times New Roman"/>
        <family val="1"/>
        <charset val="186"/>
      </rPr>
      <t>Healthy city</t>
    </r>
    <r>
      <rPr>
        <sz val="9"/>
        <rFont val="Times New Roman"/>
        <family val="1"/>
        <charset val="186"/>
      </rPr>
      <t xml:space="preserve"> projekta dalības maksa (6000USD)</t>
    </r>
  </si>
  <si>
    <t>Tuberkulozes slimnieku veselības programmas atbalsts</t>
  </si>
  <si>
    <t>JPAS_J8 JPAP_P3.6_R3.6.1._226, VVPJP 2.4.5.</t>
  </si>
  <si>
    <t>Tuberkulozes slimnieku veselības programmas atbalsts, saskaņā ar Veselības veicināšanas programmu 2013.-2020.gadam (3-4 cilv.mēnesī - mēnešbiļetes apmaksa  ) no 2018.gada 1.jūnija ir spēkā Jūrmalnieka kartes</t>
  </si>
  <si>
    <t xml:space="preserve">Psihologu/psihoterapeitu pakalpojumi       </t>
  </si>
  <si>
    <t>JPAS_J8 JPAP_P3.6_R3.6.1._226, VVP_2.4.4._3._3.3.</t>
  </si>
  <si>
    <t>Pamatojoties uz Jūrmalas pilsētas Veselības veicināšanas plāna 2013.-2020.gadam 2.4.4. punktu ''garīgā veselība'' un , lai veiktu normatīvos aktos (Bērnu tiesību aizsardzības likums, Bāriņtiesas likum) noteiktos uzdevumus (Iepirkuma procedūra)</t>
  </si>
  <si>
    <t>Veselību veicinošu pasākumu kopuma senioriem nodrošināšana</t>
  </si>
  <si>
    <t>JPAS_J8 JPAP_P3.6_R3.6.1._227, VVP_2.3.2._4._4.1.</t>
  </si>
  <si>
    <t xml:space="preserve">Pamatojoties uz Jūrmalas pilsētas Veselības veicināšanas plāna 2013.-2020.gadam 2.3.2. punktu ''fizisko aktivitāšu veicināšana''  4.uzdevums - fiziskās aktivitātes kā sociālās iekļaušanās iespēja. Plānotais pakalpojuma saņēmēju skaits 300 personas gadā, kur viena pakalpojuma izmaksas 42 euro. </t>
  </si>
  <si>
    <t>Grūtnieču un jauno māmiņu fizisko aktivitāšu uzlabošana (veicināšana)</t>
  </si>
  <si>
    <t>JPAS_J8 JPAP_P3.6_R3.6.1._227, VVP_2.3.2._3._3.1.</t>
  </si>
  <si>
    <t xml:space="preserve">Pamatojoties uz Jūrmalas pilsētas Veselības veicināšanas plāna 2013.-2020.gadam 2.3.2. punktu ''fizisko aktivitāšu veicināšana''  3.uzdevums - grūtnieču un jauno māmiņu fizisko aktivitāšu uzlabošana  Plānotais pakalpojuma saņēmēju skaits 106 personas gadā, kur viena pakalpojuma izmaksas 150 euro. </t>
  </si>
  <si>
    <t>Cigun nodarbības</t>
  </si>
  <si>
    <t>JPAS_J8 JPAP_P3.6_R3.6.2._227, VVP_2.3.2._2._2.3.</t>
  </si>
  <si>
    <t xml:space="preserve">Nodrošinot divas reizes nedēļā nodarbību nepārtrauktību visa gada garumā (VI - IX nodarbības tiek nodrošinātas ESF 9.2.4.2.projekta ietvaros) Aprēķins - 34 nedēļas x 2 x 90 = 6120 EUR Vienas nodarbības izmaksas - 90 EUR (t.sk.nodokļi), nodarbības notiks pašvaldības telpās no I līdz V un no X līdz XII </t>
  </si>
  <si>
    <t>Jogas nodarbības</t>
  </si>
  <si>
    <t xml:space="preserve">Nodrošinot divas reizes nedēļā nodarbību nepārtrauktību visa gada garumā (VI - VIII nodarbības tiek nodrošinātas ESF 9.2.4.2.projekta ietvaros) Aprēķins - 38 nedēļas x 2 x 60 = 4560 EUR Vienas nodarbības izmaksas - 60 EUR (t.sk.nodokļi), nodarbības notiks pašvaldības telpās no I līdz V un no IX līdz XII </t>
  </si>
  <si>
    <t>Ielu vingrošanas nodarbības</t>
  </si>
  <si>
    <t xml:space="preserve">Nodrošinot divas reizes nedēļā nodarbību nepārtrauktību visa gada garumā (V - IX nodarbības tiek nodrošinātas ESF 9.2.4.2.projekta ietvaros) Aprēķins - 29 nedēļas x 2 x 45 = 2610 EUR Vienas nodarbības izmaksas - 45 EUR (t.sk.nodokļi), nodarbības notiks pašvaldības telpās no I līdz IV un no X līdz XII </t>
  </si>
  <si>
    <t>Līdzfinansējums jaunu veselības aprūpes projektu īstenošanā</t>
  </si>
  <si>
    <t>JPAS_J8 JPAP_P3.6_R3.6.1._227, VVP_2.5._1._1.6.</t>
  </si>
  <si>
    <t xml:space="preserve">Maksimālais pašvaldības līdzfinansējums projekta aktivitātēm 4000 EUR, paredzot atbastāmo projektu skaitu ar maksimālo līdzfinansējumu 3 projektiem. </t>
  </si>
  <si>
    <t>Veselības nedēļa</t>
  </si>
  <si>
    <t>JPAS_J8 JPAP_P3.6_R3.6.1._227, VVP_2.5._1._1.3.</t>
  </si>
  <si>
    <t>Veselības veicināšanas plāns 2013.-2020. gadam Jūrmalas pilsētas pašvaldībā, 2.2 Veselības veicināšana dzīves ciklā. Telpu īre pasākuma norisei un Ēdināšanas izdevumi veselības nedēļas dalībniekiem. Plānotais pasākuma dalībnieku skaits līdz 30 personām.</t>
  </si>
  <si>
    <t>Starptautiska un nacionāla mēroga Veselīgo pilsētu stratēģisko virzienu pieredzes apmaiņas semināri</t>
  </si>
  <si>
    <t>Veselības veicināšanas plāns 2013.-2020. gadam Jūrmalas pilsētas pašvaldībā. 2.5. Mērķis: stiprināt un pilnveidot veselības veicināšanas sistēmu pašvaldībā uzlabot starpsektoru koordinētu darbību. Pamatojoties uz Jūrmalas pilsētas domes 2014.gada 30.janvāra lēmuma Nr. 36  ”Par Jūrmalas pilsētas dalību Pasaules Veselības organizācijas Eiropas Veselīgo pilsētu kustības tīkla 6.fāzē” 2.punktu, kas nosaka sadarboties ar citām Veselīgo pilsētu kustības tīkla pašvaldībām starptautiskā mērogā, Jūrmalas pilsētas Labklājības pārvalde plāno organizēt tikšanās, pieredzes apmaiņas vizītes gan starptautiskā, gan nacionālā līmenī, piesaistot Pasaules veselības organizācijas Eiropas Veselīgo pilsētu tīkla Starptautiskos un Nacionālos pārstāvjus.</t>
  </si>
  <si>
    <t>Zīdīšanas apmācības  **</t>
  </si>
  <si>
    <t>JPAS_J8 JPAP_P3.6_R3.6.1._227, VVP_2.3.1._3._3.1.</t>
  </si>
  <si>
    <t>80 EURx24 nodarbības gadā, 2x mēnesī, nodarbības ilgums 90 min.,iekļautas arī telpu nomas izmaksas</t>
  </si>
  <si>
    <t>3 gb mākslīgās ādas pufu iegāde, cena vienam gb 70 EUR</t>
  </si>
  <si>
    <t>speciālas zonas izveidei Dzintru mežaparkā: telts noma 3x3m ar četrām sienām uz 3 mēnešiem 500+21%PVN=605 EUR</t>
  </si>
  <si>
    <t>Aktivitāte: J8 iedzīvotāju veselība</t>
  </si>
  <si>
    <t>Prioritāte P3.6 ''Kvalitatīvi veselības aprūpes pakalpojumi''</t>
  </si>
  <si>
    <t>Rīcības virziens: R3.6.1. Veselības aprūpes pakalpojumu attīstība</t>
  </si>
  <si>
    <t>Aktivitāte: Nr.226 Veselības aprūpes pakalpojumu attīstība</t>
  </si>
  <si>
    <t>Rīcības virziens: R3.6.2. Veselīga dzīvasveida veicināšana</t>
  </si>
  <si>
    <t>Aktivitāte: Nr.227 Veselīga dzīvasveida veicināšanas pasākumu īstenošana</t>
  </si>
  <si>
    <t>Veselības veicināšanas plāns Jūrmalas pilsētai 2013.- 2020.gadam (VVP)</t>
  </si>
  <si>
    <t>2.3.1.  mērķa "Veselīga uztura veicināšana, uztura paradumu uzlabošana", 3.uzdevuma "Zīdīšana", 3.1.pasākums "Veicināt bērna zīdīšanu."</t>
  </si>
  <si>
    <t xml:space="preserve"> ** </t>
  </si>
  <si>
    <t>Sabiedrības integrācijas nodaļa</t>
  </si>
  <si>
    <t>Integrācijas projektu īstenošana</t>
  </si>
  <si>
    <t>8.400.</t>
  </si>
  <si>
    <t>Sabiedrības integrācijas programmas realizācija, pašvaldības iedzīvotāju iniciatīvas integrācijas projekti</t>
  </si>
  <si>
    <t>JPAS_J14 JPAP_P3.1_R3.1.3._133 JPAS_J15 JPAP_P3.5_R3.5.1._222</t>
  </si>
  <si>
    <t>Maksājumi 3240.18 EUR par trīs 2018.gadā iesāktiem projektiem tiks veikti 2019.gadā. 2019.gadā projektu konkursa summa būs 30000 EUR</t>
  </si>
  <si>
    <t>Nacionālo vērtību stiprināšana</t>
  </si>
  <si>
    <t>8.620.</t>
  </si>
  <si>
    <t>Fotoklubs "Jaunais fokuss"</t>
  </si>
  <si>
    <t>JPAS_J15 JPAP_P3.5_R3.5.1._222</t>
  </si>
  <si>
    <t>Par pieejamo finansējumu 2018.gadā, varēja norisināties tikai 8 foto meistarklases, ņemot vērā to, ka pakalpojuma sniedzējam ir jānodrošina telpu nomu, meistarklašu norisei. Ņemot vērā pieprasījumu pēc meistarklasēm, kā arī jaunu dalībnieku pieaugumu, 2019.gadā ir plānots palielināt meistarklašu skaitu līdz 10.</t>
  </si>
  <si>
    <t>kafijas galds</t>
  </si>
  <si>
    <t>Latviskās identitātes stiprināšanas programma latviešu nacionālo vērtību stiprināšanai</t>
  </si>
  <si>
    <t xml:space="preserve">4 radošās darbnīcas  x 250.00 EUR;  4 autobusu izbraucieni izglītošās ekskursijās x 850.00 EUR par katru autobusa braucienu, ieskaitot autobusa nomu, degvielu, šofera atalgojumu, gidu un dalībnieku ieejas biļetes apskates objektos. 2018-2019 mācību gadā ievērojami pieauga skolēnu skaits, nepieciešami četri, nevis trīs autobusi, kas paaugstina kopējās ekskursiju izmaksas. 2018.gadā lielāko ekskursiju izmaksu dēļ nebija iespējams noorganizēt Radošo darbnīcu pasākumus tādā apjomā un tādā saturā, kā tas tika darīts iepriekšējos gados. Kvalitatīvai Radošo darbnīcu pasākumu organizēšanai nepieciešamas izmaksas - 250.00 EUR par katru darbnīcu. Ir plānots novadīt 4 darbnīcas, t.sk. Meteņu, paplašinot aktivitāšu realizēšanas laika periodu. </t>
  </si>
  <si>
    <t>Etniskā integrācija</t>
  </si>
  <si>
    <t>Valsts valodas apmācība mazākumtautību pārstāvjiem un nepilsoņiem</t>
  </si>
  <si>
    <t xml:space="preserve">Saskaņā ar  Sociālo, Veselības un Integrācijas lietu komitejas un Jūrmalas domes 2018.gada oktobra lēmumu par prioritārajiem pasākumiem 2019.-20121. gadam. </t>
  </si>
  <si>
    <t>Integrācija kultūras aspektā</t>
  </si>
  <si>
    <t>Romu kopienas dienas</t>
  </si>
  <si>
    <t>2019.gada ir plānots ikgadējs koncerts Starptautiskaja romu dienā, kas pulcēs māksliniekus gan no Jūrmalas, gan arī citām pašvaldībām (prognozējamas izmaksas:                   - atalgojums māksliniekiem 700.00 EUR, izejot no cenu aptaujas rezultātiem un 2018.gada koncerta organizēšanas pieredzes, kur pa 700.00 EUR uzstājās 6 profesionālie mākslinieki),                       - foto darbu izstādes druka un noformēšan (20 gab. planšetes x 20.00 EUR katra un maketēsāna - 100 EUR, kopējas izstādes izmaksas - 500.00 EUR.),   - Kultūras apmaiņas programma, ietveros paaudžu integrāciju - 750.00 EUR (25 nodarbības jauniešu sagatavošanai publiskajiem pasākumiem, romu kultūras tradīciju apguvei (deju, vokālas, mākslas, prezentāciju sagatavošanas un citas nodarbības) un kultūras apmaiņai ar citu tautību Jūrmalas jauniešiem, ieskaitot vizītes uz dažādām skolām un kopējo dalību publiskajos pasākumos (30.00 EUR atalgojums pasniedzējiem, ieskaitot nodokļus un telpu īres izmaksas par katru nodarbību),                 - plakāti - 50.00 EUR.                                                            Šīs aktivitātes, kas veicinās romu tautības Jūrmalas iesdzīvotāju integrāciju un motivēs gan jauniešus, gan vecāko paaudzi aktivāk iesaistītites pilsētas sabiedriskajā dzīvē ir ļoti svarīga, gan pilsētas romu kopienai, gan arī plašākai sabiedrībai. Ir svarīgi informēt sabiedrību par romu kultūru un kopienu, kas dzīvo starp mums jau kopš 16.gs. Tradicionāli, 2019.gada aprīlī ar krāšņu koncertu tiks svinēta Starptautiskā Romu diena un atklāta foto darbu izstāde. 2019.gadā ir plānota izstāde, kuru kopā ar romu tautības jauniešiem veidos izcils Latijas fotomākslinieks, jūrmalnieks Leonīds Tugoļevs. L.Tugoļevs ir izteicis gatavību strādāt ar jauniešiem pro-bono Tāpat aktivitātes ietvaros tiks organizēta kultūras apmaiņas programma, kas ietvers paaudžu integrāciju. Vecākā romu paaudze dalīsies ar pieredzi, kultūru, zināšanām, stāstiem ar jaunāko romu paaudzi, lai jaunākā paaudze nezaudē savu kultūru, piederību tai, apgūst romu vērtības, iepazīsta ar to, kāda bija romu kultūra agrāk, lai to varētu saglabāt arī nākotnē. Jaunākā un vecākā romu paaudze dosies dalīties ar savu kultūru ar citu kultūru pārstāvjiem, kas dzīvo Jūrmalā. Savukārt citu kultūru pārstāvji dalīsies ar savu kultūru tradīcijām, vērtībām. Tiks atbalstīta Jūrmalas kultūras daudzveidība un mazākumtautības integrācija sabiedrībā.</t>
  </si>
  <si>
    <t>Jaunatnes Dzejas dienas "Vienotā valodā"</t>
  </si>
  <si>
    <t xml:space="preserve">Dzejas vakara organizēšana un vadīšana, ieskaitot muzikālo priekšnesumu - 1935.00 EUR + plakāti 65.00 EUR 2019. gadā ir plānots piesaistīt pasākumam dažādus mākslinikeus (8 personas), prognozējamas izmaksas paaugstināsies vismaz pa 240.00 EUR. Pasākuma uzmaksas atšīefrējums:            1) Pasākuma organizēšana un vadīšana-965.00 EUR,   ieskaitot:                                                                  - 8 mākslinieku honorāri x 90.00 EUR katram (ieskaitot nodokļus),                                                - transporta izdevumi - 60.00 EUR,                         - scenarija izstrāde - 100.00 EUR,                             - Kuratora atalgojums/koordinēšana pasākuma sagatavošanas posmā - 150.00 EUR,                         - operatīva uzraudzība pasākuma norises laikā/pasākuma vadīšana - 150.00 EUR                   - tehniskais nodrošinājums (headset mikrofonu/austiņas īre)  - 12.50 EUR;                  - AKKA/LAA licence - 42.50 EUR;;                           2)  muzikālais priekšnesums - 700.00 EUR;          3)  plakāti 65.00 EUR.               </t>
  </si>
  <si>
    <t xml:space="preserve">Nepieciešams palielināt atmiņas suvenīru dalībniekiem fondu.  2019.gadā ir prognozējams lielākais dalībnieku skaits (kas paaugstināsies vismaz pa 20%),  jo dzejas "maratons", kas tiks organizēts jau trešo gadu, kļūst arvien atpazīsmtamāks iedzīvotāju, it īpaši jauniešu vidū un 2019.gadā ir plānots sniegt lielākas iespējas publikai piedalīties "atvertajā mikrofonā".  2018. gadā pasākumā piedalījās 60 dalībnieki, no kuriem “atvērtajā mikrofonā” uzstājās un atmiņas suvenīrus saņema 11 personas. </t>
  </si>
  <si>
    <t>Ekumeniskas Lieldienas</t>
  </si>
  <si>
    <t xml:space="preserve">Ir plānots lieldienas koncerts (2018.gada izmaksas - 1450.EUR) un Lūgšanas brokastis (šim pasākumam tiks izmantoti līdzekļi, kas iepriekšējos gados bija izmantoti olu darbnīcu organizēšanai.) + plakāti - 65.00 EUR </t>
  </si>
  <si>
    <t>2019.gadā nav plānots apbalvot aktivitāšu dalībniekus ar šokolādu olām</t>
  </si>
  <si>
    <t>Ēdinasana Lūgšanu brokastim (pārlikt naudu no balvas/suvenīru koda 2314 uz ēdināšanas kodu 2231)</t>
  </si>
  <si>
    <t>Sociālā integrācija</t>
  </si>
  <si>
    <t>Starptautiskā veco ļaužu diena</t>
  </si>
  <si>
    <t>Saldumu ražotājiem ir pieaugušas cenas saldumiem, līdz ar ko ar katru gadu ir mazāk saldumu ražotāju, kas var piedāvāt sadumus tā budžeta ietvaros kas mums ir. 2018.gadā tikai viens ražotājs mums piedāvāt cenu, kuru varam atļauties, tomēr tika pasūtīts mazāks saldumu paciņu skaits. Lai 2019.gadā būtu plašāk saldumu izvēle, veicot cenu aptauju un varētu piedāvāt saldumu paciņas visiem koncertu apmeklētājiem, ir nepieciešams papildus finansējums.</t>
  </si>
  <si>
    <t xml:space="preserve">Koncerta nodrošinājums un plakāti </t>
  </si>
  <si>
    <t>Ziemassvētku sveicieni sociāli neaizsargātām iedzīvotāju grupām</t>
  </si>
  <si>
    <t xml:space="preserve">Klinģeri, pīrādziņi, saldumi paciņas Jūrmalas mazaizsargātām iedzīvotāju grupām, personām Dienas centros, aprūpes centros .c. </t>
  </si>
  <si>
    <t>Invalīdu sporta attīstība</t>
  </si>
  <si>
    <t xml:space="preserve">Ņemot vērā iedzīvotāju lūgumu un izvērtējot 2018.gada rezultātus, ir skaidrs, ka ir nepieciešams papildus finansējums fizisko aktivitāšu baseinā nodrošināšanai. 2019.gadā ir plānots palielināt nodarbību skaitu katrai grupai (katrai grupai 20 nodarbības), lai dalībnieki varētu saņemt pakalpojumu ilgāku laika periodu (visa gada garumā). 2018.gadā, peldēšanas nodarbībām pieteicās 12 dalībnieki nedzirdīgo peldēšanas grupā un 20 dalībnieki neredzīgo grupām. Dalībnieki labprāt apmeklēja nodarbības un sniedza atgriezenisko saiti, informējot par to, ka šīs nodarbības ļoti palīdz gan veselībai, gan labai pašsajūtai, norādot, ka ir izvēlēta piemērota nodarbību norises vieta un profesionāls fizioterapeits. Dalībnieki informēja Sabiedrības integrācijas nodaļu, ka vēlētos arī turpmāk apmeklēt šīs nodarbības un labprāt apmeklētu vairāk nodarbību visa gada garumā. Labklājības pārvalde ir saņēmusi atsauksmes vēstuli no nodarbību dalībniekiem ar lūgumu nodrošināt vairāk nodarbību. Papildus 2018.gada dalībniekiem 2019.gadā plāno pieteikties jaunie nodarbību apmēklētāji, it īpaši personas ar redzes invaliditāti. </t>
  </si>
  <si>
    <t>Sociālā integrācijas programma ilgstošiem bezdarbniekiem</t>
  </si>
  <si>
    <t>Paredzēta iepirkumu procedūra ''ģimenes asistentu'' pakalpojuma iepirkšanai</t>
  </si>
  <si>
    <t>Radošās spēles vecvecākiem un mazbērniem "Mūsu mazā zemīte"</t>
  </si>
  <si>
    <t>pasākuma organizēšana, t.sk.plakāti</t>
  </si>
  <si>
    <t>kafijas galds pasākumā</t>
  </si>
  <si>
    <t>piemiņas veltes pasākuma dalībniekiem</t>
  </si>
  <si>
    <t>Dienas nometne bērniem ar īpašām vajadzībām</t>
  </si>
  <si>
    <t>Saskaņā ar  Sociālo, Veselības un Integrācijas lietu komitejas un Jūrmalas domes 2018.gada oktobra lēmumu par prioritārajiem pasākumiem 2019.-20121. gadam.</t>
  </si>
  <si>
    <t>Atzinības izteikšana par paveikto un sasniegto NVO un sociālajā darbā</t>
  </si>
  <si>
    <t>JPAS_J14 JPAP_P3.1_R3.1.3._133</t>
  </si>
  <si>
    <t>Ēdināšanas izdevumi</t>
  </si>
  <si>
    <t>Ņemot vērā to, ka līdz representatīvie materiāli pasākumam tika nodrošināti no Jūrmalas pilsētas domes Administratīvas pārvaldes resursiem, turpmāk Labklājības pārvaldes budžetā ir nepieciešams paredzēt finanšu līdzekļus:  ielūgumiem - 170.00 EUR, atzinības rakstu un apbalvojumu noformējumam - 35.00 EUR un ziediem - 195.00 EUR (kopā representatīvajiem izdevumiem ir nepieciešami papildus 400.00 EUR). Tirgus izpēte liecina par to, ka sākot ar 2019.gadu būs nepieciešami papildu līdzekļi pasākuma organizatoriskiem izdevumiem, t.sk. pasākuma vadīšana, koncertprogrammas nodrošināšana, noformējums, u.c. - papildus 750.00 EUR un videomateriālu izveidei -  papildus 300 EUR. Kopā nepieciešami papildus 1450.00 EUR pasākuma organizēšanai un vadīšanai.</t>
  </si>
  <si>
    <t>Ņemot vērā to, ka 2018.gada 18.janvārī tika grozīts Jūrmalas pilsētas domes 2015.gada 3.decembra nolikuma Nr.54 "Jūrmalas pilsētas domes Sabiedriskā labuma balvas nolikums par nozīmīgu ieguldījumu sociālajā un veselības aizsardzības jomā" nolikuma 3.punkts un turpmāk atzinības raksti tiek pasniegti kopā ar balvu 300.00 EUR apmēra, 2019.gadā un turpmākajos gados būs nepieciešami papildus līdzekļi aktivitātes balvu fondam. Lai nodrošinātu balvu pasniegšanu noteiktam cilvēku skaitam, ņemot vērā iepriekšējo gadu pieredzi - 12 cilvēkiem pa 300.00 EUR katram (neieskaitot nodokļus), kā arī 1 cilvēkam 1000.00 EUR (neieskaitot nodokļus) nepiecieāsms papildus finansējums 1770.00 EUR (kopā balvu fondam - 5720,00 EUR).</t>
  </si>
  <si>
    <t>Sociālo darbinieku konference</t>
  </si>
  <si>
    <t>Lektoru atalgojums</t>
  </si>
  <si>
    <t>Šūšanas darbnīca pirmspensijas un pensijas vecuma personām, bezdarbniekiem un invalīdiem</t>
  </si>
  <si>
    <t>Integrācijas rīcības virzieni izglītības jomā</t>
  </si>
  <si>
    <t>Naturalizācijas veicināšanas pasākumi sadarbībā ar PMLP paplašinot pakalpojumu pieejamību</t>
  </si>
  <si>
    <t>Motivējoši pasākumi saistībā ar Naturalizācijas procesu</t>
  </si>
  <si>
    <t>Skandināvu dienas Jūrmalā - 2018</t>
  </si>
  <si>
    <t>Pilsoniskās sabiedrības stiprināšana</t>
  </si>
  <si>
    <t>Starppilsētu konference Jūrmalā</t>
  </si>
  <si>
    <t xml:space="preserve">JPAS_J14 JPAP_P3.1_R3.1.3._133 </t>
  </si>
  <si>
    <t>Ēdināšanas izdevumi(kafijas pauzes)</t>
  </si>
  <si>
    <t>Kancelejas preces (papīrs un pildspalvas)</t>
  </si>
  <si>
    <t>Lekcijas</t>
  </si>
  <si>
    <t>Jūrmalas NVO izstāde</t>
  </si>
  <si>
    <t>Izstādes ierīkošana (stendu noma un noformēšana 44 gb. X 15.00 euro)</t>
  </si>
  <si>
    <t>Kafijas galds izstādes atklāšanā</t>
  </si>
  <si>
    <t>Izglītojoši semināri NVO pārstāvjiem (4 semināri)</t>
  </si>
  <si>
    <t>Kafijas pauzes</t>
  </si>
  <si>
    <t>Lekciju kurss</t>
  </si>
  <si>
    <t>Kancelejas preces (papīrs,pildspalvas u.c.)</t>
  </si>
  <si>
    <t>Jūrmalas pilsētas attīstības stratēģijas 2010-2030 prioritātes “Jūrmalnieks”</t>
  </si>
  <si>
    <t xml:space="preserve">  Aktivitāte J14 “Sabiedrības līdzdalības uzlabošana pilsētas dzīves veidošanā un efektīva pilsētas pārvaldei”,  </t>
  </si>
  <si>
    <t xml:space="preserve">  Aktivitāte J15 “Jūrmalnieka piederības sajūtas veidošana”, </t>
  </si>
  <si>
    <t xml:space="preserve">Jūrmalas pilsētas attīstības programmas 2014.–2020.gadam </t>
  </si>
  <si>
    <t xml:space="preserve">  Prioritāte P 3.1. Uz nākotni orientēta pilsētas pārvaldība, kas atbalsta pilsonisko iniciatīvu</t>
  </si>
  <si>
    <t xml:space="preserve">    Rīcības virziens R3.1.3.: Nevalstiskā sektora attīstības atbalsts</t>
  </si>
  <si>
    <t xml:space="preserve">       Aktivitāte Nr.133 - sadarbība ar nevalstiskajām organizācijām</t>
  </si>
  <si>
    <t xml:space="preserve">  Prioritāte P3.5. “kvalitatīvs sociālais atbalsts”</t>
  </si>
  <si>
    <t xml:space="preserve">    Rīcības virziens R3.5.1. “Sociālo pakalpojumu attīstība” </t>
  </si>
  <si>
    <t xml:space="preserve">       Aktivitāte Nr.222 - sabiedrības integrācijas veicināšana.</t>
  </si>
  <si>
    <t>Aprūpējamā vienas dienas uzturēšanās izmaksas (no pašvaldības budžeta) 2019.gadā</t>
  </si>
  <si>
    <t xml:space="preserve">  Jūrmalas pilsētas pašvaldības SIA "Veselības un sociālās aprūpes centrs - Sloka" </t>
  </si>
  <si>
    <t xml:space="preserve">                                                                                                                                                                                                                                                                                                                                                                                                                                                                                                                                                                                                                                                                                                                                                                                                                                                                                                                                                                                                                                                                                                                                                                                                                                                                                                                                                                                                                                                                                                                                                                                                                                                                                                                                                                                                                                                                                                                                                                                                                                                                                                                                                                                                                                                                                                                                                                                                                                                                                                                                                                                                                                                                                                                                                                                                                                                                                                  </t>
  </si>
  <si>
    <t>Rādītāju nosaukumi</t>
  </si>
  <si>
    <t>tajā skaitā pa nodaļām:</t>
  </si>
  <si>
    <t>Sociālās aprūpes nodaļa</t>
  </si>
  <si>
    <t>Sociālās aprūpes un sociālās rehabilitācijas nodaļa</t>
  </si>
  <si>
    <t>Veselības un sociālās aprūpes nodaļa</t>
  </si>
  <si>
    <t>no pašvaldības budžeta</t>
  </si>
  <si>
    <t xml:space="preserve">kopā </t>
  </si>
  <si>
    <t xml:space="preserve">Pašvaldības budžets 2019.g. kopā </t>
  </si>
  <si>
    <t xml:space="preserve">Pašvaldības budžets 2018.g. kopā </t>
  </si>
  <si>
    <t>Cits finansējums, t.sk.:</t>
  </si>
  <si>
    <t>Klientu pensijas 90%</t>
  </si>
  <si>
    <t>Klientu līdzdalības maksājumi</t>
  </si>
  <si>
    <t>Pārējie finanšu avoti</t>
  </si>
  <si>
    <t>Pašvaldības finansēto gultas vietu skaits</t>
  </si>
  <si>
    <t>Kopējo gultas vietu skaits</t>
  </si>
  <si>
    <t>Vienas gultas vietas izmaksas dienā</t>
  </si>
  <si>
    <t>Nodaļas gultasdienu skaits gadā (gultas/dienas)</t>
  </si>
  <si>
    <t>Kopējie IZDEVUMI, t.sk.:</t>
  </si>
  <si>
    <t>Atlīdzība</t>
  </si>
  <si>
    <t>Darba samaksa</t>
  </si>
  <si>
    <t>Pārējo darbinieku darba mēnešalga (darba alga)</t>
  </si>
  <si>
    <t xml:space="preserve">Piemaksas </t>
  </si>
  <si>
    <t>Piemaksa par nakts darbu</t>
  </si>
  <si>
    <t>Samaksa par virsstundu darbu un darbu svētku dienās</t>
  </si>
  <si>
    <t>Darba devēja izdevumi veselības, dzīvības un nelaimes gadījumu apdrošināšanai</t>
  </si>
  <si>
    <t>Preces un pakalpojumi</t>
  </si>
  <si>
    <t>Pakalpojumi</t>
  </si>
  <si>
    <t>Telefona abonēšanas maksa, vietējo un tālsarunu apmaksa, interneta pakalpojumu sniedzēju apmaksa</t>
  </si>
  <si>
    <t>Mobilā telefona abonēšanas maksas un sarunu apmaksa</t>
  </si>
  <si>
    <t>Izdevumi par ūdeni un kanalizāciju</t>
  </si>
  <si>
    <t>Maksa par elektroenerģiju</t>
  </si>
  <si>
    <t>Izdevumi par atkritumu izvešanu</t>
  </si>
  <si>
    <t>Uz līguma pamata pieaicināto ekspertu izdevumi</t>
  </si>
  <si>
    <t>Semināru, kursu un konferenču apmaksa</t>
  </si>
  <si>
    <t>Pārējie iestādes administratīvie izdevumi</t>
  </si>
  <si>
    <t>Ēku, būvju un telpu kārtējais remonts</t>
  </si>
  <si>
    <t>Transportlīdzekļu uzturēšana un remonts</t>
  </si>
  <si>
    <t>Iekārtas, inventāra un aparatūras remonts, tehniskā apkalpošana</t>
  </si>
  <si>
    <t>Ēku, būvju un telpu uzturēšana</t>
  </si>
  <si>
    <t>Pārējie remontdarbu un iestāžu uzturēšanas pakalpojumi</t>
  </si>
  <si>
    <t>Informācijas tehnoloģijas pakalpojumi</t>
  </si>
  <si>
    <t>Krājumi, materiāli, energoresursi, preces, biroja preces un inventārs</t>
  </si>
  <si>
    <t xml:space="preserve">Biroja preces </t>
  </si>
  <si>
    <t>Kurināmais</t>
  </si>
  <si>
    <t>Degviela</t>
  </si>
  <si>
    <t>Zāles, ķimikālijas, laboratorijas preces</t>
  </si>
  <si>
    <t>Remontmateriāli</t>
  </si>
  <si>
    <t>Saimniecības materiāli</t>
  </si>
  <si>
    <t xml:space="preserve">Datortehnikas remonts un uzturēšana </t>
  </si>
  <si>
    <t>Mīkstais inventārs</t>
  </si>
  <si>
    <t>Virtuves inventārs, trauki un galda piederumi</t>
  </si>
  <si>
    <t>Pārējie valsts un pašvaldību aprūpē un apgādē esošo personu uzturēšanas izdevumi, kuri nav minēti citos koda 2360 apakškodos</t>
  </si>
  <si>
    <t>Budžeta iestāžu nodokļu maksājumi</t>
  </si>
  <si>
    <t>Budžeta iestāžu dabas resursu nodoklis</t>
  </si>
  <si>
    <t>Pārējie nodokļi un nodevas - UDRVN</t>
  </si>
  <si>
    <t>nacionājā un starptautiskā mērogā</t>
  </si>
  <si>
    <t>2. Rīcības virziens: Kultūras piedāvājuma izcilība un daudzveidība Jūrmalā: kvalitatīva un sistemātiska kultūras piedāvājuma veidošana dažādām mēkķauditorijas grupām vietējā,</t>
  </si>
  <si>
    <t>Transporta noma 4 izbr.* 10 h * 20.00 EUR = 800 EUR  Ģimnāzijas buss !</t>
  </si>
  <si>
    <t>Jūrmalas pilsētas pašvaldības saistības (EUR)</t>
  </si>
  <si>
    <t>Aizņēmuma apjoms</t>
  </si>
  <si>
    <t>Aizņēmuma paņemšanas gads</t>
  </si>
  <si>
    <t xml:space="preserve">Projekts/Aizņēmuma atdošanas maksajuma gads </t>
  </si>
  <si>
    <t>2033 un turpmākie gadi</t>
  </si>
  <si>
    <t xml:space="preserve"> KOPĀ SAISTĪBU APJOMS</t>
  </si>
  <si>
    <t>Saistību apjoms % no pamatbudžeta ieņēmumiem, t.sk.,</t>
  </si>
  <si>
    <t xml:space="preserve"> saistību apjoms bez galvojumiem</t>
  </si>
  <si>
    <t xml:space="preserve">           esošo saistību apjoms</t>
  </si>
  <si>
    <t xml:space="preserve">           plānoto saistību apjoms</t>
  </si>
  <si>
    <t xml:space="preserve">Pamatbudžeta ieņēmumi bez mērķdotācijas un iemaksām PFIF </t>
  </si>
  <si>
    <t>Plānojamās saistības</t>
  </si>
  <si>
    <t>Ceļu un to kompleksa investīciju projektu īstenošanai (2019)</t>
  </si>
  <si>
    <t>Kredīta % atmaksa 2,7%</t>
  </si>
  <si>
    <t>2020-2021</t>
  </si>
  <si>
    <t>2019-2020</t>
  </si>
  <si>
    <t>Pirmsskolas izglītības iestāde "Bitīte" pārbūve</t>
  </si>
  <si>
    <t>(Kredīta % atmaksa 2,7%)</t>
  </si>
  <si>
    <t>Pilsētas centrālās daļas ielu brauktuvju un gājēju celiņu atjaunošana un autostāvietu izbūve</t>
  </si>
  <si>
    <t>Kredīta % atmaksas 2.7%</t>
  </si>
  <si>
    <t>2019 - 2020</t>
  </si>
  <si>
    <t>Jaunu dabas un kultūras tūrisma pakalpojumu radīšana Rīgas jūras līča rietumu piekrastē - Mellužu estrāes un Ķemeru ūdenstorņa pārbūve un restaurācija</t>
  </si>
  <si>
    <t>2019-2021</t>
  </si>
  <si>
    <t>Ķemeru parka pārbūve un restaurācija</t>
  </si>
  <si>
    <t>Jūrmalas pašvaldības Lielupes radīto plūdu un krasta erozijas risku apdraudējumu novēršanas pasākumi Dubultos - Majoros - Dzintaros</t>
  </si>
  <si>
    <t>Pilsētas atpūtas parka un jauniešu mājas izveide Kauguros</t>
  </si>
  <si>
    <t>Jūrmalas sporta skolas peldbaseina ēkas pārbūve un energoefektivitātes paaugstināšana</t>
  </si>
  <si>
    <t>Jūrmalas veselības veicināšanas un sociālo pakalpojumu centra ēku pārbūve un energoefektivitātes paaugstināšana</t>
  </si>
  <si>
    <t>Jūrmalas pilsētas Ķemeru pamatskolas ēkas pārbūve un energoefektivitātes paaugstināšana</t>
  </si>
  <si>
    <t xml:space="preserve">Jūrmalas Valsts ģimnāzijas ēkas Raiņa ielā 55, Jūrmalā, pārbūve </t>
  </si>
  <si>
    <t>Jūrmalas pilsētas Jaundubultu vidusskolas ēkas energoefektivitātes paaugstināšana (ITI SAM 4.2.2.)</t>
  </si>
  <si>
    <t xml:space="preserve">Jūrmalas ūdenstūrisma pakalpojuma infrastruktūras attīstība atbilstoši pilsētas ekonomiskajai specializācijai </t>
  </si>
  <si>
    <t>Ūdenstūrisma pakalpojuma centra "Majori" izveide</t>
  </si>
  <si>
    <t>Jūrmalas pilsētas Kauguru vidusskolas ēkas energoefektivitātes paaugstināšana un telpu atjaunošana</t>
  </si>
  <si>
    <t xml:space="preserve">Ceļu infrastruktūras atjaunošana un autostāvvietas izbūve Ķemeros </t>
  </si>
  <si>
    <t>stāvvietas izbūve E.Dārziņa ielā 17 un Tūristu ielas posma atjaunošana</t>
  </si>
  <si>
    <t>Infrastruktūras izbūve bez vecāku gādības palikušu bērnu un jauniešu aprūpei ģimeniskā vidē</t>
  </si>
  <si>
    <t>2020; …</t>
  </si>
  <si>
    <t>Plānojamās kredītsaistības, t.sk. Ceļu investīciju projektiem</t>
  </si>
  <si>
    <t>Aizņēmumu atmaksa</t>
  </si>
  <si>
    <t>2012, 2013</t>
  </si>
  <si>
    <t>Ēkas rekonstrukcijai ar funkcijas maiņu par sociālās aprūpes ēku ar publiski pieejamām telpām 1.stāvā Skolas ielā 44</t>
  </si>
  <si>
    <t>Kredīta % atmaksa 1,833%</t>
  </si>
  <si>
    <t>2012, 2013, 2014</t>
  </si>
  <si>
    <t>Aspazijas mājas Nr.002 restaurācija un ēkas Nr.001 rekonstrukcija, saglabājot funkciju muzejs Z.Meirovica prospektā 18/20, Jūrmalā</t>
  </si>
  <si>
    <t>Kredīta % atmaksa (2,7%)</t>
  </si>
  <si>
    <t>2012, 2013, 2014, 2015</t>
  </si>
  <si>
    <t>Dzintaru koncertzāles slēgtās zāles rekonstrukcija/restaurācija Turaidas ielā 1, Jūrmalā</t>
  </si>
  <si>
    <t>Kredīta % atmaksa 2,7%)</t>
  </si>
  <si>
    <t>2013, 2014</t>
  </si>
  <si>
    <t xml:space="preserve">Bērnudārza jaunbūvei Tukuma ielā 9, Jūrmalā </t>
  </si>
  <si>
    <t>Kredīta % atmaksa (2,7%01.14)</t>
  </si>
  <si>
    <t>Mācību korpusa lit.002 rekonstrukcija bez apjoma palielināšanas Dūņu ceļš 2, Jūrmalā</t>
  </si>
  <si>
    <t>Kredīta % atmaksa 0,55%</t>
  </si>
  <si>
    <t>2013, 2014, 2015</t>
  </si>
  <si>
    <t>Ēkas lit.002 rekontrukcijas par Mākslas skolu Strēlnieku prospektā 30 un Jāņa Poruka prospekta izbūve posmā no Friča Brīvzemnieka ielas līdz sporta zālei "Taurenītis" Jūrmalā</t>
  </si>
  <si>
    <t>2014, 2015</t>
  </si>
  <si>
    <t>Jūrmalas Valsts ģimnāzijas un sākumskolas "Atvase" daudzfunkcionālās sporta halles projektēšana un celtniecība (atmaksa 10 gados)</t>
  </si>
  <si>
    <t>Ielu asfalta seguma kapitālais remonts</t>
  </si>
  <si>
    <t>Jūrmalas ūdenssaimniecības attīstības projekta II kārta (ar sadārdzinājumu) (atmaksa 10 gados)</t>
  </si>
  <si>
    <t>Kredīta atmaksa 2,7%</t>
  </si>
  <si>
    <t>Kompleksi risinājumi siltumnīcefekta gāzu emisiju samazināšanai Jūrmalas pilsētas Mežmalas vidusskolā (atmaksa 5 gados)</t>
  </si>
  <si>
    <t>Jūrmalas pilsētas tranzītielas P128 (Talsu šoseja/Kolkas iela) izbūve (atmaksa 10 gados)</t>
  </si>
  <si>
    <t>Ielu asfalta seguma kapitālais remonts (atmaksa 10 gados)</t>
  </si>
  <si>
    <t>2016;2017;
2018</t>
  </si>
  <si>
    <t>Dubultu kultūras un izglītības centra Strēlnieku prospektā 30, Jūrmalā būvniecība  (atmaksa 10 gados)</t>
  </si>
  <si>
    <t>Ceļu un to kompleksa investīciju projektu īstenošanai (2016)</t>
  </si>
  <si>
    <t>Ceļu un to kompleksa investīciju projektu īstenošanai (2017)</t>
  </si>
  <si>
    <t>Ceļu un to kompleksa investīciju projektu īstenošanai (2018)</t>
  </si>
  <si>
    <t>Jaunu dabas un kultūras tūrisma pakalpojumu radīšana Rīgas jūras līča rietumu piekrastē - Mellužu estrādes ēkas restaurācija un bāra ēkas pārbūve, teritorijas labiekārtojums</t>
  </si>
  <si>
    <t>2018-2019</t>
  </si>
  <si>
    <t>Administratīvās ēkas pārbūve sociālo funkciju nodrošināšanai</t>
  </si>
  <si>
    <t>Jūrmalas ūdenssaimniecības attīstības projekta trešā kārta (atmaksa 20 gados)</t>
  </si>
  <si>
    <t>Galvojumi un ilgtermiņa saistības</t>
  </si>
  <si>
    <t>Galvojums Ūdenssaimn.NEFCO</t>
  </si>
  <si>
    <t>Kredīta % atmaksa 3%</t>
  </si>
  <si>
    <t>2008, 2009</t>
  </si>
  <si>
    <t>Galvojums projektā "Piejūra" (20 gadi)</t>
  </si>
  <si>
    <t>Studējošā kredīta galvojums Konstantīnam Ņedošivinam</t>
  </si>
  <si>
    <t>Kredīta %atmaksa, 6 mēn. euribor</t>
  </si>
  <si>
    <t>Studiju kredīta galvojums Konstantīnam Ņedošivinam</t>
  </si>
  <si>
    <t xml:space="preserve">Kredīta %atmaksa, </t>
  </si>
  <si>
    <t>2020-2039</t>
  </si>
  <si>
    <t>Galvojums SIA "Jūrmalas ūdens" aizņēmumam projekta "Jūrmalas ūdenssaimniecības attīstības projekts IV kārta" īstenošanai</t>
  </si>
  <si>
    <t>2007, 2011</t>
  </si>
  <si>
    <t>Ilgtermiņa saistības</t>
  </si>
  <si>
    <t>Saistības pavisam kopā:</t>
  </si>
  <si>
    <t>Atmaksājamā pamatsumma</t>
  </si>
  <si>
    <t>Kredītprocenti</t>
  </si>
  <si>
    <t>2017. gadā veiktā pamatsummas atmaksa</t>
  </si>
  <si>
    <t>Pamatsumma</t>
  </si>
  <si>
    <t>Jūrmalas Uzņēmēju konsultatīvās padomes, kas apstiprināta ar JPD 24.05.2018. lēmumu Nr.226, Jūrmalas biznesa inkubatora konsultatīvās komisijas (JPD 01.12.2016. rīkojums Nr.1.1-14/266), kuras sastāvā ir LDDK, LTRK, JUKP un ALTUM pārstāvji, komisiju vada JPD pārstāvis) (vismaz 6 reizes gadā) sanāksmju nodrošināšana, kuru ietvaros ir nepieciešami ēdināšanas pakalpojumi.  
JUKP sanāksmju organizēšana 8 (sanāksm.)*40 (personas)*9eur=2 880
Jūrmalas biznesa inkubatora konsultatīvās komisijas sēdes 6 (komisijas sēdes)*30 (personas)*9eur=1 620</t>
  </si>
  <si>
    <t>Darba algas segšanai darbiniekam atbilstoši noslēgtajam darba līgumam līdz 2019.gada janvārim. 
Ņemot vērā, ka, lai nodrošinātu Jūrmalas kartes sistēmas normālu funkcionēšanu, nepieciešams viens darbinieks, kurš veic datu aktualizāciju (miruši, izdeklerējušies, zaudējuši statusu), nodrošina apmeklātāju pieņemšu pēc JPD oficiālā darba laika beigām un datu aktualizāciju/kļūdu novēršanu sistēmā. Atlīdzības aprēķinā ir ietverta 5 mēnešu bruto darba alga  788.00 EUR apmērā, darba devēja soc.nodoklis un atvaļinājuma kompensācija.</t>
  </si>
  <si>
    <t>Aktivitātes ietvaros plānots īstenot izklaidējošus pasākumus tūrisma izstādēs ar mērķi piesaistīt papildu apmeklētājus stendā, caur aktivitātēm ieinteresēt apmeklētājus tuvāk iepazīt Jūrmalu un uzkavēties stendā ilgāk.</t>
  </si>
  <si>
    <t>Atbilstoši 203.gada 6.augusta Jūrmalas pilsētas domes lēmumam Nr.575 "Par Jūrmalas pilsētas iestāšanos Eiropas Kūrortu Asociācijā".</t>
  </si>
  <si>
    <t>2019.gads budžets</t>
  </si>
  <si>
    <t>2019.gada budžets</t>
  </si>
  <si>
    <t>JPAP_P1.7._R1.7.2._45 JPAP_P2.1._R.2.1.1._62 JPAP_P2.4._R2.4.2._80 JPAP_P2.8._R2.8.1._98
JPAP_P2.8._R2.8.1._99 
JPŪRARP_M.4,_RV2.4.1_13 JPTARP_M1_U1.2._P1.2.10
JPTARP_M1_U1.2._P1.2.12 JPIERP_P.4.4_ A4.4.2
JPIERP_P.4.4_ A4.4.3</t>
  </si>
  <si>
    <t>JPAP_P2.1._R.2.1.1._62  
JPAP_P2.8._R.2.8.1._98
JPAP_P2.8._R.2.8.1._99 JPAP_P2.8._R2.8.1._103 
JPAP_P3.7._R3.7.2._230  
JPIERP_P.4.4_A4.4.2
JPTARP_M1_U1.2._P1.2.11.
TP ĶAV U2_2.3.  JPKAP_RV5_U5.3_P5.3.1.</t>
  </si>
  <si>
    <t>JPAP_P3.2._R3.2.3._165 JPIAK R3.2.3.          JPSAAAS M1, U 1.1.       VVPJP M2.3.2; U 1_1.1;1.5</t>
  </si>
  <si>
    <t>P2.5. Ūdensapgādes un notekūdeņu apsaimniekošanas sistēmu pilnveide</t>
  </si>
  <si>
    <t>Nr.107 Vides pieejamības nodrošināšana cilvēkiem ar īpašām vajadzībām</t>
  </si>
  <si>
    <t>Nr.173 Profesionālās ievirzes un interešu izglītības iestāžu mācību vides uzlabošana</t>
  </si>
  <si>
    <t>2019.gada budžets (EUR)</t>
  </si>
  <si>
    <t>Dalība tūrisma gadatirgos un izstādēs. Tūrisma stenda nodrošinājums un glābāšana</t>
  </si>
  <si>
    <t>JPAP_P.3.7._R3.7.1._228 JPAP_P3.7._R3.7.1._229 JPAP_P3.7._R3.7.3._234 JPAP_P3.7._R3.7.3._235 JPP_AM4_U4.2.._P4.2.2 JPTARP_U.1.1., P.1.1.2.</t>
  </si>
  <si>
    <t>JPTARP_U.1.5._ P.1.5.2.</t>
  </si>
  <si>
    <t>JPTARP U_2.3. P.2.3.1.; U_1.4._ P.1.4.3.</t>
  </si>
  <si>
    <t>JPTARP U_1.8. P.1.8.3.; U_2.1. P.2.1.1.; U_2.1. P.2.1.3.; U_2.3. P.2.3.4.; U_3.6. P.3.6.1.;</t>
  </si>
  <si>
    <t>Aktivitāte: Nr.49. Jūrmalas kā konferenču un tikšanās vietas popularizēšana nozares speciālistu vidē</t>
  </si>
  <si>
    <t>Rīcības virziens R1.7.1.: Kultūras tūrisma piedāvājuma attīstība</t>
  </si>
  <si>
    <t>P1.10. Partnerattiecību veidošana ar starptautiskām organizācijām un institūcijām, sadraudzības pilsētām, citām pašvaldībām Latvijā un ārpus tās</t>
  </si>
  <si>
    <t>Rīcības virziens R1.10.3.: Sadarbība ar asociācijām, starptautiskām organizācijām un institūcijām Latvijā un ārvalstīs</t>
  </si>
  <si>
    <t>Aktivitāte: Nr.59. Asociācijām, starptautisko organizāciju informēšanas un monitoringa aktivitātes</t>
  </si>
  <si>
    <t xml:space="preserve">U 1.2. Atpūtas, rekreācijas tūrisma piedāvājuma pilnveidošana vietējiem un 
ārvalstu viesiem 
</t>
  </si>
  <si>
    <t>P.1.2.6. Mākslīgā ledus slidotavas izveide un ar to saistīto pakalpojumu nodrošināšana Majoros un Kauguros ziemā</t>
  </si>
  <si>
    <t>U 1.4. Dabas tūrisma piedāvājuma attīstības veicināšana un popularizēšana</t>
  </si>
  <si>
    <t xml:space="preserve">P. 1.4.3. Dabas piesaistes objektu sasaiste (marķējuma izveide – norādes) ar pilsētas centru un atbilstošs mārketings </t>
  </si>
  <si>
    <t>P.1.9.13. Dalība vietējās un starptautiskās (Baltijas, Eiropas) tūrisma organizācijās un darbības efektivitātes izvērtēšana</t>
  </si>
  <si>
    <t xml:space="preserve">U 3.1. Konferenču tūrisma attīstība, fokusējoties uz vidēja lieluma 
(~ 300 dalībnieki) konferencēm  
</t>
  </si>
  <si>
    <t>P 3.1.2. Finansiāla atbalsta piešķiršana starptautisku konferenču organizēšanā</t>
  </si>
  <si>
    <t xml:space="preserve">U 3.4. Sporta pasākumu organizēšana, fokusējoties uz pasākumiem ar lielākiem ieguvumiem pilsētai 
</t>
  </si>
  <si>
    <t>P. 3.4.1. Ikgadējas sporta pasākumu programmas izveide, kas orientēta uz Latvijas un ārvalstu tūristiem</t>
  </si>
  <si>
    <t xml:space="preserve">R 4.4. Atbalsts tūrisma uzņēmējdarbības īstenošanai </t>
  </si>
  <si>
    <t xml:space="preserve">P 4.4.2. Statistikas apkopošana un datu pieejamības nodrošināšana (datu bankas izveide) </t>
  </si>
  <si>
    <t>AM 4 Attīstīt jauniešu nodarbinātību un uzņēmējdarbību Jūrmalas pilsētā.</t>
  </si>
  <si>
    <t>Rīcības virziens: U 4.2. Pilnveidot atbalstu jauniešiem uzņēmējdarbības uzsākšanai.</t>
  </si>
  <si>
    <t>Aktivitāte: 4.2.2.Jauniešu intereses veicināšana par uzņēmējdarbību</t>
  </si>
  <si>
    <t>Rīcības virziens: U 4.3. Veicināt skolēnu nodarbinātību vasarā.</t>
  </si>
  <si>
    <t>Aktivitāte: 4.3.2. Līdzfinansēt darba algu Jūrmalas pilsētā deklarētajiem jauniešiem (15-20g.v.)</t>
  </si>
  <si>
    <t xml:space="preserve">Jūrmalas pilsētas izglītības attīstības koncepcija 2015.-2020.gadam (JIAK)
</t>
  </si>
  <si>
    <t>Jūrmalas pilsētas kultūrvides attīstības plāns 2017.-2020.gadam (JKAP)</t>
  </si>
  <si>
    <t>Aktivitātes: P2.2.4. Nacionāla un starptautiska mēroga konferenču, semināru, konkursu rīkošana vai līdzfinansēšana, veidojot Jūrmalu par pievilcīgu konferenču pilsētu.</t>
  </si>
  <si>
    <t xml:space="preserve">Uzdevums: U2.2. Nostiprināt Jūrmalas kā kultūras un mākslas pilsētas identitāti un konkurētspēju </t>
  </si>
  <si>
    <t>Rīcības virziens: RV2_ 2. Kultūras piedāvājuma izcilība un daudzveidība Jūrmalā: kvalitatīva un sistemātiska kultūras piedāvājuma veidošana dažādām mērķauditorijas grupām vietējā, nacionālā un starptautiskā mērogā</t>
  </si>
  <si>
    <r>
      <rPr>
        <b/>
        <sz val="9"/>
        <rFont val="Times New Roman"/>
        <family val="1"/>
        <charset val="186"/>
      </rPr>
      <t>Mērķis Nr.3</t>
    </r>
    <r>
      <rPr>
        <sz val="9"/>
        <rFont val="Times New Roman"/>
        <family val="1"/>
        <charset val="186"/>
      </rPr>
      <t xml:space="preserve"> Esošo Jūrmalas kultūras tūrisma objektu attīstība</t>
    </r>
  </si>
  <si>
    <t>SIA "Dzintaru koncertzāle" vidēja termiņa darbības stratēģija 2017.-2020.gadam (DZKVTDS)</t>
  </si>
  <si>
    <t xml:space="preserve">JPAP_P1.6._R.1.6.1._25  
JPAP_P1.6._R.1.6.2._32
JPAP_P2.8._R.2.8.1._104 </t>
  </si>
  <si>
    <t>Nr.25 Dabas lieguma “Lielupes grīvas pļavas” apsaimniekošanas pasākumu realizācija un atbilstošas infrastruktūras izveide</t>
  </si>
  <si>
    <t>Nr.32 Peldvietu un atpūtas vietu attīstība Lielupes krastos</t>
  </si>
  <si>
    <t>Nr.104 Lielupes krastmalas un piekrastes ekosistēmas ilgtspējīga apsaimniekošana</t>
  </si>
  <si>
    <t xml:space="preserve">2019.gada budžets </t>
  </si>
  <si>
    <t>R3.1.2.: Pašvaldības pārvaldes kapacitātes celšana</t>
  </si>
  <si>
    <t>R2.8.2.: Kapsētu un to infrastruktūras labiekārtošana</t>
  </si>
  <si>
    <t>Nr.114 Kapsētu paplašināšana un jaunu kapsētu izveide un to apsaimniekošana</t>
  </si>
  <si>
    <t>Nr.105 Graustu novākšana pilsētā</t>
  </si>
  <si>
    <t>Nr.231 Tirdzniecības vietu attīstība un esošo tirdzniecības vietu efektīvas darbības nodrošināšana un labiekārtošana</t>
  </si>
  <si>
    <t>R1.6.3.: Sporta pasākumu un pakalpojumu attīstība</t>
  </si>
  <si>
    <t>JPAP_R3.2.2_155</t>
  </si>
  <si>
    <t>Kultūras centru ēku remonts</t>
  </si>
  <si>
    <t>JPAP_P2.8._R2.8.1._98 JPAS_K4, JPAS_J4</t>
  </si>
  <si>
    <t>JPAP_P1.6._R1.6.2._33 JPAP_P1.6._R1.6.2._34 JPŪRRP_RV1.6.2_10</t>
  </si>
  <si>
    <t>Prioritāte P2.9. Dzīvojamā fonda attīstība</t>
  </si>
  <si>
    <t>Rīcības virziens: R2.9.1.: Pašvaldības dzīvojamā fonda attīstība</t>
  </si>
  <si>
    <t>Aktivitāte Nr.115 Jūrmalas pašvaldības dzīvojamā fonda attīstības plānošana un plānu realizācija</t>
  </si>
  <si>
    <t>Līdzekļi pašvaldības dzīvojamo telpu īrnieku parādu segšanai SIA "Jūrmalas namsaimnieks" un citiem pārvaldniekiem, SIA "Jūrmalas siltums" par dzīvojamo telpu apsaimniekošanas maksu un maksu par komunālajiem pakalpojumiem</t>
  </si>
  <si>
    <t xml:space="preserve">Stratēģiskā dokumenta nosaukums: Jūrmalas pilsētas attīstības programma 2014 - 2020 (JPAP); Jūrmalas pilsētas Ūdens resursu aizsardzības rīcības plāns </t>
  </si>
  <si>
    <t>JPAP_R2.8.1._100</t>
  </si>
  <si>
    <t>JPAP_R2.8.1._102</t>
  </si>
  <si>
    <t>JPAP_R2.8.1._99</t>
  </si>
  <si>
    <t>JPAP_R2.8.1._104</t>
  </si>
  <si>
    <t>JPAP_R2.7.1._96; JPAP_RV2.8.1._12</t>
  </si>
  <si>
    <t>JPAP_P2.8._R2.8.1._112 JPAP_P3.1._R3.1.2._123
JPAP_P3.1._R3.1.2._124 JPAP_P3.1._R3.1.5._144
JPAP_P3.5._R3.5.1._218
IKTRP_3.5.1._8
IKTRP_2.8.1._13 IKTRP_R3.1.5._18 IKTRP_R3.1.2._19
IKTRP_R3.1.2._20</t>
  </si>
  <si>
    <t>JPAP_P2.8._R2.8.1._112 JPAP_P3.1._R3.1.5._140
JPAP_P3.5._R3.5.1._218
IKTRP_3.5.1._8
IKTRP_2.8.1._13 IKTRP_R3.1.5._35</t>
  </si>
  <si>
    <t>JPAP_P3.1._R3.1.2. JPAP_P1.9._R1.9.2._54 JPAP_P3.1._R3.1.5._140 JPAP_P3.4._R3.4.1._208
JPAP_P3.4._R3.4.1._210 
IKTRP_R1.9.2._15 IKTRP_R3.1.5._35 IKTRP_R3.4.1._44
IKTRP_R3.4.1._45</t>
  </si>
  <si>
    <t>JPAP_P2.8._R2.8.1._112 JPAP_P2.8._R2.8.2._114 JPAP_P3.1._R3.1.2._122 JPAP_P3.1._R3.1.2._123
JPAP_P3.1._R3.1.2._124 JPAP_P3.1._R3.1.2._128 JPAP_P3.1._R3.1.5._141 JPAP_P3.1._R3.1.5._142 JPAP_P3.1._R3.1.5._144 JPAP_P3.4._R3.4.1._208
JPAP_P3.4._R3.4.1._210
JPAP_P3.5._R3.5.1._218
 IKTRP_R1.1.1._1 IKTRP_3.5.1._8
IKTRP_2.8.1._13 IKTRP_R3.1.5._18  IKTRP_R3.1.2._19
IKTRP_R3.1.2._20 IKTRP_R3.1.5._25 IKTRP_R3.1.5._27 IKTRP_R3.4.1._44
IKTRP_R3.4.1._45</t>
  </si>
  <si>
    <t>Aktivitāte Nr.63 Jūrmalas ielu kompleksa, to apgaismojuma uzturēšana, drošības un kvalitātes uzlabošana, t.sk., izstrādājot un īstenojot plānu viedā apgaismojuma uzstādīšanai pilsētas ielās</t>
  </si>
  <si>
    <t>apakšmērķa AM3 “Radīt iespēju ikvienam Jūrmalas jaunietim pavadīt brīvo laiku atbilstoši vecumam, vajadzībām un interesēm” uzdevums U1.4. “Pilnveidot jauniešu brīvā laika pavadīšanas iespējas pilsētā, izmantojot esošās un radot jaunas” pasākums P3.2.2 “Veicināt tradicionālo pasākumu veidošanos un attīstību Jaunatnes darbā Jūrmalā”</t>
  </si>
  <si>
    <t>Aktivitāte PP.3. Kopīgu pasākumu rīkošana starptautiski deklarēto dienu (Pasaules ūdens diena, Pasaules Veselības diena) ietvaros, piesaistot starptautiski pazīstamus sportistus</t>
  </si>
  <si>
    <t>Rīcības virziens R3.1.2.: Pašvaldības pārvaldes kapacitātes celšana</t>
  </si>
  <si>
    <t>JPAP_P3.1._R3.1.2._131</t>
  </si>
  <si>
    <t>JPAP_P1.7._ R1.7.1._43; JPAP_P1.8._ R1.8.2._48; JPAP_P1.10._ R1.10.1._57; JPAP_P1.10._ R1.10.2._58; JPAP_P1.10._ R.1.10.3._59</t>
  </si>
  <si>
    <t>JPAP_P1.10._ R1.10.1._57;  JPAP_P1.10._ R.1.10.3._59</t>
  </si>
  <si>
    <t>JPAP_P1.10.3_ R.1.10.3._59</t>
  </si>
  <si>
    <t>JPAP_P1.7._ R1.7.1._43; JPAP_P1.8._ R1.8.2._48; JPAP_P1.10._ R1.10.1._57; JPAP_P1.10.2_ R1.10.2._58; JPAP_P1.10.3_ R.1.10.3._59</t>
  </si>
  <si>
    <r>
      <t>Pozīcijā apvienotas šādas Jūrmalas pilsētas Tūrisma attīstības rīcības plāna augstas prioritātes aktivitātes, kuru</t>
    </r>
    <r>
      <rPr>
        <sz val="9"/>
        <color indexed="10"/>
        <rFont val="Times New Roman"/>
        <family val="1"/>
        <charset val="186"/>
      </rPr>
      <t xml:space="preserve"> </t>
    </r>
    <r>
      <rPr>
        <sz val="9"/>
        <rFont val="Times New Roman"/>
        <family val="1"/>
        <charset val="186"/>
      </rPr>
      <t xml:space="preserve">budžets atbilst rīcības dokumentā definētajam finansējumam -  Tūrisma mārketinga kampaņa augsti prioritārajos tirgos (70 000 eur), Tūrisma  mārketinga kampaņas ar citām LV institūcijām (40 000 eur), nestandarta tūrisma reklāma pilsētvidē Rīgā/Rīgas lidostā (20 000 eur). 2019. gadā plānots veidot vienotu un mērķtiecīgu komunikāciju, nesadrumstalojot mediju kanālus, kas paredz lielāku auditorijas sasniedzamību un kampaņu efektivitāti. Jāņem vērā, ka mediju izmaksas ārvalstīs ir pietiekami lielas un kampaņu īstenošanai vēlams budžetu konsolidēt, lai panāktu vēlamo atdevi. Plānots, ka tūrisma mārketinga kampaņas notiks divas reizes gadā un ietvers līdzšinējās aktivitātes- sadarbības kampaņas ar citām LV institūcijām, kampaņu īstenošanu augsti prioritāros tirgos un nestandarta vides reklāmas. Tā kā reklāmas kampaņas turpmāk organizēs Mārketinga nodaļa, un tai ir nepieciešamie resursi un kompetence plānoto darbu izpildei, paredzams, ka 2019.gadā nav izpilde notiks plānotajā apmērā. </t>
    </r>
  </si>
  <si>
    <t>JPAP_P1.9_R1.9.1._55 JPTARP_U1.9._P.1.9.4.</t>
  </si>
  <si>
    <t>JPAP_P1.9_R1.9.1._55 JPTARP_U1.9._P.1.9.9. JPTARP_U2.2._2.4.4.  JPTARP_U.1.9_P.1.9.7. JPTARP_U.3.7._P.3.7.2. JPTARP_U.2.4._P.2.4.2. JPTARP_U.2.4._P.2.4.3.</t>
  </si>
  <si>
    <t>JPAP_P1.9_R1.9.1._55 JPTARP_U3.7._3.7.6. JPTARP_U2.2._2.4.4. JPAP_P1.8_R1.8.2._53. JPAP_P1.8_R1.8.2._58.</t>
  </si>
  <si>
    <t xml:space="preserve">JPAP_P1.9_R1.9.1._55 JPAP_P1.7._R1.7.1._47        JPTARP_U2.4._P2.4.3. </t>
  </si>
  <si>
    <t>JPAP_P1.9_R1.9.1._55                       JPTARP_U.3.3_P.3.3.2.     JPAP_P2.2_R2.2.1._10</t>
  </si>
  <si>
    <t>JPAP_P1.9_R1.9.1._55                   JPTARP_U2.4._P.2.4.4. JPTARP_U.3.7._P.3.7.6.</t>
  </si>
  <si>
    <t>Tūrisma mārketinga reklāmas materiālu, izstrāde un izgatavošana. Prezentmateriālu kataloga izveide, suvenīru  un citu reklāmas objektu ražošana</t>
  </si>
  <si>
    <t>Reklāmas aģentūru pakalpojumi tūrisma kampaņu īstenošanai: kampaņu  koncepcijas, idejas, startēģijas un to realizācija</t>
  </si>
  <si>
    <t xml:space="preserve">JPAP_P1.9_R1.9.1._55 JPTARP_U.2.4._P.2.4.2.  JPTARP_U.3.7._P.3.7.6.  </t>
  </si>
  <si>
    <t>Pilsētas tēla kampaņas reklāmu un publikāciju izvietošana medijos - TV, radio, internetā, presē, vidē. Informatīvo un imidža reklāmu izvietošana drukātajos materiālos</t>
  </si>
  <si>
    <t>JPAP_P1.9_R1.9.1._55 JPAP_P1.7._R1.7.1._47        JPTARP_U2.4._P2.4.3. JPTARP_U2.4._P.2.4.4. KAP_RV2_U2.2_ P2.2.1. KAP_RV2_U2.2_ P2.2.3. KAP_RV2_U2.2_ P2.2.5.</t>
  </si>
  <si>
    <t>JPAP_P1.9_R1.9.1._55  JPAP_P1.8._R1.8.2._54 JPTARP_U2.4._P.2.4.4. KAP_RV2_U2.1_ P2.1.2. KAP_RV2_U2.1_ P2.1.3. KAP_RV2_U2.2_ P2.2.3. KAP_RV2_U2.2_ P2.2.5.</t>
  </si>
  <si>
    <t>JPAP_P1.9_R1.9.1._55</t>
  </si>
  <si>
    <t xml:space="preserve">JPAP_P1.9_R1.9.1._55 </t>
  </si>
  <si>
    <t>Jūrmalas mārketinga aktivitāšu rīcības plāna izstrāde</t>
  </si>
  <si>
    <t>Organizatoriskie izdevumi</t>
  </si>
  <si>
    <t>Reklāmas aģentūru pakalpojumi: kampaņu  koncepcijas, idejas, startēģijas un to realizācija. Pasākumu un mārketinga aktivitāšu nodrošināšana un reklāmas objektu ražošana un izvietošana</t>
  </si>
  <si>
    <t>JPAP_P1.9_R1.9.1._55                   KAP_RV2_U2.2_ P2.2.1 KAP_RV2_U2.2_ P2.2.3  JPTARP_U2.4._P.2.4.4. JPTARP_U.3.7._P.3.7.6.</t>
  </si>
  <si>
    <t>JPTARP_U.1.9_P.1.9.14  JPAP_P.1.1_R1.1.2._6</t>
  </si>
  <si>
    <t>Jūrmalas pilsētas kultūrvides attīstības plāns 2017.-2020.gadam (KAP)</t>
  </si>
  <si>
    <t>JPAP_P1.9_R1.9.1._55 JPTARP_U1.9._ P.1.9.12. IKTRP_R1.9.1._1</t>
  </si>
  <si>
    <t>JPAP_P1.9_R.1.9.1._66            IKTRP_R1.9.1._3</t>
  </si>
  <si>
    <t>JPAP_P1.9_R.1.9.1._63     
IKTRP_R1.9.1._2</t>
  </si>
  <si>
    <t>JPTARP_U2.2._ P.2.2.4.   JPAP_P1.9_R.1.9.1._65</t>
  </si>
  <si>
    <t>Pašvaldības tīmekļa vietnes www.jurmala.lv funkcionālā izpēte, ieteikumu un vadlīniju izstrāde</t>
  </si>
  <si>
    <t xml:space="preserve">2.daļa Stratēģiskā daļa un rīcības plāns; Jūrmalas pilsētas attīstības programmas 2014.–2020.gadam 2.daļas „Rīcības plāns” g) nodaļa „Darbības un pasākumi”  </t>
  </si>
  <si>
    <t>Jūrmalas pilsētas attīstības programma 2014-2020 (JPAP)</t>
  </si>
  <si>
    <t>JPAP_M2_P2.5._R2.5.3._85
JPŪR_MI_RV2.5.3._4</t>
  </si>
  <si>
    <t>JPAP_M2_P2.8._R2.8.1._111</t>
  </si>
  <si>
    <t>JPAP_M1_P3.1._R1.3.1._12</t>
  </si>
  <si>
    <t>1</t>
  </si>
  <si>
    <t>2</t>
  </si>
  <si>
    <t>aktivitāte Nr.85: Pilsētas meliorācijas sistēmu tehniskā apsekošana un reģistrēšana Meliorācijas kadastrā.</t>
  </si>
  <si>
    <t>R2.5.3. - rīcības virziens "Plūdu riska novēršana, lietusūdens savākšanas un meliorācijas sistēmu pilnveide";</t>
  </si>
  <si>
    <t>aktivitāte Nr.111: Vietējā ģeodēziskā tīkla pilnveidošana un jaunu punktu izbūve.</t>
  </si>
  <si>
    <t xml:space="preserve">         R2.8.1. - rīcības virziens "Publiskās telpas pilnveide"; </t>
  </si>
  <si>
    <t>aktivitāte Nr.4: Pilnveidot un atbilstoši uzturēt pašvaldības meliorācijas sistēmu.</t>
  </si>
  <si>
    <t xml:space="preserve">         RV2.5.3. - rīcības virziens "Plūdu riska novēršana, lietusūdens savākšanas un meliorācijas sistēmu pilnveide";</t>
  </si>
  <si>
    <t>JPAP_R3.3.1._202     JPKAP_U2.2_P2.2.2</t>
  </si>
  <si>
    <t>Jūrmalas pilsētas tūrisma attīstības rīcības plāns 2018. - 2020.gadam (JPTARP)</t>
  </si>
  <si>
    <t>JPTARP_U1.2._P.1.2.8.</t>
  </si>
  <si>
    <t>Jūrmalas pilsētas kultūrvides attīstības plāns 2017. - 2020.gadam (JPKAP)</t>
  </si>
  <si>
    <t>Aktivitāte: Nr. 199 Jūrmalas muzeju popularizēšana</t>
  </si>
  <si>
    <t>pasākums P.1.2.8. "Konkurss par atraktīvu, mākslinieciski augstvērtīgu vides objektu izveidi Jūrmalā".</t>
  </si>
  <si>
    <t xml:space="preserve">uzdevums U 1.2. "Atpūtas, rekreācijas tūrisma piedāvājuma pilnveidošana vietējiem un ārvalstu viesiem" </t>
  </si>
  <si>
    <t>Pasājums: P2.1.2. Dzintaru koncertzāles konkurētspējas stiprināšana nacionālā un starptautiskā mērogā (ilgtermiņa finanšu instrumenta nodrošināšana starptaurtisko mākslinieku piesaistei)</t>
  </si>
  <si>
    <t>JPAP_P3.1._ R3.1.1._119</t>
  </si>
  <si>
    <t>Pasākums "Soļi Smiltīs"</t>
  </si>
  <si>
    <t>JPAP_R1.7.1_P.3.3._43 JPAP_R3.3.1._191. JPAP_R3.3.1._194.</t>
  </si>
  <si>
    <t>līdzfinansējot un līdzorganizējot dažādu žanru kultūras pasākumus specifiskām iedzīvotāju auditorijām.</t>
  </si>
  <si>
    <t xml:space="preserve">U1.3.3. Jūrmalas pilsētas iedzīvotāju un nevalstisko organizāciju radošo kultūras iniciatīvu atbalstīšana, </t>
  </si>
  <si>
    <t>Jūrmalas pilsētas attīstības programmas 2014.-2020.gadam (JPAP)</t>
  </si>
  <si>
    <t>ieviešana vietējiem iedzīvotājiem un tūristiem, īpaši skolēnu-tūristu un ģimeņu piesaistei.</t>
  </si>
  <si>
    <t>Pasākuma Nr. P3.3.1. Jaunu pakalpojumu (vēsturiski izglītojošas, radoši izzinošas, aktīvā tūrisma programmas, tematiski pasākumi u.tml.)</t>
  </si>
  <si>
    <t>Pasākuma Nr. P4.1.4. Informācijas nodrošināšana par apkaimju kultūras pasākumu  norises vietām un pasākumiem</t>
  </si>
  <si>
    <t>Pasākuma Nr. P4.3.3. Kultūras pasākumu reklāmas un mārketinga materiālu izdošana (ikmēneša pasākumu bukleti, afišas u.c.).</t>
  </si>
  <si>
    <t>Pabalsts bāreņiem un bez vecāku gādības palikušiem bērniem pēc ārpusģimenes aprūpes beigšanās (mācību laikā)</t>
  </si>
  <si>
    <t>JPAP_R3.2.4._170  JPSAAS_3_3.5.</t>
  </si>
  <si>
    <t>aktivitāte Nr.184 "Brīvā laika pavadīšanas iespējas pilsētā, izmantojot esošās un radot jaunas"</t>
  </si>
  <si>
    <t>1.3.uzdevums "Pasākumu veikšana drošības uzlabošanai sporta veidiem uz ūdens Jūrmalas pilsētas teritorijā esošajās ūdenskrātuvēs"</t>
  </si>
  <si>
    <t xml:space="preserve">2.3.2.mērķa "Fiziskās aktivitātes veicināšana", 2.uzdevuma "Izglītības pasākumu organizēšana un fizisko aktivitāšu iespēju paplašināšana iedzīvotājiem darbaspējīgā vecumā", </t>
  </si>
  <si>
    <t xml:space="preserve">   Attīstīt pakalpojumus skeleto muskulārās sistēmas stiprināšanai, muguras sāpju mazināšanai un gaitas korekcijai." </t>
  </si>
  <si>
    <t xml:space="preserve">   2.3.pasākums "Radīt iespējas pašvaldībā, kad speciālista vadībā ir iespējas nodarboties ar fiziskām aktivitātēm, gan brīvā dabā, gan telpās (nūjošana, vingrošana ūdenī, vingrošana u.c.). </t>
  </si>
  <si>
    <t xml:space="preserve">   3.1.pasākums "Organizēt vingrošanas, peldēšanas, nūjošanas grupas grūtniecēm."</t>
  </si>
  <si>
    <t xml:space="preserve">2.3.2.mērķa "Fiziskās aktivitātes veicināšana", 3.uzdevumaGrūtnieču un jauno māmiņu fizisko aktivitāšu uzlabošana (veicināšana)", </t>
  </si>
  <si>
    <t>2.3.2.mērķa "Fiziskās aktivitātes veicināšana", 4.uzdevuma "Fiziskās aktivitātes kā sociālās iekļaušanās iespēja; izglītības pasākumi un infrastruktūras nodrošināšana fiziskām aktivitātēm</t>
  </si>
  <si>
    <t xml:space="preserve">pieaugušajiem iedzīvotājiem vecumā virs 65 gadiem", </t>
  </si>
  <si>
    <t xml:space="preserve">   bezmaksas, vai nelielu līdzmaksājumu noteiktām mērķgrupām"</t>
  </si>
  <si>
    <t xml:space="preserve">   4.1.pasākums "Radīt iespējas pašvaldībā, kad speciālista vadībā ir iespējas nodarboties ar fiziskām aktivitātēm, gan brīvā dabā, gan telpās (nūjošana, vingrošana ūdenī, vingrošana u.c.) </t>
  </si>
  <si>
    <t xml:space="preserve">   2.1.pasākums "Aizkavēt legālo un nelegālo atkarības vielu lietošanas uzsākšanu jauniešiem paaugstinot dzīves prasmes skolās."</t>
  </si>
  <si>
    <t xml:space="preserve">2.3.3. mērķa "Atkarības vielu ietekmes mazināšana", 2.uzdevuma "Vispārējās profilakses pasākumu plānošana, organizēšana un realizēšana atkarību mazināšanas un kontroles jomā", </t>
  </si>
  <si>
    <t xml:space="preserve">   4.3.pasākums "HIV profilakses punktā veikt šļirču apmaiņu, sniegt individuālas konsultācijas par atkarību mazināšanas un pārtraukšanas iespējām, veikt HIV eksprestestus"</t>
  </si>
  <si>
    <t>2.3.3. mērķa "Atkarības vielu ietekmes mazināšana", 4.uzdevuma "Indicētā profilakse",</t>
  </si>
  <si>
    <t xml:space="preserve">2.3.3. mērķa "Atkarības vielu ietekmes mazināšana", 5.uzdevuma "Atkarību profilakses pasākumu veikšana dažādās iedzīvotāju mērķgrupās ", </t>
  </si>
  <si>
    <t xml:space="preserve">   ūdens pīpes pīpēšanu un īslaicīgu narkotiku lietošanu. "</t>
  </si>
  <si>
    <t xml:space="preserve">   5.1.pasākums "(darbaspējīgais vecums) Veidot interaktīvu sazināšanos ar sabiedrību, lai vērstu mītu kliedēšanu „par vieglajām un smagajām” narkotikām, </t>
  </si>
  <si>
    <t xml:space="preserve">   5.8.pasākums "(jaunās māmiņas un jaunās ģimenes) HIV profilakses punktā sniegt individuālas konsultācijas
grūtniecēm, kuras lieto narkotikas. </t>
  </si>
  <si>
    <t xml:space="preserve">   1.3.pasākums "Nodrošināt ortodontijas pakalpojumu sniegšanu pilsētā ar pašvaldības finansiālu atbalstu Jūrmalas pašvaldībā deklarētiem bērniem"</t>
  </si>
  <si>
    <t>2.3.4.mērķa "Mutes dobuma veselība", 1.uzdevuma "Pakalpojumu nodrošināšana un pieejamības veicināšana",</t>
  </si>
  <si>
    <t xml:space="preserve">2.3.4.mērķa "Mutes dobuma veselība", 3.uzdevuma "Nevienlīdzības mazināšana", </t>
  </si>
  <si>
    <t xml:space="preserve">   3.2.pasākums "Nodrošināt zobu protezēšanu ar 25 % -50% atlaidi Jūrmalas pilsētā deklarētiem pensionāriem"</t>
  </si>
  <si>
    <t xml:space="preserve">   3.1.pasākums "Iekļaut ar zobārstniecību saistīto izdevumu segšanu pašvaldības sociālo pabalstu veselības aprūpei ietvaros trūcīgām un maznodrošinātām personām", </t>
  </si>
  <si>
    <t xml:space="preserve">2.4.4.mērķa "Garīgā veselība", 3.uzdevuma "Informēšanas pasākumi; psiholoģiskās palīdzības nodrošināšana - iedzīvotājiem darbaspējīgā vecumā", </t>
  </si>
  <si>
    <t xml:space="preserve">   nosakot atvieglojumus personām tuvinieka zaudējuma, darba zaudējuma gadījumā, kā arī trūcīgām un maznodrošinātām personām."</t>
  </si>
  <si>
    <t xml:space="preserve">   3.3.pasākums "Izveidot pašvaldībā psiholoģiskās palīdzības dienestu, lai nodrošinātu iespēju saņemt kvalificētu speciālistu atbalstu tuvu dzīves vietai, un izstrādāt pakalpojuma apmaksas sistēmu, </t>
  </si>
  <si>
    <t>2.5. mērķa "Veselības veicināšanas sistēmas stiprināšana, starpsektoru sadarbība", 1.uzdevuma "Nodrošināt pašvaldības dažādu sektoru ietekmi uz veselības sociālajām determinantēm.",</t>
  </si>
  <si>
    <t xml:space="preserve">   1.3.pasākums "Izveidot un īstenot apmācības programmu veselības veicināšanas darbā iesaistīto institūciju un organizāciju pārstāvjiem ar mērķi veicināt izpratni par sabiedrības veselību un </t>
  </si>
  <si>
    <t xml:space="preserve">   1.6.pasākums "Plašāk iesaistīt sabiedrību dažādu programmu/ projektu plānošanā, īstenošanā un izvērtēšanā." </t>
  </si>
  <si>
    <t xml:space="preserve">   stiprināt  starpinstitūciju sadarbību.", </t>
  </si>
  <si>
    <t>Labklājības pārvaldes prioritārajiem pasākumiem 2019.-2021.gadā</t>
  </si>
  <si>
    <t xml:space="preserve">Aktivitātes iekļautas saskaņā ar 2018.gada 10.oktobra Sociālo, veselības un integrācijas jautājumu komitejas lēmumu par Jūrmalas pilsētas domes </t>
  </si>
  <si>
    <t>Rīcības virziens: R2.5.3. Plūdu riska novēršana, lietusūdens savākšanas un meliorācijas sistēmu pilnveide</t>
  </si>
  <si>
    <t xml:space="preserve">    Aktivitāte: Nr.87 Plūdu novēršanas pasākumi</t>
  </si>
  <si>
    <t>JPAP_P2.5._R.2.5.3._87</t>
  </si>
  <si>
    <t xml:space="preserve">2019.gada budžeta atšifrējums pa programmām </t>
  </si>
  <si>
    <t>2019.gada budžeta atšifrējums pa programmām</t>
  </si>
  <si>
    <t>2019.gada budžeta atšifrējums pa programmām un budžeta veidiem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</si>
</sst>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0.0"/>
    <numFmt numFmtId="166" formatCode="0.00_ ;[Red]\-0.00\ "/>
    <numFmt numFmtId="167" formatCode="#,##0.00_ ;[Red]\-#,##0.00\ "/>
    <numFmt numFmtId="168" formatCode="#,##0.0"/>
    <numFmt numFmtId="169" formatCode="_(* #,##0.0_);_(* \(#,##0.0\);_(* &quot;-&quot;??_);_(@_)"/>
    <numFmt numFmtId="170" formatCode="#,##0_ ;[Red]\-#,##0\ "/>
    <numFmt numFmtId="171" formatCode="###,##0"/>
    <numFmt numFmtId="172" formatCode="#,##0;[Red]#,##0"/>
  </numFmts>
  <fonts count="69" x14ac:knownFonts="1">
    <font>
      <sz val="11"/>
      <color theme="1"/>
      <name val="Calibri"/>
      <family val="2"/>
      <charset val="186"/>
      <scheme val="minor"/>
    </font>
    <font>
      <sz val="11"/>
      <color theme="1"/>
      <name val="Calibri"/>
      <family val="2"/>
      <charset val="186"/>
      <scheme val="minor"/>
    </font>
    <font>
      <sz val="10"/>
      <name val="Arial"/>
      <family val="2"/>
      <charset val="186"/>
    </font>
    <font>
      <sz val="6"/>
      <name val="Times New Roman"/>
      <family val="1"/>
      <charset val="186"/>
    </font>
    <font>
      <sz val="12"/>
      <name val="Times New Roman"/>
      <family val="1"/>
      <charset val="186"/>
    </font>
    <font>
      <sz val="10"/>
      <name val="Times New Roman"/>
      <family val="1"/>
      <charset val="186"/>
    </font>
    <font>
      <sz val="8"/>
      <name val="Times New Roman"/>
      <family val="1"/>
      <charset val="186"/>
    </font>
    <font>
      <b/>
      <sz val="12"/>
      <name val="Times New Roman"/>
      <family val="1"/>
      <charset val="186"/>
    </font>
    <font>
      <b/>
      <sz val="14"/>
      <name val="Times New Roman"/>
      <family val="1"/>
      <charset val="186"/>
    </font>
    <font>
      <b/>
      <sz val="12"/>
      <color rgb="FFC00000"/>
      <name val="Times New Roman"/>
      <family val="1"/>
      <charset val="186"/>
    </font>
    <font>
      <b/>
      <u/>
      <sz val="14"/>
      <color rgb="FFC00000"/>
      <name val="Times New Roman"/>
      <family val="1"/>
      <charset val="186"/>
    </font>
    <font>
      <b/>
      <sz val="11"/>
      <name val="Times New Roman"/>
      <family val="1"/>
      <charset val="186"/>
    </font>
    <font>
      <b/>
      <sz val="10"/>
      <name val="Times New Roman"/>
      <family val="1"/>
      <charset val="186"/>
    </font>
    <font>
      <sz val="11"/>
      <name val="Times New Roman"/>
      <family val="1"/>
      <charset val="186"/>
    </font>
    <font>
      <i/>
      <sz val="11"/>
      <name val="Times New Roman"/>
      <family val="1"/>
      <charset val="186"/>
    </font>
    <font>
      <b/>
      <sz val="9"/>
      <name val="Times New Roman"/>
      <family val="1"/>
      <charset val="186"/>
    </font>
    <font>
      <sz val="9"/>
      <name val="Times New Roman"/>
      <family val="1"/>
      <charset val="186"/>
    </font>
    <font>
      <sz val="9"/>
      <name val="Calibri"/>
      <family val="2"/>
      <charset val="186"/>
    </font>
    <font>
      <sz val="9"/>
      <color rgb="FFFF0000"/>
      <name val="Times New Roman"/>
      <family val="1"/>
      <charset val="186"/>
    </font>
    <font>
      <b/>
      <sz val="8"/>
      <name val="Times New Roman"/>
      <family val="1"/>
      <charset val="186"/>
    </font>
    <font>
      <b/>
      <i/>
      <sz val="12"/>
      <name val="Times New Roman"/>
      <family val="1"/>
      <charset val="186"/>
    </font>
    <font>
      <i/>
      <sz val="8"/>
      <name val="Times New Roman"/>
      <family val="1"/>
      <charset val="186"/>
    </font>
    <font>
      <b/>
      <i/>
      <sz val="8"/>
      <name val="Times New Roman"/>
      <family val="1"/>
      <charset val="186"/>
    </font>
    <font>
      <i/>
      <sz val="7"/>
      <name val="Times New Roman"/>
      <family val="1"/>
      <charset val="186"/>
    </font>
    <font>
      <i/>
      <sz val="9"/>
      <name val="Times New Roman"/>
      <family val="1"/>
      <charset val="186"/>
    </font>
    <font>
      <i/>
      <u/>
      <sz val="8"/>
      <name val="Times New Roman"/>
      <family val="1"/>
      <charset val="186"/>
    </font>
    <font>
      <u/>
      <sz val="8"/>
      <name val="Times New Roman"/>
      <family val="1"/>
      <charset val="186"/>
    </font>
    <font>
      <u/>
      <sz val="9"/>
      <name val="Times New Roman"/>
      <family val="1"/>
      <charset val="186"/>
    </font>
    <font>
      <sz val="9"/>
      <color rgb="FF000000"/>
      <name val="Times New Roman"/>
      <family val="1"/>
      <charset val="186"/>
    </font>
    <font>
      <sz val="9"/>
      <color theme="1"/>
      <name val="Times New Roman"/>
      <family val="1"/>
      <charset val="186"/>
    </font>
    <font>
      <b/>
      <i/>
      <sz val="9"/>
      <name val="Times New Roman"/>
      <family val="1"/>
      <charset val="186"/>
    </font>
    <font>
      <b/>
      <sz val="9"/>
      <color theme="1"/>
      <name val="Times New Roman"/>
      <family val="1"/>
      <charset val="186"/>
    </font>
    <font>
      <sz val="7"/>
      <name val="Times New Roman"/>
      <family val="1"/>
      <charset val="186"/>
    </font>
    <font>
      <b/>
      <i/>
      <u/>
      <sz val="7"/>
      <name val="Times New Roman"/>
      <family val="1"/>
      <charset val="186"/>
    </font>
    <font>
      <b/>
      <sz val="7"/>
      <name val="Times New Roman"/>
      <family val="1"/>
      <charset val="186"/>
    </font>
    <font>
      <b/>
      <i/>
      <sz val="7"/>
      <name val="Times New Roman"/>
      <family val="1"/>
      <charset val="186"/>
    </font>
    <font>
      <i/>
      <sz val="7"/>
      <name val="Bookman Old Style"/>
      <family val="1"/>
      <charset val="186"/>
    </font>
    <font>
      <i/>
      <sz val="7"/>
      <color theme="1"/>
      <name val="Times New Roman"/>
      <family val="1"/>
      <charset val="186"/>
    </font>
    <font>
      <i/>
      <u/>
      <sz val="7"/>
      <name val="Times New Roman"/>
      <family val="1"/>
      <charset val="186"/>
    </font>
    <font>
      <sz val="7"/>
      <name val="Bookman Old Style"/>
      <family val="1"/>
      <charset val="186"/>
    </font>
    <font>
      <b/>
      <sz val="9"/>
      <color indexed="81"/>
      <name val="Tahoma"/>
      <family val="2"/>
      <charset val="186"/>
    </font>
    <font>
      <sz val="9"/>
      <color indexed="81"/>
      <name val="Tahoma"/>
      <family val="2"/>
      <charset val="186"/>
    </font>
    <font>
      <b/>
      <i/>
      <u/>
      <sz val="9"/>
      <name val="Times New Roman"/>
      <family val="1"/>
      <charset val="186"/>
    </font>
    <font>
      <u/>
      <sz val="10"/>
      <color theme="10"/>
      <name val="Arial"/>
      <family val="2"/>
      <charset val="186"/>
    </font>
    <font>
      <i/>
      <sz val="9"/>
      <color theme="1"/>
      <name val="Times New Roman"/>
      <family val="1"/>
      <charset val="186"/>
    </font>
    <font>
      <u/>
      <sz val="8"/>
      <color theme="10"/>
      <name val="Arial"/>
      <family val="2"/>
      <charset val="186"/>
    </font>
    <font>
      <b/>
      <sz val="10"/>
      <name val="Arial"/>
      <family val="2"/>
      <charset val="186"/>
    </font>
    <font>
      <sz val="9"/>
      <color rgb="FF00B050"/>
      <name val="Times New Roman"/>
      <family val="1"/>
      <charset val="186"/>
    </font>
    <font>
      <sz val="9"/>
      <color theme="7"/>
      <name val="Times New Roman"/>
      <family val="1"/>
      <charset val="186"/>
    </font>
    <font>
      <b/>
      <sz val="9"/>
      <color rgb="FFFF0000"/>
      <name val="Times New Roman"/>
      <family val="1"/>
      <charset val="186"/>
    </font>
    <font>
      <sz val="9"/>
      <color rgb="FF7030A0"/>
      <name val="Times New Roman"/>
      <family val="1"/>
      <charset val="186"/>
    </font>
    <font>
      <b/>
      <sz val="9"/>
      <color rgb="FF00B050"/>
      <name val="Times New Roman"/>
      <family val="1"/>
      <charset val="186"/>
    </font>
    <font>
      <b/>
      <sz val="9"/>
      <color rgb="FF7030A0"/>
      <name val="Times New Roman"/>
      <family val="1"/>
      <charset val="186"/>
    </font>
    <font>
      <sz val="11"/>
      <color theme="1"/>
      <name val="Calibri"/>
      <family val="2"/>
      <scheme val="minor"/>
    </font>
    <font>
      <strike/>
      <sz val="9"/>
      <name val="Times New Roman"/>
      <family val="1"/>
      <charset val="186"/>
    </font>
    <font>
      <sz val="9"/>
      <name val="Arial"/>
      <family val="2"/>
      <charset val="186"/>
    </font>
    <font>
      <b/>
      <sz val="9"/>
      <color rgb="FF000000"/>
      <name val="Times New Roman"/>
      <family val="1"/>
      <charset val="186"/>
    </font>
    <font>
      <sz val="9"/>
      <color rgb="FFC00000"/>
      <name val="Times New Roman"/>
      <family val="1"/>
      <charset val="186"/>
    </font>
    <font>
      <sz val="11"/>
      <color indexed="8"/>
      <name val="Calibri"/>
      <family val="2"/>
      <charset val="186"/>
    </font>
    <font>
      <i/>
      <sz val="10"/>
      <name val="Times New Roman"/>
      <family val="1"/>
      <charset val="186"/>
    </font>
    <font>
      <b/>
      <sz val="18"/>
      <name val="Times New Roman"/>
      <family val="1"/>
      <charset val="186"/>
    </font>
    <font>
      <i/>
      <sz val="12"/>
      <name val="Times New Roman"/>
      <family val="1"/>
      <charset val="186"/>
    </font>
    <font>
      <sz val="12"/>
      <color rgb="FFFF0000"/>
      <name val="Times New Roman"/>
      <family val="1"/>
      <charset val="186"/>
    </font>
    <font>
      <b/>
      <sz val="12"/>
      <color theme="1"/>
      <name val="Times New Roman"/>
      <family val="1"/>
      <charset val="186"/>
    </font>
    <font>
      <sz val="12"/>
      <name val="Arial"/>
      <family val="2"/>
      <charset val="186"/>
    </font>
    <font>
      <u/>
      <sz val="9"/>
      <color theme="1"/>
      <name val="Times New Roman"/>
      <family val="1"/>
      <charset val="186"/>
    </font>
    <font>
      <u/>
      <sz val="9"/>
      <color rgb="FF000000"/>
      <name val="Times New Roman"/>
      <family val="1"/>
      <charset val="186"/>
    </font>
    <font>
      <sz val="9"/>
      <color theme="1"/>
      <name val="Calibri"/>
      <family val="2"/>
      <charset val="186"/>
      <scheme val="minor"/>
    </font>
    <font>
      <sz val="9"/>
      <color indexed="10"/>
      <name val="Times New Roman"/>
      <family val="1"/>
      <charset val="186"/>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13"/>
        <bgColor indexed="64"/>
      </patternFill>
    </fill>
  </fills>
  <borders count="10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style="thin">
        <color indexed="64"/>
      </right>
      <top/>
      <bottom style="medium">
        <color auto="1"/>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right/>
      <top style="medium">
        <color indexed="64"/>
      </top>
      <bottom style="medium">
        <color indexed="64"/>
      </bottom>
      <diagonal/>
    </border>
    <border>
      <left/>
      <right/>
      <top style="medium">
        <color indexed="64"/>
      </top>
      <bottom/>
      <diagonal/>
    </border>
  </borders>
  <cellStyleXfs count="18">
    <xf numFmtId="0" fontId="0" fillId="0" borderId="0"/>
    <xf numFmtId="0" fontId="2" fillId="0" borderId="0"/>
    <xf numFmtId="0" fontId="2" fillId="0" borderId="0"/>
    <xf numFmtId="0" fontId="2" fillId="0" borderId="0"/>
    <xf numFmtId="0" fontId="1" fillId="0" borderId="0"/>
    <xf numFmtId="0" fontId="2" fillId="0" borderId="0"/>
    <xf numFmtId="164" fontId="1" fillId="0" borderId="0" applyFont="0" applyFill="0" applyBorder="0" applyAlignment="0" applyProtection="0"/>
    <xf numFmtId="0" fontId="2" fillId="0" borderId="0"/>
    <xf numFmtId="0" fontId="43" fillId="0" borderId="0" applyNumberFormat="0" applyFill="0" applyBorder="0" applyAlignment="0" applyProtection="0"/>
    <xf numFmtId="0" fontId="2" fillId="0" borderId="0"/>
    <xf numFmtId="0" fontId="1" fillId="0" borderId="0"/>
    <xf numFmtId="0" fontId="53" fillId="0" borderId="0"/>
    <xf numFmtId="0" fontId="2" fillId="0" borderId="0"/>
    <xf numFmtId="0" fontId="58" fillId="0" borderId="0"/>
    <xf numFmtId="0" fontId="2" fillId="0" borderId="0"/>
    <xf numFmtId="0" fontId="2" fillId="0" borderId="0"/>
    <xf numFmtId="0" fontId="1" fillId="0" borderId="0"/>
    <xf numFmtId="0" fontId="1" fillId="0" borderId="0"/>
  </cellStyleXfs>
  <cellXfs count="2285">
    <xf numFmtId="0" fontId="0" fillId="0" borderId="0" xfId="0"/>
    <xf numFmtId="0" fontId="3" fillId="0" borderId="0" xfId="1" applyFont="1"/>
    <xf numFmtId="0" fontId="4" fillId="0" borderId="0" xfId="1" applyFont="1"/>
    <xf numFmtId="49" fontId="4" fillId="0" borderId="0" xfId="1" applyNumberFormat="1" applyFont="1"/>
    <xf numFmtId="49" fontId="4" fillId="0" borderId="0" xfId="1" applyNumberFormat="1" applyFont="1" applyFill="1"/>
    <xf numFmtId="49" fontId="5" fillId="0" borderId="0" xfId="1" applyNumberFormat="1" applyFont="1" applyFill="1"/>
    <xf numFmtId="3" fontId="5" fillId="0" borderId="0" xfId="1" applyNumberFormat="1" applyFont="1" applyFill="1"/>
    <xf numFmtId="0" fontId="4" fillId="0" borderId="0" xfId="1" applyFont="1" applyFill="1"/>
    <xf numFmtId="0" fontId="5" fillId="0" borderId="0" xfId="1" applyFont="1" applyAlignment="1">
      <alignment horizontal="right"/>
    </xf>
    <xf numFmtId="3" fontId="3" fillId="0" borderId="0" xfId="1" applyNumberFormat="1" applyFont="1"/>
    <xf numFmtId="3" fontId="4" fillId="0" borderId="0" xfId="1" applyNumberFormat="1" applyFont="1"/>
    <xf numFmtId="3" fontId="4" fillId="0" borderId="0" xfId="1" applyNumberFormat="1" applyFont="1" applyFill="1"/>
    <xf numFmtId="3" fontId="5" fillId="2" borderId="0" xfId="1" applyNumberFormat="1" applyFont="1" applyFill="1"/>
    <xf numFmtId="0" fontId="6" fillId="0" borderId="0" xfId="1" applyFont="1" applyFill="1" applyAlignment="1">
      <alignment horizontal="center" wrapText="1"/>
    </xf>
    <xf numFmtId="3" fontId="7" fillId="0" borderId="0" xfId="1" applyNumberFormat="1" applyFont="1" applyFill="1" applyAlignment="1">
      <alignment horizontal="left" wrapText="1"/>
    </xf>
    <xf numFmtId="0" fontId="9" fillId="0" borderId="0" xfId="1" applyFont="1" applyFill="1"/>
    <xf numFmtId="0" fontId="3" fillId="0" borderId="0" xfId="1" applyFont="1" applyFill="1"/>
    <xf numFmtId="0" fontId="11" fillId="0" borderId="0" xfId="1" applyFont="1" applyFill="1" applyAlignment="1">
      <alignment horizontal="left"/>
    </xf>
    <xf numFmtId="0" fontId="11" fillId="0" borderId="0" xfId="1" applyFont="1" applyFill="1" applyBorder="1" applyAlignment="1">
      <alignment horizontal="left"/>
    </xf>
    <xf numFmtId="49" fontId="11" fillId="0" borderId="0" xfId="1" applyNumberFormat="1" applyFont="1" applyFill="1" applyBorder="1" applyAlignment="1">
      <alignment horizontal="left"/>
    </xf>
    <xf numFmtId="3" fontId="12" fillId="0" borderId="0" xfId="1" applyNumberFormat="1" applyFont="1" applyFill="1" applyAlignment="1">
      <alignment horizontal="left"/>
    </xf>
    <xf numFmtId="49" fontId="11" fillId="0" borderId="0" xfId="1" applyNumberFormat="1" applyFont="1" applyFill="1" applyAlignment="1">
      <alignment horizontal="left"/>
    </xf>
    <xf numFmtId="0" fontId="13" fillId="0" borderId="0" xfId="1" applyFont="1" applyFill="1" applyBorder="1" applyAlignment="1"/>
    <xf numFmtId="0" fontId="14" fillId="0" borderId="0" xfId="1" applyFont="1" applyFill="1" applyBorder="1" applyAlignment="1">
      <alignment horizontal="right"/>
    </xf>
    <xf numFmtId="0" fontId="16" fillId="0" borderId="0" xfId="1" applyFont="1" applyFill="1"/>
    <xf numFmtId="3" fontId="16" fillId="0" borderId="5" xfId="1" applyNumberFormat="1" applyFont="1" applyFill="1" applyBorder="1" applyAlignment="1">
      <alignment horizontal="center" vertical="center" wrapText="1"/>
    </xf>
    <xf numFmtId="3" fontId="16" fillId="0" borderId="6" xfId="1" applyNumberFormat="1" applyFont="1" applyFill="1" applyBorder="1" applyAlignment="1">
      <alignment horizontal="center" vertical="center" wrapText="1"/>
    </xf>
    <xf numFmtId="3" fontId="16" fillId="0" borderId="7" xfId="1" applyNumberFormat="1" applyFont="1" applyFill="1" applyBorder="1" applyAlignment="1">
      <alignment horizontal="center" vertical="center" wrapText="1"/>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wrapText="1"/>
    </xf>
    <xf numFmtId="3" fontId="15" fillId="0" borderId="5" xfId="1" applyNumberFormat="1" applyFont="1" applyFill="1" applyBorder="1" applyAlignment="1">
      <alignment horizontal="center" vertical="center" wrapText="1"/>
    </xf>
    <xf numFmtId="3" fontId="15" fillId="0" borderId="6" xfId="1" applyNumberFormat="1" applyFont="1" applyFill="1" applyBorder="1" applyAlignment="1">
      <alignment horizontal="center" vertical="center" wrapText="1"/>
    </xf>
    <xf numFmtId="3" fontId="15" fillId="0" borderId="7" xfId="1" applyNumberFormat="1" applyFont="1" applyFill="1" applyBorder="1" applyAlignment="1">
      <alignment horizontal="center" vertical="center" wrapText="1"/>
    </xf>
    <xf numFmtId="3" fontId="15" fillId="0" borderId="7" xfId="1" applyNumberFormat="1" applyFont="1" applyFill="1" applyBorder="1" applyAlignment="1">
      <alignment horizontal="right" vertical="center" wrapText="1"/>
    </xf>
    <xf numFmtId="3" fontId="16" fillId="0" borderId="8" xfId="2" applyNumberFormat="1" applyFont="1" applyBorder="1" applyAlignment="1" applyProtection="1">
      <alignment horizontal="center" vertical="center" wrapText="1"/>
      <protection locked="0"/>
    </xf>
    <xf numFmtId="3" fontId="15" fillId="0" borderId="0" xfId="1" applyNumberFormat="1" applyFont="1" applyFill="1"/>
    <xf numFmtId="3" fontId="16" fillId="0" borderId="0" xfId="1" applyNumberFormat="1" applyFont="1" applyFill="1"/>
    <xf numFmtId="0" fontId="16" fillId="0" borderId="10" xfId="1" applyFont="1" applyFill="1" applyBorder="1" applyAlignment="1">
      <alignment horizontal="center" vertical="center" wrapText="1"/>
    </xf>
    <xf numFmtId="49" fontId="16" fillId="0" borderId="11" xfId="1" applyNumberFormat="1" applyFont="1" applyFill="1" applyBorder="1" applyAlignment="1">
      <alignment horizontal="center" vertical="center" wrapText="1"/>
    </xf>
    <xf numFmtId="3" fontId="16" fillId="0" borderId="12" xfId="1" applyNumberFormat="1" applyFont="1" applyFill="1" applyBorder="1" applyAlignment="1">
      <alignment horizontal="center" vertical="center" wrapText="1"/>
    </xf>
    <xf numFmtId="3" fontId="16" fillId="0" borderId="0" xfId="1" applyNumberFormat="1" applyFont="1" applyFill="1" applyBorder="1" applyAlignment="1">
      <alignment horizontal="center" vertical="center" wrapText="1"/>
    </xf>
    <xf numFmtId="3" fontId="16" fillId="0" borderId="13" xfId="1" applyNumberFormat="1" applyFont="1" applyFill="1" applyBorder="1" applyAlignment="1">
      <alignment horizontal="center" vertical="center" wrapText="1"/>
    </xf>
    <xf numFmtId="3" fontId="16" fillId="0" borderId="13" xfId="1" applyNumberFormat="1" applyFont="1" applyFill="1" applyBorder="1" applyAlignment="1">
      <alignment horizontal="right" vertical="center" wrapText="1"/>
    </xf>
    <xf numFmtId="3" fontId="16" fillId="0" borderId="11" xfId="1" applyNumberFormat="1" applyFont="1" applyFill="1" applyBorder="1" applyAlignment="1">
      <alignment horizontal="center" vertical="center" wrapText="1"/>
    </xf>
    <xf numFmtId="0" fontId="16" fillId="0" borderId="8" xfId="1" applyFont="1" applyFill="1" applyBorder="1"/>
    <xf numFmtId="0" fontId="15" fillId="0" borderId="0" xfId="1" applyFont="1" applyFill="1" applyAlignment="1">
      <alignment horizontal="center" vertical="center"/>
    </xf>
    <xf numFmtId="9" fontId="15" fillId="0" borderId="0" xfId="1" applyNumberFormat="1" applyFont="1" applyFill="1" applyAlignment="1">
      <alignment horizontal="center" vertical="center" wrapText="1"/>
    </xf>
    <xf numFmtId="0" fontId="16" fillId="0" borderId="0" xfId="1" applyFont="1" applyFill="1" applyBorder="1" applyAlignment="1">
      <alignment horizontal="center" vertical="center" wrapText="1"/>
    </xf>
    <xf numFmtId="49" fontId="15" fillId="0" borderId="13" xfId="1" applyNumberFormat="1" applyFont="1" applyFill="1" applyBorder="1" applyAlignment="1">
      <alignment horizontal="right" vertical="center" wrapText="1"/>
    </xf>
    <xf numFmtId="3" fontId="15" fillId="0" borderId="5" xfId="1" applyNumberFormat="1" applyFont="1" applyFill="1" applyBorder="1" applyAlignment="1">
      <alignment vertical="center" wrapText="1"/>
    </xf>
    <xf numFmtId="3" fontId="15" fillId="0" borderId="6" xfId="1" applyNumberFormat="1" applyFont="1" applyFill="1" applyBorder="1" applyAlignment="1">
      <alignment vertical="center" wrapText="1"/>
    </xf>
    <xf numFmtId="3" fontId="15" fillId="0" borderId="11" xfId="1" applyNumberFormat="1" applyFont="1" applyFill="1" applyBorder="1" applyAlignment="1">
      <alignment vertical="center" wrapText="1"/>
    </xf>
    <xf numFmtId="3" fontId="15" fillId="0" borderId="14" xfId="1" applyNumberFormat="1" applyFont="1" applyFill="1" applyBorder="1" applyAlignment="1">
      <alignment vertical="center" wrapText="1"/>
    </xf>
    <xf numFmtId="3" fontId="15" fillId="0" borderId="9" xfId="1" applyNumberFormat="1" applyFont="1" applyFill="1" applyBorder="1" applyAlignment="1">
      <alignment vertical="center" wrapText="1"/>
    </xf>
    <xf numFmtId="3" fontId="15" fillId="0" borderId="15" xfId="1" applyNumberFormat="1" applyFont="1" applyFill="1" applyBorder="1" applyAlignment="1">
      <alignment vertical="center" wrapText="1"/>
    </xf>
    <xf numFmtId="3" fontId="16" fillId="0" borderId="8" xfId="2" applyNumberFormat="1" applyFont="1" applyBorder="1" applyAlignment="1" applyProtection="1">
      <alignment vertical="center" wrapText="1"/>
      <protection locked="0"/>
    </xf>
    <xf numFmtId="0" fontId="15" fillId="0" borderId="5" xfId="1" applyFont="1" applyFill="1" applyBorder="1" applyAlignment="1">
      <alignment horizontal="center" vertical="center"/>
    </xf>
    <xf numFmtId="0" fontId="15" fillId="0" borderId="6" xfId="1" applyFont="1" applyFill="1" applyBorder="1" applyAlignment="1">
      <alignment wrapText="1"/>
    </xf>
    <xf numFmtId="3" fontId="15" fillId="0" borderId="6" xfId="1" applyNumberFormat="1" applyFont="1" applyFill="1" applyBorder="1" applyAlignment="1">
      <alignment horizontal="center"/>
    </xf>
    <xf numFmtId="49" fontId="15" fillId="0" borderId="7" xfId="1" applyNumberFormat="1" applyFont="1" applyFill="1" applyBorder="1" applyAlignment="1">
      <alignment horizontal="center"/>
    </xf>
    <xf numFmtId="3" fontId="15" fillId="0" borderId="5" xfId="1" applyNumberFormat="1" applyFont="1" applyFill="1" applyBorder="1" applyAlignment="1"/>
    <xf numFmtId="3" fontId="15" fillId="0" borderId="6" xfId="1" applyNumberFormat="1" applyFont="1" applyFill="1" applyBorder="1" applyAlignment="1"/>
    <xf numFmtId="3" fontId="15" fillId="0" borderId="7" xfId="1" applyNumberFormat="1" applyFont="1" applyFill="1" applyBorder="1" applyAlignment="1"/>
    <xf numFmtId="0" fontId="16" fillId="0" borderId="16" xfId="1" applyFont="1" applyFill="1" applyBorder="1" applyAlignment="1">
      <alignment horizontal="center" vertical="center"/>
    </xf>
    <xf numFmtId="0" fontId="16" fillId="0" borderId="17" xfId="1" applyFont="1" applyFill="1" applyBorder="1" applyAlignment="1">
      <alignment vertical="center" wrapText="1"/>
    </xf>
    <xf numFmtId="3" fontId="16" fillId="0" borderId="17" xfId="1" applyNumberFormat="1" applyFont="1" applyFill="1" applyBorder="1" applyAlignment="1">
      <alignment horizontal="center" vertical="center"/>
    </xf>
    <xf numFmtId="3" fontId="16" fillId="0" borderId="17" xfId="1" applyNumberFormat="1" applyFont="1" applyFill="1" applyBorder="1" applyAlignment="1">
      <alignment vertical="center"/>
    </xf>
    <xf numFmtId="3" fontId="16" fillId="0" borderId="5" xfId="1" applyNumberFormat="1" applyFont="1" applyFill="1" applyBorder="1" applyAlignment="1"/>
    <xf numFmtId="3" fontId="16" fillId="0" borderId="6" xfId="1" applyNumberFormat="1" applyFont="1" applyFill="1" applyBorder="1" applyAlignment="1"/>
    <xf numFmtId="3" fontId="16" fillId="0" borderId="7" xfId="1" applyNumberFormat="1" applyFont="1" applyFill="1" applyBorder="1" applyAlignment="1"/>
    <xf numFmtId="3" fontId="16" fillId="0" borderId="5" xfId="1" applyNumberFormat="1" applyFont="1" applyFill="1" applyBorder="1" applyAlignment="1">
      <alignment horizontal="center"/>
    </xf>
    <xf numFmtId="3" fontId="16" fillId="0" borderId="7" xfId="1" applyNumberFormat="1" applyFont="1" applyFill="1" applyBorder="1" applyAlignment="1">
      <alignment horizontal="right"/>
    </xf>
    <xf numFmtId="0" fontId="16" fillId="0" borderId="5" xfId="1" applyFont="1" applyFill="1" applyBorder="1" applyAlignment="1">
      <alignment horizontal="center" vertical="center"/>
    </xf>
    <xf numFmtId="0" fontId="16" fillId="0" borderId="6" xfId="1" applyFont="1" applyFill="1" applyBorder="1" applyAlignment="1">
      <alignment wrapText="1"/>
    </xf>
    <xf numFmtId="3" fontId="16" fillId="0" borderId="6" xfId="1" applyNumberFormat="1" applyFont="1" applyFill="1" applyBorder="1" applyAlignment="1">
      <alignment horizontal="center"/>
    </xf>
    <xf numFmtId="3" fontId="16" fillId="0" borderId="6" xfId="1" applyNumberFormat="1" applyFont="1" applyFill="1" applyBorder="1" applyAlignment="1">
      <alignment horizontal="center" vertical="center"/>
    </xf>
    <xf numFmtId="49" fontId="15" fillId="0" borderId="7" xfId="1" applyNumberFormat="1" applyFont="1" applyFill="1" applyBorder="1" applyAlignment="1">
      <alignment horizontal="center" vertical="center"/>
    </xf>
    <xf numFmtId="3" fontId="16" fillId="0" borderId="5" xfId="1" applyNumberFormat="1" applyFont="1" applyFill="1" applyBorder="1" applyAlignment="1">
      <alignment vertical="center"/>
    </xf>
    <xf numFmtId="3" fontId="16" fillId="0" borderId="6" xfId="1" applyNumberFormat="1" applyFont="1" applyFill="1" applyBorder="1" applyAlignment="1">
      <alignment vertical="center"/>
    </xf>
    <xf numFmtId="3" fontId="16" fillId="0" borderId="7" xfId="1" applyNumberFormat="1" applyFont="1" applyFill="1" applyBorder="1" applyAlignment="1">
      <alignment vertical="center"/>
    </xf>
    <xf numFmtId="3" fontId="16" fillId="0" borderId="5" xfId="1" applyNumberFormat="1" applyFont="1" applyFill="1" applyBorder="1" applyAlignment="1">
      <alignment horizontal="center" vertical="center"/>
    </xf>
    <xf numFmtId="3" fontId="16" fillId="0" borderId="7" xfId="1" applyNumberFormat="1" applyFont="1" applyFill="1" applyBorder="1" applyAlignment="1">
      <alignment horizontal="right" vertical="center"/>
    </xf>
    <xf numFmtId="0" fontId="16" fillId="0" borderId="8" xfId="1" applyFont="1" applyFill="1" applyBorder="1" applyAlignment="1">
      <alignment vertical="center"/>
    </xf>
    <xf numFmtId="0" fontId="16" fillId="0" borderId="6" xfId="2" applyFont="1" applyFill="1" applyBorder="1" applyAlignment="1">
      <alignment horizontal="left" vertical="center" wrapText="1"/>
    </xf>
    <xf numFmtId="165" fontId="16" fillId="0" borderId="5" xfId="1" applyNumberFormat="1" applyFont="1" applyFill="1" applyBorder="1" applyAlignment="1">
      <alignment horizontal="center" vertical="center"/>
    </xf>
    <xf numFmtId="3" fontId="15" fillId="0" borderId="5" xfId="1" applyNumberFormat="1" applyFont="1" applyFill="1" applyBorder="1" applyAlignment="1">
      <alignment horizontal="right"/>
    </xf>
    <xf numFmtId="3" fontId="15" fillId="0" borderId="7" xfId="1" applyNumberFormat="1" applyFont="1" applyFill="1" applyBorder="1" applyAlignment="1">
      <alignment horizontal="right"/>
    </xf>
    <xf numFmtId="0" fontId="16" fillId="0" borderId="6" xfId="1" applyFont="1" applyFill="1" applyBorder="1" applyAlignment="1">
      <alignment horizontal="left" wrapText="1"/>
    </xf>
    <xf numFmtId="0" fontId="16" fillId="0" borderId="20" xfId="1" applyFont="1" applyFill="1" applyBorder="1" applyAlignment="1">
      <alignment vertical="center"/>
    </xf>
    <xf numFmtId="0" fontId="16" fillId="0" borderId="22" xfId="1" applyFont="1" applyFill="1" applyBorder="1" applyAlignment="1">
      <alignment wrapText="1"/>
    </xf>
    <xf numFmtId="3" fontId="16" fillId="0" borderId="5" xfId="1" applyNumberFormat="1" applyFont="1" applyFill="1" applyBorder="1" applyAlignment="1">
      <alignment horizontal="right"/>
    </xf>
    <xf numFmtId="0" fontId="16" fillId="0" borderId="6" xfId="1" applyFont="1" applyFill="1" applyBorder="1" applyAlignment="1">
      <alignment horizontal="center" vertical="center" wrapText="1" shrinkToFit="1"/>
    </xf>
    <xf numFmtId="0" fontId="16" fillId="0" borderId="5" xfId="1" applyFont="1" applyFill="1" applyBorder="1" applyAlignment="1">
      <alignment horizontal="center" vertical="center" wrapText="1" shrinkToFit="1"/>
    </xf>
    <xf numFmtId="0" fontId="16" fillId="0" borderId="6" xfId="1" applyFont="1" applyFill="1" applyBorder="1" applyAlignment="1">
      <alignment horizontal="left" vertical="center" wrapText="1"/>
    </xf>
    <xf numFmtId="3" fontId="16" fillId="0" borderId="5" xfId="1" applyNumberFormat="1" applyFont="1" applyFill="1" applyBorder="1" applyAlignment="1">
      <alignment horizontal="right" vertical="center"/>
    </xf>
    <xf numFmtId="3" fontId="16" fillId="0" borderId="6" xfId="1" applyNumberFormat="1" applyFont="1" applyFill="1" applyBorder="1" applyAlignment="1">
      <alignment horizontal="right" vertical="center"/>
    </xf>
    <xf numFmtId="0" fontId="15" fillId="0" borderId="6" xfId="1" applyFont="1" applyFill="1" applyBorder="1" applyAlignment="1">
      <alignment horizontal="center" vertical="center"/>
    </xf>
    <xf numFmtId="0" fontId="16" fillId="0" borderId="6" xfId="1" applyFont="1" applyFill="1" applyBorder="1" applyAlignment="1">
      <alignment horizontal="center" vertical="center"/>
    </xf>
    <xf numFmtId="0" fontId="18" fillId="0" borderId="0" xfId="1" applyFont="1" applyFill="1"/>
    <xf numFmtId="0" fontId="16" fillId="0" borderId="6" xfId="1" applyFont="1" applyFill="1" applyBorder="1" applyAlignment="1">
      <alignment vertical="center" wrapText="1"/>
    </xf>
    <xf numFmtId="0" fontId="16" fillId="0" borderId="14" xfId="0" applyFont="1" applyFill="1" applyBorder="1" applyAlignment="1">
      <alignment vertical="center" wrapText="1"/>
    </xf>
    <xf numFmtId="0" fontId="15" fillId="0" borderId="15" xfId="0" applyFont="1" applyBorder="1" applyAlignment="1">
      <alignment horizontal="center" vertical="center" wrapText="1"/>
    </xf>
    <xf numFmtId="3" fontId="16" fillId="0" borderId="0" xfId="1" applyNumberFormat="1" applyFont="1" applyFill="1" applyAlignment="1">
      <alignment vertical="center"/>
    </xf>
    <xf numFmtId="0" fontId="16" fillId="0" borderId="15" xfId="0" applyFont="1" applyBorder="1" applyAlignment="1">
      <alignment horizontal="center" vertical="center" wrapText="1"/>
    </xf>
    <xf numFmtId="0" fontId="15" fillId="0" borderId="14" xfId="0" applyFont="1" applyFill="1" applyBorder="1" applyAlignment="1">
      <alignment vertical="center" wrapText="1"/>
    </xf>
    <xf numFmtId="3" fontId="15" fillId="0" borderId="5" xfId="1" applyNumberFormat="1" applyFont="1" applyFill="1" applyBorder="1" applyAlignment="1">
      <alignment vertical="center"/>
    </xf>
    <xf numFmtId="3" fontId="15" fillId="0" borderId="6" xfId="1" applyNumberFormat="1" applyFont="1" applyFill="1" applyBorder="1" applyAlignment="1">
      <alignment vertical="center"/>
    </xf>
    <xf numFmtId="3" fontId="15" fillId="0" borderId="7" xfId="1" applyNumberFormat="1" applyFont="1" applyFill="1" applyBorder="1" applyAlignment="1">
      <alignment vertical="center"/>
    </xf>
    <xf numFmtId="0" fontId="16" fillId="0" borderId="23" xfId="1" applyFont="1" applyFill="1" applyBorder="1" applyAlignment="1">
      <alignment horizontal="center" vertical="center"/>
    </xf>
    <xf numFmtId="0" fontId="16" fillId="0" borderId="24" xfId="0" applyFont="1" applyFill="1" applyBorder="1" applyAlignment="1">
      <alignment vertical="center" wrapText="1"/>
    </xf>
    <xf numFmtId="0" fontId="16" fillId="0" borderId="25" xfId="0" applyFont="1" applyBorder="1" applyAlignment="1">
      <alignment horizontal="center" vertical="center" wrapText="1"/>
    </xf>
    <xf numFmtId="3" fontId="16" fillId="0" borderId="25" xfId="1" applyNumberFormat="1" applyFont="1" applyFill="1" applyBorder="1" applyAlignment="1">
      <alignment horizontal="center" vertical="center"/>
    </xf>
    <xf numFmtId="49" fontId="15" fillId="0" borderId="26" xfId="1" applyNumberFormat="1" applyFont="1" applyFill="1" applyBorder="1" applyAlignment="1">
      <alignment horizontal="center" vertical="center"/>
    </xf>
    <xf numFmtId="3" fontId="16" fillId="0" borderId="23" xfId="1" applyNumberFormat="1" applyFont="1" applyFill="1" applyBorder="1" applyAlignment="1">
      <alignment vertical="center"/>
    </xf>
    <xf numFmtId="3" fontId="16" fillId="0" borderId="25" xfId="1" applyNumberFormat="1" applyFont="1" applyFill="1" applyBorder="1" applyAlignment="1">
      <alignment horizontal="right" vertical="center"/>
    </xf>
    <xf numFmtId="3" fontId="16" fillId="0" borderId="26" xfId="1" applyNumberFormat="1" applyFont="1" applyFill="1" applyBorder="1" applyAlignment="1">
      <alignment vertical="center"/>
    </xf>
    <xf numFmtId="3" fontId="16" fillId="0" borderId="23" xfId="1" applyNumberFormat="1" applyFont="1" applyFill="1" applyBorder="1" applyAlignment="1">
      <alignment horizontal="center" vertical="center"/>
    </xf>
    <xf numFmtId="3" fontId="16" fillId="0" borderId="26" xfId="1" applyNumberFormat="1" applyFont="1" applyFill="1" applyBorder="1" applyAlignment="1">
      <alignment horizontal="right" vertical="center"/>
    </xf>
    <xf numFmtId="3" fontId="16" fillId="0" borderId="26" xfId="1" applyNumberFormat="1" applyFont="1" applyFill="1" applyBorder="1" applyAlignment="1">
      <alignment horizontal="center" vertical="center"/>
    </xf>
    <xf numFmtId="0" fontId="16" fillId="0" borderId="27" xfId="1" applyFont="1" applyFill="1" applyBorder="1" applyAlignment="1">
      <alignment horizontal="center" vertical="center"/>
    </xf>
    <xf numFmtId="0" fontId="16" fillId="0" borderId="29" xfId="1" applyFont="1" applyFill="1" applyBorder="1" applyAlignment="1">
      <alignment wrapText="1"/>
    </xf>
    <xf numFmtId="0" fontId="16" fillId="0" borderId="30" xfId="1" applyFont="1" applyFill="1" applyBorder="1" applyAlignment="1">
      <alignment wrapText="1"/>
    </xf>
    <xf numFmtId="3" fontId="16" fillId="0" borderId="31" xfId="1" applyNumberFormat="1" applyFont="1" applyFill="1" applyBorder="1" applyAlignment="1">
      <alignment wrapText="1"/>
    </xf>
    <xf numFmtId="0" fontId="16" fillId="0" borderId="32" xfId="1" applyFont="1" applyFill="1" applyBorder="1" applyAlignment="1">
      <alignment wrapText="1"/>
    </xf>
    <xf numFmtId="3" fontId="16" fillId="0" borderId="33" xfId="1" applyNumberFormat="1" applyFont="1" applyFill="1" applyBorder="1" applyAlignment="1">
      <alignment wrapText="1"/>
    </xf>
    <xf numFmtId="0" fontId="16" fillId="0" borderId="31" xfId="1" applyFont="1" applyFill="1" applyBorder="1" applyAlignment="1">
      <alignment wrapText="1"/>
    </xf>
    <xf numFmtId="0" fontId="16" fillId="0" borderId="33" xfId="1" applyFont="1" applyFill="1" applyBorder="1" applyAlignment="1">
      <alignment wrapText="1"/>
    </xf>
    <xf numFmtId="0" fontId="16" fillId="0" borderId="4" xfId="1" applyFont="1" applyFill="1" applyBorder="1" applyAlignment="1">
      <alignment vertical="center"/>
    </xf>
    <xf numFmtId="0" fontId="16" fillId="0" borderId="0" xfId="3" applyFont="1" applyFill="1" applyBorder="1" applyAlignment="1">
      <alignment horizontal="left" wrapText="1"/>
    </xf>
    <xf numFmtId="0" fontId="15" fillId="0" borderId="13" xfId="3" applyFont="1" applyFill="1" applyBorder="1" applyAlignment="1">
      <alignment horizontal="right"/>
    </xf>
    <xf numFmtId="3" fontId="15" fillId="0" borderId="5" xfId="3" applyNumberFormat="1" applyFont="1" applyFill="1" applyBorder="1" applyAlignment="1">
      <alignment vertical="center"/>
    </xf>
    <xf numFmtId="3" fontId="15" fillId="0" borderId="6" xfId="3" applyNumberFormat="1" applyFont="1" applyFill="1" applyBorder="1" applyAlignment="1">
      <alignment vertical="center"/>
    </xf>
    <xf numFmtId="3" fontId="15" fillId="0" borderId="7" xfId="3" applyNumberFormat="1" applyFont="1" applyFill="1" applyBorder="1" applyAlignment="1">
      <alignment vertical="center"/>
    </xf>
    <xf numFmtId="3" fontId="15" fillId="0" borderId="5" xfId="3" applyNumberFormat="1" applyFont="1" applyFill="1" applyBorder="1" applyAlignment="1">
      <alignment horizontal="center" vertical="center"/>
    </xf>
    <xf numFmtId="3" fontId="15" fillId="0" borderId="7" xfId="3" applyNumberFormat="1" applyFont="1" applyFill="1" applyBorder="1" applyAlignment="1">
      <alignment horizontal="center" vertical="center"/>
    </xf>
    <xf numFmtId="3" fontId="15" fillId="0" borderId="7" xfId="3" applyNumberFormat="1" applyFont="1" applyFill="1" applyBorder="1" applyAlignment="1">
      <alignment horizontal="right" vertical="center"/>
    </xf>
    <xf numFmtId="0" fontId="16" fillId="0" borderId="25" xfId="1" applyFont="1" applyFill="1" applyBorder="1" applyAlignment="1">
      <alignment wrapText="1"/>
    </xf>
    <xf numFmtId="0" fontId="16" fillId="0" borderId="25" xfId="1" applyFont="1" applyFill="1" applyBorder="1" applyAlignment="1">
      <alignment horizontal="center" vertical="center"/>
    </xf>
    <xf numFmtId="3" fontId="16" fillId="0" borderId="25" xfId="1" applyNumberFormat="1" applyFont="1" applyFill="1" applyBorder="1" applyAlignment="1">
      <alignment vertical="center"/>
    </xf>
    <xf numFmtId="0" fontId="16" fillId="0" borderId="27" xfId="1" applyFont="1" applyFill="1" applyBorder="1" applyAlignment="1">
      <alignment vertical="center"/>
    </xf>
    <xf numFmtId="0" fontId="15" fillId="0" borderId="28" xfId="1" applyFont="1" applyFill="1" applyBorder="1" applyAlignment="1"/>
    <xf numFmtId="0" fontId="16" fillId="0" borderId="29" xfId="1" applyFont="1" applyFill="1" applyBorder="1" applyAlignment="1"/>
    <xf numFmtId="0" fontId="16" fillId="0" borderId="25" xfId="1" applyFont="1" applyFill="1" applyBorder="1" applyAlignment="1">
      <alignment vertical="center" wrapText="1"/>
    </xf>
    <xf numFmtId="3" fontId="15" fillId="0" borderId="25" xfId="1" applyNumberFormat="1" applyFont="1" applyFill="1" applyBorder="1" applyAlignment="1">
      <alignment horizontal="center" vertical="center"/>
    </xf>
    <xf numFmtId="3" fontId="16" fillId="0" borderId="23" xfId="1" applyNumberFormat="1" applyFont="1" applyFill="1" applyBorder="1" applyAlignment="1">
      <alignment horizontal="right" vertical="center"/>
    </xf>
    <xf numFmtId="0" fontId="16" fillId="0" borderId="0" xfId="1" applyFont="1"/>
    <xf numFmtId="0" fontId="16" fillId="0" borderId="0" xfId="1" applyFont="1" applyAlignment="1">
      <alignment vertical="center"/>
    </xf>
    <xf numFmtId="49" fontId="16" fillId="0" borderId="0" xfId="1" applyNumberFormat="1" applyFont="1" applyAlignment="1">
      <alignment vertical="center"/>
    </xf>
    <xf numFmtId="49" fontId="16" fillId="0" borderId="0" xfId="1" applyNumberFormat="1" applyFont="1" applyFill="1" applyAlignment="1">
      <alignment vertical="center"/>
    </xf>
    <xf numFmtId="0" fontId="16" fillId="0" borderId="0" xfId="1" applyFont="1" applyFill="1" applyAlignment="1">
      <alignment vertical="center"/>
    </xf>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Alignment="1">
      <alignment vertical="center" wrapText="1"/>
    </xf>
    <xf numFmtId="0" fontId="16" fillId="0" borderId="0" xfId="1" applyFont="1" applyFill="1" applyAlignment="1">
      <alignment horizontal="left" vertical="center"/>
    </xf>
    <xf numFmtId="0" fontId="16" fillId="0" borderId="0" xfId="2" applyFont="1" applyFill="1" applyAlignment="1"/>
    <xf numFmtId="3" fontId="16" fillId="0" borderId="0" xfId="2" applyNumberFormat="1" applyFont="1" applyFill="1" applyAlignment="1"/>
    <xf numFmtId="0" fontId="16" fillId="0" borderId="0" xfId="2" applyFont="1" applyFill="1"/>
    <xf numFmtId="0" fontId="7" fillId="0" borderId="0" xfId="2" applyFont="1" applyFill="1" applyAlignment="1">
      <alignment horizontal="center"/>
    </xf>
    <xf numFmtId="3" fontId="7" fillId="0" borderId="0" xfId="2" applyNumberFormat="1" applyFont="1" applyFill="1" applyAlignment="1">
      <alignment horizontal="center"/>
    </xf>
    <xf numFmtId="0" fontId="19" fillId="0" borderId="0" xfId="2" applyFont="1" applyFill="1" applyAlignment="1">
      <alignment horizontal="center"/>
    </xf>
    <xf numFmtId="49" fontId="15" fillId="0" borderId="0" xfId="2" applyNumberFormat="1" applyFont="1" applyFill="1" applyAlignment="1"/>
    <xf numFmtId="0" fontId="16" fillId="0" borderId="6" xfId="2" applyFont="1" applyFill="1" applyBorder="1" applyAlignment="1">
      <alignment horizontal="center" vertical="center" wrapText="1"/>
    </xf>
    <xf numFmtId="3" fontId="16" fillId="0" borderId="6" xfId="2" applyNumberFormat="1" applyFont="1" applyFill="1" applyBorder="1" applyAlignment="1">
      <alignment horizontal="center" vertical="center" wrapText="1"/>
    </xf>
    <xf numFmtId="3" fontId="15" fillId="0" borderId="6" xfId="2" applyNumberFormat="1" applyFont="1" applyFill="1" applyBorder="1" applyAlignment="1">
      <alignment vertical="center" wrapText="1"/>
    </xf>
    <xf numFmtId="0" fontId="16" fillId="0" borderId="6" xfId="2" applyFont="1" applyFill="1" applyBorder="1" applyAlignment="1">
      <alignment horizontal="center" vertical="center"/>
    </xf>
    <xf numFmtId="0" fontId="6" fillId="0" borderId="6" xfId="2" applyFont="1" applyFill="1" applyBorder="1" applyAlignment="1" applyProtection="1">
      <alignment horizontal="center" vertical="center" wrapText="1"/>
      <protection locked="0"/>
    </xf>
    <xf numFmtId="3" fontId="16" fillId="0" borderId="6" xfId="2" applyNumberFormat="1" applyFont="1" applyFill="1" applyBorder="1" applyAlignment="1" applyProtection="1">
      <alignment vertical="center" wrapText="1"/>
      <protection locked="0"/>
    </xf>
    <xf numFmtId="1" fontId="15" fillId="0" borderId="6" xfId="2" applyNumberFormat="1" applyFont="1" applyFill="1" applyBorder="1" applyAlignment="1" applyProtection="1">
      <alignment horizontal="center" vertical="center" wrapText="1"/>
      <protection locked="0"/>
    </xf>
    <xf numFmtId="0" fontId="21" fillId="0" borderId="6" xfId="2" applyFont="1" applyFill="1" applyBorder="1" applyAlignment="1" applyProtection="1">
      <alignment horizontal="left" vertical="center" wrapText="1"/>
      <protection locked="0"/>
    </xf>
    <xf numFmtId="0" fontId="16" fillId="0" borderId="6" xfId="2" applyFont="1" applyFill="1" applyBorder="1" applyAlignment="1">
      <alignment vertical="center"/>
    </xf>
    <xf numFmtId="0" fontId="21" fillId="0" borderId="6" xfId="4" applyFont="1" applyFill="1" applyBorder="1" applyAlignment="1">
      <alignment horizontal="left" vertical="center" wrapText="1"/>
    </xf>
    <xf numFmtId="0" fontId="16" fillId="0" borderId="0" xfId="2" applyFont="1" applyFill="1" applyBorder="1" applyAlignment="1" applyProtection="1">
      <alignment horizontal="right" vertical="top" wrapText="1"/>
      <protection locked="0"/>
    </xf>
    <xf numFmtId="0" fontId="16" fillId="0" borderId="0" xfId="2" applyFont="1" applyFill="1" applyBorder="1" applyAlignment="1" applyProtection="1">
      <alignment horizontal="left" vertical="top" wrapText="1"/>
      <protection locked="0"/>
    </xf>
    <xf numFmtId="0" fontId="16" fillId="0" borderId="0" xfId="2" applyFont="1" applyFill="1" applyBorder="1" applyAlignment="1">
      <alignment wrapText="1"/>
    </xf>
    <xf numFmtId="3" fontId="16" fillId="0" borderId="0" xfId="2" applyNumberFormat="1" applyFont="1" applyFill="1" applyBorder="1" applyAlignment="1">
      <alignment wrapText="1"/>
    </xf>
    <xf numFmtId="0" fontId="16" fillId="0" borderId="0" xfId="2" applyFont="1" applyFill="1" applyBorder="1" applyAlignment="1">
      <alignment horizontal="center" wrapText="1"/>
    </xf>
    <xf numFmtId="0" fontId="6" fillId="0" borderId="0" xfId="2" applyFont="1" applyFill="1" applyBorder="1" applyAlignment="1">
      <alignment wrapText="1"/>
    </xf>
    <xf numFmtId="0" fontId="16" fillId="0" borderId="0" xfId="2" applyFont="1" applyFill="1" applyAlignment="1">
      <alignment horizontal="left"/>
    </xf>
    <xf numFmtId="3" fontId="16" fillId="0" borderId="0" xfId="2" applyNumberFormat="1" applyFont="1" applyFill="1" applyAlignment="1">
      <alignment horizontal="left"/>
    </xf>
    <xf numFmtId="0" fontId="16" fillId="0" borderId="0" xfId="2" applyFont="1" applyFill="1" applyAlignment="1">
      <alignment horizontal="center"/>
    </xf>
    <xf numFmtId="0" fontId="6" fillId="0" borderId="0" xfId="2" applyFont="1" applyFill="1" applyAlignment="1">
      <alignment horizontal="left"/>
    </xf>
    <xf numFmtId="49" fontId="15" fillId="0" borderId="0" xfId="2" applyNumberFormat="1" applyFont="1" applyFill="1" applyAlignment="1">
      <alignment horizontal="left"/>
    </xf>
    <xf numFmtId="0" fontId="15" fillId="0" borderId="0" xfId="2" applyFont="1" applyFill="1" applyAlignment="1">
      <alignment horizontal="left"/>
    </xf>
    <xf numFmtId="3" fontId="15" fillId="0" borderId="0" xfId="2" applyNumberFormat="1" applyFont="1" applyFill="1" applyAlignment="1">
      <alignment horizontal="left"/>
    </xf>
    <xf numFmtId="0" fontId="15" fillId="0" borderId="0" xfId="2" applyFont="1" applyFill="1" applyAlignment="1">
      <alignment horizontal="center"/>
    </xf>
    <xf numFmtId="0" fontId="19" fillId="0" borderId="0" xfId="2" applyFont="1" applyFill="1" applyAlignment="1">
      <alignment horizontal="left"/>
    </xf>
    <xf numFmtId="3" fontId="15" fillId="0" borderId="6" xfId="2" applyNumberFormat="1" applyFont="1" applyFill="1" applyBorder="1" applyAlignment="1">
      <alignment horizontal="center" vertical="center" wrapText="1"/>
    </xf>
    <xf numFmtId="0" fontId="16" fillId="0" borderId="6" xfId="2" applyFont="1" applyFill="1" applyBorder="1" applyAlignment="1" applyProtection="1">
      <alignment horizontal="center" vertical="center" wrapText="1"/>
      <protection locked="0"/>
    </xf>
    <xf numFmtId="3" fontId="16" fillId="0" borderId="6" xfId="2" applyNumberFormat="1" applyFont="1" applyFill="1" applyBorder="1" applyAlignment="1" applyProtection="1">
      <alignment horizontal="center" vertical="center" wrapText="1"/>
      <protection locked="0"/>
    </xf>
    <xf numFmtId="0" fontId="16" fillId="0" borderId="0" xfId="2" applyFont="1" applyFill="1" applyBorder="1" applyAlignment="1" applyProtection="1">
      <alignment wrapText="1"/>
      <protection locked="0"/>
    </xf>
    <xf numFmtId="0" fontId="16" fillId="0" borderId="0" xfId="2" applyFont="1" applyFill="1" applyBorder="1" applyAlignment="1" applyProtection="1">
      <alignment horizontal="left" wrapText="1"/>
      <protection locked="0"/>
    </xf>
    <xf numFmtId="3" fontId="16" fillId="0" borderId="0" xfId="2" applyNumberFormat="1" applyFont="1" applyFill="1" applyBorder="1" applyAlignment="1" applyProtection="1">
      <alignment wrapText="1"/>
      <protection locked="0"/>
    </xf>
    <xf numFmtId="1" fontId="16" fillId="0" borderId="0" xfId="2" applyNumberFormat="1" applyFont="1" applyFill="1" applyBorder="1" applyAlignment="1" applyProtection="1">
      <alignment horizontal="center" wrapText="1"/>
      <protection locked="0"/>
    </xf>
    <xf numFmtId="3" fontId="16" fillId="0" borderId="0" xfId="2" applyNumberFormat="1" applyFont="1" applyFill="1" applyBorder="1" applyAlignment="1" applyProtection="1">
      <alignment horizontal="center" wrapText="1"/>
      <protection locked="0"/>
    </xf>
    <xf numFmtId="3" fontId="6" fillId="0" borderId="0" xfId="2" applyNumberFormat="1" applyFont="1" applyFill="1" applyBorder="1" applyAlignment="1" applyProtection="1">
      <alignment wrapText="1"/>
      <protection locked="0"/>
    </xf>
    <xf numFmtId="0" fontId="22" fillId="0" borderId="6" xfId="4" applyFont="1" applyFill="1" applyBorder="1" applyAlignment="1">
      <alignment horizontal="left" vertical="center" wrapText="1"/>
    </xf>
    <xf numFmtId="3" fontId="23" fillId="0" borderId="6" xfId="2" applyNumberFormat="1" applyFont="1" applyFill="1" applyBorder="1" applyAlignment="1" applyProtection="1">
      <alignment vertical="center" wrapText="1"/>
      <protection locked="0"/>
    </xf>
    <xf numFmtId="1" fontId="15" fillId="0" borderId="6" xfId="2" applyNumberFormat="1" applyFont="1" applyFill="1" applyBorder="1" applyAlignment="1" applyProtection="1">
      <alignment vertical="center" wrapText="1"/>
      <protection locked="0"/>
    </xf>
    <xf numFmtId="3" fontId="21" fillId="0" borderId="0" xfId="2" applyNumberFormat="1" applyFont="1" applyFill="1" applyBorder="1" applyAlignment="1" applyProtection="1">
      <alignment wrapText="1"/>
      <protection locked="0"/>
    </xf>
    <xf numFmtId="1" fontId="16" fillId="0" borderId="0" xfId="2" applyNumberFormat="1" applyFont="1" applyFill="1" applyBorder="1" applyAlignment="1" applyProtection="1">
      <alignment wrapText="1"/>
      <protection locked="0"/>
    </xf>
    <xf numFmtId="0" fontId="15" fillId="0" borderId="6" xfId="2" applyFont="1" applyFill="1" applyBorder="1" applyAlignment="1">
      <alignment horizontal="center" vertical="center"/>
    </xf>
    <xf numFmtId="3" fontId="16" fillId="0" borderId="0" xfId="2" applyNumberFormat="1" applyFont="1" applyFill="1"/>
    <xf numFmtId="0" fontId="16" fillId="0" borderId="6" xfId="2" applyFont="1" applyFill="1" applyBorder="1" applyAlignment="1" applyProtection="1">
      <alignment horizontal="center" vertical="center"/>
      <protection locked="0"/>
    </xf>
    <xf numFmtId="3" fontId="16" fillId="0" borderId="6" xfId="4" applyNumberFormat="1" applyFont="1" applyFill="1" applyBorder="1" applyAlignment="1" applyProtection="1">
      <alignment vertical="center" wrapText="1"/>
      <protection locked="0"/>
    </xf>
    <xf numFmtId="1" fontId="15" fillId="0" borderId="6" xfId="4" applyNumberFormat="1" applyFont="1" applyFill="1" applyBorder="1" applyAlignment="1" applyProtection="1">
      <alignment horizontal="center" vertical="center" wrapText="1"/>
      <protection locked="0"/>
    </xf>
    <xf numFmtId="3" fontId="16" fillId="0" borderId="6" xfId="4" applyNumberFormat="1" applyFont="1" applyFill="1" applyBorder="1" applyAlignment="1" applyProtection="1">
      <alignment horizontal="center" vertical="center" wrapText="1"/>
      <protection locked="0"/>
    </xf>
    <xf numFmtId="3" fontId="23" fillId="0" borderId="6" xfId="4" applyNumberFormat="1" applyFont="1" applyFill="1" applyBorder="1" applyAlignment="1" applyProtection="1">
      <alignment vertical="center" wrapText="1"/>
      <protection locked="0"/>
    </xf>
    <xf numFmtId="3" fontId="15" fillId="0" borderId="6" xfId="5" applyNumberFormat="1" applyFont="1" applyFill="1" applyBorder="1" applyAlignment="1" applyProtection="1">
      <alignment horizontal="center" vertical="center" wrapText="1"/>
      <protection locked="0"/>
    </xf>
    <xf numFmtId="3" fontId="16" fillId="0" borderId="6" xfId="5" applyNumberFormat="1" applyFont="1" applyFill="1" applyBorder="1" applyAlignment="1" applyProtection="1">
      <alignment vertical="center" wrapText="1"/>
      <protection locked="0"/>
    </xf>
    <xf numFmtId="3" fontId="16" fillId="0" borderId="6" xfId="5" applyNumberFormat="1" applyFont="1" applyFill="1" applyBorder="1" applyAlignment="1" applyProtection="1">
      <alignment horizontal="center" vertical="center" wrapText="1"/>
      <protection locked="0"/>
    </xf>
    <xf numFmtId="0" fontId="16" fillId="0" borderId="6" xfId="5" applyFont="1" applyFill="1" applyBorder="1" applyAlignment="1" applyProtection="1">
      <alignment vertical="center" wrapText="1"/>
      <protection locked="0"/>
    </xf>
    <xf numFmtId="0" fontId="22" fillId="0" borderId="6" xfId="0" applyFont="1" applyFill="1" applyBorder="1" applyAlignment="1" applyProtection="1">
      <alignment horizontal="left" vertical="center" wrapText="1"/>
      <protection locked="0"/>
    </xf>
    <xf numFmtId="3" fontId="21" fillId="0" borderId="6" xfId="2" applyNumberFormat="1" applyFont="1" applyFill="1" applyBorder="1" applyAlignment="1" applyProtection="1">
      <alignment vertical="center" wrapText="1"/>
      <protection locked="0"/>
    </xf>
    <xf numFmtId="3" fontId="21" fillId="0" borderId="6" xfId="5" applyNumberFormat="1" applyFont="1" applyFill="1" applyBorder="1" applyAlignment="1" applyProtection="1">
      <alignment vertical="center" wrapText="1"/>
      <protection locked="0"/>
    </xf>
    <xf numFmtId="0" fontId="21" fillId="0" borderId="6" xfId="0" applyFont="1" applyFill="1" applyBorder="1" applyAlignment="1" applyProtection="1">
      <alignment horizontal="left" vertical="center" wrapText="1"/>
      <protection locked="0"/>
    </xf>
    <xf numFmtId="3" fontId="16" fillId="0" borderId="0" xfId="4" applyNumberFormat="1" applyFont="1" applyFill="1" applyBorder="1" applyAlignment="1" applyProtection="1">
      <alignment wrapText="1"/>
      <protection locked="0"/>
    </xf>
    <xf numFmtId="3" fontId="21" fillId="0" borderId="0" xfId="4" applyNumberFormat="1" applyFont="1" applyFill="1" applyBorder="1" applyAlignment="1" applyProtection="1">
      <alignment wrapText="1"/>
      <protection locked="0"/>
    </xf>
    <xf numFmtId="1" fontId="16" fillId="0" borderId="0" xfId="4" applyNumberFormat="1" applyFont="1" applyFill="1" applyBorder="1" applyAlignment="1" applyProtection="1">
      <alignment wrapText="1"/>
      <protection locked="0"/>
    </xf>
    <xf numFmtId="0" fontId="21" fillId="0" borderId="0" xfId="4" applyFont="1" applyFill="1" applyBorder="1" applyAlignment="1" applyProtection="1">
      <alignment horizontal="left" vertical="center" wrapText="1"/>
      <protection locked="0"/>
    </xf>
    <xf numFmtId="49" fontId="15" fillId="0" borderId="39" xfId="2" applyNumberFormat="1" applyFont="1" applyFill="1" applyBorder="1" applyAlignment="1">
      <alignment horizontal="left"/>
    </xf>
    <xf numFmtId="0" fontId="15" fillId="0" borderId="39" xfId="2" applyFont="1" applyFill="1" applyBorder="1" applyAlignment="1">
      <alignment horizontal="left"/>
    </xf>
    <xf numFmtId="3" fontId="15" fillId="0" borderId="39" xfId="2" applyNumberFormat="1" applyFont="1" applyFill="1" applyBorder="1" applyAlignment="1">
      <alignment horizontal="left"/>
    </xf>
    <xf numFmtId="3" fontId="21" fillId="0" borderId="39" xfId="2" applyNumberFormat="1" applyFont="1" applyFill="1" applyBorder="1" applyAlignment="1" applyProtection="1">
      <alignment wrapText="1"/>
      <protection locked="0"/>
    </xf>
    <xf numFmtId="0" fontId="22" fillId="0" borderId="6" xfId="2" applyFont="1" applyFill="1" applyBorder="1" applyAlignment="1" applyProtection="1">
      <alignment horizontal="left" vertical="center" wrapText="1"/>
      <protection locked="0"/>
    </xf>
    <xf numFmtId="3" fontId="23" fillId="0" borderId="6" xfId="4" applyNumberFormat="1" applyFont="1" applyFill="1" applyBorder="1" applyAlignment="1">
      <alignment horizontal="right" vertical="center"/>
    </xf>
    <xf numFmtId="0" fontId="22" fillId="0" borderId="6" xfId="2" applyFont="1" applyFill="1" applyBorder="1" applyAlignment="1">
      <alignment horizontal="left" vertical="center" wrapText="1"/>
    </xf>
    <xf numFmtId="0" fontId="16" fillId="0" borderId="40" xfId="2" applyFont="1" applyFill="1" applyBorder="1" applyAlignment="1" applyProtection="1">
      <alignment horizontal="center" vertical="top" wrapText="1"/>
      <protection locked="0"/>
    </xf>
    <xf numFmtId="0" fontId="16" fillId="0" borderId="40" xfId="2" applyFont="1" applyFill="1" applyBorder="1" applyAlignment="1" applyProtection="1">
      <alignment horizontal="left" vertical="top" wrapText="1"/>
      <protection locked="0"/>
    </xf>
    <xf numFmtId="3" fontId="16" fillId="0" borderId="40" xfId="2" applyNumberFormat="1" applyFont="1" applyFill="1" applyBorder="1" applyAlignment="1" applyProtection="1">
      <alignment wrapText="1"/>
      <protection locked="0"/>
    </xf>
    <xf numFmtId="3" fontId="23" fillId="0" borderId="40" xfId="2" applyNumberFormat="1" applyFont="1" applyFill="1" applyBorder="1" applyAlignment="1" applyProtection="1">
      <alignment wrapText="1"/>
      <protection locked="0"/>
    </xf>
    <xf numFmtId="1" fontId="16" fillId="0" borderId="40" xfId="2" applyNumberFormat="1" applyFont="1" applyFill="1" applyBorder="1" applyAlignment="1" applyProtection="1">
      <alignment wrapText="1"/>
      <protection locked="0"/>
    </xf>
    <xf numFmtId="3" fontId="16" fillId="0" borderId="40" xfId="2" applyNumberFormat="1" applyFont="1" applyFill="1" applyBorder="1" applyAlignment="1" applyProtection="1">
      <alignment horizontal="center" vertical="center" wrapText="1"/>
      <protection locked="0"/>
    </xf>
    <xf numFmtId="0" fontId="21" fillId="0" borderId="40" xfId="2" applyFont="1" applyFill="1" applyBorder="1" applyAlignment="1" applyProtection="1">
      <alignment horizontal="left" vertical="center" wrapText="1"/>
      <protection locked="0"/>
    </xf>
    <xf numFmtId="0" fontId="16" fillId="0" borderId="0" xfId="2" applyFont="1" applyFill="1" applyBorder="1" applyAlignment="1">
      <alignment horizontal="left"/>
    </xf>
    <xf numFmtId="3" fontId="16" fillId="0" borderId="0" xfId="2" applyNumberFormat="1" applyFont="1" applyFill="1" applyBorder="1" applyAlignment="1">
      <alignment horizontal="left"/>
    </xf>
    <xf numFmtId="0" fontId="21" fillId="0" borderId="0" xfId="2" applyFont="1" applyFill="1" applyBorder="1" applyAlignment="1" applyProtection="1">
      <alignment horizontal="left" vertical="center" wrapText="1"/>
      <protection locked="0"/>
    </xf>
    <xf numFmtId="0" fontId="21" fillId="0" borderId="39" xfId="2" applyFont="1" applyFill="1" applyBorder="1" applyAlignment="1" applyProtection="1">
      <alignment horizontal="left" vertical="center" wrapText="1"/>
      <protection locked="0"/>
    </xf>
    <xf numFmtId="0" fontId="16" fillId="0" borderId="40" xfId="2" applyFont="1" applyFill="1" applyBorder="1" applyAlignment="1" applyProtection="1">
      <alignment horizontal="right" vertical="top" wrapText="1"/>
      <protection locked="0"/>
    </xf>
    <xf numFmtId="3" fontId="21" fillId="0" borderId="40" xfId="2" applyNumberFormat="1" applyFont="1" applyFill="1" applyBorder="1" applyAlignment="1" applyProtection="1">
      <alignment wrapText="1"/>
      <protection locked="0"/>
    </xf>
    <xf numFmtId="1" fontId="16" fillId="0" borderId="40" xfId="2" applyNumberFormat="1" applyFont="1" applyFill="1" applyBorder="1" applyAlignment="1" applyProtection="1">
      <alignment horizontal="center" wrapText="1"/>
      <protection locked="0"/>
    </xf>
    <xf numFmtId="1" fontId="6" fillId="0" borderId="40" xfId="2" applyNumberFormat="1" applyFont="1" applyFill="1" applyBorder="1" applyAlignment="1" applyProtection="1">
      <alignment wrapText="1"/>
      <protection locked="0"/>
    </xf>
    <xf numFmtId="0" fontId="16" fillId="0" borderId="0" xfId="2" applyFont="1" applyFill="1" applyBorder="1" applyAlignment="1">
      <alignment horizontal="center"/>
    </xf>
    <xf numFmtId="0" fontId="6" fillId="0" borderId="0" xfId="2" applyFont="1" applyFill="1" applyBorder="1" applyAlignment="1">
      <alignment horizontal="left"/>
    </xf>
    <xf numFmtId="0" fontId="15" fillId="0" borderId="39" xfId="2" applyFont="1" applyFill="1" applyBorder="1" applyAlignment="1">
      <alignment horizontal="center"/>
    </xf>
    <xf numFmtId="0" fontId="19" fillId="0" borderId="39" xfId="2" applyFont="1" applyFill="1" applyBorder="1" applyAlignment="1">
      <alignment horizontal="left"/>
    </xf>
    <xf numFmtId="0" fontId="6" fillId="0" borderId="6" xfId="4" applyFont="1" applyFill="1" applyBorder="1" applyAlignment="1">
      <alignment horizontal="left" vertical="center" wrapText="1"/>
    </xf>
    <xf numFmtId="0" fontId="22" fillId="0" borderId="6" xfId="4" applyFont="1" applyFill="1" applyBorder="1" applyAlignment="1" applyProtection="1">
      <alignment horizontal="left" vertical="center" wrapText="1"/>
      <protection locked="0"/>
    </xf>
    <xf numFmtId="0" fontId="21" fillId="0" borderId="6" xfId="4" applyFont="1" applyFill="1" applyBorder="1" applyAlignment="1" applyProtection="1">
      <alignment horizontal="left" vertical="center" wrapText="1"/>
      <protection locked="0"/>
    </xf>
    <xf numFmtId="3" fontId="23" fillId="0" borderId="6" xfId="2" applyNumberFormat="1" applyFont="1" applyFill="1" applyBorder="1" applyAlignment="1">
      <alignment vertical="center"/>
    </xf>
    <xf numFmtId="0" fontId="16" fillId="0" borderId="40" xfId="4" applyFont="1" applyFill="1" applyBorder="1" applyAlignment="1" applyProtection="1">
      <alignment horizontal="right" vertical="top" wrapText="1"/>
      <protection locked="0"/>
    </xf>
    <xf numFmtId="1" fontId="16" fillId="0" borderId="0" xfId="4" applyNumberFormat="1" applyFont="1" applyFill="1" applyBorder="1" applyAlignment="1" applyProtection="1">
      <alignment horizontal="center" wrapText="1"/>
      <protection locked="0"/>
    </xf>
    <xf numFmtId="1" fontId="6" fillId="0" borderId="0" xfId="2" applyNumberFormat="1" applyFont="1" applyFill="1" applyBorder="1" applyAlignment="1" applyProtection="1">
      <alignment wrapText="1"/>
      <protection locked="0"/>
    </xf>
    <xf numFmtId="3" fontId="16" fillId="0" borderId="6" xfId="2" applyNumberFormat="1" applyFont="1" applyFill="1" applyBorder="1" applyAlignment="1">
      <alignment vertical="center" wrapText="1"/>
    </xf>
    <xf numFmtId="3" fontId="16" fillId="0" borderId="6" xfId="2" applyNumberFormat="1" applyFont="1" applyFill="1" applyBorder="1" applyAlignment="1">
      <alignment vertical="center"/>
    </xf>
    <xf numFmtId="3" fontId="16" fillId="0" borderId="6" xfId="2" applyNumberFormat="1" applyFont="1" applyFill="1" applyBorder="1" applyAlignment="1">
      <alignment horizontal="left" vertical="center" wrapText="1"/>
    </xf>
    <xf numFmtId="3" fontId="21" fillId="0" borderId="6" xfId="2" applyNumberFormat="1" applyFont="1" applyFill="1" applyBorder="1" applyAlignment="1">
      <alignment vertical="center" wrapText="1"/>
    </xf>
    <xf numFmtId="0" fontId="25" fillId="0" borderId="6" xfId="2" applyFont="1" applyFill="1" applyBorder="1" applyAlignment="1" applyProtection="1">
      <alignment horizontal="left" vertical="center" wrapText="1"/>
      <protection locked="0"/>
    </xf>
    <xf numFmtId="3" fontId="15" fillId="0" borderId="0" xfId="2" applyNumberFormat="1" applyFont="1" applyFill="1" applyBorder="1" applyAlignment="1" applyProtection="1">
      <alignment wrapText="1"/>
      <protection locked="0"/>
    </xf>
    <xf numFmtId="1" fontId="15" fillId="0" borderId="0" xfId="2" applyNumberFormat="1" applyFont="1" applyFill="1" applyBorder="1" applyAlignment="1" applyProtection="1">
      <alignment horizontal="center" wrapText="1"/>
      <protection locked="0"/>
    </xf>
    <xf numFmtId="0" fontId="6" fillId="0" borderId="0" xfId="2" applyFont="1" applyFill="1"/>
    <xf numFmtId="3" fontId="21" fillId="0" borderId="6" xfId="2" applyNumberFormat="1" applyFont="1" applyFill="1" applyBorder="1" applyAlignment="1">
      <alignment horizontal="right" vertical="center" wrapText="1"/>
    </xf>
    <xf numFmtId="3" fontId="16" fillId="0" borderId="6" xfId="2" applyNumberFormat="1" applyFont="1" applyFill="1" applyBorder="1" applyAlignment="1">
      <alignment horizontal="right" vertical="center" wrapText="1"/>
    </xf>
    <xf numFmtId="3" fontId="21" fillId="0" borderId="6" xfId="4" applyNumberFormat="1" applyFont="1" applyFill="1" applyBorder="1" applyAlignment="1" applyProtection="1">
      <alignment vertical="center" wrapText="1"/>
      <protection locked="0"/>
    </xf>
    <xf numFmtId="0" fontId="16" fillId="0" borderId="0" xfId="2" applyFont="1" applyFill="1" applyBorder="1" applyAlignment="1" applyProtection="1">
      <alignment horizontal="center" vertical="top"/>
      <protection locked="0"/>
    </xf>
    <xf numFmtId="3" fontId="16" fillId="0" borderId="0" xfId="2" applyNumberFormat="1" applyFont="1" applyFill="1" applyBorder="1"/>
    <xf numFmtId="3" fontId="16" fillId="0" borderId="0" xfId="2" applyNumberFormat="1" applyFont="1" applyFill="1" applyBorder="1" applyAlignment="1" applyProtection="1">
      <alignment horizontal="center" vertical="center" wrapText="1"/>
      <protection locked="0"/>
    </xf>
    <xf numFmtId="0" fontId="21" fillId="0" borderId="40" xfId="4" applyFont="1" applyFill="1" applyBorder="1" applyAlignment="1" applyProtection="1">
      <alignment horizontal="left" vertical="center" wrapText="1"/>
      <protection locked="0"/>
    </xf>
    <xf numFmtId="0" fontId="21" fillId="0" borderId="6" xfId="2" applyFont="1" applyFill="1" applyBorder="1" applyAlignment="1">
      <alignment vertical="center"/>
    </xf>
    <xf numFmtId="3" fontId="24" fillId="0" borderId="6" xfId="4" applyNumberFormat="1" applyFont="1" applyFill="1" applyBorder="1" applyAlignment="1" applyProtection="1">
      <alignment vertical="center" wrapText="1"/>
      <protection locked="0"/>
    </xf>
    <xf numFmtId="0" fontId="24" fillId="0" borderId="6" xfId="2" applyFont="1" applyFill="1" applyBorder="1" applyAlignment="1">
      <alignment vertical="center"/>
    </xf>
    <xf numFmtId="3" fontId="6" fillId="0" borderId="0" xfId="2" applyNumberFormat="1" applyFont="1" applyFill="1"/>
    <xf numFmtId="0" fontId="6" fillId="0" borderId="0" xfId="2" applyFont="1" applyFill="1" applyBorder="1"/>
    <xf numFmtId="4" fontId="6" fillId="0" borderId="0" xfId="2" applyNumberFormat="1" applyFont="1" applyFill="1" applyBorder="1" applyAlignment="1" applyProtection="1">
      <alignment horizontal="center" wrapText="1"/>
      <protection locked="0"/>
    </xf>
    <xf numFmtId="4" fontId="6" fillId="0" borderId="0" xfId="2" applyNumberFormat="1" applyFont="1" applyBorder="1" applyAlignment="1" applyProtection="1">
      <alignment horizontal="center" wrapText="1"/>
      <protection locked="0"/>
    </xf>
    <xf numFmtId="0" fontId="16" fillId="0" borderId="0" xfId="2" applyFont="1"/>
    <xf numFmtId="0" fontId="16" fillId="0" borderId="0" xfId="2" applyFont="1" applyBorder="1"/>
    <xf numFmtId="4" fontId="26" fillId="0" borderId="0" xfId="2" applyNumberFormat="1" applyFont="1" applyBorder="1" applyAlignment="1" applyProtection="1">
      <alignment horizontal="center" wrapText="1"/>
      <protection locked="0"/>
    </xf>
    <xf numFmtId="0" fontId="27" fillId="0" borderId="0" xfId="2" applyFont="1"/>
    <xf numFmtId="0" fontId="15" fillId="0" borderId="0" xfId="2" applyFont="1"/>
    <xf numFmtId="0" fontId="16" fillId="4" borderId="0" xfId="2" applyFont="1" applyFill="1"/>
    <xf numFmtId="0" fontId="16" fillId="4" borderId="0" xfId="2" applyFont="1" applyFill="1" applyBorder="1"/>
    <xf numFmtId="4" fontId="6" fillId="4" borderId="0" xfId="2" applyNumberFormat="1" applyFont="1" applyFill="1" applyBorder="1" applyAlignment="1" applyProtection="1">
      <alignment horizontal="center" wrapText="1"/>
      <protection locked="0"/>
    </xf>
    <xf numFmtId="0" fontId="27" fillId="0" borderId="0" xfId="4" applyFont="1"/>
    <xf numFmtId="0" fontId="16" fillId="0" borderId="0" xfId="4" applyFont="1"/>
    <xf numFmtId="0" fontId="16" fillId="4" borderId="0" xfId="4" applyFont="1" applyFill="1"/>
    <xf numFmtId="0" fontId="15" fillId="0" borderId="0" xfId="4" applyFont="1"/>
    <xf numFmtId="0" fontId="27" fillId="4" borderId="0" xfId="4" applyFont="1" applyFill="1"/>
    <xf numFmtId="0" fontId="16" fillId="0" borderId="0" xfId="2" applyFont="1" applyAlignment="1"/>
    <xf numFmtId="0" fontId="27" fillId="4" borderId="0" xfId="2" applyFont="1" applyFill="1"/>
    <xf numFmtId="0" fontId="20" fillId="0" borderId="0" xfId="2" applyFont="1" applyFill="1" applyAlignment="1"/>
    <xf numFmtId="0" fontId="16" fillId="0" borderId="0" xfId="2" applyFont="1" applyFill="1" applyAlignment="1">
      <alignment horizontal="right"/>
    </xf>
    <xf numFmtId="3" fontId="16" fillId="0" borderId="6" xfId="2" applyNumberFormat="1" applyFont="1" applyFill="1" applyBorder="1" applyAlignment="1" applyProtection="1">
      <alignment horizontal="right" vertical="center" wrapText="1"/>
      <protection locked="0"/>
    </xf>
    <xf numFmtId="3" fontId="15" fillId="0" borderId="6" xfId="2" applyNumberFormat="1" applyFont="1" applyFill="1" applyBorder="1" applyAlignment="1">
      <alignment vertical="center"/>
    </xf>
    <xf numFmtId="1" fontId="15" fillId="0" borderId="6" xfId="2" applyNumberFormat="1" applyFont="1" applyFill="1" applyBorder="1" applyAlignment="1">
      <alignment horizontal="center" vertical="center"/>
    </xf>
    <xf numFmtId="0" fontId="15" fillId="0" borderId="0" xfId="2" applyFont="1" applyFill="1" applyBorder="1" applyAlignment="1">
      <alignment horizontal="right"/>
    </xf>
    <xf numFmtId="3" fontId="15" fillId="0" borderId="0" xfId="2" applyNumberFormat="1" applyFont="1" applyFill="1" applyBorder="1"/>
    <xf numFmtId="1" fontId="15" fillId="0" borderId="0" xfId="2" applyNumberFormat="1" applyFont="1" applyFill="1" applyBorder="1"/>
    <xf numFmtId="1" fontId="15" fillId="0" borderId="0" xfId="2" applyNumberFormat="1" applyFont="1" applyFill="1" applyBorder="1" applyAlignment="1">
      <alignment horizontal="center"/>
    </xf>
    <xf numFmtId="0" fontId="19" fillId="0" borderId="0" xfId="2" applyFont="1" applyFill="1"/>
    <xf numFmtId="0" fontId="26" fillId="0" borderId="0" xfId="2" applyFont="1" applyFill="1"/>
    <xf numFmtId="0" fontId="26" fillId="0" borderId="0" xfId="2" applyFont="1" applyFill="1" applyBorder="1"/>
    <xf numFmtId="4" fontId="26" fillId="0" borderId="0" xfId="2" applyNumberFormat="1" applyFont="1" applyFill="1" applyBorder="1" applyAlignment="1" applyProtection="1">
      <alignment horizontal="center" wrapText="1"/>
      <protection locked="0"/>
    </xf>
    <xf numFmtId="0" fontId="28" fillId="0" borderId="0" xfId="4" applyFont="1" applyFill="1"/>
    <xf numFmtId="0" fontId="16" fillId="0" borderId="0" xfId="2" applyFont="1" applyFill="1" applyBorder="1"/>
    <xf numFmtId="4" fontId="16" fillId="0" borderId="0" xfId="2" applyNumberFormat="1" applyFont="1" applyFill="1" applyBorder="1" applyAlignment="1" applyProtection="1">
      <alignment horizontal="center" wrapText="1"/>
      <protection locked="0"/>
    </xf>
    <xf numFmtId="0" fontId="16" fillId="0" borderId="0" xfId="5" applyFont="1" applyAlignment="1">
      <alignment horizontal="left"/>
    </xf>
    <xf numFmtId="0" fontId="16" fillId="0" borderId="0" xfId="5" applyFont="1"/>
    <xf numFmtId="0" fontId="7" fillId="0" borderId="0" xfId="5" applyFont="1" applyAlignment="1">
      <alignment horizontal="center"/>
    </xf>
    <xf numFmtId="0" fontId="7" fillId="0" borderId="0" xfId="5" applyFont="1" applyAlignment="1">
      <alignment horizontal="center" vertical="center"/>
    </xf>
    <xf numFmtId="0" fontId="16" fillId="0" borderId="0" xfId="5" applyFont="1" applyAlignment="1"/>
    <xf numFmtId="0" fontId="20" fillId="0" borderId="0" xfId="5" applyFont="1" applyAlignment="1"/>
    <xf numFmtId="49" fontId="15" fillId="0" borderId="0" xfId="5" applyNumberFormat="1" applyFont="1" applyAlignment="1"/>
    <xf numFmtId="0" fontId="16" fillId="0" borderId="6" xfId="5" applyFont="1" applyBorder="1" applyAlignment="1">
      <alignment horizontal="center" vertical="center" wrapText="1"/>
    </xf>
    <xf numFmtId="3" fontId="15" fillId="0" borderId="6" xfId="5" applyNumberFormat="1" applyFont="1" applyBorder="1" applyAlignment="1">
      <alignment vertical="center" wrapText="1"/>
    </xf>
    <xf numFmtId="3" fontId="15" fillId="0" borderId="6" xfId="5" applyNumberFormat="1" applyFont="1" applyBorder="1" applyAlignment="1">
      <alignment horizontal="center" vertical="center" wrapText="1"/>
    </xf>
    <xf numFmtId="0" fontId="16" fillId="0" borderId="6" xfId="5" applyFont="1" applyBorder="1" applyAlignment="1" applyProtection="1">
      <alignment vertical="center" wrapText="1"/>
      <protection locked="0"/>
    </xf>
    <xf numFmtId="3" fontId="16" fillId="0" borderId="6" xfId="5" applyNumberFormat="1" applyFont="1" applyFill="1" applyBorder="1" applyAlignment="1">
      <alignment vertical="center" wrapText="1"/>
    </xf>
    <xf numFmtId="3" fontId="15" fillId="0" borderId="6" xfId="5" applyNumberFormat="1" applyFont="1" applyFill="1" applyBorder="1" applyAlignment="1">
      <alignment horizontal="center" vertical="center" wrapText="1"/>
    </xf>
    <xf numFmtId="3" fontId="15" fillId="0" borderId="6" xfId="5" applyNumberFormat="1" applyFont="1" applyFill="1" applyBorder="1" applyAlignment="1">
      <alignment vertical="center" wrapText="1"/>
    </xf>
    <xf numFmtId="0" fontId="16" fillId="0" borderId="6" xfId="5" applyFont="1" applyFill="1" applyBorder="1" applyAlignment="1" applyProtection="1">
      <alignment horizontal="justify" vertical="center" wrapText="1"/>
      <protection locked="0"/>
    </xf>
    <xf numFmtId="0" fontId="16" fillId="0" borderId="6" xfId="5" applyFont="1" applyBorder="1" applyAlignment="1" applyProtection="1">
      <alignment horizontal="center" vertical="center" wrapText="1"/>
      <protection locked="0"/>
    </xf>
    <xf numFmtId="0" fontId="16" fillId="0" borderId="6" xfId="5" applyFont="1" applyBorder="1" applyAlignment="1" applyProtection="1">
      <alignment horizontal="left" vertical="center" wrapText="1"/>
      <protection locked="0"/>
    </xf>
    <xf numFmtId="3" fontId="16" fillId="0" borderId="6" xfId="5" applyNumberFormat="1" applyFont="1" applyBorder="1" applyAlignment="1" applyProtection="1">
      <alignment vertical="center" wrapText="1"/>
      <protection locked="0"/>
    </xf>
    <xf numFmtId="3" fontId="15" fillId="0" borderId="6" xfId="5" applyNumberFormat="1" applyFont="1" applyBorder="1" applyAlignment="1" applyProtection="1">
      <alignment horizontal="center" vertical="center" wrapText="1"/>
      <protection locked="0"/>
    </xf>
    <xf numFmtId="0" fontId="16" fillId="0" borderId="0" xfId="5" applyFont="1" applyBorder="1" applyAlignment="1">
      <alignment wrapText="1"/>
    </xf>
    <xf numFmtId="0" fontId="16" fillId="0" borderId="0" xfId="5" applyFont="1" applyBorder="1" applyAlignment="1">
      <alignment horizontal="center" vertical="center" wrapText="1"/>
    </xf>
    <xf numFmtId="0" fontId="16" fillId="0" borderId="0" xfId="5" applyFont="1" applyAlignment="1">
      <alignment horizontal="center" vertical="center"/>
    </xf>
    <xf numFmtId="0" fontId="29" fillId="0" borderId="0" xfId="5" applyFont="1" applyAlignment="1">
      <alignment wrapText="1"/>
    </xf>
    <xf numFmtId="0" fontId="16" fillId="0" borderId="0" xfId="2" applyFont="1" applyFill="1" applyAlignment="1">
      <alignment horizontal="center" vertical="center"/>
    </xf>
    <xf numFmtId="0" fontId="16" fillId="0" borderId="0" xfId="5" applyFont="1" applyFill="1"/>
    <xf numFmtId="0" fontId="16" fillId="0" borderId="0" xfId="5" applyFont="1" applyFill="1" applyAlignment="1">
      <alignment vertical="center"/>
    </xf>
    <xf numFmtId="0" fontId="16" fillId="0" borderId="0" xfId="5" applyFont="1" applyFill="1" applyAlignment="1">
      <alignment horizontal="center" vertical="center"/>
    </xf>
    <xf numFmtId="0" fontId="16" fillId="0" borderId="0" xfId="5" applyFont="1" applyFill="1" applyAlignment="1">
      <alignment horizontal="left" vertical="top"/>
    </xf>
    <xf numFmtId="0" fontId="16" fillId="0" borderId="0" xfId="5" applyFont="1" applyFill="1" applyAlignment="1">
      <alignment horizontal="center" vertical="center" wrapText="1"/>
    </xf>
    <xf numFmtId="0" fontId="16" fillId="0" borderId="0" xfId="5" applyFont="1" applyFill="1" applyAlignment="1">
      <alignment horizontal="left" vertical="center"/>
    </xf>
    <xf numFmtId="0" fontId="16" fillId="0" borderId="0" xfId="5" applyFont="1" applyProtection="1">
      <protection locked="0"/>
    </xf>
    <xf numFmtId="0" fontId="16" fillId="0" borderId="0" xfId="5" applyFont="1" applyFill="1" applyProtection="1">
      <protection locked="0"/>
    </xf>
    <xf numFmtId="0" fontId="16" fillId="0" borderId="0" xfId="5" applyFont="1" applyFill="1" applyAlignment="1" applyProtection="1">
      <alignment horizontal="center" vertical="center"/>
      <protection locked="0"/>
    </xf>
    <xf numFmtId="0" fontId="16" fillId="0" borderId="0" xfId="5" applyFont="1" applyAlignment="1" applyProtection="1">
      <alignment horizontal="center" vertical="center"/>
      <protection locked="0"/>
    </xf>
    <xf numFmtId="3" fontId="15" fillId="0" borderId="6" xfId="5" applyNumberFormat="1" applyFont="1" applyBorder="1" applyAlignment="1">
      <alignment horizontal="right" vertical="center" wrapText="1"/>
    </xf>
    <xf numFmtId="3" fontId="16" fillId="0" borderId="6" xfId="5" applyNumberFormat="1" applyFont="1" applyBorder="1" applyAlignment="1">
      <alignment horizontal="right" vertical="center" wrapText="1"/>
    </xf>
    <xf numFmtId="0" fontId="16" fillId="0" borderId="6" xfId="5" applyFont="1" applyBorder="1" applyAlignment="1" applyProtection="1">
      <alignment horizontal="justify" vertical="center" wrapText="1"/>
      <protection locked="0"/>
    </xf>
    <xf numFmtId="3" fontId="16" fillId="0" borderId="6" xfId="5" applyNumberFormat="1" applyFont="1" applyBorder="1" applyAlignment="1" applyProtection="1">
      <alignment horizontal="right" vertical="center" wrapText="1"/>
      <protection locked="0"/>
    </xf>
    <xf numFmtId="3" fontId="16" fillId="0" borderId="6" xfId="5" applyNumberFormat="1" applyFont="1" applyBorder="1" applyAlignment="1" applyProtection="1">
      <alignment horizontal="justify" vertical="center" wrapText="1"/>
      <protection locked="0"/>
    </xf>
    <xf numFmtId="3" fontId="16" fillId="0" borderId="6" xfId="5" applyNumberFormat="1" applyFont="1" applyFill="1" applyBorder="1" applyAlignment="1" applyProtection="1">
      <alignment horizontal="right" vertical="center" wrapText="1"/>
      <protection locked="0"/>
    </xf>
    <xf numFmtId="0" fontId="16" fillId="0" borderId="0" xfId="5" applyFont="1" applyAlignment="1">
      <alignment horizontal="center"/>
    </xf>
    <xf numFmtId="0" fontId="30" fillId="0" borderId="0" xfId="5" applyFont="1"/>
    <xf numFmtId="0" fontId="15" fillId="0" borderId="0" xfId="5" applyFont="1"/>
    <xf numFmtId="0" fontId="15" fillId="0" borderId="0" xfId="5" applyFont="1" applyAlignment="1">
      <alignment vertical="center"/>
    </xf>
    <xf numFmtId="0" fontId="16" fillId="0" borderId="0" xfId="5" applyFont="1" applyAlignment="1">
      <alignment vertical="center"/>
    </xf>
    <xf numFmtId="0" fontId="30" fillId="0" borderId="0" xfId="5" applyFont="1" applyFill="1"/>
    <xf numFmtId="0" fontId="15" fillId="0" borderId="0" xfId="5" applyFont="1" applyFill="1"/>
    <xf numFmtId="0" fontId="16" fillId="0" borderId="0" xfId="5" applyFont="1" applyBorder="1"/>
    <xf numFmtId="0" fontId="16" fillId="0" borderId="0" xfId="5" applyFont="1" applyBorder="1" applyAlignment="1"/>
    <xf numFmtId="0" fontId="16" fillId="0" borderId="0" xfId="5" applyFont="1" applyBorder="1" applyAlignment="1" applyProtection="1">
      <alignment horizontal="left" wrapText="1"/>
      <protection locked="0"/>
    </xf>
    <xf numFmtId="0" fontId="16" fillId="0" borderId="0" xfId="5" applyFont="1" applyBorder="1" applyAlignment="1" applyProtection="1">
      <alignment horizontal="center" wrapText="1"/>
      <protection locked="0"/>
    </xf>
    <xf numFmtId="0" fontId="7" fillId="0" borderId="0" xfId="5" applyFont="1" applyAlignment="1"/>
    <xf numFmtId="0" fontId="7" fillId="0" borderId="0" xfId="5" applyFont="1" applyBorder="1" applyAlignment="1">
      <alignment horizontal="center"/>
    </xf>
    <xf numFmtId="0" fontId="16" fillId="0" borderId="39" xfId="5" applyFont="1" applyBorder="1"/>
    <xf numFmtId="0" fontId="15" fillId="0" borderId="6" xfId="5" applyFont="1" applyBorder="1" applyAlignment="1">
      <alignment horizontal="right" vertical="center" wrapText="1"/>
    </xf>
    <xf numFmtId="0" fontId="16" fillId="0" borderId="6" xfId="5" applyFont="1" applyBorder="1" applyAlignment="1" applyProtection="1">
      <alignment horizontal="right" vertical="center" wrapText="1"/>
      <protection locked="0"/>
    </xf>
    <xf numFmtId="3" fontId="16" fillId="0" borderId="6" xfId="5" applyNumberFormat="1" applyFont="1" applyBorder="1" applyAlignment="1" applyProtection="1">
      <alignment horizontal="right" vertical="center"/>
      <protection locked="0"/>
    </xf>
    <xf numFmtId="3" fontId="16" fillId="0" borderId="6" xfId="5" applyNumberFormat="1" applyFont="1" applyBorder="1" applyAlignment="1" applyProtection="1">
      <alignment horizontal="left" vertical="center" wrapText="1"/>
      <protection locked="0"/>
    </xf>
    <xf numFmtId="0" fontId="16" fillId="0" borderId="6" xfId="5" applyFont="1" applyFill="1" applyBorder="1" applyAlignment="1" applyProtection="1">
      <alignment horizontal="left" vertical="center" wrapText="1"/>
      <protection locked="0"/>
    </xf>
    <xf numFmtId="0" fontId="16" fillId="0" borderId="6" xfId="0" applyFont="1" applyFill="1" applyBorder="1" applyAlignment="1" applyProtection="1">
      <alignment vertical="center" wrapText="1"/>
      <protection locked="0"/>
    </xf>
    <xf numFmtId="0" fontId="15" fillId="0" borderId="6" xfId="5" applyFont="1" applyBorder="1" applyAlignment="1" applyProtection="1">
      <alignment horizontal="center" vertical="center" wrapText="1"/>
      <protection locked="0"/>
    </xf>
    <xf numFmtId="3" fontId="16" fillId="0" borderId="6" xfId="5" applyNumberFormat="1" applyFont="1" applyFill="1" applyBorder="1" applyAlignment="1" applyProtection="1">
      <alignment horizontal="right" vertical="center"/>
      <protection locked="0"/>
    </xf>
    <xf numFmtId="0" fontId="16" fillId="0" borderId="0" xfId="5" applyFont="1" applyBorder="1" applyAlignment="1" applyProtection="1">
      <alignment horizontal="center" vertical="center" wrapText="1"/>
      <protection locked="0"/>
    </xf>
    <xf numFmtId="0" fontId="16" fillId="0" borderId="0" xfId="5" applyFont="1" applyBorder="1" applyAlignment="1" applyProtection="1">
      <alignment horizontal="left" vertical="center" wrapText="1"/>
      <protection locked="0"/>
    </xf>
    <xf numFmtId="3" fontId="16" fillId="0" borderId="0" xfId="5" applyNumberFormat="1" applyFont="1" applyBorder="1" applyAlignment="1" applyProtection="1">
      <alignment horizontal="center" vertical="center" wrapText="1"/>
      <protection locked="0"/>
    </xf>
    <xf numFmtId="3" fontId="16" fillId="0" borderId="0" xfId="5" applyNumberFormat="1" applyFont="1" applyBorder="1" applyAlignment="1" applyProtection="1">
      <alignment wrapText="1"/>
      <protection locked="0"/>
    </xf>
    <xf numFmtId="3" fontId="16" fillId="0" borderId="0" xfId="5" applyNumberFormat="1" applyFont="1" applyBorder="1" applyProtection="1">
      <protection locked="0"/>
    </xf>
    <xf numFmtId="3" fontId="16" fillId="0" borderId="0" xfId="5" applyNumberFormat="1" applyFont="1" applyBorder="1" applyAlignment="1" applyProtection="1">
      <alignment horizontal="center" vertical="center"/>
      <protection locked="0"/>
    </xf>
    <xf numFmtId="3" fontId="16" fillId="0" borderId="0" xfId="5" applyNumberFormat="1" applyFont="1" applyFill="1" applyBorder="1" applyAlignment="1" applyProtection="1">
      <alignment horizontal="left" vertical="center" wrapText="1"/>
      <protection locked="0"/>
    </xf>
    <xf numFmtId="0" fontId="16" fillId="0" borderId="6" xfId="5" applyFont="1" applyFill="1" applyBorder="1" applyAlignment="1" applyProtection="1">
      <alignment horizontal="center" vertical="center" wrapText="1"/>
      <protection locked="0"/>
    </xf>
    <xf numFmtId="0" fontId="16" fillId="0" borderId="6" xfId="5" applyFont="1" applyFill="1" applyBorder="1" applyAlignment="1">
      <alignment vertical="center" wrapText="1"/>
    </xf>
    <xf numFmtId="3" fontId="15" fillId="0" borderId="17" xfId="5" applyNumberFormat="1" applyFont="1" applyBorder="1" applyAlignment="1" applyProtection="1">
      <alignment horizontal="center" vertical="center" wrapText="1"/>
      <protection locked="0"/>
    </xf>
    <xf numFmtId="0" fontId="16" fillId="0" borderId="22" xfId="5" applyFont="1" applyBorder="1" applyAlignment="1" applyProtection="1">
      <alignment horizontal="center" vertical="center" wrapText="1"/>
      <protection locked="0"/>
    </xf>
    <xf numFmtId="3" fontId="15" fillId="0" borderId="22" xfId="5" applyNumberFormat="1" applyFont="1" applyBorder="1" applyAlignment="1" applyProtection="1">
      <alignment horizontal="center" vertical="center" wrapText="1"/>
      <protection locked="0"/>
    </xf>
    <xf numFmtId="3" fontId="16" fillId="0" borderId="6" xfId="5" applyNumberFormat="1" applyFont="1" applyBorder="1" applyAlignment="1" applyProtection="1">
      <alignment horizontal="center" vertical="center" wrapText="1"/>
      <protection locked="0"/>
    </xf>
    <xf numFmtId="3" fontId="16" fillId="0" borderId="0" xfId="5" applyNumberFormat="1" applyFont="1" applyBorder="1" applyAlignment="1" applyProtection="1">
      <alignment vertical="center" wrapText="1"/>
      <protection locked="0"/>
    </xf>
    <xf numFmtId="3" fontId="16" fillId="0" borderId="0" xfId="5" applyNumberFormat="1" applyFont="1" applyBorder="1" applyAlignment="1" applyProtection="1">
      <alignment horizontal="left" vertical="center" wrapText="1"/>
      <protection locked="0"/>
    </xf>
    <xf numFmtId="0" fontId="16" fillId="0" borderId="6" xfId="5" applyFont="1" applyBorder="1" applyAlignment="1">
      <alignment vertical="center" wrapText="1"/>
    </xf>
    <xf numFmtId="3" fontId="15" fillId="0" borderId="17" xfId="5" applyNumberFormat="1" applyFont="1" applyFill="1" applyBorder="1" applyAlignment="1" applyProtection="1">
      <alignment vertical="center" wrapText="1"/>
      <protection locked="0"/>
    </xf>
    <xf numFmtId="0" fontId="16" fillId="0" borderId="0" xfId="5" applyFont="1" applyBorder="1" applyAlignment="1">
      <alignment vertical="center"/>
    </xf>
    <xf numFmtId="3" fontId="16" fillId="0" borderId="6" xfId="5" applyNumberFormat="1" applyFont="1" applyBorder="1" applyAlignment="1">
      <alignment vertical="center" wrapText="1"/>
    </xf>
    <xf numFmtId="3" fontId="15" fillId="0" borderId="36" xfId="5" applyNumberFormat="1" applyFont="1" applyFill="1" applyBorder="1" applyAlignment="1" applyProtection="1">
      <alignment vertical="center" wrapText="1"/>
      <protection locked="0"/>
    </xf>
    <xf numFmtId="3" fontId="15" fillId="0" borderId="22" xfId="5" applyNumberFormat="1" applyFont="1" applyFill="1" applyBorder="1" applyAlignment="1" applyProtection="1">
      <alignment vertical="center" wrapText="1"/>
      <protection locked="0"/>
    </xf>
    <xf numFmtId="3" fontId="16" fillId="0" borderId="6" xfId="5" applyNumberFormat="1" applyFont="1" applyBorder="1" applyAlignment="1" applyProtection="1">
      <alignment vertical="center"/>
      <protection locked="0"/>
    </xf>
    <xf numFmtId="3" fontId="16" fillId="0" borderId="6" xfId="5" applyNumberFormat="1" applyFont="1" applyFill="1" applyBorder="1" applyAlignment="1" applyProtection="1">
      <alignment vertical="center"/>
      <protection locked="0"/>
    </xf>
    <xf numFmtId="0" fontId="16" fillId="0" borderId="6" xfId="5" applyFont="1" applyBorder="1" applyAlignment="1" applyProtection="1">
      <alignment horizontal="center" vertical="center"/>
      <protection locked="0"/>
    </xf>
    <xf numFmtId="3" fontId="16" fillId="0" borderId="6" xfId="5" applyNumberFormat="1"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horizontal="center" vertical="center"/>
      <protection locked="0"/>
    </xf>
    <xf numFmtId="0" fontId="16" fillId="0" borderId="0" xfId="5" applyFont="1" applyFill="1" applyBorder="1" applyAlignment="1" applyProtection="1">
      <alignment horizontal="center" vertical="center"/>
      <protection locked="0"/>
    </xf>
    <xf numFmtId="0" fontId="16" fillId="0" borderId="0" xfId="5" applyFont="1" applyFill="1" applyBorder="1" applyAlignment="1" applyProtection="1">
      <alignment horizontal="left" vertical="center" wrapText="1"/>
      <protection locked="0"/>
    </xf>
    <xf numFmtId="0" fontId="16" fillId="0" borderId="0" xfId="5" applyFont="1" applyBorder="1" applyAlignment="1">
      <alignment vertical="center" wrapText="1"/>
    </xf>
    <xf numFmtId="3" fontId="15" fillId="0" borderId="0" xfId="5" applyNumberFormat="1" applyFont="1" applyFill="1" applyBorder="1" applyAlignment="1" applyProtection="1">
      <alignment horizontal="right" vertical="center"/>
      <protection locked="0"/>
    </xf>
    <xf numFmtId="0" fontId="16" fillId="0" borderId="0" xfId="5" applyFont="1" applyFill="1" applyAlignment="1">
      <alignment horizontal="right" vertical="center"/>
    </xf>
    <xf numFmtId="0" fontId="16" fillId="0" borderId="0" xfId="5" applyFont="1" applyBorder="1" applyAlignment="1" applyProtection="1">
      <alignment wrapText="1"/>
      <protection locked="0"/>
    </xf>
    <xf numFmtId="0" fontId="16" fillId="0" borderId="0" xfId="5" applyFont="1" applyBorder="1" applyProtection="1">
      <protection locked="0"/>
    </xf>
    <xf numFmtId="0" fontId="15" fillId="0" borderId="0" xfId="5" applyFont="1" applyFill="1" applyAlignment="1">
      <alignment vertical="center"/>
    </xf>
    <xf numFmtId="0" fontId="16" fillId="0" borderId="0" xfId="5" applyFont="1" applyFill="1" applyAlignment="1" applyProtection="1">
      <alignment horizontal="right" vertical="center"/>
      <protection locked="0"/>
    </xf>
    <xf numFmtId="0" fontId="16" fillId="0" borderId="0" xfId="5" applyFont="1" applyFill="1" applyAlignment="1" applyProtection="1">
      <alignment vertical="center"/>
      <protection locked="0"/>
    </xf>
    <xf numFmtId="0" fontId="16" fillId="0" borderId="0" xfId="2" applyFont="1" applyAlignment="1">
      <alignment vertical="center"/>
    </xf>
    <xf numFmtId="0" fontId="16" fillId="0" borderId="0" xfId="5" applyFont="1" applyFill="1" applyBorder="1" applyAlignment="1" applyProtection="1">
      <alignment vertical="center" wrapText="1"/>
      <protection locked="0"/>
    </xf>
    <xf numFmtId="0" fontId="16" fillId="0" borderId="0" xfId="5" applyFont="1" applyFill="1" applyBorder="1" applyAlignment="1" applyProtection="1">
      <alignment horizontal="left" vertical="center"/>
      <protection locked="0"/>
    </xf>
    <xf numFmtId="0" fontId="16" fillId="0" borderId="0" xfId="5" applyFont="1" applyBorder="1" applyAlignment="1" applyProtection="1">
      <alignment horizontal="left" vertical="center"/>
      <protection locked="0"/>
    </xf>
    <xf numFmtId="0" fontId="16" fillId="0" borderId="0" xfId="5" applyFont="1" applyFill="1" applyBorder="1" applyAlignment="1">
      <alignment horizontal="left" vertical="center" wrapText="1"/>
    </xf>
    <xf numFmtId="0" fontId="29" fillId="0" borderId="0" xfId="5" applyFont="1" applyAlignment="1">
      <alignment horizontal="left" vertical="center" wrapText="1"/>
    </xf>
    <xf numFmtId="0" fontId="16" fillId="0" borderId="0" xfId="5" applyFont="1" applyFill="1" applyBorder="1" applyAlignment="1">
      <alignment horizontal="left" vertical="center"/>
    </xf>
    <xf numFmtId="0" fontId="16" fillId="0" borderId="14" xfId="5" applyFont="1" applyBorder="1" applyAlignment="1">
      <alignment horizontal="center" vertical="center" wrapText="1"/>
    </xf>
    <xf numFmtId="0" fontId="16" fillId="0" borderId="14" xfId="5" applyFont="1" applyBorder="1" applyAlignment="1" applyProtection="1">
      <alignment horizontal="left" vertical="center" wrapText="1"/>
      <protection locked="0"/>
    </xf>
    <xf numFmtId="3" fontId="16" fillId="4" borderId="6" xfId="2" applyNumberFormat="1" applyFont="1" applyFill="1" applyBorder="1" applyAlignment="1" applyProtection="1">
      <alignment horizontal="center" vertical="center" wrapText="1"/>
      <protection locked="0"/>
    </xf>
    <xf numFmtId="0" fontId="16" fillId="0" borderId="6" xfId="5" quotePrefix="1" applyFont="1" applyBorder="1" applyAlignment="1" applyProtection="1">
      <alignment horizontal="left" vertical="center" wrapText="1"/>
      <protection locked="0"/>
    </xf>
    <xf numFmtId="3" fontId="15" fillId="0" borderId="6" xfId="5" applyNumberFormat="1" applyFont="1" applyBorder="1" applyAlignment="1" applyProtection="1">
      <alignment horizontal="center" vertical="center"/>
      <protection locked="0"/>
    </xf>
    <xf numFmtId="0" fontId="16" fillId="0" borderId="6" xfId="5" applyFont="1" applyBorder="1" applyAlignment="1" applyProtection="1">
      <alignment horizontal="left" vertical="center"/>
      <protection locked="0"/>
    </xf>
    <xf numFmtId="3" fontId="16" fillId="0" borderId="0" xfId="5" applyNumberFormat="1" applyFont="1" applyBorder="1" applyAlignment="1">
      <alignment vertical="center" wrapText="1"/>
    </xf>
    <xf numFmtId="3" fontId="16" fillId="0" borderId="0" xfId="5" applyNumberFormat="1" applyFont="1" applyAlignment="1">
      <alignment vertical="center"/>
    </xf>
    <xf numFmtId="0" fontId="16" fillId="0" borderId="0" xfId="2" applyFont="1" applyFill="1" applyAlignment="1">
      <alignment vertical="center"/>
    </xf>
    <xf numFmtId="0" fontId="16" fillId="4" borderId="0" xfId="2" applyFont="1" applyFill="1" applyAlignment="1">
      <alignment horizontal="left" vertical="center"/>
    </xf>
    <xf numFmtId="0" fontId="16" fillId="4" borderId="0" xfId="2" applyFont="1" applyFill="1" applyAlignment="1">
      <alignment vertical="center"/>
    </xf>
    <xf numFmtId="0" fontId="7" fillId="0" borderId="0" xfId="2" applyFont="1" applyAlignment="1">
      <alignment horizontal="center"/>
    </xf>
    <xf numFmtId="0" fontId="15" fillId="0" borderId="0" xfId="2" applyFont="1" applyAlignment="1">
      <alignment horizontal="center"/>
    </xf>
    <xf numFmtId="0" fontId="20" fillId="0" borderId="0" xfId="2" applyFont="1" applyAlignment="1"/>
    <xf numFmtId="49" fontId="15" fillId="0" borderId="0" xfId="2" applyNumberFormat="1" applyFont="1" applyAlignment="1"/>
    <xf numFmtId="0" fontId="16" fillId="0" borderId="0" xfId="2" applyFont="1" applyAlignment="1">
      <alignment horizontal="right"/>
    </xf>
    <xf numFmtId="0" fontId="16" fillId="0" borderId="6" xfId="2" applyFont="1" applyBorder="1" applyAlignment="1">
      <alignment horizontal="center" vertical="center" wrapText="1"/>
    </xf>
    <xf numFmtId="3" fontId="15" fillId="0" borderId="6" xfId="2" applyNumberFormat="1" applyFont="1" applyBorder="1" applyAlignment="1">
      <alignment vertical="center" wrapText="1"/>
    </xf>
    <xf numFmtId="3" fontId="16" fillId="0" borderId="6" xfId="2" applyNumberFormat="1" applyFont="1" applyBorder="1" applyAlignment="1">
      <alignment vertical="center" wrapText="1"/>
    </xf>
    <xf numFmtId="0" fontId="16" fillId="0" borderId="6" xfId="2" applyFont="1" applyBorder="1" applyAlignment="1">
      <alignment horizontal="center" vertical="center"/>
    </xf>
    <xf numFmtId="4" fontId="16" fillId="0" borderId="0" xfId="2" applyNumberFormat="1" applyFont="1"/>
    <xf numFmtId="4" fontId="16" fillId="0" borderId="6" xfId="2" applyNumberFormat="1" applyFont="1" applyFill="1" applyBorder="1" applyAlignment="1" applyProtection="1">
      <alignment vertical="center" wrapText="1"/>
      <protection locked="0"/>
    </xf>
    <xf numFmtId="1" fontId="23" fillId="0" borderId="6" xfId="2" applyNumberFormat="1" applyFont="1" applyFill="1" applyBorder="1" applyAlignment="1" applyProtection="1">
      <alignment horizontal="center" vertical="center" wrapText="1"/>
      <protection locked="0"/>
    </xf>
    <xf numFmtId="3" fontId="24" fillId="0" borderId="6" xfId="2" applyNumberFormat="1" applyFont="1" applyFill="1" applyBorder="1" applyAlignment="1" applyProtection="1">
      <alignment vertical="center" wrapText="1"/>
      <protection locked="0"/>
    </xf>
    <xf numFmtId="1" fontId="32" fillId="0" borderId="6" xfId="2" applyNumberFormat="1" applyFont="1" applyFill="1" applyBorder="1" applyAlignment="1" applyProtection="1">
      <alignment horizontal="center" vertical="center" wrapText="1"/>
      <protection locked="0"/>
    </xf>
    <xf numFmtId="3" fontId="16" fillId="0" borderId="0" xfId="2" applyNumberFormat="1" applyFont="1" applyFill="1" applyBorder="1" applyAlignment="1" applyProtection="1">
      <alignment vertical="center" wrapText="1"/>
      <protection locked="0"/>
    </xf>
    <xf numFmtId="2" fontId="16" fillId="0" borderId="6" xfId="2" applyNumberFormat="1" applyFont="1" applyFill="1" applyBorder="1" applyAlignment="1" applyProtection="1">
      <alignment vertical="center" wrapText="1"/>
      <protection locked="0"/>
    </xf>
    <xf numFmtId="0" fontId="16" fillId="0" borderId="6" xfId="2" applyFont="1" applyBorder="1" applyAlignment="1">
      <alignment vertical="center"/>
    </xf>
    <xf numFmtId="1" fontId="16" fillId="0" borderId="6" xfId="2" applyNumberFormat="1" applyFont="1" applyFill="1" applyBorder="1" applyAlignment="1" applyProtection="1">
      <alignment horizontal="center" vertical="center" wrapText="1"/>
      <protection locked="0"/>
    </xf>
    <xf numFmtId="1" fontId="16" fillId="0" borderId="6" xfId="2" applyNumberFormat="1" applyFont="1" applyFill="1" applyBorder="1" applyAlignment="1" applyProtection="1">
      <alignment vertical="center" wrapText="1"/>
      <protection locked="0"/>
    </xf>
    <xf numFmtId="1" fontId="16" fillId="0" borderId="6" xfId="2" applyNumberFormat="1" applyFont="1" applyBorder="1" applyAlignment="1">
      <alignment vertical="center"/>
    </xf>
    <xf numFmtId="3" fontId="16" fillId="0" borderId="0" xfId="2" applyNumberFormat="1" applyFont="1" applyBorder="1" applyAlignment="1" applyProtection="1">
      <alignment horizontal="center" vertical="center" wrapText="1"/>
      <protection locked="0"/>
    </xf>
    <xf numFmtId="0" fontId="16" fillId="0" borderId="0" xfId="2" applyFont="1" applyBorder="1" applyAlignment="1" applyProtection="1">
      <alignment horizontal="left" vertical="center" wrapText="1"/>
      <protection locked="0"/>
    </xf>
    <xf numFmtId="1" fontId="16" fillId="0" borderId="0" xfId="2" applyNumberFormat="1" applyFont="1" applyFill="1" applyBorder="1" applyAlignment="1" applyProtection="1">
      <alignment vertical="center" wrapText="1"/>
      <protection locked="0"/>
    </xf>
    <xf numFmtId="1" fontId="16" fillId="0" borderId="0" xfId="2" applyNumberFormat="1" applyFont="1" applyBorder="1" applyAlignment="1">
      <alignment vertical="center"/>
    </xf>
    <xf numFmtId="1" fontId="15" fillId="0" borderId="0" xfId="2" applyNumberFormat="1" applyFont="1" applyFill="1" applyBorder="1" applyAlignment="1" applyProtection="1">
      <alignment horizontal="center" vertical="center" wrapText="1"/>
      <protection locked="0"/>
    </xf>
    <xf numFmtId="0" fontId="23" fillId="0" borderId="0" xfId="4" applyFont="1" applyFill="1" applyBorder="1" applyAlignment="1">
      <alignment horizontal="left" vertical="center" wrapText="1"/>
    </xf>
    <xf numFmtId="0" fontId="16" fillId="0" borderId="0" xfId="2" applyFont="1" applyBorder="1" applyAlignment="1">
      <alignment horizontal="left"/>
    </xf>
    <xf numFmtId="0" fontId="16" fillId="0" borderId="0" xfId="2" applyFont="1" applyBorder="1" applyAlignment="1">
      <alignment horizontal="center"/>
    </xf>
    <xf numFmtId="0" fontId="32" fillId="0" borderId="0" xfId="2" applyFont="1" applyBorder="1" applyAlignment="1">
      <alignment horizontal="left"/>
    </xf>
    <xf numFmtId="49" fontId="15" fillId="0" borderId="0" xfId="2" applyNumberFormat="1" applyFont="1" applyFill="1" applyBorder="1" applyAlignment="1">
      <alignment horizontal="left"/>
    </xf>
    <xf numFmtId="0" fontId="15" fillId="0" borderId="0" xfId="2" applyFont="1" applyBorder="1" applyAlignment="1">
      <alignment horizontal="left"/>
    </xf>
    <xf numFmtId="0" fontId="15" fillId="0" borderId="0" xfId="2" applyFont="1" applyBorder="1" applyAlignment="1">
      <alignment horizontal="center"/>
    </xf>
    <xf numFmtId="0" fontId="34" fillId="0" borderId="0" xfId="2" applyFont="1" applyBorder="1" applyAlignment="1">
      <alignment horizontal="left"/>
    </xf>
    <xf numFmtId="3" fontId="16" fillId="0" borderId="6" xfId="2" applyNumberFormat="1" applyFont="1" applyBorder="1" applyAlignment="1">
      <alignment horizontal="center" vertical="center" wrapText="1"/>
    </xf>
    <xf numFmtId="0" fontId="16" fillId="0" borderId="6" xfId="2" applyFont="1" applyBorder="1" applyAlignment="1" applyProtection="1">
      <alignment vertical="center" wrapText="1"/>
      <protection locked="0"/>
    </xf>
    <xf numFmtId="4" fontId="16" fillId="0" borderId="6" xfId="4" applyNumberFormat="1" applyFont="1" applyFill="1" applyBorder="1" applyAlignment="1">
      <alignment vertical="center"/>
    </xf>
    <xf numFmtId="4" fontId="16" fillId="0" borderId="6" xfId="2" applyNumberFormat="1" applyFont="1" applyFill="1" applyBorder="1" applyAlignment="1" applyProtection="1">
      <alignment horizontal="right" vertical="center" wrapText="1"/>
      <protection locked="0"/>
    </xf>
    <xf numFmtId="3" fontId="16" fillId="0" borderId="0" xfId="2" applyNumberFormat="1" applyFont="1" applyBorder="1" applyAlignment="1" applyProtection="1">
      <alignment horizontal="center" vertical="top" wrapText="1"/>
      <protection locked="0"/>
    </xf>
    <xf numFmtId="0" fontId="16" fillId="0" borderId="0" xfId="2" applyFont="1" applyBorder="1" applyAlignment="1" applyProtection="1">
      <alignment wrapText="1"/>
      <protection locked="0"/>
    </xf>
    <xf numFmtId="0" fontId="16" fillId="0" borderId="0" xfId="2" applyFont="1" applyBorder="1" applyAlignment="1" applyProtection="1">
      <alignment horizontal="left" vertical="top" wrapText="1"/>
      <protection locked="0"/>
    </xf>
    <xf numFmtId="0" fontId="16" fillId="0" borderId="0" xfId="2" applyFont="1" applyBorder="1" applyAlignment="1" applyProtection="1">
      <alignment horizontal="left" wrapText="1"/>
      <protection locked="0"/>
    </xf>
    <xf numFmtId="3" fontId="32" fillId="0" borderId="0" xfId="2" applyNumberFormat="1" applyFont="1" applyBorder="1" applyAlignment="1" applyProtection="1">
      <alignment wrapText="1"/>
      <protection locked="0"/>
    </xf>
    <xf numFmtId="4" fontId="16" fillId="0" borderId="6" xfId="4" applyNumberFormat="1" applyFont="1" applyFill="1" applyBorder="1" applyAlignment="1">
      <alignment horizontal="right" vertical="center"/>
    </xf>
    <xf numFmtId="4" fontId="16" fillId="0" borderId="6" xfId="2" applyNumberFormat="1" applyFont="1" applyFill="1" applyBorder="1" applyAlignment="1" applyProtection="1">
      <alignment horizontal="center" vertical="center" wrapText="1"/>
      <protection locked="0"/>
    </xf>
    <xf numFmtId="4" fontId="16" fillId="0" borderId="6" xfId="4" applyNumberFormat="1" applyFont="1" applyFill="1" applyBorder="1" applyAlignment="1" applyProtection="1">
      <alignment vertical="center" wrapText="1"/>
      <protection locked="0"/>
    </xf>
    <xf numFmtId="1" fontId="16" fillId="0" borderId="6" xfId="4" applyNumberFormat="1" applyFont="1" applyBorder="1" applyAlignment="1" applyProtection="1">
      <alignment horizontal="center" vertical="center" wrapText="1"/>
      <protection locked="0"/>
    </xf>
    <xf numFmtId="3" fontId="16" fillId="0" borderId="6" xfId="4" applyNumberFormat="1" applyFont="1" applyBorder="1" applyAlignment="1" applyProtection="1">
      <alignment vertical="center" wrapText="1"/>
      <protection locked="0"/>
    </xf>
    <xf numFmtId="4" fontId="16" fillId="0" borderId="6" xfId="4" applyNumberFormat="1" applyFont="1" applyBorder="1" applyAlignment="1" applyProtection="1">
      <alignment vertical="center" wrapText="1"/>
      <protection locked="0"/>
    </xf>
    <xf numFmtId="3" fontId="16" fillId="0" borderId="6" xfId="4" applyNumberFormat="1" applyFont="1" applyBorder="1" applyAlignment="1" applyProtection="1">
      <alignment horizontal="right" vertical="center" wrapText="1"/>
      <protection locked="0"/>
    </xf>
    <xf numFmtId="0" fontId="16" fillId="0" borderId="6" xfId="2" applyFont="1" applyBorder="1" applyAlignment="1" applyProtection="1">
      <alignment horizontal="center" vertical="center" wrapText="1"/>
      <protection locked="0"/>
    </xf>
    <xf numFmtId="0" fontId="16" fillId="0" borderId="14" xfId="2" applyNumberFormat="1" applyFont="1" applyFill="1" applyBorder="1" applyAlignment="1" applyProtection="1">
      <alignment vertical="center"/>
      <protection locked="0"/>
    </xf>
    <xf numFmtId="0" fontId="16" fillId="0" borderId="15" xfId="2" applyNumberFormat="1" applyFont="1" applyFill="1" applyBorder="1" applyAlignment="1" applyProtection="1">
      <alignment vertical="center"/>
      <protection locked="0"/>
    </xf>
    <xf numFmtId="0" fontId="16" fillId="0" borderId="17" xfId="2" applyFont="1" applyBorder="1" applyAlignment="1" applyProtection="1">
      <alignment horizontal="center" vertical="center" wrapText="1"/>
      <protection locked="0"/>
    </xf>
    <xf numFmtId="0" fontId="16" fillId="0" borderId="0" xfId="4" applyFont="1" applyBorder="1" applyAlignment="1" applyProtection="1">
      <alignment horizontal="right" vertical="top" wrapText="1"/>
      <protection locked="0"/>
    </xf>
    <xf numFmtId="0" fontId="16" fillId="0" borderId="0" xfId="4" applyFont="1" applyBorder="1" applyAlignment="1" applyProtection="1">
      <alignment horizontal="left" vertical="top" wrapText="1"/>
      <protection locked="0"/>
    </xf>
    <xf numFmtId="4" fontId="16" fillId="0" borderId="0" xfId="4" applyNumberFormat="1" applyFont="1" applyBorder="1" applyAlignment="1" applyProtection="1">
      <alignment wrapText="1"/>
      <protection locked="0"/>
    </xf>
    <xf numFmtId="1" fontId="16" fillId="0" borderId="0" xfId="4" applyNumberFormat="1" applyFont="1" applyBorder="1" applyAlignment="1" applyProtection="1">
      <alignment horizontal="center" wrapText="1"/>
      <protection locked="0"/>
    </xf>
    <xf numFmtId="3" fontId="16" fillId="0" borderId="0" xfId="4" applyNumberFormat="1" applyFont="1" applyBorder="1" applyAlignment="1" applyProtection="1">
      <alignment wrapText="1"/>
      <protection locked="0"/>
    </xf>
    <xf numFmtId="0" fontId="21" fillId="0" borderId="0" xfId="4" applyFont="1" applyBorder="1" applyAlignment="1" applyProtection="1">
      <alignment horizontal="left" vertical="center" wrapText="1"/>
      <protection locked="0"/>
    </xf>
    <xf numFmtId="0" fontId="16" fillId="0" borderId="0" xfId="2" applyFont="1" applyBorder="1" applyAlignment="1"/>
    <xf numFmtId="3" fontId="21" fillId="0" borderId="0" xfId="2" applyNumberFormat="1" applyFont="1" applyBorder="1" applyAlignment="1" applyProtection="1">
      <alignment horizontal="center" wrapText="1"/>
      <protection locked="0"/>
    </xf>
    <xf numFmtId="3" fontId="21" fillId="0" borderId="0" xfId="2" applyNumberFormat="1" applyFont="1" applyBorder="1" applyAlignment="1" applyProtection="1">
      <alignment wrapText="1"/>
      <protection locked="0"/>
    </xf>
    <xf numFmtId="3" fontId="16" fillId="0" borderId="6" xfId="2" applyNumberFormat="1" applyFont="1" applyBorder="1" applyAlignment="1" applyProtection="1">
      <alignment vertical="center" wrapText="1"/>
      <protection locked="0"/>
    </xf>
    <xf numFmtId="166" fontId="16" fillId="0" borderId="6" xfId="4" applyNumberFormat="1" applyFont="1" applyFill="1" applyBorder="1" applyAlignment="1">
      <alignment horizontal="right" vertical="center"/>
    </xf>
    <xf numFmtId="1" fontId="16" fillId="0" borderId="6" xfId="2" applyNumberFormat="1" applyFont="1" applyBorder="1" applyAlignment="1" applyProtection="1">
      <alignment horizontal="center" vertical="center" wrapText="1"/>
      <protection locked="0"/>
    </xf>
    <xf numFmtId="3" fontId="16" fillId="0" borderId="0" xfId="2" applyNumberFormat="1" applyFont="1"/>
    <xf numFmtId="0" fontId="16" fillId="0" borderId="0" xfId="2" applyFont="1" applyBorder="1" applyAlignment="1">
      <alignment wrapText="1"/>
    </xf>
    <xf numFmtId="3" fontId="16" fillId="0" borderId="0" xfId="2" applyNumberFormat="1" applyFont="1" applyBorder="1" applyAlignment="1">
      <alignment wrapText="1"/>
    </xf>
    <xf numFmtId="0" fontId="16" fillId="0" borderId="0" xfId="2" applyFont="1" applyBorder="1" applyAlignment="1">
      <alignment horizontal="center" wrapText="1"/>
    </xf>
    <xf numFmtId="3" fontId="16" fillId="0" borderId="0" xfId="2" applyNumberFormat="1" applyFont="1" applyBorder="1" applyAlignment="1">
      <alignment horizontal="center" wrapText="1"/>
    </xf>
    <xf numFmtId="3" fontId="16" fillId="0" borderId="0" xfId="2" applyNumberFormat="1" applyFont="1" applyBorder="1" applyAlignment="1">
      <alignment horizontal="left"/>
    </xf>
    <xf numFmtId="3" fontId="15" fillId="0" borderId="0" xfId="2" applyNumberFormat="1" applyFont="1" applyBorder="1" applyAlignment="1">
      <alignment horizontal="left"/>
    </xf>
    <xf numFmtId="0" fontId="23" fillId="0" borderId="0" xfId="2" applyFont="1" applyBorder="1" applyAlignment="1" applyProtection="1">
      <alignment horizontal="left" vertical="center" wrapText="1"/>
      <protection locked="0"/>
    </xf>
    <xf numFmtId="1" fontId="15" fillId="0" borderId="6" xfId="2" applyNumberFormat="1" applyFont="1" applyBorder="1" applyAlignment="1">
      <alignment vertical="center" wrapText="1"/>
    </xf>
    <xf numFmtId="2" fontId="16" fillId="0" borderId="6" xfId="2" applyNumberFormat="1" applyFont="1" applyBorder="1" applyAlignment="1">
      <alignment horizontal="center" vertical="center" wrapText="1"/>
    </xf>
    <xf numFmtId="3" fontId="16" fillId="0" borderId="6" xfId="2" applyNumberFormat="1" applyFont="1" applyBorder="1" applyAlignment="1" applyProtection="1">
      <alignment horizontal="center" vertical="center" wrapText="1"/>
      <protection locked="0"/>
    </xf>
    <xf numFmtId="49" fontId="15" fillId="0" borderId="6" xfId="2" applyNumberFormat="1" applyFont="1" applyFill="1" applyBorder="1" applyAlignment="1" applyProtection="1">
      <alignment horizontal="center" vertical="center" wrapText="1"/>
      <protection locked="0"/>
    </xf>
    <xf numFmtId="0" fontId="16" fillId="0" borderId="0" xfId="2" applyFont="1" applyBorder="1" applyAlignment="1" applyProtection="1">
      <alignment horizontal="center" vertical="top" wrapText="1"/>
      <protection locked="0"/>
    </xf>
    <xf numFmtId="3" fontId="15" fillId="0" borderId="6" xfId="2" applyNumberFormat="1" applyFont="1" applyBorder="1" applyAlignment="1">
      <alignment horizontal="center" vertical="center" wrapText="1"/>
    </xf>
    <xf numFmtId="167" fontId="16" fillId="0" borderId="6" xfId="4" applyNumberFormat="1" applyFont="1" applyFill="1" applyBorder="1" applyAlignment="1">
      <alignment horizontal="right" vertical="center"/>
    </xf>
    <xf numFmtId="0" fontId="2" fillId="0" borderId="0" xfId="2" applyFont="1"/>
    <xf numFmtId="0" fontId="16" fillId="0" borderId="0" xfId="2" quotePrefix="1" applyFont="1" applyFill="1" applyBorder="1" applyAlignment="1">
      <alignment horizontal="center" vertical="top" wrapText="1"/>
    </xf>
    <xf numFmtId="1" fontId="16" fillId="0" borderId="0" xfId="2" applyNumberFormat="1" applyFont="1" applyBorder="1" applyAlignment="1" applyProtection="1">
      <alignment wrapText="1"/>
      <protection locked="0"/>
    </xf>
    <xf numFmtId="0" fontId="24" fillId="0" borderId="0" xfId="2" applyFont="1" applyAlignment="1">
      <alignment horizontal="center" vertical="center" wrapText="1"/>
    </xf>
    <xf numFmtId="3" fontId="24" fillId="0" borderId="0" xfId="2" applyNumberFormat="1" applyFont="1"/>
    <xf numFmtId="2" fontId="16" fillId="0" borderId="6" xfId="2" applyNumberFormat="1" applyFont="1" applyFill="1" applyBorder="1" applyAlignment="1">
      <alignment vertical="center"/>
    </xf>
    <xf numFmtId="4" fontId="16" fillId="0" borderId="6" xfId="2" applyNumberFormat="1" applyFont="1" applyFill="1" applyBorder="1" applyAlignment="1">
      <alignment vertical="center"/>
    </xf>
    <xf numFmtId="168" fontId="16" fillId="0" borderId="0" xfId="2" applyNumberFormat="1" applyFont="1"/>
    <xf numFmtId="4" fontId="16" fillId="0" borderId="6" xfId="2" applyNumberFormat="1" applyFont="1" applyFill="1" applyBorder="1" applyAlignment="1">
      <alignment vertical="center" wrapText="1"/>
    </xf>
    <xf numFmtId="4" fontId="16" fillId="0" borderId="6" xfId="7" applyNumberFormat="1" applyFont="1" applyFill="1" applyBorder="1" applyAlignment="1" applyProtection="1">
      <alignment vertical="center"/>
    </xf>
    <xf numFmtId="0" fontId="23" fillId="0" borderId="6" xfId="2" applyFont="1" applyBorder="1" applyAlignment="1">
      <alignment horizontal="left" vertical="center"/>
    </xf>
    <xf numFmtId="0" fontId="16" fillId="0" borderId="6" xfId="2" applyFont="1" applyBorder="1" applyAlignment="1">
      <alignment horizontal="left" vertical="center"/>
    </xf>
    <xf numFmtId="4" fontId="16" fillId="0" borderId="6" xfId="4" applyNumberFormat="1" applyFont="1" applyFill="1" applyBorder="1" applyAlignment="1">
      <alignment horizontal="right" vertical="center" wrapText="1"/>
    </xf>
    <xf numFmtId="4" fontId="16" fillId="0" borderId="6" xfId="7" applyNumberFormat="1" applyFont="1" applyFill="1" applyBorder="1" applyAlignment="1" applyProtection="1">
      <alignment horizontal="right" vertical="center"/>
    </xf>
    <xf numFmtId="2" fontId="16" fillId="0" borderId="0" xfId="2" applyNumberFormat="1" applyFont="1"/>
    <xf numFmtId="0" fontId="23" fillId="0" borderId="6" xfId="2" applyFont="1" applyBorder="1" applyAlignment="1">
      <alignment vertical="center"/>
    </xf>
    <xf numFmtId="3" fontId="23" fillId="0" borderId="0" xfId="2" applyNumberFormat="1" applyFont="1" applyFill="1" applyBorder="1" applyAlignment="1" applyProtection="1">
      <alignment wrapText="1"/>
      <protection locked="0"/>
    </xf>
    <xf numFmtId="0" fontId="23" fillId="0" borderId="0" xfId="2" applyFont="1" applyFill="1" applyBorder="1" applyAlignment="1" applyProtection="1">
      <alignment horizontal="left" vertical="center" wrapText="1"/>
      <protection locked="0"/>
    </xf>
    <xf numFmtId="0" fontId="6" fillId="0" borderId="0" xfId="2" applyFont="1" applyFill="1" applyBorder="1" applyAlignment="1">
      <alignment vertical="top" wrapText="1"/>
    </xf>
    <xf numFmtId="0" fontId="16" fillId="0" borderId="0" xfId="2" applyFont="1" applyFill="1" applyBorder="1" applyAlignment="1">
      <alignment vertical="top" wrapText="1"/>
    </xf>
    <xf numFmtId="0" fontId="19" fillId="0" borderId="0" xfId="5" applyFont="1" applyAlignment="1">
      <alignment horizontal="center"/>
    </xf>
    <xf numFmtId="3" fontId="19" fillId="0" borderId="6" xfId="5" applyNumberFormat="1" applyFont="1" applyBorder="1" applyAlignment="1">
      <alignment vertical="center" wrapText="1"/>
    </xf>
    <xf numFmtId="0" fontId="6" fillId="0" borderId="6" xfId="5" applyFont="1" applyBorder="1" applyAlignment="1" applyProtection="1">
      <alignment vertical="center" wrapText="1"/>
      <protection locked="0"/>
    </xf>
    <xf numFmtId="16" fontId="16" fillId="0" borderId="6" xfId="5" applyNumberFormat="1" applyFont="1" applyBorder="1" applyAlignment="1" applyProtection="1">
      <alignment horizontal="center" vertical="center" wrapText="1"/>
      <protection locked="0"/>
    </xf>
    <xf numFmtId="0" fontId="16" fillId="5" borderId="0" xfId="5" applyFont="1" applyFill="1" applyAlignment="1">
      <alignment horizontal="center" vertical="center"/>
    </xf>
    <xf numFmtId="0" fontId="6" fillId="0" borderId="0" xfId="5" applyFont="1" applyBorder="1" applyAlignment="1">
      <alignment vertical="center" wrapText="1"/>
    </xf>
    <xf numFmtId="3" fontId="15" fillId="0" borderId="6" xfId="5" applyNumberFormat="1" applyFont="1" applyBorder="1" applyAlignment="1" applyProtection="1">
      <alignment vertical="center" wrapText="1"/>
      <protection locked="0"/>
    </xf>
    <xf numFmtId="0" fontId="16" fillId="6" borderId="0" xfId="5" applyFont="1" applyFill="1" applyAlignment="1">
      <alignment horizontal="center" vertical="center"/>
    </xf>
    <xf numFmtId="0" fontId="6" fillId="0" borderId="6" xfId="2" applyFont="1" applyFill="1" applyBorder="1" applyAlignment="1">
      <alignment vertical="center" wrapText="1"/>
    </xf>
    <xf numFmtId="0" fontId="6" fillId="0" borderId="6" xfId="5" applyFont="1" applyBorder="1" applyAlignment="1" applyProtection="1">
      <alignment horizontal="left" vertical="center" wrapText="1"/>
      <protection locked="0"/>
    </xf>
    <xf numFmtId="0" fontId="16" fillId="0" borderId="0" xfId="5" applyFont="1" applyBorder="1" applyAlignment="1" applyProtection="1">
      <alignment vertical="center" wrapText="1"/>
      <protection locked="0"/>
    </xf>
    <xf numFmtId="0" fontId="6" fillId="0" borderId="0" xfId="5" applyFont="1" applyAlignment="1">
      <alignment vertical="center"/>
    </xf>
    <xf numFmtId="0" fontId="6" fillId="0" borderId="0" xfId="2" applyFont="1" applyAlignment="1">
      <alignment vertical="center"/>
    </xf>
    <xf numFmtId="0" fontId="16" fillId="0" borderId="0" xfId="2" applyFont="1" applyBorder="1" applyAlignment="1">
      <alignment horizontal="left" vertical="center"/>
    </xf>
    <xf numFmtId="0" fontId="16" fillId="0" borderId="0" xfId="2" applyFont="1" applyAlignment="1">
      <alignment horizontal="center" vertical="center"/>
    </xf>
    <xf numFmtId="0" fontId="16" fillId="0" borderId="0" xfId="2" applyFont="1" applyAlignment="1">
      <alignment vertical="center" wrapText="1"/>
    </xf>
    <xf numFmtId="0" fontId="6" fillId="0" borderId="0" xfId="2" applyFont="1" applyAlignment="1">
      <alignment vertical="center" wrapText="1"/>
    </xf>
    <xf numFmtId="0" fontId="6" fillId="0" borderId="0" xfId="5" applyFont="1"/>
    <xf numFmtId="0" fontId="16" fillId="0" borderId="0" xfId="4" applyFont="1" applyAlignment="1">
      <alignment vertical="center"/>
    </xf>
    <xf numFmtId="0" fontId="7" fillId="0" borderId="0" xfId="4" applyFont="1" applyAlignment="1">
      <alignment horizontal="center" vertical="center"/>
    </xf>
    <xf numFmtId="0" fontId="7" fillId="4" borderId="0" xfId="4" applyFont="1" applyFill="1" applyAlignment="1">
      <alignment horizontal="center" vertical="center"/>
    </xf>
    <xf numFmtId="0" fontId="16" fillId="0" borderId="6" xfId="4" applyFont="1" applyBorder="1" applyAlignment="1">
      <alignment horizontal="center" vertical="center" wrapText="1"/>
    </xf>
    <xf numFmtId="0" fontId="16" fillId="4" borderId="6" xfId="4" applyFont="1" applyFill="1" applyBorder="1" applyAlignment="1">
      <alignment horizontal="center" vertical="center" wrapText="1"/>
    </xf>
    <xf numFmtId="3" fontId="15" fillId="0" borderId="6" xfId="4" applyNumberFormat="1" applyFont="1" applyBorder="1" applyAlignment="1">
      <alignment vertical="center" wrapText="1"/>
    </xf>
    <xf numFmtId="3" fontId="15" fillId="4" borderId="6" xfId="4" applyNumberFormat="1" applyFont="1" applyFill="1" applyBorder="1" applyAlignment="1">
      <alignment vertical="center" wrapText="1"/>
    </xf>
    <xf numFmtId="0" fontId="16" fillId="0" borderId="6" xfId="4" applyFont="1" applyBorder="1" applyAlignment="1" applyProtection="1">
      <alignment vertical="center" wrapText="1"/>
      <protection locked="0"/>
    </xf>
    <xf numFmtId="0" fontId="16" fillId="0" borderId="6" xfId="4" applyFont="1" applyBorder="1" applyAlignment="1" applyProtection="1">
      <alignment horizontal="center" vertical="center" wrapText="1"/>
      <protection locked="0"/>
    </xf>
    <xf numFmtId="0" fontId="16" fillId="0" borderId="14" xfId="4" applyFont="1" applyBorder="1" applyAlignment="1" applyProtection="1">
      <alignment horizontal="left" vertical="center" wrapText="1"/>
      <protection locked="0"/>
    </xf>
    <xf numFmtId="3" fontId="16" fillId="0" borderId="6" xfId="4" applyNumberFormat="1" applyFont="1" applyFill="1" applyBorder="1" applyAlignment="1" applyProtection="1">
      <alignment horizontal="right" vertical="center" wrapText="1"/>
      <protection locked="0"/>
    </xf>
    <xf numFmtId="3" fontId="16" fillId="4" borderId="6" xfId="4" applyNumberFormat="1" applyFont="1" applyFill="1" applyBorder="1" applyAlignment="1" applyProtection="1">
      <alignment horizontal="right" vertical="center" wrapText="1"/>
      <protection locked="0"/>
    </xf>
    <xf numFmtId="3" fontId="15" fillId="0" borderId="6" xfId="4" applyNumberFormat="1" applyFont="1" applyBorder="1" applyAlignment="1" applyProtection="1">
      <alignment horizontal="center" vertical="center" wrapText="1"/>
      <protection locked="0"/>
    </xf>
    <xf numFmtId="0" fontId="16" fillId="4" borderId="6" xfId="4" applyFont="1" applyFill="1" applyBorder="1" applyAlignment="1" applyProtection="1">
      <alignment vertical="center" wrapText="1"/>
      <protection locked="0"/>
    </xf>
    <xf numFmtId="3" fontId="16" fillId="0" borderId="0" xfId="4" applyNumberFormat="1" applyFont="1" applyAlignment="1">
      <alignment vertical="center"/>
    </xf>
    <xf numFmtId="0" fontId="43" fillId="0" borderId="0" xfId="8" applyAlignment="1">
      <alignment vertical="center"/>
    </xf>
    <xf numFmtId="3" fontId="16" fillId="4" borderId="17" xfId="4" applyNumberFormat="1" applyFont="1" applyFill="1" applyBorder="1" applyAlignment="1" applyProtection="1">
      <alignment horizontal="right" vertical="center" wrapText="1"/>
      <protection locked="0"/>
    </xf>
    <xf numFmtId="3" fontId="16" fillId="0" borderId="17" xfId="4" applyNumberFormat="1" applyFont="1" applyFill="1" applyBorder="1" applyAlignment="1" applyProtection="1">
      <alignment horizontal="right" vertical="center" wrapText="1"/>
      <protection locked="0"/>
    </xf>
    <xf numFmtId="3" fontId="16" fillId="0" borderId="17" xfId="4" applyNumberFormat="1" applyFont="1" applyBorder="1" applyAlignment="1" applyProtection="1">
      <alignment horizontal="right" vertical="center" wrapText="1"/>
      <protection locked="0"/>
    </xf>
    <xf numFmtId="3" fontId="15" fillId="0" borderId="17" xfId="4" applyNumberFormat="1" applyFont="1" applyBorder="1" applyAlignment="1" applyProtection="1">
      <alignment horizontal="center" vertical="center" wrapText="1"/>
      <protection locked="0"/>
    </xf>
    <xf numFmtId="3" fontId="15" fillId="4" borderId="17" xfId="4" applyNumberFormat="1" applyFont="1" applyFill="1" applyBorder="1" applyAlignment="1" applyProtection="1">
      <alignment horizontal="center" vertical="center" wrapText="1"/>
      <protection locked="0"/>
    </xf>
    <xf numFmtId="0" fontId="15" fillId="0" borderId="0" xfId="4" applyFont="1" applyAlignment="1">
      <alignment vertical="center"/>
    </xf>
    <xf numFmtId="0" fontId="16" fillId="0" borderId="36" xfId="4" applyFont="1" applyBorder="1" applyAlignment="1" applyProtection="1">
      <alignment horizontal="center" vertical="center" wrapText="1"/>
      <protection locked="0"/>
    </xf>
    <xf numFmtId="0" fontId="16" fillId="0" borderId="37" xfId="4" applyFont="1" applyBorder="1" applyAlignment="1" applyProtection="1">
      <alignment horizontal="left" vertical="center" wrapText="1"/>
      <protection locked="0"/>
    </xf>
    <xf numFmtId="0" fontId="1" fillId="4" borderId="36" xfId="4" applyFill="1" applyBorder="1" applyAlignment="1">
      <alignment horizontal="right" vertical="center" wrapText="1"/>
    </xf>
    <xf numFmtId="0" fontId="16" fillId="4" borderId="37" xfId="8" applyFont="1" applyFill="1" applyBorder="1" applyAlignment="1">
      <alignment horizontal="left" vertical="center" wrapText="1"/>
    </xf>
    <xf numFmtId="0" fontId="16" fillId="0" borderId="17" xfId="4" applyFont="1" applyBorder="1" applyAlignment="1" applyProtection="1">
      <alignment horizontal="center" vertical="center"/>
      <protection locked="0"/>
    </xf>
    <xf numFmtId="0" fontId="16" fillId="0" borderId="18" xfId="4" applyFont="1" applyBorder="1" applyAlignment="1" applyProtection="1">
      <alignment horizontal="left" vertical="center" wrapText="1"/>
      <protection locked="0"/>
    </xf>
    <xf numFmtId="3" fontId="16" fillId="0" borderId="17" xfId="4" applyNumberFormat="1" applyFont="1" applyBorder="1" applyAlignment="1" applyProtection="1">
      <alignment horizontal="right" vertical="center"/>
      <protection locked="0"/>
    </xf>
    <xf numFmtId="3" fontId="16" fillId="0" borderId="17" xfId="4" applyNumberFormat="1" applyFont="1" applyFill="1" applyBorder="1" applyAlignment="1" applyProtection="1">
      <alignment horizontal="right" vertical="center"/>
      <protection locked="0"/>
    </xf>
    <xf numFmtId="3" fontId="16" fillId="4" borderId="17" xfId="4" applyNumberFormat="1" applyFont="1" applyFill="1" applyBorder="1" applyAlignment="1" applyProtection="1">
      <alignment horizontal="right" vertical="center"/>
      <protection locked="0"/>
    </xf>
    <xf numFmtId="0" fontId="16" fillId="4" borderId="17" xfId="4" applyFont="1" applyFill="1" applyBorder="1" applyAlignment="1" applyProtection="1">
      <alignment horizontal="left" vertical="center" wrapText="1"/>
      <protection locked="0"/>
    </xf>
    <xf numFmtId="0" fontId="43" fillId="0" borderId="17" xfId="8" applyBorder="1" applyAlignment="1" applyProtection="1">
      <alignment horizontal="left" vertical="center" wrapText="1"/>
      <protection locked="0"/>
    </xf>
    <xf numFmtId="0" fontId="16" fillId="0" borderId="6" xfId="4" applyFont="1" applyBorder="1" applyAlignment="1" applyProtection="1">
      <alignment horizontal="center" vertical="center"/>
      <protection locked="0"/>
    </xf>
    <xf numFmtId="3" fontId="16" fillId="0" borderId="6" xfId="4" applyNumberFormat="1" applyFont="1" applyBorder="1" applyAlignment="1" applyProtection="1">
      <alignment horizontal="right" vertical="center"/>
      <protection locked="0"/>
    </xf>
    <xf numFmtId="3" fontId="16" fillId="0" borderId="6" xfId="4" applyNumberFormat="1" applyFont="1" applyFill="1" applyBorder="1" applyAlignment="1" applyProtection="1">
      <alignment horizontal="right" vertical="center"/>
      <protection locked="0"/>
    </xf>
    <xf numFmtId="3" fontId="16" fillId="4" borderId="6" xfId="4" applyNumberFormat="1" applyFont="1" applyFill="1" applyBorder="1" applyAlignment="1" applyProtection="1">
      <alignment horizontal="right" vertical="center"/>
      <protection locked="0"/>
    </xf>
    <xf numFmtId="3" fontId="15" fillId="0" borderId="6" xfId="4" applyNumberFormat="1" applyFont="1" applyBorder="1" applyAlignment="1" applyProtection="1">
      <alignment horizontal="center" vertical="center"/>
      <protection locked="0"/>
    </xf>
    <xf numFmtId="0" fontId="16" fillId="4" borderId="6" xfId="4" applyFont="1" applyFill="1" applyBorder="1" applyAlignment="1" applyProtection="1">
      <alignment horizontal="left" vertical="center" wrapText="1"/>
      <protection locked="0"/>
    </xf>
    <xf numFmtId="0" fontId="16" fillId="0" borderId="6" xfId="4" applyFont="1" applyBorder="1" applyAlignment="1" applyProtection="1">
      <alignment horizontal="left" vertical="center" wrapText="1"/>
      <protection locked="0"/>
    </xf>
    <xf numFmtId="3" fontId="16" fillId="0" borderId="6" xfId="4" applyNumberFormat="1"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3" fontId="16" fillId="0" borderId="0" xfId="4" applyNumberFormat="1" applyFont="1" applyBorder="1" applyAlignment="1" applyProtection="1">
      <alignment horizontal="right" vertical="center" wrapText="1"/>
      <protection locked="0"/>
    </xf>
    <xf numFmtId="3" fontId="16" fillId="0" borderId="0" xfId="4" applyNumberFormat="1" applyFont="1" applyFill="1" applyBorder="1" applyAlignment="1" applyProtection="1">
      <alignment horizontal="right" vertical="center" wrapText="1"/>
      <protection locked="0"/>
    </xf>
    <xf numFmtId="3" fontId="16" fillId="4" borderId="0" xfId="4" applyNumberFormat="1" applyFont="1" applyFill="1" applyBorder="1" applyAlignment="1" applyProtection="1">
      <alignment horizontal="right" vertical="center" wrapText="1"/>
      <protection locked="0"/>
    </xf>
    <xf numFmtId="3" fontId="15" fillId="0" borderId="0" xfId="4" applyNumberFormat="1" applyFont="1" applyBorder="1" applyAlignment="1" applyProtection="1">
      <alignment horizontal="right" vertical="center" wrapText="1"/>
      <protection locked="0"/>
    </xf>
    <xf numFmtId="3" fontId="16" fillId="0" borderId="0" xfId="4" applyNumberFormat="1" applyFont="1" applyBorder="1" applyAlignment="1" applyProtection="1">
      <alignment vertical="center" wrapText="1"/>
      <protection locked="0"/>
    </xf>
    <xf numFmtId="0" fontId="16" fillId="0" borderId="0" xfId="4" applyFont="1" applyBorder="1" applyAlignment="1" applyProtection="1">
      <alignment vertical="center" wrapText="1"/>
      <protection locked="0"/>
    </xf>
    <xf numFmtId="0" fontId="16" fillId="0" borderId="0" xfId="4" applyFont="1" applyBorder="1" applyAlignment="1">
      <alignment horizontal="left" vertical="center" wrapText="1"/>
    </xf>
    <xf numFmtId="0" fontId="16" fillId="4" borderId="0" xfId="4" applyFont="1" applyFill="1" applyBorder="1" applyAlignment="1">
      <alignment horizontal="left" vertical="center" wrapText="1"/>
    </xf>
    <xf numFmtId="0" fontId="16" fillId="0" borderId="0" xfId="4" applyFont="1" applyAlignment="1">
      <alignment horizontal="left" vertical="center"/>
    </xf>
    <xf numFmtId="0" fontId="24" fillId="0" borderId="0" xfId="4" applyFont="1" applyBorder="1" applyAlignment="1">
      <alignment horizontal="right" vertical="center"/>
    </xf>
    <xf numFmtId="0" fontId="16" fillId="0" borderId="0" xfId="4" applyFont="1" applyBorder="1" applyAlignment="1">
      <alignment horizontal="center" vertical="center" wrapText="1"/>
    </xf>
    <xf numFmtId="3" fontId="15" fillId="0" borderId="0" xfId="4" applyNumberFormat="1" applyFont="1" applyBorder="1" applyAlignment="1">
      <alignment vertical="center" wrapText="1"/>
    </xf>
    <xf numFmtId="3" fontId="16" fillId="4" borderId="6" xfId="4" applyNumberFormat="1" applyFont="1" applyFill="1" applyBorder="1" applyAlignment="1" applyProtection="1">
      <alignment vertical="center" wrapText="1"/>
      <protection locked="0"/>
    </xf>
    <xf numFmtId="0" fontId="16" fillId="0" borderId="6" xfId="4" applyFont="1" applyBorder="1" applyAlignment="1">
      <alignment horizontal="center" vertical="center"/>
    </xf>
    <xf numFmtId="0" fontId="16" fillId="0" borderId="6" xfId="4" applyFont="1" applyBorder="1" applyAlignment="1">
      <alignment vertical="center"/>
    </xf>
    <xf numFmtId="0" fontId="16" fillId="4" borderId="6" xfId="4" applyFont="1" applyFill="1" applyBorder="1" applyAlignment="1">
      <alignment vertical="center"/>
    </xf>
    <xf numFmtId="3" fontId="45" fillId="0" borderId="6" xfId="8" applyNumberFormat="1" applyFont="1" applyBorder="1" applyAlignment="1" applyProtection="1">
      <alignment vertical="center" wrapText="1"/>
      <protection locked="0"/>
    </xf>
    <xf numFmtId="3" fontId="43" fillId="0" borderId="6" xfId="8" applyNumberFormat="1" applyBorder="1" applyAlignment="1" applyProtection="1">
      <alignment vertical="center" wrapText="1"/>
      <protection locked="0"/>
    </xf>
    <xf numFmtId="0" fontId="43" fillId="0" borderId="6" xfId="8" applyBorder="1" applyAlignment="1">
      <alignment vertical="center" wrapText="1"/>
    </xf>
    <xf numFmtId="0" fontId="16" fillId="4" borderId="0" xfId="4" applyFont="1" applyFill="1" applyAlignment="1">
      <alignment vertical="center"/>
    </xf>
    <xf numFmtId="0" fontId="7" fillId="0" borderId="0" xfId="2" applyFont="1" applyAlignment="1">
      <alignment horizontal="center" vertical="center"/>
    </xf>
    <xf numFmtId="49" fontId="15" fillId="0" borderId="0" xfId="2" applyNumberFormat="1" applyFont="1" applyFill="1" applyAlignment="1">
      <alignment vertical="center"/>
    </xf>
    <xf numFmtId="49" fontId="15" fillId="0" borderId="0" xfId="2" applyNumberFormat="1" applyFont="1" applyAlignment="1">
      <alignment vertical="center"/>
    </xf>
    <xf numFmtId="3" fontId="16" fillId="0" borderId="6" xfId="2" applyNumberFormat="1" applyFont="1" applyBorder="1" applyAlignment="1" applyProtection="1">
      <alignment horizontal="right" vertical="center" wrapText="1"/>
      <protection locked="0"/>
    </xf>
    <xf numFmtId="3" fontId="15" fillId="0" borderId="6" xfId="2" applyNumberFormat="1" applyFont="1" applyBorder="1" applyAlignment="1" applyProtection="1">
      <alignment horizontal="center" vertical="center" wrapText="1"/>
      <protection locked="0"/>
    </xf>
    <xf numFmtId="3" fontId="16" fillId="0" borderId="6" xfId="2" applyNumberFormat="1" applyFont="1" applyBorder="1" applyAlignment="1" applyProtection="1">
      <alignment horizontal="left" vertical="center" wrapText="1"/>
      <protection locked="0"/>
    </xf>
    <xf numFmtId="0" fontId="16" fillId="0" borderId="6" xfId="2" applyFont="1" applyBorder="1" applyAlignment="1" applyProtection="1">
      <alignment horizontal="left" vertical="center" wrapText="1"/>
      <protection locked="0"/>
    </xf>
    <xf numFmtId="0" fontId="16" fillId="0" borderId="6" xfId="2" applyFont="1" applyBorder="1" applyAlignment="1">
      <alignment horizontal="left" vertical="center" wrapText="1"/>
    </xf>
    <xf numFmtId="3" fontId="16" fillId="0" borderId="17" xfId="2" applyNumberFormat="1" applyFont="1" applyBorder="1" applyAlignment="1" applyProtection="1">
      <alignment horizontal="right" vertical="center" wrapText="1"/>
      <protection locked="0"/>
    </xf>
    <xf numFmtId="3" fontId="15" fillId="0" borderId="17" xfId="2" applyNumberFormat="1" applyFont="1" applyBorder="1" applyAlignment="1" applyProtection="1">
      <alignment horizontal="center" vertical="center" wrapText="1"/>
      <protection locked="0"/>
    </xf>
    <xf numFmtId="0" fontId="16" fillId="0" borderId="17" xfId="2" applyFont="1" applyBorder="1" applyAlignment="1">
      <alignment horizontal="left" vertical="center" wrapText="1"/>
    </xf>
    <xf numFmtId="0" fontId="16" fillId="0" borderId="0" xfId="2" applyFont="1" applyBorder="1" applyAlignment="1" applyProtection="1">
      <alignment horizontal="center" vertical="center" wrapText="1"/>
      <protection locked="0"/>
    </xf>
    <xf numFmtId="3" fontId="16" fillId="0" borderId="0" xfId="2" applyNumberFormat="1" applyFont="1" applyBorder="1" applyAlignment="1" applyProtection="1">
      <alignment horizontal="right" vertical="center" wrapText="1"/>
      <protection locked="0"/>
    </xf>
    <xf numFmtId="3" fontId="15" fillId="0" borderId="0" xfId="2" applyNumberFormat="1" applyFont="1" applyBorder="1" applyAlignment="1" applyProtection="1">
      <alignment horizontal="right" vertical="center" wrapText="1"/>
      <protection locked="0"/>
    </xf>
    <xf numFmtId="3" fontId="16" fillId="0" borderId="0" xfId="2" applyNumberFormat="1" applyFont="1" applyBorder="1" applyAlignment="1" applyProtection="1">
      <alignment horizontal="left" vertical="center" wrapText="1"/>
      <protection locked="0"/>
    </xf>
    <xf numFmtId="0" fontId="16" fillId="0" borderId="0" xfId="2" applyFont="1" applyBorder="1" applyAlignment="1">
      <alignment vertical="center" wrapText="1"/>
    </xf>
    <xf numFmtId="3" fontId="16" fillId="0" borderId="0" xfId="2" applyNumberFormat="1" applyFont="1" applyBorder="1" applyAlignment="1">
      <alignment vertical="center" wrapText="1"/>
    </xf>
    <xf numFmtId="0" fontId="16" fillId="0" borderId="17" xfId="2" applyFont="1" applyBorder="1" applyAlignment="1">
      <alignment horizontal="center" vertical="center" wrapText="1"/>
    </xf>
    <xf numFmtId="1" fontId="16" fillId="0" borderId="6" xfId="2" applyNumberFormat="1" applyFont="1" applyBorder="1" applyAlignment="1" applyProtection="1">
      <alignment vertical="center" wrapText="1"/>
      <protection locked="0"/>
    </xf>
    <xf numFmtId="1" fontId="16" fillId="0" borderId="22" xfId="2" applyNumberFormat="1" applyFont="1" applyBorder="1" applyAlignment="1" applyProtection="1">
      <alignment vertical="center" wrapText="1"/>
      <protection locked="0"/>
    </xf>
    <xf numFmtId="0" fontId="16" fillId="0" borderId="0" xfId="2" applyFont="1" applyAlignment="1" applyProtection="1">
      <alignment vertical="center"/>
      <protection locked="0"/>
    </xf>
    <xf numFmtId="0" fontId="20" fillId="0" borderId="0" xfId="5" applyFont="1" applyAlignment="1">
      <alignment vertical="center"/>
    </xf>
    <xf numFmtId="0" fontId="16" fillId="0" borderId="39" xfId="5" applyFont="1" applyBorder="1" applyAlignment="1">
      <alignment horizontal="left" vertical="center"/>
    </xf>
    <xf numFmtId="0" fontId="24" fillId="0" borderId="39" xfId="5" applyFont="1" applyBorder="1" applyAlignment="1">
      <alignment horizontal="right" vertical="center"/>
    </xf>
    <xf numFmtId="0" fontId="16" fillId="0" borderId="0" xfId="5" applyFont="1" applyAlignment="1" applyProtection="1">
      <alignment vertical="center"/>
      <protection locked="0"/>
    </xf>
    <xf numFmtId="0" fontId="16" fillId="0" borderId="0" xfId="9" applyFont="1" applyBorder="1"/>
    <xf numFmtId="0" fontId="16" fillId="0" borderId="0" xfId="9" applyFont="1" applyBorder="1" applyAlignment="1"/>
    <xf numFmtId="0" fontId="16" fillId="0" borderId="0" xfId="9" applyFont="1"/>
    <xf numFmtId="0" fontId="7" fillId="0" borderId="0" xfId="9" applyFont="1" applyAlignment="1"/>
    <xf numFmtId="0" fontId="7" fillId="0" borderId="0" xfId="9" applyFont="1" applyBorder="1" applyAlignment="1">
      <alignment horizontal="center"/>
    </xf>
    <xf numFmtId="0" fontId="16" fillId="0" borderId="39" xfId="9" applyFont="1" applyBorder="1"/>
    <xf numFmtId="0" fontId="16" fillId="0" borderId="17" xfId="9" applyFont="1" applyBorder="1" applyAlignment="1">
      <alignment horizontal="center" vertical="center" wrapText="1"/>
    </xf>
    <xf numFmtId="0" fontId="16" fillId="0" borderId="17" xfId="9" applyFont="1" applyFill="1" applyBorder="1" applyAlignment="1">
      <alignment horizontal="center" vertical="center" wrapText="1"/>
    </xf>
    <xf numFmtId="3" fontId="15" fillId="0" borderId="6" xfId="9" applyNumberFormat="1" applyFont="1" applyBorder="1" applyAlignment="1">
      <alignment wrapText="1"/>
    </xf>
    <xf numFmtId="0" fontId="15" fillId="0" borderId="6" xfId="9" applyFont="1" applyBorder="1" applyAlignment="1">
      <alignment wrapText="1"/>
    </xf>
    <xf numFmtId="0" fontId="15" fillId="0" borderId="6" xfId="9" applyFont="1" applyFill="1" applyBorder="1" applyAlignment="1">
      <alignment wrapText="1"/>
    </xf>
    <xf numFmtId="0" fontId="16" fillId="0" borderId="6" xfId="10" applyFont="1" applyBorder="1" applyAlignment="1">
      <alignment horizontal="center" vertical="center" wrapText="1"/>
    </xf>
    <xf numFmtId="3" fontId="16" fillId="0" borderId="6" xfId="10" applyNumberFormat="1" applyFont="1" applyFill="1" applyBorder="1" applyAlignment="1">
      <alignment horizontal="left" vertical="center" wrapText="1"/>
    </xf>
    <xf numFmtId="3" fontId="16" fillId="0" borderId="6" xfId="10" applyNumberFormat="1" applyFont="1" applyFill="1" applyBorder="1" applyAlignment="1">
      <alignment horizontal="right" vertical="center" wrapText="1"/>
    </xf>
    <xf numFmtId="3" fontId="16" fillId="0" borderId="6" xfId="10" applyNumberFormat="1" applyFont="1" applyFill="1" applyBorder="1" applyAlignment="1">
      <alignment vertical="center" wrapText="1"/>
    </xf>
    <xf numFmtId="0" fontId="16" fillId="0" borderId="6" xfId="9" applyFont="1" applyFill="1" applyBorder="1" applyAlignment="1" applyProtection="1">
      <alignment vertical="center" wrapText="1"/>
      <protection locked="0"/>
    </xf>
    <xf numFmtId="0" fontId="15" fillId="0" borderId="6" xfId="9" applyFont="1" applyBorder="1" applyAlignment="1" applyProtection="1">
      <alignment horizontal="center" vertical="center" wrapText="1"/>
      <protection locked="0"/>
    </xf>
    <xf numFmtId="3" fontId="16" fillId="0" borderId="6" xfId="9" applyNumberFormat="1" applyFont="1" applyBorder="1" applyAlignment="1" applyProtection="1">
      <alignment wrapText="1"/>
      <protection locked="0"/>
    </xf>
    <xf numFmtId="3" fontId="16" fillId="0" borderId="6" xfId="9" applyNumberFormat="1" applyFont="1" applyBorder="1" applyAlignment="1" applyProtection="1">
      <alignment horizontal="center" vertical="center"/>
      <protection locked="0"/>
    </xf>
    <xf numFmtId="0" fontId="16" fillId="0" borderId="6" xfId="9" applyFont="1" applyFill="1" applyBorder="1" applyAlignment="1">
      <alignment vertical="center"/>
    </xf>
    <xf numFmtId="3" fontId="16" fillId="0" borderId="6" xfId="9" applyNumberFormat="1" applyFont="1" applyBorder="1" applyAlignment="1" applyProtection="1">
      <alignment horizontal="center" vertical="center" wrapText="1"/>
      <protection locked="0"/>
    </xf>
    <xf numFmtId="3" fontId="16" fillId="4" borderId="6" xfId="0" applyNumberFormat="1" applyFont="1" applyFill="1" applyBorder="1" applyAlignment="1" applyProtection="1">
      <alignment wrapText="1"/>
      <protection locked="0"/>
    </xf>
    <xf numFmtId="0" fontId="16" fillId="4" borderId="6" xfId="0" applyFont="1" applyFill="1" applyBorder="1" applyAlignment="1">
      <alignment wrapText="1"/>
    </xf>
    <xf numFmtId="3" fontId="16" fillId="0" borderId="6" xfId="9" applyNumberFormat="1" applyFont="1" applyFill="1" applyBorder="1" applyAlignment="1" applyProtection="1">
      <alignment vertical="center"/>
      <protection locked="0"/>
    </xf>
    <xf numFmtId="4" fontId="16" fillId="0" borderId="6" xfId="10" applyNumberFormat="1" applyFont="1" applyFill="1" applyBorder="1" applyAlignment="1">
      <alignment horizontal="right" vertical="center" wrapText="1"/>
    </xf>
    <xf numFmtId="4" fontId="16" fillId="0" borderId="6" xfId="10" applyNumberFormat="1" applyFont="1" applyFill="1" applyBorder="1" applyAlignment="1">
      <alignment vertical="center" wrapText="1"/>
    </xf>
    <xf numFmtId="3" fontId="16" fillId="0" borderId="6" xfId="9" applyNumberFormat="1" applyFont="1" applyBorder="1" applyAlignment="1" applyProtection="1">
      <alignment horizontal="right" vertical="center" wrapText="1"/>
      <protection locked="0"/>
    </xf>
    <xf numFmtId="3" fontId="16" fillId="4" borderId="6" xfId="9" applyNumberFormat="1" applyFont="1" applyFill="1" applyBorder="1" applyProtection="1">
      <protection locked="0"/>
    </xf>
    <xf numFmtId="0" fontId="16" fillId="0" borderId="0" xfId="9" applyFont="1" applyBorder="1" applyAlignment="1" applyProtection="1">
      <alignment horizontal="center"/>
      <protection locked="0"/>
    </xf>
    <xf numFmtId="0" fontId="16" fillId="0" borderId="6" xfId="9" applyFont="1" applyBorder="1" applyAlignment="1">
      <alignment horizontal="center" vertical="center" wrapText="1"/>
    </xf>
    <xf numFmtId="0" fontId="16" fillId="0" borderId="6" xfId="9" applyFont="1" applyFill="1" applyBorder="1" applyAlignment="1">
      <alignment horizontal="center" vertical="center" wrapText="1"/>
    </xf>
    <xf numFmtId="0" fontId="15" fillId="0" borderId="36" xfId="9" applyFont="1" applyBorder="1" applyAlignment="1">
      <alignment wrapText="1"/>
    </xf>
    <xf numFmtId="1" fontId="15" fillId="0" borderId="36" xfId="9" applyNumberFormat="1" applyFont="1" applyBorder="1" applyAlignment="1">
      <alignment wrapText="1"/>
    </xf>
    <xf numFmtId="0" fontId="15" fillId="0" borderId="36" xfId="9" applyFont="1" applyFill="1" applyBorder="1" applyAlignment="1">
      <alignment wrapText="1"/>
    </xf>
    <xf numFmtId="3" fontId="15" fillId="0" borderId="36" xfId="9" applyNumberFormat="1" applyFont="1" applyFill="1" applyBorder="1" applyAlignment="1">
      <alignment wrapText="1"/>
    </xf>
    <xf numFmtId="3" fontId="15" fillId="0" borderId="36" xfId="9" applyNumberFormat="1" applyFont="1" applyBorder="1" applyAlignment="1">
      <alignment wrapText="1"/>
    </xf>
    <xf numFmtId="3" fontId="15" fillId="0" borderId="17" xfId="9" applyNumberFormat="1" applyFont="1" applyBorder="1" applyAlignment="1">
      <alignment wrapText="1"/>
    </xf>
    <xf numFmtId="0" fontId="5" fillId="0" borderId="6" xfId="2" applyFont="1" applyFill="1" applyBorder="1" applyAlignment="1">
      <alignment horizontal="center" vertical="center" wrapText="1"/>
    </xf>
    <xf numFmtId="0" fontId="16" fillId="0" borderId="6" xfId="2" applyFont="1" applyFill="1" applyBorder="1" applyAlignment="1" applyProtection="1">
      <alignment horizontal="left" vertical="center" wrapText="1"/>
    </xf>
    <xf numFmtId="0" fontId="5" fillId="0" borderId="6" xfId="2" applyFont="1" applyFill="1" applyBorder="1" applyAlignment="1">
      <alignment vertical="center" wrapText="1"/>
    </xf>
    <xf numFmtId="1" fontId="5" fillId="0" borderId="6" xfId="2" applyNumberFormat="1" applyFont="1" applyFill="1" applyBorder="1" applyAlignment="1">
      <alignment vertical="center" wrapText="1"/>
    </xf>
    <xf numFmtId="2" fontId="5" fillId="0" borderId="6" xfId="2" applyNumberFormat="1" applyFont="1" applyFill="1" applyBorder="1" applyAlignment="1">
      <alignment vertical="center" wrapText="1"/>
    </xf>
    <xf numFmtId="0" fontId="16" fillId="0" borderId="6" xfId="9" applyFont="1" applyFill="1" applyBorder="1" applyAlignment="1" applyProtection="1">
      <alignment wrapText="1"/>
      <protection locked="0"/>
    </xf>
    <xf numFmtId="0" fontId="16" fillId="0" borderId="6" xfId="2" applyFont="1" applyFill="1" applyBorder="1" applyAlignment="1" applyProtection="1">
      <alignment vertical="center" wrapText="1"/>
    </xf>
    <xf numFmtId="3" fontId="16" fillId="0" borderId="6" xfId="9" applyNumberFormat="1" applyFont="1" applyBorder="1" applyAlignment="1" applyProtection="1">
      <alignment vertical="center" wrapText="1"/>
      <protection locked="0"/>
    </xf>
    <xf numFmtId="3" fontId="16" fillId="4" borderId="6" xfId="0" applyNumberFormat="1" applyFont="1" applyFill="1" applyBorder="1" applyAlignment="1" applyProtection="1">
      <alignment vertical="center" wrapText="1"/>
      <protection locked="0"/>
    </xf>
    <xf numFmtId="3" fontId="16" fillId="4" borderId="6" xfId="0" applyNumberFormat="1" applyFont="1" applyFill="1" applyBorder="1" applyAlignment="1" applyProtection="1">
      <alignment horizontal="left" wrapText="1"/>
      <protection locked="0"/>
    </xf>
    <xf numFmtId="3" fontId="16" fillId="0" borderId="17" xfId="9" applyNumberFormat="1" applyFont="1" applyBorder="1" applyAlignment="1" applyProtection="1">
      <alignment horizontal="center" vertical="center" wrapText="1"/>
      <protection locked="0"/>
    </xf>
    <xf numFmtId="0" fontId="16" fillId="0" borderId="6" xfId="9" applyFont="1" applyFill="1" applyBorder="1" applyAlignment="1" applyProtection="1">
      <alignment horizontal="left" vertical="center"/>
    </xf>
    <xf numFmtId="0" fontId="16" fillId="0" borderId="6" xfId="9" applyFont="1" applyFill="1" applyBorder="1" applyAlignment="1" applyProtection="1">
      <alignment horizontal="left" vertical="center" wrapText="1"/>
    </xf>
    <xf numFmtId="3" fontId="16" fillId="0" borderId="6" xfId="9" applyNumberFormat="1" applyFont="1" applyFill="1" applyBorder="1" applyAlignment="1" applyProtection="1">
      <alignment horizontal="center" vertical="center" wrapText="1"/>
      <protection locked="0"/>
    </xf>
    <xf numFmtId="0" fontId="16" fillId="0" borderId="6" xfId="9" applyFont="1" applyFill="1" applyBorder="1" applyAlignment="1" applyProtection="1">
      <alignment vertical="center" wrapText="1"/>
    </xf>
    <xf numFmtId="3" fontId="5" fillId="0" borderId="6" xfId="2" applyNumberFormat="1" applyFont="1" applyFill="1" applyBorder="1" applyAlignment="1">
      <alignment vertical="center" wrapText="1"/>
    </xf>
    <xf numFmtId="0" fontId="5" fillId="0" borderId="6" xfId="2" applyFont="1" applyFill="1" applyBorder="1" applyAlignment="1">
      <alignment horizontal="right" vertical="center" wrapText="1"/>
    </xf>
    <xf numFmtId="0" fontId="16" fillId="0" borderId="6" xfId="2" applyFont="1" applyFill="1" applyBorder="1" applyAlignment="1">
      <alignment vertical="center" wrapText="1"/>
    </xf>
    <xf numFmtId="0" fontId="16" fillId="0" borderId="6" xfId="9" applyFont="1" applyFill="1" applyBorder="1" applyAlignment="1">
      <alignment vertical="center" wrapText="1"/>
    </xf>
    <xf numFmtId="0" fontId="16" fillId="0" borderId="6" xfId="9" applyFont="1" applyFill="1" applyBorder="1" applyAlignment="1">
      <alignment wrapText="1"/>
    </xf>
    <xf numFmtId="0" fontId="15" fillId="0" borderId="6" xfId="9" applyFont="1" applyBorder="1" applyAlignment="1">
      <alignment horizontal="center" vertical="center" wrapText="1"/>
    </xf>
    <xf numFmtId="3" fontId="16" fillId="0" borderId="6" xfId="9" applyNumberFormat="1" applyFont="1" applyBorder="1" applyAlignment="1">
      <alignment horizontal="right" vertical="center" wrapText="1"/>
    </xf>
    <xf numFmtId="0" fontId="16" fillId="4" borderId="6" xfId="0" applyFont="1" applyFill="1" applyBorder="1" applyAlignment="1">
      <alignment vertical="center" wrapText="1"/>
    </xf>
    <xf numFmtId="0" fontId="16" fillId="0" borderId="0" xfId="2" applyFont="1" applyFill="1" applyBorder="1" applyAlignment="1">
      <alignment horizontal="center" vertical="center" wrapText="1"/>
    </xf>
    <xf numFmtId="0" fontId="16" fillId="0" borderId="0" xfId="2" applyFont="1" applyFill="1" applyBorder="1" applyAlignment="1">
      <alignment vertical="center" wrapText="1"/>
    </xf>
    <xf numFmtId="3" fontId="5" fillId="0" borderId="0" xfId="2" applyNumberFormat="1" applyFont="1" applyFill="1" applyBorder="1" applyAlignment="1">
      <alignment vertical="center" wrapText="1"/>
    </xf>
    <xf numFmtId="3" fontId="16" fillId="0" borderId="0" xfId="2" applyNumberFormat="1" applyFont="1" applyFill="1" applyBorder="1" applyAlignment="1">
      <alignment vertical="center" wrapText="1"/>
    </xf>
    <xf numFmtId="1" fontId="5" fillId="0" borderId="0" xfId="2" applyNumberFormat="1" applyFont="1" applyFill="1" applyBorder="1" applyAlignment="1">
      <alignment vertical="center" wrapText="1"/>
    </xf>
    <xf numFmtId="2" fontId="5" fillId="0" borderId="0" xfId="2" applyNumberFormat="1" applyFont="1" applyFill="1" applyBorder="1" applyAlignment="1">
      <alignment vertical="center" wrapText="1"/>
    </xf>
    <xf numFmtId="0" fontId="16" fillId="0" borderId="0" xfId="9" applyFont="1" applyFill="1" applyBorder="1" applyAlignment="1">
      <alignment vertical="center" wrapText="1"/>
    </xf>
    <xf numFmtId="0" fontId="16" fillId="0" borderId="0" xfId="9" applyFont="1" applyFill="1" applyBorder="1" applyAlignment="1">
      <alignment wrapText="1"/>
    </xf>
    <xf numFmtId="0" fontId="15" fillId="0" borderId="0" xfId="9" applyFont="1" applyBorder="1" applyAlignment="1">
      <alignment horizontal="center" vertical="center" wrapText="1"/>
    </xf>
    <xf numFmtId="0" fontId="16" fillId="0" borderId="0" xfId="9" applyFont="1" applyBorder="1" applyAlignment="1">
      <alignment wrapText="1"/>
    </xf>
    <xf numFmtId="0" fontId="16" fillId="0" borderId="0" xfId="9" applyFont="1" applyProtection="1">
      <protection locked="0"/>
    </xf>
    <xf numFmtId="0" fontId="16" fillId="0" borderId="0" xfId="9" applyFont="1" applyFill="1" applyBorder="1" applyAlignment="1" applyProtection="1">
      <alignment horizontal="left" vertical="center" wrapText="1"/>
    </xf>
    <xf numFmtId="0" fontId="5" fillId="0" borderId="0" xfId="2" applyFont="1" applyBorder="1" applyAlignment="1">
      <alignment vertical="center" wrapText="1"/>
    </xf>
    <xf numFmtId="0" fontId="5" fillId="0" borderId="0" xfId="2" applyFont="1" applyFill="1" applyBorder="1" applyAlignment="1">
      <alignment vertical="center" wrapText="1"/>
    </xf>
    <xf numFmtId="4" fontId="16" fillId="0" borderId="0" xfId="2" applyNumberFormat="1" applyFont="1" applyFill="1" applyBorder="1" applyAlignment="1">
      <alignment vertical="center" wrapText="1"/>
    </xf>
    <xf numFmtId="0" fontId="7" fillId="0" borderId="0" xfId="5" applyFont="1" applyAlignment="1">
      <alignment horizontal="right" vertical="center"/>
    </xf>
    <xf numFmtId="0" fontId="7" fillId="0" borderId="0" xfId="5" applyFont="1" applyAlignment="1">
      <alignment horizontal="left" vertical="top"/>
    </xf>
    <xf numFmtId="3" fontId="15" fillId="0" borderId="6" xfId="5" applyNumberFormat="1" applyFont="1" applyFill="1" applyBorder="1" applyAlignment="1">
      <alignment horizontal="right" vertical="center" wrapText="1"/>
    </xf>
    <xf numFmtId="3" fontId="15" fillId="0" borderId="6" xfId="5" applyNumberFormat="1" applyFont="1" applyFill="1" applyBorder="1" applyAlignment="1">
      <alignment wrapText="1"/>
    </xf>
    <xf numFmtId="0" fontId="16" fillId="0" borderId="6" xfId="5" applyFont="1" applyBorder="1" applyAlignment="1" applyProtection="1">
      <alignment horizontal="left" vertical="top" wrapText="1"/>
      <protection locked="0"/>
    </xf>
    <xf numFmtId="0" fontId="15" fillId="0" borderId="6" xfId="5" applyFont="1" applyFill="1" applyBorder="1" applyAlignment="1" applyProtection="1">
      <alignment horizontal="center" vertical="center" wrapText="1"/>
      <protection locked="0"/>
    </xf>
    <xf numFmtId="0" fontId="15" fillId="0" borderId="14" xfId="5" applyFont="1" applyFill="1" applyBorder="1" applyAlignment="1" applyProtection="1">
      <alignment horizontal="center" vertical="center" wrapText="1"/>
      <protection locked="0"/>
    </xf>
    <xf numFmtId="3" fontId="15" fillId="0" borderId="6" xfId="5" applyNumberFormat="1" applyFont="1" applyFill="1" applyBorder="1" applyAlignment="1" applyProtection="1">
      <alignment horizontal="right" vertical="center" wrapText="1"/>
      <protection locked="0"/>
    </xf>
    <xf numFmtId="3" fontId="15" fillId="0" borderId="6" xfId="5" applyNumberFormat="1" applyFont="1" applyFill="1" applyBorder="1" applyAlignment="1" applyProtection="1">
      <alignment wrapText="1"/>
      <protection locked="0"/>
    </xf>
    <xf numFmtId="3" fontId="16" fillId="0" borderId="0" xfId="5" applyNumberFormat="1" applyFont="1"/>
    <xf numFmtId="3" fontId="16" fillId="0" borderId="6" xfId="5" applyNumberFormat="1" applyFont="1" applyBorder="1" applyAlignment="1" applyProtection="1">
      <alignment wrapText="1"/>
      <protection locked="0"/>
    </xf>
    <xf numFmtId="0" fontId="18" fillId="0" borderId="6" xfId="5" applyFont="1" applyBorder="1" applyAlignment="1" applyProtection="1">
      <alignment vertical="top" wrapText="1"/>
      <protection locked="0"/>
    </xf>
    <xf numFmtId="0" fontId="47" fillId="0" borderId="6" xfId="5" applyFont="1" applyBorder="1" applyAlignment="1" applyProtection="1">
      <alignment horizontal="left" vertical="top" wrapText="1"/>
      <protection locked="0"/>
    </xf>
    <xf numFmtId="0" fontId="5" fillId="0" borderId="14" xfId="5" applyFont="1" applyBorder="1" applyAlignment="1" applyProtection="1">
      <alignment vertical="center" wrapText="1"/>
      <protection locked="0"/>
    </xf>
    <xf numFmtId="0" fontId="48" fillId="0" borderId="6" xfId="5" applyFont="1" applyBorder="1" applyAlignment="1" applyProtection="1">
      <alignment horizontal="left" vertical="top" wrapText="1"/>
      <protection locked="0"/>
    </xf>
    <xf numFmtId="0" fontId="16" fillId="0" borderId="6" xfId="5" applyFont="1" applyBorder="1" applyAlignment="1" applyProtection="1">
      <alignment horizontal="left" vertical="top"/>
      <protection locked="0"/>
    </xf>
    <xf numFmtId="0" fontId="16" fillId="0" borderId="14" xfId="5" applyFont="1" applyBorder="1" applyAlignment="1" applyProtection="1">
      <alignment vertical="center" wrapText="1"/>
      <protection locked="0"/>
    </xf>
    <xf numFmtId="0" fontId="16" fillId="0" borderId="17" xfId="5" applyFont="1" applyBorder="1" applyAlignment="1" applyProtection="1">
      <alignment horizontal="center" vertical="center"/>
      <protection locked="0"/>
    </xf>
    <xf numFmtId="0" fontId="16" fillId="0" borderId="18" xfId="5" applyFont="1" applyBorder="1" applyAlignment="1" applyProtection="1">
      <alignment vertical="center" wrapText="1"/>
      <protection locked="0"/>
    </xf>
    <xf numFmtId="3" fontId="16" fillId="0" borderId="15" xfId="5" applyNumberFormat="1" applyFont="1" applyBorder="1" applyAlignment="1" applyProtection="1">
      <alignment horizontal="right" vertical="center"/>
      <protection locked="0"/>
    </xf>
    <xf numFmtId="3" fontId="16" fillId="0" borderId="36" xfId="5" applyNumberFormat="1" applyFont="1" applyBorder="1" applyAlignment="1" applyProtection="1">
      <alignment vertical="center" wrapText="1"/>
      <protection locked="0"/>
    </xf>
    <xf numFmtId="3" fontId="16" fillId="0" borderId="15" xfId="5" applyNumberFormat="1" applyFont="1" applyFill="1" applyBorder="1" applyAlignment="1" applyProtection="1">
      <alignment horizontal="right" vertical="center"/>
      <protection locked="0"/>
    </xf>
    <xf numFmtId="0" fontId="18" fillId="0" borderId="6" xfId="5" applyFont="1" applyBorder="1" applyAlignment="1" applyProtection="1">
      <alignment horizontal="left" vertical="top" wrapText="1"/>
      <protection locked="0"/>
    </xf>
    <xf numFmtId="3" fontId="16" fillId="0" borderId="22" xfId="5" applyNumberFormat="1" applyFont="1" applyBorder="1" applyAlignment="1" applyProtection="1">
      <alignment vertical="center" wrapText="1"/>
      <protection locked="0"/>
    </xf>
    <xf numFmtId="3" fontId="16" fillId="0" borderId="22" xfId="5" applyNumberFormat="1" applyFont="1" applyBorder="1" applyAlignment="1" applyProtection="1">
      <alignment horizontal="center" vertical="center" wrapText="1"/>
      <protection locked="0"/>
    </xf>
    <xf numFmtId="3" fontId="16" fillId="0" borderId="17" xfId="5" applyNumberFormat="1" applyFont="1" applyBorder="1" applyAlignment="1" applyProtection="1">
      <alignment horizontal="right" vertical="center"/>
      <protection locked="0"/>
    </xf>
    <xf numFmtId="0" fontId="16" fillId="0" borderId="36" xfId="5" applyFont="1" applyBorder="1" applyAlignment="1" applyProtection="1">
      <alignment horizontal="center" vertical="center"/>
      <protection locked="0"/>
    </xf>
    <xf numFmtId="0" fontId="15" fillId="0" borderId="6" xfId="5" applyFont="1" applyFill="1" applyBorder="1" applyAlignment="1" applyProtection="1">
      <alignment horizontal="center" vertical="center"/>
      <protection locked="0"/>
    </xf>
    <xf numFmtId="3" fontId="15" fillId="0" borderId="6" xfId="5" applyNumberFormat="1" applyFont="1" applyFill="1" applyBorder="1" applyAlignment="1" applyProtection="1">
      <alignment horizontal="right" vertical="center"/>
      <protection locked="0"/>
    </xf>
    <xf numFmtId="3" fontId="15" fillId="0" borderId="6" xfId="5" applyNumberFormat="1" applyFont="1" applyFill="1" applyBorder="1" applyAlignment="1" applyProtection="1">
      <alignment vertical="center" wrapText="1"/>
      <protection locked="0"/>
    </xf>
    <xf numFmtId="3" fontId="16" fillId="0" borderId="6" xfId="5" applyNumberFormat="1" applyFont="1" applyBorder="1" applyAlignment="1" applyProtection="1">
      <alignment horizontal="left" vertical="top" wrapText="1"/>
      <protection locked="0"/>
    </xf>
    <xf numFmtId="0" fontId="16" fillId="0" borderId="15" xfId="5" applyFont="1" applyBorder="1" applyAlignment="1" applyProtection="1">
      <alignment horizontal="right" vertical="center" wrapText="1"/>
      <protection locked="0"/>
    </xf>
    <xf numFmtId="3" fontId="16" fillId="0" borderId="6" xfId="5" applyNumberFormat="1" applyFont="1" applyBorder="1" applyAlignment="1" applyProtection="1">
      <alignment horizontal="left"/>
      <protection locked="0"/>
    </xf>
    <xf numFmtId="0" fontId="16" fillId="0" borderId="17" xfId="5" applyFont="1" applyBorder="1" applyAlignment="1" applyProtection="1">
      <alignment horizontal="right" vertical="center" wrapText="1"/>
      <protection locked="0"/>
    </xf>
    <xf numFmtId="0" fontId="16" fillId="0" borderId="34" xfId="5" applyFont="1" applyBorder="1" applyAlignment="1" applyProtection="1">
      <alignment horizontal="right" vertical="center" wrapText="1"/>
      <protection locked="0"/>
    </xf>
    <xf numFmtId="0" fontId="16" fillId="0" borderId="22" xfId="5" applyFont="1" applyBorder="1" applyAlignment="1" applyProtection="1">
      <alignment horizontal="right" vertical="center" wrapText="1"/>
      <protection locked="0"/>
    </xf>
    <xf numFmtId="0" fontId="16" fillId="0" borderId="35" xfId="5" applyFont="1" applyBorder="1" applyAlignment="1" applyProtection="1">
      <alignment horizontal="right" vertical="center" wrapText="1"/>
      <protection locked="0"/>
    </xf>
    <xf numFmtId="3" fontId="16" fillId="0" borderId="36" xfId="5" applyNumberFormat="1" applyFont="1" applyFill="1" applyBorder="1" applyAlignment="1" applyProtection="1">
      <alignment horizontal="center" vertical="center" wrapText="1"/>
      <protection locked="0"/>
    </xf>
    <xf numFmtId="3" fontId="16" fillId="0" borderId="0" xfId="5" applyNumberFormat="1" applyFont="1" applyBorder="1" applyAlignment="1" applyProtection="1">
      <alignment horizontal="left" vertical="top" wrapText="1"/>
      <protection locked="0"/>
    </xf>
    <xf numFmtId="0" fontId="16" fillId="0" borderId="0" xfId="5" applyFont="1" applyBorder="1" applyAlignment="1">
      <alignment horizontal="left" vertical="top" wrapText="1"/>
    </xf>
    <xf numFmtId="0" fontId="16" fillId="0" borderId="0" xfId="5" applyFont="1" applyAlignment="1">
      <alignment horizontal="left" vertical="top"/>
    </xf>
    <xf numFmtId="0" fontId="16" fillId="0" borderId="6" xfId="5" applyFont="1" applyFill="1" applyBorder="1" applyAlignment="1" applyProtection="1">
      <alignment horizontal="right" vertical="center" wrapText="1"/>
      <protection locked="0"/>
    </xf>
    <xf numFmtId="0" fontId="16" fillId="0" borderId="15" xfId="5" applyFont="1" applyFill="1" applyBorder="1" applyAlignment="1" applyProtection="1">
      <alignment horizontal="right" vertical="center" wrapText="1"/>
      <protection locked="0"/>
    </xf>
    <xf numFmtId="3" fontId="16" fillId="0" borderId="6" xfId="5" applyNumberFormat="1" applyFont="1" applyFill="1" applyBorder="1" applyAlignment="1" applyProtection="1">
      <alignment horizontal="left"/>
      <protection locked="0"/>
    </xf>
    <xf numFmtId="0" fontId="16" fillId="0" borderId="22" xfId="5" applyFont="1" applyFill="1" applyBorder="1" applyAlignment="1" applyProtection="1">
      <alignment horizontal="center" vertical="center"/>
      <protection locked="0"/>
    </xf>
    <xf numFmtId="0" fontId="16" fillId="0" borderId="21" xfId="5" applyFont="1" applyFill="1" applyBorder="1" applyAlignment="1" applyProtection="1">
      <alignment vertical="center"/>
      <protection locked="0"/>
    </xf>
    <xf numFmtId="0" fontId="15" fillId="0" borderId="14" xfId="5" applyFont="1" applyFill="1" applyBorder="1" applyAlignment="1" applyProtection="1">
      <alignment horizontal="center" vertical="center"/>
      <protection locked="0"/>
    </xf>
    <xf numFmtId="3" fontId="15" fillId="0" borderId="15" xfId="5" applyNumberFormat="1" applyFont="1" applyFill="1" applyBorder="1" applyAlignment="1" applyProtection="1">
      <alignment horizontal="right" vertical="center"/>
      <protection locked="0"/>
    </xf>
    <xf numFmtId="3" fontId="15" fillId="0" borderId="6" xfId="5" applyNumberFormat="1" applyFont="1" applyFill="1" applyBorder="1" applyAlignment="1" applyProtection="1">
      <alignment horizontal="right"/>
      <protection locked="0"/>
    </xf>
    <xf numFmtId="3" fontId="16" fillId="0" borderId="17" xfId="5" applyNumberFormat="1" applyFont="1" applyFill="1" applyBorder="1" applyAlignment="1" applyProtection="1">
      <alignment horizontal="center" vertical="center" wrapText="1"/>
      <protection locked="0"/>
    </xf>
    <xf numFmtId="49" fontId="16" fillId="0" borderId="39" xfId="5" applyNumberFormat="1" applyFont="1" applyFill="1" applyBorder="1" applyAlignment="1">
      <alignment horizontal="left" vertical="top"/>
    </xf>
    <xf numFmtId="0" fontId="16" fillId="0" borderId="6" xfId="5" applyFont="1" applyBorder="1" applyAlignment="1">
      <alignment horizontal="left" vertical="top" wrapText="1"/>
    </xf>
    <xf numFmtId="0" fontId="16" fillId="0" borderId="0" xfId="5" applyFont="1" applyBorder="1" applyAlignment="1">
      <alignment horizontal="right" vertical="center" wrapText="1"/>
    </xf>
    <xf numFmtId="0" fontId="50" fillId="0" borderId="6" xfId="5" applyFont="1" applyBorder="1" applyAlignment="1" applyProtection="1">
      <alignment horizontal="left" vertical="top" wrapText="1"/>
      <protection locked="0"/>
    </xf>
    <xf numFmtId="0" fontId="16" fillId="0" borderId="36" xfId="5" applyFont="1" applyBorder="1" applyAlignment="1" applyProtection="1">
      <alignment horizontal="center" vertical="center" wrapText="1"/>
      <protection locked="0"/>
    </xf>
    <xf numFmtId="0" fontId="16" fillId="0" borderId="37" xfId="5" applyFont="1" applyBorder="1" applyAlignment="1" applyProtection="1">
      <alignment horizontal="left" vertical="center" wrapText="1"/>
      <protection locked="0"/>
    </xf>
    <xf numFmtId="3" fontId="16" fillId="0" borderId="17" xfId="5" applyNumberFormat="1" applyFont="1" applyBorder="1" applyAlignment="1" applyProtection="1">
      <alignment horizontal="right" vertical="center" wrapText="1"/>
      <protection locked="0"/>
    </xf>
    <xf numFmtId="3" fontId="16" fillId="0" borderId="17" xfId="5" applyNumberFormat="1" applyFont="1" applyBorder="1" applyAlignment="1" applyProtection="1">
      <alignment wrapText="1"/>
      <protection locked="0"/>
    </xf>
    <xf numFmtId="0" fontId="16" fillId="0" borderId="17" xfId="5" applyFont="1" applyBorder="1" applyAlignment="1">
      <alignment horizontal="left" vertical="top" wrapText="1"/>
    </xf>
    <xf numFmtId="0" fontId="16" fillId="0" borderId="6" xfId="5" applyFont="1" applyFill="1" applyBorder="1" applyAlignment="1">
      <alignment horizontal="right" vertical="center" wrapText="1"/>
    </xf>
    <xf numFmtId="3" fontId="16" fillId="0" borderId="6" xfId="5" applyNumberFormat="1" applyFont="1" applyFill="1" applyBorder="1" applyAlignment="1">
      <alignment horizontal="right" vertical="center" wrapText="1"/>
    </xf>
    <xf numFmtId="0" fontId="15" fillId="0" borderId="6" xfId="5" applyFont="1" applyBorder="1" applyAlignment="1">
      <alignment horizontal="center"/>
    </xf>
    <xf numFmtId="3" fontId="16" fillId="0" borderId="6" xfId="5" applyNumberFormat="1" applyFont="1" applyFill="1" applyBorder="1" applyAlignment="1">
      <alignment wrapText="1"/>
    </xf>
    <xf numFmtId="0" fontId="16" fillId="0" borderId="0" xfId="5" applyFont="1" applyFill="1" applyBorder="1" applyAlignment="1">
      <alignment horizontal="right" vertical="center" wrapText="1"/>
    </xf>
    <xf numFmtId="3" fontId="16" fillId="0" borderId="0" xfId="5" applyNumberFormat="1" applyFont="1" applyFill="1" applyBorder="1" applyAlignment="1">
      <alignment horizontal="right" vertical="center" wrapText="1"/>
    </xf>
    <xf numFmtId="3" fontId="16" fillId="0" borderId="0" xfId="5" applyNumberFormat="1" applyFont="1" applyFill="1" applyBorder="1" applyAlignment="1">
      <alignment wrapText="1"/>
    </xf>
    <xf numFmtId="3" fontId="16" fillId="0" borderId="0" xfId="5" applyNumberFormat="1" applyFont="1" applyFill="1" applyBorder="1" applyAlignment="1" applyProtection="1">
      <alignment horizontal="center" vertical="center" wrapText="1"/>
      <protection locked="0"/>
    </xf>
    <xf numFmtId="0" fontId="16" fillId="0" borderId="40" xfId="5" applyFont="1" applyBorder="1" applyAlignment="1" applyProtection="1">
      <alignment horizontal="left" vertical="top" wrapText="1"/>
      <protection locked="0"/>
    </xf>
    <xf numFmtId="0" fontId="16" fillId="0" borderId="17" xfId="5" applyFont="1" applyBorder="1" applyAlignment="1" applyProtection="1">
      <alignment horizontal="center" vertical="center" wrapText="1"/>
      <protection locked="0"/>
    </xf>
    <xf numFmtId="3" fontId="16" fillId="0" borderId="17" xfId="5" applyNumberFormat="1" applyFont="1" applyBorder="1" applyAlignment="1" applyProtection="1">
      <alignment horizontal="center" vertical="center" wrapText="1"/>
      <protection locked="0"/>
    </xf>
    <xf numFmtId="0" fontId="16" fillId="0" borderId="40" xfId="5" applyFont="1" applyBorder="1" applyAlignment="1" applyProtection="1">
      <alignment horizontal="left" vertical="top"/>
      <protection locked="0"/>
    </xf>
    <xf numFmtId="0" fontId="16" fillId="0" borderId="39" xfId="5" applyFont="1" applyBorder="1" applyAlignment="1" applyProtection="1">
      <alignment horizontal="left" vertical="top"/>
      <protection locked="0"/>
    </xf>
    <xf numFmtId="3" fontId="16" fillId="0" borderId="0" xfId="5" applyNumberFormat="1" applyFont="1" applyBorder="1" applyAlignment="1" applyProtection="1">
      <alignment horizontal="right" vertical="center"/>
      <protection locked="0"/>
    </xf>
    <xf numFmtId="3" fontId="16" fillId="0" borderId="40" xfId="5" applyNumberFormat="1" applyFont="1" applyBorder="1" applyAlignment="1" applyProtection="1">
      <alignment horizontal="left" vertical="top" wrapText="1"/>
      <protection locked="0"/>
    </xf>
    <xf numFmtId="0" fontId="16" fillId="0" borderId="0" xfId="5" applyFont="1" applyAlignment="1">
      <alignment horizontal="left" vertical="center"/>
    </xf>
    <xf numFmtId="0" fontId="16" fillId="0" borderId="14" xfId="5" applyFont="1" applyBorder="1" applyAlignment="1" applyProtection="1">
      <alignment vertical="center"/>
      <protection locked="0"/>
    </xf>
    <xf numFmtId="0" fontId="16" fillId="0" borderId="14" xfId="5" applyFont="1" applyBorder="1" applyAlignment="1" applyProtection="1">
      <alignment horizontal="right" vertical="center" wrapText="1"/>
      <protection locked="0"/>
    </xf>
    <xf numFmtId="0" fontId="16" fillId="0" borderId="6" xfId="5" applyFont="1" applyBorder="1" applyAlignment="1">
      <alignment horizontal="left" vertical="top"/>
    </xf>
    <xf numFmtId="0" fontId="16" fillId="0" borderId="40" xfId="5" applyFont="1" applyBorder="1" applyAlignment="1" applyProtection="1">
      <alignment vertical="center" wrapText="1"/>
      <protection locked="0"/>
    </xf>
    <xf numFmtId="0" fontId="16" fillId="0" borderId="40" xfId="5" applyFont="1" applyBorder="1" applyAlignment="1" applyProtection="1">
      <alignment horizontal="left" vertical="center" wrapText="1"/>
      <protection locked="0"/>
    </xf>
    <xf numFmtId="3" fontId="16" fillId="0" borderId="40" xfId="5" applyNumberFormat="1" applyFont="1" applyBorder="1" applyAlignment="1" applyProtection="1">
      <alignment horizontal="right" vertical="center" wrapText="1"/>
      <protection locked="0"/>
    </xf>
    <xf numFmtId="3" fontId="16" fillId="0" borderId="40" xfId="5" applyNumberFormat="1" applyFont="1" applyBorder="1" applyAlignment="1" applyProtection="1">
      <alignment wrapText="1"/>
      <protection locked="0"/>
    </xf>
    <xf numFmtId="3" fontId="16" fillId="0" borderId="40" xfId="5" applyNumberFormat="1" applyFont="1" applyBorder="1" applyAlignment="1" applyProtection="1">
      <alignment horizontal="center" vertical="center" wrapText="1"/>
      <protection locked="0"/>
    </xf>
    <xf numFmtId="0" fontId="16" fillId="0" borderId="40" xfId="5" applyFont="1" applyBorder="1" applyAlignment="1">
      <alignment horizontal="left" vertical="top" wrapText="1"/>
    </xf>
    <xf numFmtId="0" fontId="16" fillId="0" borderId="6" xfId="5" applyFont="1" applyBorder="1" applyAlignment="1">
      <alignment horizontal="center" vertical="center"/>
    </xf>
    <xf numFmtId="3" fontId="16" fillId="0" borderId="0" xfId="5" applyNumberFormat="1" applyFont="1" applyAlignment="1">
      <alignment horizontal="right" vertical="center"/>
    </xf>
    <xf numFmtId="0" fontId="16" fillId="0" borderId="0" xfId="5" applyFont="1" applyAlignment="1">
      <alignment horizontal="right" vertical="center"/>
    </xf>
    <xf numFmtId="3" fontId="16" fillId="0" borderId="0" xfId="5" applyNumberFormat="1" applyFont="1" applyAlignment="1">
      <alignment horizontal="center" vertical="center"/>
    </xf>
    <xf numFmtId="170" fontId="16" fillId="0" borderId="0" xfId="11" applyNumberFormat="1" applyFont="1" applyFill="1" applyBorder="1" applyAlignment="1">
      <alignment vertical="center" wrapText="1"/>
    </xf>
    <xf numFmtId="170" fontId="16" fillId="0" borderId="0" xfId="11" applyNumberFormat="1" applyFont="1" applyFill="1" applyBorder="1" applyAlignment="1">
      <alignment vertical="center"/>
    </xf>
    <xf numFmtId="170" fontId="16" fillId="0" borderId="0" xfId="11" applyNumberFormat="1" applyFont="1" applyFill="1" applyBorder="1" applyAlignment="1">
      <alignment horizontal="right" vertical="center" wrapText="1"/>
    </xf>
    <xf numFmtId="170" fontId="16" fillId="0" borderId="0" xfId="11" applyNumberFormat="1" applyFont="1" applyFill="1" applyBorder="1" applyAlignment="1">
      <alignment horizontal="left" vertical="center"/>
    </xf>
    <xf numFmtId="170" fontId="16" fillId="0" borderId="0" xfId="11" applyNumberFormat="1" applyFont="1" applyFill="1" applyBorder="1" applyAlignment="1">
      <alignment horizontal="center" vertical="center" wrapText="1"/>
    </xf>
    <xf numFmtId="170" fontId="54" fillId="0" borderId="0" xfId="11" applyNumberFormat="1" applyFont="1" applyFill="1" applyBorder="1" applyAlignment="1">
      <alignment horizontal="left" vertical="center" wrapText="1"/>
    </xf>
    <xf numFmtId="0" fontId="16" fillId="0" borderId="0" xfId="2" applyFont="1" applyAlignment="1">
      <alignment horizontal="left" vertical="center"/>
    </xf>
    <xf numFmtId="0" fontId="16" fillId="0" borderId="0" xfId="2" quotePrefix="1" applyFont="1" applyAlignment="1">
      <alignment horizontal="left" vertical="center"/>
    </xf>
    <xf numFmtId="0" fontId="20" fillId="0" borderId="0" xfId="2" applyFont="1" applyAlignment="1">
      <alignment vertical="center"/>
    </xf>
    <xf numFmtId="0" fontId="16" fillId="0" borderId="6" xfId="2" applyFont="1" applyBorder="1" applyAlignment="1" applyProtection="1">
      <alignment horizontal="center" vertical="center"/>
      <protection locked="0"/>
    </xf>
    <xf numFmtId="3" fontId="16" fillId="0" borderId="6" xfId="2" applyNumberFormat="1" applyFont="1" applyBorder="1" applyAlignment="1" applyProtection="1">
      <alignment horizontal="right" vertical="center"/>
      <protection locked="0"/>
    </xf>
    <xf numFmtId="3" fontId="15" fillId="0" borderId="6" xfId="2" applyNumberFormat="1" applyFont="1" applyBorder="1" applyAlignment="1" applyProtection="1">
      <alignment horizontal="center" vertical="center"/>
      <protection locked="0"/>
    </xf>
    <xf numFmtId="0" fontId="16" fillId="0" borderId="0" xfId="2" applyFont="1" applyAlignment="1">
      <alignment wrapText="1"/>
    </xf>
    <xf numFmtId="0" fontId="16" fillId="0" borderId="0" xfId="2" applyFont="1" applyAlignment="1">
      <alignment horizontal="left"/>
    </xf>
    <xf numFmtId="0" fontId="15" fillId="0" borderId="0" xfId="2" applyFont="1" applyFill="1" applyAlignment="1">
      <alignment vertical="center"/>
    </xf>
    <xf numFmtId="0" fontId="15" fillId="0" borderId="0" xfId="2" applyFont="1" applyAlignment="1">
      <alignment vertical="center"/>
    </xf>
    <xf numFmtId="0" fontId="16" fillId="4" borderId="6" xfId="2" applyFont="1" applyFill="1" applyBorder="1" applyAlignment="1">
      <alignment horizontal="center" vertical="center" wrapText="1"/>
    </xf>
    <xf numFmtId="3" fontId="15" fillId="0" borderId="6" xfId="2" applyNumberFormat="1" applyFont="1" applyFill="1" applyBorder="1" applyAlignment="1" applyProtection="1">
      <alignment vertical="center" wrapText="1"/>
      <protection locked="0"/>
    </xf>
    <xf numFmtId="0" fontId="15" fillId="0" borderId="6" xfId="2" applyFont="1" applyBorder="1" applyAlignment="1" applyProtection="1">
      <alignment horizontal="center" vertical="center" wrapText="1"/>
      <protection locked="0"/>
    </xf>
    <xf numFmtId="3" fontId="15" fillId="0" borderId="6" xfId="2" applyNumberFormat="1" applyFont="1" applyBorder="1" applyAlignment="1" applyProtection="1">
      <alignment vertical="center" wrapText="1"/>
      <protection locked="0"/>
    </xf>
    <xf numFmtId="0" fontId="16" fillId="0" borderId="0" xfId="2" applyFont="1" applyProtection="1">
      <protection locked="0"/>
    </xf>
    <xf numFmtId="0" fontId="16" fillId="0" borderId="6" xfId="0" applyFont="1" applyBorder="1" applyAlignment="1" applyProtection="1">
      <alignment vertical="center" wrapText="1"/>
      <protection locked="0"/>
    </xf>
    <xf numFmtId="3" fontId="16" fillId="0" borderId="6" xfId="0" applyNumberFormat="1" applyFont="1" applyBorder="1" applyAlignment="1" applyProtection="1">
      <alignment vertical="center" wrapText="1"/>
      <protection locked="0"/>
    </xf>
    <xf numFmtId="0" fontId="16" fillId="0" borderId="0" xfId="5" applyFont="1" applyBorder="1" applyAlignment="1">
      <alignment horizontal="left" vertical="center" wrapText="1"/>
    </xf>
    <xf numFmtId="0" fontId="16" fillId="0" borderId="0" xfId="2" applyFont="1" applyFill="1" applyAlignment="1">
      <alignment horizontal="left" vertical="center"/>
    </xf>
    <xf numFmtId="0" fontId="16" fillId="0" borderId="0" xfId="5" applyFont="1" applyFill="1" applyBorder="1" applyAlignment="1" applyProtection="1">
      <alignment vertical="center"/>
      <protection locked="0"/>
    </xf>
    <xf numFmtId="0" fontId="7" fillId="0" borderId="0" xfId="5" applyFont="1" applyAlignment="1">
      <alignment horizontal="left" vertical="center"/>
    </xf>
    <xf numFmtId="49" fontId="15" fillId="0" borderId="0" xfId="5" applyNumberFormat="1" applyFont="1" applyFill="1" applyAlignment="1">
      <alignment vertical="center"/>
    </xf>
    <xf numFmtId="49" fontId="15" fillId="0" borderId="0" xfId="5" applyNumberFormat="1" applyFont="1" applyAlignment="1">
      <alignment vertical="center"/>
    </xf>
    <xf numFmtId="3" fontId="16" fillId="4" borderId="6" xfId="2" applyNumberFormat="1" applyFont="1" applyFill="1" applyBorder="1" applyAlignment="1" applyProtection="1">
      <alignment vertical="center" wrapText="1"/>
      <protection locked="0"/>
    </xf>
    <xf numFmtId="49" fontId="16" fillId="0" borderId="6" xfId="2" applyNumberFormat="1" applyFont="1" applyBorder="1" applyAlignment="1" applyProtection="1">
      <alignment horizontal="center" vertical="center" wrapText="1"/>
      <protection locked="0"/>
    </xf>
    <xf numFmtId="3" fontId="16" fillId="0" borderId="22" xfId="2" applyNumberFormat="1" applyFont="1" applyBorder="1" applyAlignment="1" applyProtection="1">
      <alignment horizontal="center" vertical="center" wrapText="1"/>
      <protection locked="0"/>
    </xf>
    <xf numFmtId="3" fontId="16" fillId="0" borderId="22" xfId="2" applyNumberFormat="1" applyFont="1" applyFill="1" applyBorder="1" applyAlignment="1" applyProtection="1">
      <alignment vertical="center" wrapText="1"/>
      <protection locked="0"/>
    </xf>
    <xf numFmtId="0" fontId="16" fillId="0" borderId="0" xfId="2" applyFont="1" applyAlignment="1">
      <alignment horizontal="left" indent="3"/>
    </xf>
    <xf numFmtId="3" fontId="16" fillId="4" borderId="6" xfId="2" applyNumberFormat="1" applyFont="1" applyFill="1" applyBorder="1" applyAlignment="1" applyProtection="1">
      <alignment horizontal="right" vertical="center" wrapText="1"/>
      <protection locked="0"/>
    </xf>
    <xf numFmtId="3" fontId="15" fillId="0" borderId="6" xfId="2" applyNumberFormat="1" applyFont="1" applyFill="1" applyBorder="1" applyAlignment="1" applyProtection="1">
      <alignment horizontal="center" vertical="center" wrapText="1"/>
      <protection locked="0"/>
    </xf>
    <xf numFmtId="0" fontId="16" fillId="0" borderId="6" xfId="2" applyFont="1" applyBorder="1" applyAlignment="1">
      <alignment horizontal="right" vertical="center"/>
    </xf>
    <xf numFmtId="0" fontId="16" fillId="0" borderId="6" xfId="2" applyFont="1" applyBorder="1" applyAlignment="1" applyProtection="1">
      <alignment horizontal="right" vertical="center" wrapText="1"/>
      <protection locked="0"/>
    </xf>
    <xf numFmtId="3" fontId="16" fillId="0" borderId="6" xfId="2" applyNumberFormat="1" applyFont="1" applyBorder="1" applyAlignment="1">
      <alignment vertical="center"/>
    </xf>
    <xf numFmtId="0" fontId="16" fillId="0" borderId="6" xfId="2" applyFont="1" applyBorder="1" applyAlignment="1" applyProtection="1">
      <alignment horizontal="left" vertical="center"/>
      <protection locked="0"/>
    </xf>
    <xf numFmtId="3" fontId="16" fillId="4" borderId="6" xfId="2" applyNumberFormat="1" applyFont="1" applyFill="1" applyBorder="1" applyAlignment="1" applyProtection="1">
      <alignment horizontal="right" vertical="center"/>
      <protection locked="0"/>
    </xf>
    <xf numFmtId="3" fontId="16" fillId="0" borderId="0" xfId="2" applyNumberFormat="1" applyFont="1" applyAlignment="1">
      <alignment vertical="center"/>
    </xf>
    <xf numFmtId="0" fontId="16" fillId="0" borderId="0" xfId="2" applyFont="1" applyBorder="1" applyProtection="1">
      <protection locked="0"/>
    </xf>
    <xf numFmtId="49" fontId="15" fillId="0" borderId="0" xfId="5" applyNumberFormat="1" applyFont="1" applyFill="1" applyAlignment="1"/>
    <xf numFmtId="0" fontId="16" fillId="0" borderId="6" xfId="5" applyFont="1" applyBorder="1" applyAlignment="1">
      <alignment vertical="center"/>
    </xf>
    <xf numFmtId="3" fontId="16" fillId="0" borderId="6" xfId="5" applyNumberFormat="1" applyFont="1" applyBorder="1" applyAlignment="1">
      <alignment vertical="center"/>
    </xf>
    <xf numFmtId="49" fontId="15" fillId="0" borderId="0" xfId="5" applyNumberFormat="1" applyFont="1" applyAlignment="1">
      <alignment horizontal="center" vertical="center"/>
    </xf>
    <xf numFmtId="0" fontId="16" fillId="0" borderId="6" xfId="5" applyFont="1" applyFill="1" applyBorder="1" applyAlignment="1">
      <alignment vertical="center"/>
    </xf>
    <xf numFmtId="3" fontId="16" fillId="0" borderId="6" xfId="5" applyNumberFormat="1" applyFont="1" applyBorder="1" applyAlignment="1" applyProtection="1">
      <alignment horizontal="left" vertical="center"/>
      <protection locked="0"/>
    </xf>
    <xf numFmtId="0" fontId="55" fillId="0" borderId="0" xfId="2" applyFont="1" applyAlignment="1">
      <alignment vertical="center"/>
    </xf>
    <xf numFmtId="3" fontId="15" fillId="0" borderId="6" xfId="5" applyNumberFormat="1" applyFont="1" applyBorder="1" applyAlignment="1">
      <alignment wrapText="1"/>
    </xf>
    <xf numFmtId="0" fontId="16" fillId="0" borderId="6" xfId="5" applyFont="1" applyBorder="1" applyAlignment="1" applyProtection="1">
      <alignment wrapText="1"/>
      <protection locked="0"/>
    </xf>
    <xf numFmtId="0" fontId="16" fillId="0" borderId="6" xfId="5" applyFont="1" applyBorder="1" applyAlignment="1"/>
    <xf numFmtId="0" fontId="16" fillId="0" borderId="6" xfId="5" applyFont="1" applyBorder="1" applyAlignment="1" applyProtection="1">
      <alignment horizontal="left"/>
      <protection locked="0"/>
    </xf>
    <xf numFmtId="3" fontId="16" fillId="4" borderId="6" xfId="5" applyNumberFormat="1" applyFont="1" applyFill="1" applyBorder="1" applyAlignment="1" applyProtection="1">
      <alignment horizontal="right" vertical="center"/>
      <protection locked="0"/>
    </xf>
    <xf numFmtId="3" fontId="16" fillId="0" borderId="0" xfId="5" applyNumberFormat="1" applyFont="1" applyBorder="1" applyAlignment="1">
      <alignment wrapText="1"/>
    </xf>
    <xf numFmtId="0" fontId="16" fillId="0" borderId="14" xfId="5" applyFont="1" applyBorder="1" applyAlignment="1" applyProtection="1">
      <alignment horizontal="left" wrapText="1"/>
      <protection locked="0"/>
    </xf>
    <xf numFmtId="3" fontId="15" fillId="0" borderId="6" xfId="5" applyNumberFormat="1" applyFont="1" applyBorder="1" applyAlignment="1" applyProtection="1">
      <alignment horizontal="center" wrapText="1"/>
      <protection locked="0"/>
    </xf>
    <xf numFmtId="0" fontId="16" fillId="0" borderId="40" xfId="5" applyFont="1" applyBorder="1" applyAlignment="1" applyProtection="1">
      <alignment wrapText="1"/>
      <protection locked="0"/>
    </xf>
    <xf numFmtId="0" fontId="16" fillId="0" borderId="0" xfId="3" applyFont="1"/>
    <xf numFmtId="0" fontId="7" fillId="0" borderId="0" xfId="2" applyFont="1" applyAlignment="1"/>
    <xf numFmtId="0" fontId="7" fillId="0" borderId="0" xfId="2" applyFont="1" applyBorder="1" applyAlignment="1">
      <alignment horizontal="center"/>
    </xf>
    <xf numFmtId="0" fontId="7" fillId="0" borderId="0" xfId="2" applyFont="1" applyFill="1" applyBorder="1" applyAlignment="1">
      <alignment horizontal="center"/>
    </xf>
    <xf numFmtId="0" fontId="7" fillId="0" borderId="0" xfId="2" applyFont="1" applyBorder="1" applyAlignment="1">
      <alignment horizontal="center" vertical="center"/>
    </xf>
    <xf numFmtId="3" fontId="15" fillId="0" borderId="6" xfId="1" applyNumberFormat="1" applyFont="1" applyBorder="1" applyAlignment="1">
      <alignment wrapText="1"/>
    </xf>
    <xf numFmtId="3" fontId="15" fillId="0" borderId="6" xfId="1" applyNumberFormat="1" applyFont="1" applyFill="1" applyBorder="1" applyAlignment="1">
      <alignment wrapText="1"/>
    </xf>
    <xf numFmtId="49" fontId="15" fillId="0" borderId="6" xfId="1" applyNumberFormat="1" applyFont="1" applyBorder="1" applyAlignment="1">
      <alignment horizontal="center" vertical="center" wrapText="1"/>
    </xf>
    <xf numFmtId="3" fontId="15" fillId="0" borderId="6" xfId="1" applyNumberFormat="1" applyFont="1" applyBorder="1" applyAlignment="1">
      <alignment horizontal="right" vertical="center" wrapText="1"/>
    </xf>
    <xf numFmtId="3" fontId="15" fillId="0" borderId="6" xfId="1" applyNumberFormat="1" applyFont="1" applyFill="1" applyBorder="1" applyAlignment="1">
      <alignment horizontal="right" vertical="center" wrapText="1"/>
    </xf>
    <xf numFmtId="3" fontId="15" fillId="0" borderId="6" xfId="1" applyNumberFormat="1" applyFont="1" applyBorder="1" applyAlignment="1">
      <alignment horizontal="center" vertical="center" wrapText="1"/>
    </xf>
    <xf numFmtId="3" fontId="16" fillId="0" borderId="6" xfId="1" applyNumberFormat="1" applyFont="1" applyBorder="1" applyAlignment="1">
      <alignment vertical="center" wrapText="1"/>
    </xf>
    <xf numFmtId="3" fontId="15" fillId="0" borderId="6" xfId="1" applyNumberFormat="1" applyFont="1" applyBorder="1" applyAlignment="1">
      <alignment vertical="center" wrapText="1"/>
    </xf>
    <xf numFmtId="3" fontId="16" fillId="0" borderId="6" xfId="1" applyNumberFormat="1" applyFont="1" applyFill="1" applyBorder="1" applyAlignment="1">
      <alignment vertical="center" wrapText="1"/>
    </xf>
    <xf numFmtId="0" fontId="15" fillId="0" borderId="6" xfId="1" applyFont="1" applyBorder="1" applyAlignment="1">
      <alignment horizontal="center" vertical="center" wrapText="1"/>
    </xf>
    <xf numFmtId="0" fontId="15" fillId="0" borderId="6" xfId="1" applyFont="1" applyBorder="1" applyAlignment="1">
      <alignment horizontal="left" vertical="center" wrapText="1"/>
    </xf>
    <xf numFmtId="3" fontId="16" fillId="0" borderId="6" xfId="1" applyNumberFormat="1" applyFont="1" applyBorder="1" applyAlignment="1">
      <alignment horizontal="center" vertical="center" wrapText="1"/>
    </xf>
    <xf numFmtId="3" fontId="15" fillId="0" borderId="6" xfId="1" applyNumberFormat="1" applyFont="1" applyBorder="1" applyAlignment="1" applyProtection="1">
      <alignment vertical="center" wrapText="1"/>
      <protection locked="0"/>
    </xf>
    <xf numFmtId="3" fontId="15" fillId="0" borderId="6" xfId="1" applyNumberFormat="1" applyFont="1" applyFill="1" applyBorder="1" applyAlignment="1" applyProtection="1">
      <alignment vertical="center" wrapText="1"/>
      <protection locked="0"/>
    </xf>
    <xf numFmtId="3" fontId="15" fillId="0" borderId="6" xfId="1" applyNumberFormat="1" applyFont="1" applyBorder="1" applyAlignment="1" applyProtection="1">
      <alignment horizontal="center" vertical="center" wrapText="1"/>
      <protection locked="0"/>
    </xf>
    <xf numFmtId="3" fontId="16" fillId="0" borderId="6" xfId="1" applyNumberFormat="1" applyFont="1" applyBorder="1" applyAlignment="1" applyProtection="1">
      <alignment vertical="center" wrapText="1"/>
      <protection locked="0"/>
    </xf>
    <xf numFmtId="3" fontId="16" fillId="0" borderId="6" xfId="1" applyNumberFormat="1" applyFont="1" applyFill="1" applyBorder="1" applyAlignment="1" applyProtection="1">
      <alignment vertical="center" wrapText="1"/>
      <protection locked="0"/>
    </xf>
    <xf numFmtId="3" fontId="16" fillId="0" borderId="6" xfId="1" applyNumberFormat="1" applyFont="1" applyFill="1" applyBorder="1" applyAlignment="1" applyProtection="1">
      <alignment vertical="center"/>
      <protection locked="0"/>
    </xf>
    <xf numFmtId="0" fontId="57" fillId="0" borderId="0" xfId="1" applyFont="1" applyAlignment="1">
      <alignment wrapText="1"/>
    </xf>
    <xf numFmtId="0" fontId="15" fillId="0" borderId="6" xfId="1" applyFont="1" applyBorder="1" applyAlignment="1" applyProtection="1">
      <alignment horizontal="center" vertical="center" wrapText="1"/>
      <protection locked="0"/>
    </xf>
    <xf numFmtId="0" fontId="15" fillId="0" borderId="6" xfId="1" applyFont="1" applyBorder="1" applyAlignment="1" applyProtection="1">
      <alignment vertical="center" wrapText="1"/>
      <protection locked="0"/>
    </xf>
    <xf numFmtId="49" fontId="15" fillId="0" borderId="6" xfId="1" applyNumberFormat="1" applyFont="1" applyBorder="1" applyAlignment="1" applyProtection="1">
      <alignment horizontal="center" vertical="center"/>
      <protection locked="0"/>
    </xf>
    <xf numFmtId="3" fontId="15" fillId="0" borderId="6" xfId="1" applyNumberFormat="1" applyFont="1" applyBorder="1" applyAlignment="1" applyProtection="1">
      <alignment horizontal="right" vertical="center" wrapText="1"/>
      <protection locked="0"/>
    </xf>
    <xf numFmtId="3" fontId="15" fillId="0" borderId="6" xfId="1" applyNumberFormat="1" applyFont="1" applyFill="1" applyBorder="1" applyAlignment="1" applyProtection="1">
      <alignment horizontal="right" vertical="center" wrapText="1"/>
      <protection locked="0"/>
    </xf>
    <xf numFmtId="3" fontId="16" fillId="0" borderId="6" xfId="1" applyNumberFormat="1" applyFont="1" applyBorder="1" applyAlignment="1" applyProtection="1">
      <alignment horizontal="center" vertical="center"/>
      <protection locked="0"/>
    </xf>
    <xf numFmtId="3" fontId="16" fillId="0" borderId="6" xfId="1" applyNumberFormat="1" applyFont="1" applyBorder="1" applyAlignment="1" applyProtection="1">
      <alignment horizontal="right" vertical="center" wrapText="1"/>
      <protection locked="0"/>
    </xf>
    <xf numFmtId="3" fontId="16" fillId="0" borderId="6" xfId="1" applyNumberFormat="1" applyFont="1" applyFill="1" applyBorder="1" applyAlignment="1" applyProtection="1">
      <alignment horizontal="right" vertical="center" wrapText="1"/>
      <protection locked="0"/>
    </xf>
    <xf numFmtId="3" fontId="16" fillId="0" borderId="6" xfId="1" applyNumberFormat="1" applyFont="1" applyFill="1" applyBorder="1" applyAlignment="1" applyProtection="1">
      <alignment horizontal="right" vertical="center"/>
      <protection locked="0"/>
    </xf>
    <xf numFmtId="3" fontId="15" fillId="0" borderId="6" xfId="1" applyNumberFormat="1" applyFont="1" applyFill="1" applyBorder="1" applyAlignment="1" applyProtection="1">
      <alignment horizontal="center" vertical="center" wrapText="1"/>
      <protection locked="0"/>
    </xf>
    <xf numFmtId="3" fontId="16" fillId="0" borderId="6" xfId="1" applyNumberFormat="1" applyFont="1" applyBorder="1" applyAlignment="1" applyProtection="1">
      <alignment horizontal="right" vertical="center"/>
      <protection locked="0"/>
    </xf>
    <xf numFmtId="0" fontId="15" fillId="0" borderId="6" xfId="1" applyFont="1" applyFill="1" applyBorder="1" applyAlignment="1" applyProtection="1">
      <alignment horizontal="left" vertical="center" wrapText="1"/>
      <protection locked="0"/>
    </xf>
    <xf numFmtId="49" fontId="15" fillId="0" borderId="6" xfId="1" applyNumberFormat="1" applyFont="1" applyFill="1" applyBorder="1" applyAlignment="1" applyProtection="1">
      <alignment horizontal="center" vertical="center" wrapText="1"/>
      <protection locked="0"/>
    </xf>
    <xf numFmtId="3" fontId="16" fillId="0" borderId="6" xfId="1" applyNumberFormat="1" applyFont="1" applyBorder="1" applyAlignment="1" applyProtection="1">
      <alignment vertical="center"/>
      <protection locked="0"/>
    </xf>
    <xf numFmtId="3" fontId="15" fillId="0" borderId="6" xfId="1" applyNumberFormat="1" applyFont="1" applyBorder="1" applyAlignment="1" applyProtection="1">
      <alignment horizontal="center" vertical="center"/>
      <protection locked="0"/>
    </xf>
    <xf numFmtId="3" fontId="16" fillId="0" borderId="6" xfId="1" applyNumberFormat="1" applyFont="1" applyBorder="1" applyAlignment="1">
      <alignment vertical="center"/>
    </xf>
    <xf numFmtId="3" fontId="15" fillId="0" borderId="6" xfId="1" applyNumberFormat="1" applyFont="1" applyBorder="1" applyAlignment="1">
      <alignment horizontal="center" vertical="center"/>
    </xf>
    <xf numFmtId="0" fontId="15" fillId="0" borderId="6" xfId="1" applyFont="1" applyBorder="1"/>
    <xf numFmtId="0" fontId="15" fillId="0" borderId="6" xfId="1" applyFont="1" applyFill="1" applyBorder="1"/>
    <xf numFmtId="0" fontId="16" fillId="0" borderId="6" xfId="1" applyFont="1" applyBorder="1"/>
    <xf numFmtId="0" fontId="16" fillId="0" borderId="6" xfId="1" applyFont="1" applyFill="1" applyBorder="1"/>
    <xf numFmtId="0" fontId="15" fillId="0" borderId="6" xfId="1" applyFont="1" applyBorder="1" applyAlignment="1">
      <alignment horizontal="center" vertical="center"/>
    </xf>
    <xf numFmtId="0" fontId="15" fillId="0" borderId="6" xfId="1" applyFont="1" applyBorder="1" applyAlignment="1">
      <alignment horizontal="center"/>
    </xf>
    <xf numFmtId="0" fontId="15" fillId="0" borderId="6" xfId="1" applyFont="1" applyFill="1" applyBorder="1" applyAlignment="1" applyProtection="1">
      <alignment vertical="center" wrapText="1"/>
      <protection locked="0"/>
    </xf>
    <xf numFmtId="0" fontId="16" fillId="0" borderId="6" xfId="1" applyFont="1" applyBorder="1" applyAlignment="1">
      <alignment vertical="center" wrapText="1"/>
    </xf>
    <xf numFmtId="3" fontId="15" fillId="0" borderId="6" xfId="1" applyNumberFormat="1" applyFont="1" applyBorder="1" applyAlignment="1">
      <alignment vertical="center"/>
    </xf>
    <xf numFmtId="0" fontId="15" fillId="0" borderId="6" xfId="1" applyFont="1" applyFill="1" applyBorder="1" applyAlignment="1" applyProtection="1">
      <alignment horizontal="center" vertical="center" wrapText="1"/>
      <protection locked="0"/>
    </xf>
    <xf numFmtId="0" fontId="15" fillId="0" borderId="6" xfId="1" applyFont="1" applyFill="1" applyBorder="1" applyAlignment="1" applyProtection="1">
      <alignment wrapText="1"/>
      <protection locked="0"/>
    </xf>
    <xf numFmtId="3" fontId="15" fillId="0" borderId="6" xfId="1" applyNumberFormat="1" applyFont="1" applyFill="1" applyBorder="1" applyAlignment="1" applyProtection="1">
      <alignment horizontal="center" vertical="center"/>
      <protection locked="0"/>
    </xf>
    <xf numFmtId="49" fontId="15" fillId="0" borderId="6" xfId="1" applyNumberFormat="1" applyFont="1" applyFill="1" applyBorder="1" applyAlignment="1" applyProtection="1">
      <alignment horizontal="center" vertical="center"/>
      <protection locked="0"/>
    </xf>
    <xf numFmtId="0" fontId="16" fillId="0" borderId="6" xfId="1" applyFont="1" applyBorder="1" applyAlignment="1" applyProtection="1">
      <alignment horizontal="center" vertical="center" wrapText="1"/>
      <protection locked="0"/>
    </xf>
    <xf numFmtId="0" fontId="16" fillId="0" borderId="6" xfId="1" applyFont="1" applyBorder="1" applyAlignment="1" applyProtection="1">
      <alignment vertical="center" wrapText="1"/>
      <protection locked="0"/>
    </xf>
    <xf numFmtId="3" fontId="16" fillId="0" borderId="6" xfId="1" applyNumberFormat="1" applyFont="1" applyBorder="1" applyAlignment="1" applyProtection="1">
      <alignment horizontal="center" vertical="center" wrapText="1"/>
      <protection locked="0"/>
    </xf>
    <xf numFmtId="49" fontId="16" fillId="0" borderId="6" xfId="1" applyNumberFormat="1" applyFont="1" applyBorder="1" applyAlignment="1" applyProtection="1">
      <alignment horizontal="left" vertical="center" wrapText="1"/>
      <protection locked="0"/>
    </xf>
    <xf numFmtId="0" fontId="16" fillId="0" borderId="6" xfId="1" applyFont="1" applyFill="1" applyBorder="1" applyAlignment="1" applyProtection="1">
      <alignment vertical="center" wrapText="1"/>
      <protection locked="0"/>
    </xf>
    <xf numFmtId="3" fontId="15" fillId="0" borderId="6" xfId="1" applyNumberFormat="1" applyFont="1" applyBorder="1" applyAlignment="1" applyProtection="1">
      <alignment vertical="center"/>
      <protection locked="0"/>
    </xf>
    <xf numFmtId="49" fontId="16" fillId="0" borderId="0" xfId="1" applyNumberFormat="1" applyFont="1" applyFill="1" applyBorder="1" applyAlignment="1" applyProtection="1">
      <alignment horizontal="center" vertical="center"/>
      <protection locked="0"/>
    </xf>
    <xf numFmtId="0" fontId="16" fillId="0" borderId="0" xfId="1" applyFont="1" applyFill="1" applyBorder="1" applyAlignment="1">
      <alignment wrapText="1"/>
    </xf>
    <xf numFmtId="0" fontId="16" fillId="0" borderId="0" xfId="1" applyFont="1" applyFill="1" applyBorder="1" applyAlignment="1">
      <alignment horizontal="center" wrapText="1"/>
    </xf>
    <xf numFmtId="3" fontId="16" fillId="0" borderId="0" xfId="1" applyNumberFormat="1" applyFont="1" applyFill="1" applyBorder="1" applyAlignment="1">
      <alignment wrapText="1"/>
    </xf>
    <xf numFmtId="0" fontId="16" fillId="0" borderId="0" xfId="1" applyFont="1" applyFill="1" applyBorder="1"/>
    <xf numFmtId="49" fontId="16" fillId="0" borderId="0" xfId="1" applyNumberFormat="1" applyFont="1" applyFill="1" applyBorder="1" applyAlignment="1">
      <alignment horizontal="center" vertical="center"/>
    </xf>
    <xf numFmtId="0" fontId="16" fillId="0" borderId="0" xfId="1" applyFont="1" applyFill="1" applyAlignment="1">
      <alignment horizontal="left"/>
    </xf>
    <xf numFmtId="0" fontId="15" fillId="0" borderId="0" xfId="1" applyFont="1" applyFill="1" applyAlignment="1">
      <alignment horizontal="left"/>
    </xf>
    <xf numFmtId="0" fontId="15" fillId="0" borderId="0" xfId="1" applyFont="1" applyFill="1" applyAlignment="1">
      <alignment horizontal="center"/>
    </xf>
    <xf numFmtId="3" fontId="15" fillId="0" borderId="0" xfId="1" applyNumberFormat="1" applyFont="1" applyFill="1" applyAlignment="1">
      <alignment horizontal="left"/>
    </xf>
    <xf numFmtId="0" fontId="16" fillId="0" borderId="0" xfId="5" applyFont="1" applyFill="1" applyBorder="1" applyAlignment="1" applyProtection="1">
      <alignment horizontal="center" vertical="center" wrapText="1"/>
      <protection locked="0"/>
    </xf>
    <xf numFmtId="0" fontId="16" fillId="0" borderId="0" xfId="5" applyFont="1" applyFill="1" applyBorder="1"/>
    <xf numFmtId="0" fontId="16" fillId="0" borderId="0" xfId="5" applyFont="1" applyFill="1" applyBorder="1" applyAlignment="1" applyProtection="1">
      <alignment horizontal="left" vertical="top"/>
      <protection locked="0"/>
    </xf>
    <xf numFmtId="0" fontId="15" fillId="0" borderId="0" xfId="5" applyFont="1" applyFill="1" applyBorder="1" applyAlignment="1" applyProtection="1">
      <alignment horizontal="left" vertical="center"/>
      <protection locked="0"/>
    </xf>
    <xf numFmtId="3" fontId="16" fillId="0" borderId="0" xfId="5" applyNumberFormat="1" applyFont="1" applyFill="1" applyBorder="1" applyAlignment="1" applyProtection="1">
      <alignment horizontal="left" vertical="center"/>
      <protection locked="0"/>
    </xf>
    <xf numFmtId="0" fontId="16" fillId="0" borderId="0" xfId="1" applyFont="1" applyFill="1" applyProtection="1">
      <protection locked="0"/>
    </xf>
    <xf numFmtId="0" fontId="16" fillId="0" borderId="0" xfId="1" applyFont="1" applyFill="1" applyAlignment="1" applyProtection="1">
      <alignment horizontal="center"/>
      <protection locked="0"/>
    </xf>
    <xf numFmtId="0" fontId="16" fillId="0" borderId="0" xfId="1" applyFont="1" applyFill="1" applyAlignment="1">
      <alignment horizontal="center"/>
    </xf>
    <xf numFmtId="3" fontId="15" fillId="0" borderId="22" xfId="5" applyNumberFormat="1" applyFont="1" applyBorder="1" applyAlignment="1">
      <alignment horizontal="right" vertical="center" wrapText="1"/>
    </xf>
    <xf numFmtId="3" fontId="15" fillId="0" borderId="22" xfId="5" applyNumberFormat="1" applyFont="1" applyBorder="1" applyAlignment="1">
      <alignment vertical="center" wrapText="1"/>
    </xf>
    <xf numFmtId="3" fontId="15" fillId="0" borderId="22" xfId="5" applyNumberFormat="1" applyFont="1" applyBorder="1" applyAlignment="1">
      <alignment wrapText="1"/>
    </xf>
    <xf numFmtId="3" fontId="16" fillId="0" borderId="6" xfId="5" applyNumberFormat="1" applyFont="1" applyBorder="1" applyProtection="1">
      <protection locked="0"/>
    </xf>
    <xf numFmtId="3" fontId="15" fillId="0" borderId="6" xfId="5" applyNumberFormat="1" applyFont="1" applyBorder="1" applyAlignment="1" applyProtection="1">
      <alignment horizontal="left" wrapText="1"/>
      <protection locked="0"/>
    </xf>
    <xf numFmtId="3" fontId="16" fillId="0" borderId="6" xfId="5" applyNumberFormat="1" applyFont="1" applyBorder="1" applyAlignment="1">
      <alignment wrapText="1"/>
    </xf>
    <xf numFmtId="3" fontId="15" fillId="0" borderId="6" xfId="5" applyNumberFormat="1" applyFont="1" applyBorder="1" applyAlignment="1" applyProtection="1">
      <alignment horizontal="left"/>
      <protection locked="0"/>
    </xf>
    <xf numFmtId="3" fontId="15" fillId="0" borderId="6" xfId="5" applyNumberFormat="1" applyFont="1" applyBorder="1" applyAlignment="1" applyProtection="1">
      <alignment vertical="center"/>
      <protection locked="0"/>
    </xf>
    <xf numFmtId="3" fontId="16" fillId="4" borderId="6" xfId="5" applyNumberFormat="1" applyFont="1" applyFill="1" applyBorder="1" applyAlignment="1" applyProtection="1">
      <alignment vertical="center" wrapText="1"/>
      <protection locked="0"/>
    </xf>
    <xf numFmtId="3" fontId="16" fillId="0" borderId="6" xfId="5" applyNumberFormat="1" applyFont="1" applyBorder="1" applyAlignment="1" applyProtection="1">
      <alignment horizontal="center" wrapText="1"/>
      <protection locked="0"/>
    </xf>
    <xf numFmtId="0" fontId="16" fillId="0" borderId="6" xfId="5" applyFont="1" applyBorder="1" applyAlignment="1" applyProtection="1">
      <alignment horizontal="left" wrapText="1"/>
      <protection locked="0"/>
    </xf>
    <xf numFmtId="3" fontId="16" fillId="0" borderId="6" xfId="5" applyNumberFormat="1" applyFont="1" applyBorder="1" applyAlignment="1" applyProtection="1">
      <alignment horizontal="center"/>
      <protection locked="0"/>
    </xf>
    <xf numFmtId="0" fontId="16" fillId="0" borderId="40" xfId="5" applyFont="1" applyBorder="1" applyAlignment="1" applyProtection="1">
      <alignment horizontal="right" wrapText="1"/>
      <protection locked="0"/>
    </xf>
    <xf numFmtId="0" fontId="16" fillId="0" borderId="40" xfId="5" applyFont="1" applyBorder="1" applyAlignment="1" applyProtection="1">
      <alignment horizontal="center" wrapText="1"/>
      <protection locked="0"/>
    </xf>
    <xf numFmtId="0" fontId="15" fillId="0" borderId="40" xfId="5" applyFont="1" applyBorder="1" applyAlignment="1" applyProtection="1">
      <alignment horizontal="center" vertical="center" wrapText="1"/>
      <protection locked="0"/>
    </xf>
    <xf numFmtId="3" fontId="16" fillId="0" borderId="40" xfId="5" applyNumberFormat="1" applyFont="1" applyBorder="1" applyAlignment="1" applyProtection="1">
      <alignment horizontal="center" wrapText="1"/>
      <protection locked="0"/>
    </xf>
    <xf numFmtId="0" fontId="15" fillId="0" borderId="22" xfId="5" applyFont="1" applyBorder="1" applyAlignment="1">
      <alignment vertical="center" wrapText="1"/>
    </xf>
    <xf numFmtId="3" fontId="16" fillId="0" borderId="22" xfId="5" applyNumberFormat="1" applyFont="1" applyBorder="1" applyAlignment="1">
      <alignment wrapText="1"/>
    </xf>
    <xf numFmtId="3" fontId="15" fillId="0" borderId="6" xfId="5" applyNumberFormat="1" applyFont="1" applyBorder="1" applyAlignment="1">
      <alignment horizontal="left" wrapText="1"/>
    </xf>
    <xf numFmtId="0" fontId="16" fillId="0" borderId="22" xfId="5" applyFont="1" applyBorder="1" applyAlignment="1">
      <alignment vertical="center" wrapText="1"/>
    </xf>
    <xf numFmtId="0" fontId="15" fillId="0" borderId="22" xfId="5" applyFont="1" applyBorder="1" applyAlignment="1">
      <alignment horizontal="center" vertical="center" wrapText="1"/>
    </xf>
    <xf numFmtId="3" fontId="16" fillId="0" borderId="22" xfId="5" applyNumberFormat="1" applyFont="1" applyBorder="1" applyAlignment="1">
      <alignment vertical="center" wrapText="1"/>
    </xf>
    <xf numFmtId="0" fontId="16" fillId="4" borderId="6" xfId="5" applyFont="1" applyFill="1" applyBorder="1" applyAlignment="1" applyProtection="1">
      <alignment wrapText="1"/>
      <protection locked="0"/>
    </xf>
    <xf numFmtId="0" fontId="28" fillId="0" borderId="6" xfId="5" applyFont="1" applyBorder="1" applyAlignment="1">
      <alignment wrapText="1"/>
    </xf>
    <xf numFmtId="3" fontId="16" fillId="0" borderId="22" xfId="5" applyNumberFormat="1" applyFont="1" applyBorder="1" applyAlignment="1">
      <alignment horizontal="center" wrapText="1"/>
    </xf>
    <xf numFmtId="3" fontId="16" fillId="0" borderId="6" xfId="5" applyNumberFormat="1" applyFont="1" applyBorder="1" applyAlignment="1" applyProtection="1">
      <alignment horizontal="left" wrapText="1"/>
      <protection locked="0"/>
    </xf>
    <xf numFmtId="0" fontId="28" fillId="0" borderId="6" xfId="5" applyFont="1" applyBorder="1" applyAlignment="1" applyProtection="1">
      <alignment wrapText="1"/>
      <protection locked="0"/>
    </xf>
    <xf numFmtId="3" fontId="16" fillId="0" borderId="22" xfId="5" applyNumberFormat="1" applyFont="1" applyBorder="1" applyAlignment="1">
      <alignment horizontal="center" vertical="center" wrapText="1"/>
    </xf>
    <xf numFmtId="0" fontId="16" fillId="0" borderId="40" xfId="5" applyFont="1" applyBorder="1" applyAlignment="1">
      <alignment horizontal="right" wrapText="1"/>
    </xf>
    <xf numFmtId="0" fontId="16" fillId="0" borderId="40" xfId="5" applyFont="1" applyBorder="1" applyAlignment="1">
      <alignment wrapText="1"/>
    </xf>
    <xf numFmtId="0" fontId="15" fillId="0" borderId="40" xfId="5" applyFont="1" applyBorder="1" applyAlignment="1">
      <alignment horizontal="center" vertical="center" wrapText="1"/>
    </xf>
    <xf numFmtId="3" fontId="16" fillId="0" borderId="40" xfId="5" applyNumberFormat="1" applyFont="1" applyBorder="1" applyAlignment="1">
      <alignment wrapText="1"/>
    </xf>
    <xf numFmtId="3" fontId="16" fillId="0" borderId="40" xfId="5" applyNumberFormat="1" applyFont="1" applyBorder="1" applyAlignment="1">
      <alignment horizontal="center" wrapText="1"/>
    </xf>
    <xf numFmtId="0" fontId="15" fillId="0" borderId="6" xfId="5" applyFont="1" applyBorder="1" applyAlignment="1" applyProtection="1">
      <alignment vertical="center" wrapText="1"/>
      <protection locked="0"/>
    </xf>
    <xf numFmtId="0" fontId="16" fillId="0" borderId="6" xfId="5" applyFont="1" applyBorder="1" applyAlignment="1">
      <alignment wrapText="1"/>
    </xf>
    <xf numFmtId="0" fontId="15" fillId="0" borderId="6" xfId="5" applyFont="1" applyBorder="1" applyAlignment="1">
      <alignment horizontal="left" wrapText="1"/>
    </xf>
    <xf numFmtId="3" fontId="16" fillId="0" borderId="22" xfId="5" applyNumberFormat="1" applyFont="1" applyFill="1" applyBorder="1" applyAlignment="1">
      <alignment vertical="center" wrapText="1"/>
    </xf>
    <xf numFmtId="0" fontId="16" fillId="0" borderId="6" xfId="5" applyFont="1" applyFill="1" applyBorder="1" applyAlignment="1">
      <alignment wrapText="1"/>
    </xf>
    <xf numFmtId="0" fontId="16" fillId="0" borderId="6" xfId="5" applyFont="1" applyFill="1" applyBorder="1" applyAlignment="1">
      <alignment vertical="top" wrapText="1"/>
    </xf>
    <xf numFmtId="0" fontId="16" fillId="0" borderId="0" xfId="5" applyFont="1" applyBorder="1" applyAlignment="1">
      <alignment horizontal="right" wrapText="1"/>
    </xf>
    <xf numFmtId="0" fontId="15" fillId="0" borderId="15" xfId="5" applyFont="1" applyBorder="1" applyAlignment="1" applyProtection="1">
      <alignment vertical="center" wrapText="1"/>
      <protection locked="0"/>
    </xf>
    <xf numFmtId="0" fontId="16" fillId="0" borderId="15" xfId="5" applyFont="1" applyBorder="1" applyAlignment="1" applyProtection="1">
      <alignment vertical="center" wrapText="1"/>
      <protection locked="0"/>
    </xf>
    <xf numFmtId="0" fontId="16" fillId="0" borderId="35" xfId="5" applyFont="1" applyBorder="1" applyAlignment="1">
      <alignment vertical="center" wrapText="1"/>
    </xf>
    <xf numFmtId="0" fontId="15" fillId="0" borderId="35" xfId="5" applyFont="1" applyBorder="1" applyAlignment="1">
      <alignment vertical="center" wrapText="1"/>
    </xf>
    <xf numFmtId="0" fontId="16" fillId="0" borderId="22" xfId="5" applyFont="1" applyBorder="1" applyAlignment="1">
      <alignment horizontal="left" wrapText="1"/>
    </xf>
    <xf numFmtId="0" fontId="16" fillId="0" borderId="22" xfId="5" applyFont="1" applyBorder="1" applyAlignment="1">
      <alignment wrapText="1"/>
    </xf>
    <xf numFmtId="3" fontId="15" fillId="0" borderId="35" xfId="5" applyNumberFormat="1" applyFont="1" applyBorder="1" applyAlignment="1">
      <alignment vertical="center" wrapText="1"/>
    </xf>
    <xf numFmtId="0" fontId="16" fillId="0" borderId="15" xfId="5" applyFont="1" applyBorder="1" applyAlignment="1">
      <alignment horizontal="left" vertical="center" wrapText="1"/>
    </xf>
    <xf numFmtId="0" fontId="16" fillId="0" borderId="22" xfId="5" applyFont="1" applyFill="1" applyBorder="1" applyAlignment="1">
      <alignment vertical="center" wrapText="1"/>
    </xf>
    <xf numFmtId="0" fontId="16" fillId="7" borderId="0" xfId="2" applyFont="1" applyFill="1" applyBorder="1" applyAlignment="1" applyProtection="1">
      <alignment vertical="center"/>
      <protection locked="0"/>
    </xf>
    <xf numFmtId="0" fontId="15" fillId="7" borderId="0" xfId="2" applyFont="1" applyFill="1" applyBorder="1" applyAlignment="1" applyProtection="1">
      <alignment vertical="center"/>
      <protection locked="0"/>
    </xf>
    <xf numFmtId="0" fontId="7" fillId="4" borderId="0" xfId="5" applyFont="1" applyFill="1" applyAlignment="1">
      <alignment horizontal="center"/>
    </xf>
    <xf numFmtId="0" fontId="16" fillId="4" borderId="6" xfId="5" applyFont="1" applyFill="1" applyBorder="1" applyAlignment="1">
      <alignment horizontal="center" vertical="center" wrapText="1"/>
    </xf>
    <xf numFmtId="3" fontId="15" fillId="4" borderId="6" xfId="5" applyNumberFormat="1" applyFont="1" applyFill="1" applyBorder="1" applyAlignment="1">
      <alignment horizontal="right" vertical="center" wrapText="1"/>
    </xf>
    <xf numFmtId="0" fontId="15" fillId="0" borderId="14" xfId="5" applyFont="1" applyBorder="1" applyAlignment="1">
      <alignment horizontal="center" wrapText="1"/>
    </xf>
    <xf numFmtId="3" fontId="15" fillId="4" borderId="6" xfId="5" applyNumberFormat="1" applyFont="1" applyFill="1" applyBorder="1" applyAlignment="1">
      <alignment vertical="center" wrapText="1"/>
    </xf>
    <xf numFmtId="0" fontId="15" fillId="0" borderId="18" xfId="5" applyFont="1" applyBorder="1" applyAlignment="1">
      <alignment horizontal="center" wrapText="1"/>
    </xf>
    <xf numFmtId="3" fontId="16" fillId="4" borderId="6" xfId="5" applyNumberFormat="1" applyFont="1" applyFill="1" applyBorder="1" applyAlignment="1" applyProtection="1">
      <alignment horizontal="right" vertical="center" wrapText="1"/>
      <protection locked="0"/>
    </xf>
    <xf numFmtId="0" fontId="15" fillId="0" borderId="6" xfId="5" applyFont="1" applyFill="1" applyBorder="1" applyAlignment="1" applyProtection="1">
      <alignment horizontal="left" vertical="center" wrapText="1"/>
      <protection locked="0"/>
    </xf>
    <xf numFmtId="3" fontId="18" fillId="0" borderId="0" xfId="5" applyNumberFormat="1" applyFont="1"/>
    <xf numFmtId="0" fontId="15" fillId="0" borderId="14" xfId="0" applyFont="1" applyBorder="1" applyAlignment="1">
      <alignment horizontal="center" wrapText="1"/>
    </xf>
    <xf numFmtId="0" fontId="15" fillId="0" borderId="6" xfId="0" applyFont="1" applyBorder="1" applyAlignment="1">
      <alignment wrapText="1"/>
    </xf>
    <xf numFmtId="3" fontId="15" fillId="0" borderId="6" xfId="0" applyNumberFormat="1" applyFont="1" applyBorder="1" applyAlignment="1">
      <alignment vertical="center" wrapText="1"/>
    </xf>
    <xf numFmtId="3" fontId="15" fillId="0" borderId="6" xfId="0" applyNumberFormat="1" applyFont="1" applyBorder="1" applyAlignment="1">
      <alignment horizontal="center" vertical="center" wrapText="1"/>
    </xf>
    <xf numFmtId="0" fontId="15" fillId="0" borderId="6" xfId="0" applyFont="1" applyBorder="1" applyAlignment="1" applyProtection="1">
      <alignment vertical="center" wrapText="1"/>
      <protection locked="0"/>
    </xf>
    <xf numFmtId="3" fontId="15" fillId="0" borderId="6" xfId="0" applyNumberFormat="1" applyFont="1" applyBorder="1" applyAlignment="1" applyProtection="1">
      <alignment horizontal="center" vertical="center" wrapText="1"/>
      <protection locked="0"/>
    </xf>
    <xf numFmtId="4" fontId="16" fillId="4" borderId="6" xfId="0" applyNumberFormat="1" applyFont="1" applyFill="1" applyBorder="1" applyAlignment="1" applyProtection="1">
      <alignment horizontal="left" vertical="center" wrapText="1"/>
      <protection locked="0"/>
    </xf>
    <xf numFmtId="4" fontId="15" fillId="4" borderId="6" xfId="0" applyNumberFormat="1" applyFont="1" applyFill="1" applyBorder="1" applyAlignment="1" applyProtection="1">
      <alignment horizontal="left" vertical="center" wrapText="1"/>
      <protection locked="0"/>
    </xf>
    <xf numFmtId="3" fontId="16" fillId="0" borderId="6" xfId="0" applyNumberFormat="1" applyFont="1" applyBorder="1" applyAlignment="1" applyProtection="1">
      <alignment horizontal="right" vertical="center" wrapText="1"/>
      <protection locked="0"/>
    </xf>
    <xf numFmtId="3" fontId="16" fillId="0" borderId="6" xfId="0" applyNumberFormat="1" applyFont="1" applyBorder="1" applyAlignment="1" applyProtection="1">
      <alignment horizontal="right" vertical="center"/>
      <protection locked="0"/>
    </xf>
    <xf numFmtId="3" fontId="15" fillId="0" borderId="6" xfId="0" applyNumberFormat="1" applyFont="1" applyBorder="1" applyAlignment="1" applyProtection="1">
      <alignment horizontal="center" vertical="center"/>
      <protection locked="0"/>
    </xf>
    <xf numFmtId="3" fontId="15" fillId="4" borderId="6" xfId="5" applyNumberFormat="1" applyFont="1" applyFill="1" applyBorder="1" applyAlignment="1">
      <alignment horizontal="center" vertical="center" wrapText="1"/>
    </xf>
    <xf numFmtId="3" fontId="16" fillId="4" borderId="6" xfId="5" applyNumberFormat="1" applyFont="1" applyFill="1" applyBorder="1" applyAlignment="1">
      <alignment vertical="center" wrapText="1"/>
    </xf>
    <xf numFmtId="3" fontId="16" fillId="4" borderId="6" xfId="5" applyNumberFormat="1" applyFont="1" applyFill="1" applyBorder="1" applyAlignment="1" applyProtection="1">
      <alignment horizontal="left" vertical="center" wrapText="1"/>
      <protection locked="0"/>
    </xf>
    <xf numFmtId="0" fontId="15" fillId="0" borderId="6" xfId="5" applyFont="1" applyBorder="1" applyAlignment="1">
      <alignment wrapText="1"/>
    </xf>
    <xf numFmtId="3" fontId="16" fillId="0" borderId="6" xfId="0" applyNumberFormat="1" applyFont="1" applyBorder="1" applyAlignment="1">
      <alignment vertical="center" wrapText="1"/>
    </xf>
    <xf numFmtId="0" fontId="15" fillId="0" borderId="17" xfId="0" applyFont="1" applyBorder="1" applyAlignment="1" applyProtection="1">
      <alignment vertical="center" wrapText="1"/>
      <protection locked="0"/>
    </xf>
    <xf numFmtId="3" fontId="16" fillId="4" borderId="6" xfId="0" applyNumberFormat="1" applyFont="1" applyFill="1" applyBorder="1" applyAlignment="1" applyProtection="1">
      <alignment horizontal="right" vertical="center" wrapText="1"/>
      <protection locked="0"/>
    </xf>
    <xf numFmtId="3" fontId="15" fillId="4" borderId="6" xfId="5" applyNumberFormat="1" applyFont="1" applyFill="1" applyBorder="1" applyAlignment="1" applyProtection="1">
      <alignment horizontal="center" vertical="center" wrapText="1"/>
      <protection locked="0"/>
    </xf>
    <xf numFmtId="0" fontId="16" fillId="0" borderId="0" xfId="0" applyFont="1"/>
    <xf numFmtId="0" fontId="16" fillId="0" borderId="6"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vertical="center" wrapText="1"/>
    </xf>
    <xf numFmtId="0" fontId="16" fillId="0" borderId="35" xfId="0" applyFont="1" applyBorder="1" applyAlignment="1">
      <alignment vertical="center"/>
    </xf>
    <xf numFmtId="0" fontId="15" fillId="0" borderId="35" xfId="0" applyFont="1" applyBorder="1" applyAlignment="1">
      <alignment vertical="center"/>
    </xf>
    <xf numFmtId="3" fontId="16" fillId="0" borderId="15" xfId="0" applyNumberFormat="1" applyFont="1" applyBorder="1" applyAlignment="1">
      <alignment vertical="center" wrapText="1"/>
    </xf>
    <xf numFmtId="4" fontId="16" fillId="4" borderId="6" xfId="0" applyNumberFormat="1" applyFont="1" applyFill="1" applyBorder="1" applyAlignment="1">
      <alignment horizontal="left" vertical="center" wrapText="1"/>
    </xf>
    <xf numFmtId="1" fontId="15" fillId="0" borderId="14" xfId="5" applyNumberFormat="1" applyFont="1" applyBorder="1" applyAlignment="1">
      <alignment horizontal="center" wrapText="1"/>
    </xf>
    <xf numFmtId="0" fontId="15" fillId="0" borderId="14" xfId="0" applyFont="1" applyBorder="1" applyAlignment="1" applyProtection="1">
      <alignment horizontal="center" wrapText="1"/>
      <protection locked="0"/>
    </xf>
    <xf numFmtId="0" fontId="15" fillId="0" borderId="6" xfId="0" applyFont="1" applyBorder="1" applyAlignment="1" applyProtection="1">
      <alignment horizontal="left" wrapText="1"/>
      <protection locked="0"/>
    </xf>
    <xf numFmtId="0" fontId="16" fillId="0" borderId="6" xfId="0" applyFont="1" applyBorder="1" applyAlignment="1">
      <alignment vertical="center" wrapText="1"/>
    </xf>
    <xf numFmtId="3" fontId="16" fillId="0" borderId="6" xfId="0" applyNumberFormat="1" applyFont="1" applyBorder="1" applyAlignment="1" applyProtection="1">
      <alignment horizontal="center" vertical="center" wrapText="1"/>
      <protection locked="0"/>
    </xf>
    <xf numFmtId="0" fontId="16" fillId="0" borderId="6" xfId="0" applyFont="1" applyBorder="1" applyAlignment="1">
      <alignment vertical="center"/>
    </xf>
    <xf numFmtId="0" fontId="15" fillId="0" borderId="0" xfId="5" applyFont="1" applyBorder="1" applyAlignment="1">
      <alignment horizontal="center" vertical="center" wrapText="1"/>
    </xf>
    <xf numFmtId="3" fontId="16" fillId="4" borderId="0" xfId="5" applyNumberFormat="1" applyFont="1" applyFill="1" applyBorder="1" applyAlignment="1" applyProtection="1">
      <alignment wrapText="1"/>
      <protection locked="0"/>
    </xf>
    <xf numFmtId="3" fontId="15" fillId="0" borderId="0" xfId="5" applyNumberFormat="1" applyFont="1" applyBorder="1" applyAlignment="1" applyProtection="1">
      <alignment wrapText="1"/>
      <protection locked="0"/>
    </xf>
    <xf numFmtId="0" fontId="31" fillId="0" borderId="0" xfId="5" applyFont="1" applyBorder="1" applyAlignment="1">
      <alignment vertical="center"/>
    </xf>
    <xf numFmtId="0" fontId="29" fillId="0" borderId="0" xfId="5" applyFont="1" applyBorder="1" applyAlignment="1"/>
    <xf numFmtId="0" fontId="31" fillId="0" borderId="0" xfId="5" applyFont="1" applyBorder="1" applyAlignment="1"/>
    <xf numFmtId="0" fontId="16" fillId="4" borderId="0" xfId="5" applyFont="1" applyFill="1"/>
    <xf numFmtId="0" fontId="16" fillId="0" borderId="14" xfId="2" applyFont="1" applyBorder="1" applyAlignment="1">
      <alignment horizontal="center" vertical="center" wrapText="1"/>
    </xf>
    <xf numFmtId="3" fontId="15" fillId="0" borderId="6" xfId="2" applyNumberFormat="1" applyFont="1" applyFill="1" applyBorder="1" applyAlignment="1">
      <alignment wrapText="1"/>
    </xf>
    <xf numFmtId="0" fontId="18" fillId="0" borderId="6" xfId="2" applyFont="1" applyFill="1" applyBorder="1" applyAlignment="1" applyProtection="1">
      <alignment wrapText="1"/>
      <protection locked="0"/>
    </xf>
    <xf numFmtId="0" fontId="15" fillId="0" borderId="6" xfId="2" applyNumberFormat="1" applyFont="1" applyFill="1" applyBorder="1" applyAlignment="1">
      <alignment horizontal="center" vertical="center" wrapText="1"/>
    </xf>
    <xf numFmtId="3" fontId="16" fillId="0" borderId="6" xfId="12" applyNumberFormat="1" applyFont="1" applyFill="1" applyBorder="1" applyAlignment="1">
      <alignment wrapText="1"/>
    </xf>
    <xf numFmtId="3" fontId="16" fillId="0" borderId="6" xfId="2" applyNumberFormat="1" applyFont="1" applyFill="1" applyBorder="1" applyAlignment="1" applyProtection="1">
      <alignment horizontal="right" vertical="center"/>
      <protection locked="0"/>
    </xf>
    <xf numFmtId="3" fontId="16" fillId="0" borderId="21" xfId="2" applyNumberFormat="1" applyFont="1" applyBorder="1" applyAlignment="1">
      <alignment vertical="center" wrapText="1"/>
    </xf>
    <xf numFmtId="0" fontId="16" fillId="0" borderId="6" xfId="2" applyFont="1" applyFill="1" applyBorder="1" applyAlignment="1" applyProtection="1">
      <alignment wrapText="1"/>
      <protection locked="0"/>
    </xf>
    <xf numFmtId="3" fontId="16" fillId="0" borderId="14" xfId="2" applyNumberFormat="1" applyFont="1" applyFill="1" applyBorder="1" applyAlignment="1">
      <alignment vertical="center" wrapText="1"/>
    </xf>
    <xf numFmtId="0" fontId="15" fillId="0" borderId="17" xfId="2" applyNumberFormat="1" applyFont="1" applyFill="1" applyBorder="1" applyAlignment="1">
      <alignment horizontal="center" vertical="center" wrapText="1"/>
    </xf>
    <xf numFmtId="3" fontId="16" fillId="0" borderId="6" xfId="12" applyNumberFormat="1" applyFont="1" applyFill="1" applyBorder="1" applyAlignment="1">
      <alignment vertical="center" wrapText="1"/>
    </xf>
    <xf numFmtId="0" fontId="16" fillId="3" borderId="0" xfId="2" applyFont="1" applyFill="1"/>
    <xf numFmtId="3" fontId="16" fillId="0" borderId="6" xfId="12" applyNumberFormat="1" applyFont="1" applyFill="1" applyBorder="1" applyAlignment="1">
      <alignment horizontal="left" vertical="center" wrapText="1"/>
    </xf>
    <xf numFmtId="0" fontId="2" fillId="0" borderId="0" xfId="12"/>
    <xf numFmtId="0" fontId="2" fillId="0" borderId="0" xfId="12" applyFill="1"/>
    <xf numFmtId="0" fontId="15" fillId="0" borderId="6" xfId="2" applyNumberFormat="1" applyFont="1" applyFill="1" applyBorder="1" applyAlignment="1">
      <alignment horizontal="center" vertical="center"/>
    </xf>
    <xf numFmtId="3" fontId="16" fillId="0" borderId="21" xfId="2" applyNumberFormat="1" applyFont="1" applyFill="1" applyBorder="1" applyAlignment="1">
      <alignment vertical="center" wrapText="1"/>
    </xf>
    <xf numFmtId="3" fontId="16" fillId="0" borderId="14" xfId="13" applyNumberFormat="1" applyFont="1" applyFill="1" applyBorder="1" applyAlignment="1">
      <alignment horizontal="center" vertical="center" wrapText="1"/>
    </xf>
    <xf numFmtId="3" fontId="16" fillId="0" borderId="14" xfId="2" applyNumberFormat="1" applyFont="1" applyBorder="1" applyAlignment="1">
      <alignment vertical="center" wrapText="1"/>
    </xf>
    <xf numFmtId="0" fontId="15" fillId="0" borderId="6" xfId="2" applyNumberFormat="1" applyFont="1" applyFill="1" applyBorder="1" applyAlignment="1" applyProtection="1">
      <alignment horizontal="center" vertical="center" wrapText="1"/>
      <protection locked="0"/>
    </xf>
    <xf numFmtId="3" fontId="16" fillId="0" borderId="6" xfId="12" applyNumberFormat="1" applyFont="1" applyFill="1" applyBorder="1" applyAlignment="1">
      <alignment vertical="top" wrapText="1"/>
    </xf>
    <xf numFmtId="3" fontId="16" fillId="0" borderId="6" xfId="2" applyNumberFormat="1" applyFont="1" applyBorder="1" applyAlignment="1" applyProtection="1">
      <alignment horizontal="center" vertical="center"/>
      <protection locked="0"/>
    </xf>
    <xf numFmtId="3" fontId="16" fillId="0" borderId="6" xfId="13" applyNumberFormat="1" applyFont="1" applyFill="1" applyBorder="1" applyAlignment="1">
      <alignment horizontal="center" vertical="center" wrapText="1"/>
    </xf>
    <xf numFmtId="0" fontId="16" fillId="0" borderId="14" xfId="2" applyFont="1" applyBorder="1" applyAlignment="1" applyProtection="1">
      <alignment horizontal="left" vertical="center" wrapText="1"/>
      <protection locked="0"/>
    </xf>
    <xf numFmtId="3" fontId="15" fillId="0" borderId="6" xfId="2" applyNumberFormat="1" applyFont="1" applyBorder="1" applyAlignment="1">
      <alignment wrapText="1"/>
    </xf>
    <xf numFmtId="0" fontId="16" fillId="0" borderId="6" xfId="2" applyFont="1" applyBorder="1" applyAlignment="1" applyProtection="1">
      <alignment wrapText="1"/>
      <protection locked="0"/>
    </xf>
    <xf numFmtId="3" fontId="16" fillId="0" borderId="6" xfId="12" applyNumberFormat="1" applyFont="1" applyBorder="1" applyAlignment="1">
      <alignment wrapText="1"/>
    </xf>
    <xf numFmtId="3" fontId="16" fillId="0" borderId="6" xfId="13" applyNumberFormat="1" applyFont="1" applyBorder="1" applyAlignment="1">
      <alignment wrapText="1"/>
    </xf>
    <xf numFmtId="3" fontId="16" fillId="0" borderId="6" xfId="13" applyNumberFormat="1" applyFont="1" applyBorder="1" applyAlignment="1">
      <alignment horizontal="center" vertical="center" wrapText="1"/>
    </xf>
    <xf numFmtId="0" fontId="15" fillId="0" borderId="6" xfId="13" applyNumberFormat="1" applyFont="1" applyBorder="1" applyAlignment="1">
      <alignment horizontal="center" vertical="center" wrapText="1"/>
    </xf>
    <xf numFmtId="3" fontId="16" fillId="0" borderId="6" xfId="2" applyNumberFormat="1" applyFont="1" applyBorder="1" applyAlignment="1" applyProtection="1">
      <alignment wrapText="1"/>
      <protection locked="0"/>
    </xf>
    <xf numFmtId="3" fontId="16" fillId="0" borderId="14" xfId="2" applyNumberFormat="1" applyFont="1" applyBorder="1" applyAlignment="1">
      <alignment horizontal="center" vertical="center" wrapText="1"/>
    </xf>
    <xf numFmtId="3" fontId="16" fillId="4" borderId="6" xfId="2" applyNumberFormat="1" applyFont="1" applyFill="1" applyBorder="1" applyAlignment="1">
      <alignment horizontal="right" vertical="center" wrapText="1"/>
    </xf>
    <xf numFmtId="3" fontId="16" fillId="0" borderId="6" xfId="13" applyNumberFormat="1" applyFont="1" applyFill="1" applyBorder="1" applyAlignment="1">
      <alignment vertical="center" wrapText="1"/>
    </xf>
    <xf numFmtId="3" fontId="16" fillId="0" borderId="15" xfId="2" applyNumberFormat="1" applyFont="1" applyFill="1" applyBorder="1" applyAlignment="1">
      <alignment vertical="center" wrapText="1"/>
    </xf>
    <xf numFmtId="3" fontId="16" fillId="0" borderId="6" xfId="13" applyNumberFormat="1" applyFont="1" applyFill="1" applyBorder="1" applyAlignment="1">
      <alignment wrapText="1"/>
    </xf>
    <xf numFmtId="3" fontId="16" fillId="0" borderId="6" xfId="12" applyNumberFormat="1" applyFont="1" applyFill="1" applyBorder="1" applyAlignment="1">
      <alignment horizontal="center" vertical="center" wrapText="1"/>
    </xf>
    <xf numFmtId="0" fontId="15" fillId="0" borderId="6" xfId="12" applyNumberFormat="1" applyFont="1" applyFill="1" applyBorder="1" applyAlignment="1">
      <alignment horizontal="center" vertical="center"/>
    </xf>
    <xf numFmtId="3" fontId="16" fillId="0" borderId="14" xfId="2" applyNumberFormat="1" applyFont="1" applyBorder="1" applyAlignment="1" applyProtection="1">
      <alignment vertical="center" wrapText="1"/>
      <protection locked="0"/>
    </xf>
    <xf numFmtId="3" fontId="16" fillId="0" borderId="15" xfId="2" applyNumberFormat="1" applyFont="1" applyFill="1" applyBorder="1" applyAlignment="1" applyProtection="1">
      <alignment horizontal="center" vertical="center" wrapText="1"/>
      <protection locked="0"/>
    </xf>
    <xf numFmtId="3" fontId="16" fillId="0" borderId="6" xfId="2" applyNumberFormat="1" applyFont="1" applyFill="1" applyBorder="1" applyAlignment="1" applyProtection="1">
      <alignment wrapText="1"/>
      <protection locked="0"/>
    </xf>
    <xf numFmtId="3" fontId="16" fillId="0" borderId="6" xfId="14" applyNumberFormat="1" applyFont="1" applyFill="1" applyBorder="1" applyAlignment="1">
      <alignment wrapText="1"/>
    </xf>
    <xf numFmtId="3" fontId="16" fillId="0" borderId="6" xfId="14" applyNumberFormat="1" applyFont="1" applyFill="1" applyBorder="1" applyAlignment="1">
      <alignment horizontal="left" wrapText="1"/>
    </xf>
    <xf numFmtId="0" fontId="15" fillId="0" borderId="6" xfId="2" applyNumberFormat="1" applyFont="1" applyFill="1" applyBorder="1" applyAlignment="1">
      <alignment horizontal="center" wrapText="1"/>
    </xf>
    <xf numFmtId="3" fontId="16" fillId="0" borderId="6" xfId="2" applyNumberFormat="1" applyFont="1" applyFill="1" applyBorder="1" applyAlignment="1" applyProtection="1">
      <alignment horizontal="center" vertical="center"/>
      <protection locked="0"/>
    </xf>
    <xf numFmtId="3" fontId="16" fillId="0" borderId="6" xfId="14" applyNumberFormat="1" applyFont="1" applyFill="1" applyBorder="1" applyAlignment="1">
      <alignment vertical="center" wrapText="1"/>
    </xf>
    <xf numFmtId="3" fontId="16" fillId="0" borderId="22" xfId="2" applyNumberFormat="1" applyFont="1" applyFill="1" applyBorder="1" applyAlignment="1" applyProtection="1">
      <alignment horizontal="center" vertical="center" wrapText="1"/>
      <protection locked="0"/>
    </xf>
    <xf numFmtId="3" fontId="16" fillId="0" borderId="6" xfId="2" applyNumberFormat="1" applyFont="1" applyBorder="1" applyAlignment="1">
      <alignment horizontal="left" vertical="center" wrapText="1"/>
    </xf>
    <xf numFmtId="0" fontId="15" fillId="4" borderId="6" xfId="2" applyNumberFormat="1" applyFont="1" applyFill="1" applyBorder="1" applyAlignment="1">
      <alignment horizontal="center" vertical="center" wrapText="1"/>
    </xf>
    <xf numFmtId="3" fontId="16" fillId="0" borderId="6" xfId="12" applyNumberFormat="1" applyFont="1" applyBorder="1" applyAlignment="1">
      <alignment horizontal="center" vertical="center" wrapText="1"/>
    </xf>
    <xf numFmtId="3" fontId="16" fillId="0" borderId="6" xfId="12" applyNumberFormat="1" applyFont="1" applyBorder="1" applyAlignment="1">
      <alignment horizontal="left" wrapText="1"/>
    </xf>
    <xf numFmtId="3" fontId="16" fillId="4" borderId="6" xfId="12" applyNumberFormat="1" applyFont="1" applyFill="1" applyBorder="1" applyAlignment="1">
      <alignment vertical="center" wrapText="1"/>
    </xf>
    <xf numFmtId="0" fontId="15" fillId="0" borderId="6" xfId="2" applyNumberFormat="1" applyFont="1" applyBorder="1" applyAlignment="1">
      <alignment horizontal="center" vertical="center" wrapText="1"/>
    </xf>
    <xf numFmtId="3" fontId="16" fillId="0" borderId="6" xfId="12" applyNumberFormat="1" applyFont="1" applyBorder="1" applyAlignment="1">
      <alignment vertical="center" wrapText="1"/>
    </xf>
    <xf numFmtId="3" fontId="16" fillId="4" borderId="6" xfId="12" applyNumberFormat="1" applyFont="1" applyFill="1" applyBorder="1" applyAlignment="1">
      <alignment wrapText="1"/>
    </xf>
    <xf numFmtId="0" fontId="16" fillId="0" borderId="0" xfId="2" applyNumberFormat="1" applyFont="1"/>
    <xf numFmtId="0" fontId="5" fillId="0" borderId="0" xfId="12" applyFont="1" applyFill="1"/>
    <xf numFmtId="0" fontId="5" fillId="0" borderId="0" xfId="12" applyFont="1"/>
    <xf numFmtId="0" fontId="16" fillId="0" borderId="0" xfId="2" applyFont="1" applyAlignment="1">
      <alignment horizontal="right" vertical="top"/>
    </xf>
    <xf numFmtId="0" fontId="6" fillId="0" borderId="6" xfId="2" applyFont="1" applyFill="1" applyBorder="1" applyAlignment="1" applyProtection="1">
      <alignment vertical="center" wrapText="1"/>
      <protection locked="0"/>
    </xf>
    <xf numFmtId="3" fontId="16" fillId="0" borderId="14" xfId="2" applyNumberFormat="1" applyFont="1" applyFill="1" applyBorder="1" applyAlignment="1" applyProtection="1">
      <alignment vertical="center" wrapText="1"/>
      <protection locked="0"/>
    </xf>
    <xf numFmtId="3" fontId="16" fillId="0" borderId="15" xfId="2" applyNumberFormat="1" applyFont="1" applyFill="1" applyBorder="1" applyAlignment="1" applyProtection="1">
      <alignment vertical="center" wrapText="1"/>
      <protection locked="0"/>
    </xf>
    <xf numFmtId="0" fontId="6" fillId="0" borderId="6" xfId="2" applyFont="1" applyFill="1" applyBorder="1" applyAlignment="1" applyProtection="1">
      <alignment wrapText="1"/>
      <protection locked="0"/>
    </xf>
    <xf numFmtId="0" fontId="16" fillId="0" borderId="6" xfId="2" applyFont="1" applyFill="1" applyBorder="1"/>
    <xf numFmtId="3" fontId="15" fillId="0" borderId="0" xfId="2" applyNumberFormat="1" applyFont="1" applyFill="1" applyAlignment="1">
      <alignment horizontal="center"/>
    </xf>
    <xf numFmtId="0" fontId="16" fillId="0" borderId="6" xfId="2" applyFont="1" applyBorder="1" applyAlignment="1">
      <alignment vertical="center" wrapText="1"/>
    </xf>
    <xf numFmtId="0" fontId="29" fillId="0" borderId="6" xfId="2" applyFont="1" applyFill="1" applyBorder="1" applyAlignment="1">
      <alignment vertical="center"/>
    </xf>
    <xf numFmtId="3" fontId="15" fillId="0" borderId="6" xfId="2" applyNumberFormat="1" applyFont="1" applyFill="1" applyBorder="1" applyAlignment="1">
      <alignment horizontal="center" vertical="center"/>
    </xf>
    <xf numFmtId="3" fontId="29" fillId="0" borderId="6" xfId="2" applyNumberFormat="1" applyFont="1" applyFill="1" applyBorder="1" applyAlignment="1">
      <alignment horizontal="right" vertical="center" wrapText="1"/>
    </xf>
    <xf numFmtId="0" fontId="28" fillId="0" borderId="6" xfId="2" applyFont="1" applyFill="1" applyBorder="1" applyAlignment="1">
      <alignment horizontal="right" vertical="center"/>
    </xf>
    <xf numFmtId="3" fontId="29" fillId="0" borderId="6" xfId="2" applyNumberFormat="1" applyFont="1" applyFill="1" applyBorder="1" applyAlignment="1">
      <alignment vertical="center"/>
    </xf>
    <xf numFmtId="3" fontId="16" fillId="0" borderId="0" xfId="2" applyNumberFormat="1" applyFont="1" applyFill="1" applyAlignment="1">
      <alignment vertical="center"/>
    </xf>
    <xf numFmtId="3" fontId="29" fillId="0" borderId="15" xfId="2" applyNumberFormat="1" applyFont="1" applyFill="1" applyBorder="1" applyAlignment="1">
      <alignment vertical="center" wrapText="1"/>
    </xf>
    <xf numFmtId="0" fontId="29" fillId="0" borderId="6" xfId="2" applyFont="1" applyFill="1" applyBorder="1" applyAlignment="1">
      <alignment vertical="center" wrapText="1"/>
    </xf>
    <xf numFmtId="3" fontId="15" fillId="0" borderId="22" xfId="2" applyNumberFormat="1" applyFont="1" applyFill="1" applyBorder="1" applyAlignment="1">
      <alignment horizontal="center" vertical="center" wrapText="1"/>
    </xf>
    <xf numFmtId="3" fontId="16" fillId="0" borderId="6" xfId="2" applyNumberFormat="1" applyFont="1" applyFill="1" applyBorder="1" applyAlignment="1">
      <alignment horizontal="center" wrapText="1"/>
    </xf>
    <xf numFmtId="3" fontId="6" fillId="0" borderId="6" xfId="3" applyNumberFormat="1" applyFont="1" applyFill="1" applyBorder="1" applyAlignment="1">
      <alignment vertical="top" wrapText="1"/>
    </xf>
    <xf numFmtId="3" fontId="16" fillId="0" borderId="6" xfId="2" applyNumberFormat="1" applyFont="1" applyFill="1" applyBorder="1" applyAlignment="1">
      <alignment wrapText="1"/>
    </xf>
    <xf numFmtId="0" fontId="6" fillId="0" borderId="6" xfId="3" applyFont="1" applyFill="1" applyBorder="1" applyAlignment="1" applyProtection="1">
      <alignment vertical="top" wrapText="1"/>
      <protection locked="0"/>
    </xf>
    <xf numFmtId="0" fontId="15" fillId="0" borderId="37" xfId="2" applyFont="1" applyBorder="1" applyAlignment="1">
      <alignment horizontal="right" wrapText="1"/>
    </xf>
    <xf numFmtId="3" fontId="15" fillId="0" borderId="0" xfId="2" applyNumberFormat="1" applyFont="1"/>
    <xf numFmtId="3" fontId="15" fillId="0" borderId="6" xfId="2" applyNumberFormat="1" applyFont="1" applyBorder="1" applyAlignment="1">
      <alignment horizontal="center" vertical="center"/>
    </xf>
    <xf numFmtId="3" fontId="16" fillId="4" borderId="6" xfId="3" applyNumberFormat="1" applyFont="1" applyFill="1" applyBorder="1" applyAlignment="1">
      <alignment vertical="top"/>
    </xf>
    <xf numFmtId="0" fontId="16" fillId="0" borderId="14" xfId="2" applyFont="1" applyBorder="1" applyAlignment="1" applyProtection="1">
      <alignment horizontal="right" vertical="center" wrapText="1"/>
      <protection locked="0"/>
    </xf>
    <xf numFmtId="3" fontId="16" fillId="4" borderId="6" xfId="3" applyNumberFormat="1" applyFont="1" applyFill="1" applyBorder="1" applyAlignment="1">
      <alignment vertical="top" wrapText="1"/>
    </xf>
    <xf numFmtId="0" fontId="16" fillId="0" borderId="6" xfId="2" applyFont="1" applyFill="1" applyBorder="1" applyAlignment="1">
      <alignment horizontal="center" vertical="center" wrapText="1"/>
    </xf>
    <xf numFmtId="0" fontId="16" fillId="0" borderId="0" xfId="2" applyFont="1" applyFill="1" applyBorder="1" applyAlignment="1">
      <alignment horizontal="left"/>
    </xf>
    <xf numFmtId="3" fontId="16" fillId="0" borderId="6" xfId="2" applyNumberFormat="1" applyFont="1" applyFill="1" applyBorder="1" applyAlignment="1">
      <alignment horizontal="center" vertical="center" wrapText="1"/>
    </xf>
    <xf numFmtId="3" fontId="16" fillId="0" borderId="6" xfId="2" applyNumberFormat="1" applyFont="1" applyFill="1" applyBorder="1" applyAlignment="1" applyProtection="1">
      <alignment horizontal="right" vertical="center" wrapText="1"/>
      <protection locked="0"/>
    </xf>
    <xf numFmtId="1" fontId="15" fillId="0" borderId="6" xfId="2" applyNumberFormat="1" applyFont="1" applyFill="1" applyBorder="1" applyAlignment="1" applyProtection="1">
      <alignment horizontal="center" vertical="center" wrapText="1"/>
      <protection locked="0"/>
    </xf>
    <xf numFmtId="3" fontId="16" fillId="0" borderId="6" xfId="5" applyNumberFormat="1" applyFont="1" applyBorder="1" applyAlignment="1" applyProtection="1">
      <alignment horizontal="center" vertical="center" wrapText="1"/>
      <protection locked="0"/>
    </xf>
    <xf numFmtId="0" fontId="16" fillId="0" borderId="6" xfId="5" applyFont="1" applyBorder="1" applyAlignment="1" applyProtection="1">
      <alignment vertical="center" wrapText="1"/>
      <protection locked="0"/>
    </xf>
    <xf numFmtId="0" fontId="15" fillId="0" borderId="6" xfId="5" applyFont="1" applyBorder="1" applyAlignment="1">
      <alignment vertical="center" wrapText="1"/>
    </xf>
    <xf numFmtId="0" fontId="2" fillId="0" borderId="0" xfId="15" applyFont="1"/>
    <xf numFmtId="0" fontId="4" fillId="0" borderId="0" xfId="15" applyFont="1" applyFill="1"/>
    <xf numFmtId="0" fontId="5" fillId="0" borderId="49" xfId="15" applyFont="1" applyFill="1" applyBorder="1" applyAlignment="1">
      <alignment horizontal="center" vertical="center" wrapText="1"/>
    </xf>
    <xf numFmtId="0" fontId="5" fillId="0" borderId="48" xfId="15" applyFont="1" applyFill="1" applyBorder="1" applyAlignment="1">
      <alignment horizontal="center" vertical="center" wrapText="1"/>
    </xf>
    <xf numFmtId="0" fontId="6" fillId="0" borderId="5" xfId="15" applyFont="1" applyFill="1" applyBorder="1" applyAlignment="1">
      <alignment horizontal="center" vertical="center"/>
    </xf>
    <xf numFmtId="0" fontId="6" fillId="0" borderId="14" xfId="15" applyFont="1" applyFill="1" applyBorder="1" applyAlignment="1">
      <alignment horizontal="center" vertical="center"/>
    </xf>
    <xf numFmtId="0" fontId="6" fillId="0" borderId="10" xfId="15" applyFont="1" applyFill="1" applyBorder="1" applyAlignment="1">
      <alignment horizontal="center" vertical="center"/>
    </xf>
    <xf numFmtId="0" fontId="6" fillId="0" borderId="7" xfId="15" applyFont="1" applyFill="1" applyBorder="1" applyAlignment="1">
      <alignment horizontal="center" vertical="center"/>
    </xf>
    <xf numFmtId="0" fontId="5" fillId="0" borderId="6" xfId="15" applyFont="1" applyFill="1" applyBorder="1" applyAlignment="1">
      <alignment horizontal="left" vertical="center"/>
    </xf>
    <xf numFmtId="0" fontId="6" fillId="4" borderId="5" xfId="15" applyFont="1" applyFill="1" applyBorder="1" applyAlignment="1">
      <alignment horizontal="center" vertical="center"/>
    </xf>
    <xf numFmtId="0" fontId="12" fillId="4" borderId="6" xfId="15" applyFont="1" applyFill="1" applyBorder="1" applyAlignment="1">
      <alignment horizontal="left" vertical="center"/>
    </xf>
    <xf numFmtId="3" fontId="12" fillId="4" borderId="14" xfId="15" applyNumberFormat="1" applyFont="1" applyFill="1" applyBorder="1" applyAlignment="1">
      <alignment horizontal="right" vertical="center"/>
    </xf>
    <xf numFmtId="3" fontId="12" fillId="4" borderId="5" xfId="15" applyNumberFormat="1" applyFont="1" applyFill="1" applyBorder="1" applyAlignment="1">
      <alignment horizontal="right" vertical="center"/>
    </xf>
    <xf numFmtId="3" fontId="12" fillId="4" borderId="7" xfId="15" applyNumberFormat="1" applyFont="1" applyFill="1" applyBorder="1" applyAlignment="1">
      <alignment horizontal="right" vertical="center"/>
    </xf>
    <xf numFmtId="0" fontId="5" fillId="4" borderId="6" xfId="15" applyFont="1" applyFill="1" applyBorder="1" applyAlignment="1">
      <alignment horizontal="left" vertical="center" wrapText="1"/>
    </xf>
    <xf numFmtId="0" fontId="5" fillId="4" borderId="14" xfId="15" applyFont="1" applyFill="1" applyBorder="1" applyAlignment="1">
      <alignment horizontal="right" vertical="center"/>
    </xf>
    <xf numFmtId="0" fontId="5" fillId="4" borderId="5" xfId="15" applyFont="1" applyFill="1" applyBorder="1" applyAlignment="1">
      <alignment horizontal="right" vertical="center"/>
    </xf>
    <xf numFmtId="0" fontId="5" fillId="4" borderId="7" xfId="15" applyFont="1" applyFill="1" applyBorder="1" applyAlignment="1">
      <alignment horizontal="right" vertical="center"/>
    </xf>
    <xf numFmtId="1" fontId="5" fillId="4" borderId="5" xfId="15" applyNumberFormat="1" applyFont="1" applyFill="1" applyBorder="1" applyAlignment="1">
      <alignment horizontal="right" vertical="center"/>
    </xf>
    <xf numFmtId="1" fontId="5" fillId="4" borderId="7" xfId="15" applyNumberFormat="1" applyFont="1" applyFill="1" applyBorder="1" applyAlignment="1">
      <alignment horizontal="right" vertical="center"/>
    </xf>
    <xf numFmtId="0" fontId="5" fillId="4" borderId="14" xfId="15" applyFont="1" applyFill="1" applyBorder="1" applyAlignment="1">
      <alignment horizontal="center" vertical="center"/>
    </xf>
    <xf numFmtId="0" fontId="5" fillId="4" borderId="5" xfId="15" applyFont="1" applyFill="1" applyBorder="1" applyAlignment="1">
      <alignment horizontal="center" vertical="center"/>
    </xf>
    <xf numFmtId="0" fontId="5" fillId="4" borderId="7" xfId="15" applyFont="1" applyFill="1" applyBorder="1" applyAlignment="1">
      <alignment horizontal="center" vertical="center"/>
    </xf>
    <xf numFmtId="0" fontId="5" fillId="4" borderId="6" xfId="0" applyFont="1" applyFill="1" applyBorder="1" applyAlignment="1" applyProtection="1">
      <alignment horizontal="left" vertical="center"/>
      <protection locked="0"/>
    </xf>
    <xf numFmtId="0" fontId="5" fillId="4" borderId="6" xfId="15" applyFont="1" applyFill="1" applyBorder="1" applyAlignment="1">
      <alignment horizontal="left" vertical="center"/>
    </xf>
    <xf numFmtId="0" fontId="12" fillId="4" borderId="14" xfId="15" applyFont="1" applyFill="1" applyBorder="1" applyAlignment="1">
      <alignment horizontal="center" vertical="center"/>
    </xf>
    <xf numFmtId="2" fontId="12" fillId="4" borderId="5" xfId="15" applyNumberFormat="1" applyFont="1" applyFill="1" applyBorder="1" applyAlignment="1">
      <alignment horizontal="right" vertical="center"/>
    </xf>
    <xf numFmtId="2" fontId="12" fillId="4" borderId="7" xfId="15" applyNumberFormat="1" applyFont="1" applyFill="1" applyBorder="1" applyAlignment="1">
      <alignment horizontal="right" vertical="center"/>
    </xf>
    <xf numFmtId="0" fontId="5" fillId="4" borderId="5" xfId="15" applyFont="1" applyFill="1" applyBorder="1" applyAlignment="1">
      <alignment vertical="center"/>
    </xf>
    <xf numFmtId="0" fontId="5" fillId="4" borderId="6" xfId="15" applyFont="1" applyFill="1" applyBorder="1" applyAlignment="1">
      <alignment vertical="center" wrapText="1"/>
    </xf>
    <xf numFmtId="3" fontId="5" fillId="4" borderId="14" xfId="15" applyNumberFormat="1" applyFont="1" applyFill="1" applyBorder="1" applyAlignment="1">
      <alignment horizontal="right" vertical="center"/>
    </xf>
    <xf numFmtId="3" fontId="5" fillId="4" borderId="5" xfId="15" applyNumberFormat="1" applyFont="1" applyFill="1" applyBorder="1" applyAlignment="1">
      <alignment horizontal="right" vertical="center"/>
    </xf>
    <xf numFmtId="3" fontId="5" fillId="4" borderId="7" xfId="15" applyNumberFormat="1" applyFont="1" applyFill="1" applyBorder="1" applyAlignment="1">
      <alignment horizontal="right" vertical="center"/>
    </xf>
    <xf numFmtId="0" fontId="59" fillId="4" borderId="5" xfId="15" applyFont="1" applyFill="1" applyBorder="1" applyAlignment="1">
      <alignment vertical="center"/>
    </xf>
    <xf numFmtId="0" fontId="12" fillId="4" borderId="6" xfId="15" applyFont="1" applyFill="1" applyBorder="1" applyAlignment="1">
      <alignment vertical="center"/>
    </xf>
    <xf numFmtId="3" fontId="12" fillId="4" borderId="14" xfId="15" applyNumberFormat="1" applyFont="1" applyFill="1" applyBorder="1" applyAlignment="1">
      <alignment vertical="center"/>
    </xf>
    <xf numFmtId="3" fontId="12" fillId="4" borderId="5" xfId="15" applyNumberFormat="1" applyFont="1" applyFill="1" applyBorder="1" applyAlignment="1">
      <alignment vertical="center"/>
    </xf>
    <xf numFmtId="3" fontId="12" fillId="4" borderId="7" xfId="15" applyNumberFormat="1" applyFont="1" applyFill="1" applyBorder="1" applyAlignment="1">
      <alignment vertical="center"/>
    </xf>
    <xf numFmtId="3" fontId="2" fillId="0" borderId="0" xfId="15" applyNumberFormat="1" applyFont="1"/>
    <xf numFmtId="0" fontId="12" fillId="4" borderId="5" xfId="15" applyFont="1" applyFill="1" applyBorder="1" applyAlignment="1">
      <alignment vertical="center"/>
    </xf>
    <xf numFmtId="0" fontId="12" fillId="4" borderId="5" xfId="15" applyFont="1" applyFill="1" applyBorder="1" applyAlignment="1">
      <alignment horizontal="left" vertical="center"/>
    </xf>
    <xf numFmtId="0" fontId="12" fillId="4" borderId="5" xfId="15" applyFont="1" applyFill="1" applyBorder="1" applyAlignment="1">
      <alignment horizontal="right" vertical="center"/>
    </xf>
    <xf numFmtId="0" fontId="5" fillId="0" borderId="0" xfId="15" applyFont="1"/>
    <xf numFmtId="0" fontId="5" fillId="4" borderId="6" xfId="15" applyFont="1" applyFill="1" applyBorder="1" applyAlignment="1">
      <alignment vertical="center"/>
    </xf>
    <xf numFmtId="0" fontId="5" fillId="4" borderId="6" xfId="16" applyFont="1" applyFill="1" applyBorder="1" applyAlignment="1">
      <alignment vertical="center" wrapText="1"/>
    </xf>
    <xf numFmtId="0" fontId="12" fillId="4" borderId="6" xfId="15" applyFont="1" applyFill="1" applyBorder="1" applyAlignment="1">
      <alignment vertical="center" wrapText="1"/>
    </xf>
    <xf numFmtId="2" fontId="5" fillId="4" borderId="6" xfId="15" applyNumberFormat="1" applyFont="1" applyFill="1" applyBorder="1" applyAlignment="1">
      <alignment vertical="center" wrapText="1"/>
    </xf>
    <xf numFmtId="3" fontId="5" fillId="4" borderId="5" xfId="15" applyNumberFormat="1" applyFont="1" applyFill="1" applyBorder="1" applyAlignment="1">
      <alignment vertical="center"/>
    </xf>
    <xf numFmtId="3" fontId="5" fillId="4" borderId="7" xfId="15" applyNumberFormat="1" applyFont="1" applyFill="1" applyBorder="1" applyAlignment="1">
      <alignment vertical="center"/>
    </xf>
    <xf numFmtId="0" fontId="5" fillId="4" borderId="6" xfId="15" applyFont="1" applyFill="1" applyBorder="1" applyAlignment="1" applyProtection="1">
      <alignment horizontal="left" vertical="center" wrapText="1"/>
    </xf>
    <xf numFmtId="3" fontId="5" fillId="0" borderId="0" xfId="15" applyNumberFormat="1" applyFont="1"/>
    <xf numFmtId="171" fontId="12" fillId="4" borderId="5" xfId="15" applyNumberFormat="1" applyFont="1" applyFill="1" applyBorder="1" applyAlignment="1">
      <alignment vertical="center"/>
    </xf>
    <xf numFmtId="172" fontId="12" fillId="4" borderId="7" xfId="15" applyNumberFormat="1" applyFont="1" applyFill="1" applyBorder="1" applyAlignment="1">
      <alignment vertical="center"/>
    </xf>
    <xf numFmtId="0" fontId="5" fillId="4" borderId="23" xfId="15" applyFont="1" applyFill="1" applyBorder="1" applyAlignment="1">
      <alignment vertical="center"/>
    </xf>
    <xf numFmtId="0" fontId="5" fillId="4" borderId="25" xfId="15" applyFont="1" applyFill="1" applyBorder="1" applyAlignment="1">
      <alignment vertical="center"/>
    </xf>
    <xf numFmtId="3" fontId="5" fillId="4" borderId="50" xfId="15" applyNumberFormat="1" applyFont="1" applyFill="1" applyBorder="1" applyAlignment="1">
      <alignment horizontal="right" vertical="center"/>
    </xf>
    <xf numFmtId="3" fontId="5" fillId="4" borderId="23" xfId="15" applyNumberFormat="1" applyFont="1" applyFill="1" applyBorder="1" applyAlignment="1">
      <alignment vertical="center"/>
    </xf>
    <xf numFmtId="3" fontId="5" fillId="4" borderId="26" xfId="15" applyNumberFormat="1" applyFont="1" applyFill="1" applyBorder="1" applyAlignment="1">
      <alignment vertical="center"/>
    </xf>
    <xf numFmtId="0" fontId="5" fillId="0" borderId="0" xfId="15" applyFont="1" applyAlignment="1">
      <alignment horizontal="left"/>
    </xf>
    <xf numFmtId="0" fontId="16" fillId="0" borderId="0" xfId="15" applyFont="1" applyAlignment="1">
      <alignment horizontal="left"/>
    </xf>
    <xf numFmtId="0" fontId="16" fillId="0" borderId="0" xfId="15" applyFont="1"/>
    <xf numFmtId="1" fontId="15" fillId="0" borderId="6" xfId="2" applyNumberFormat="1" applyFont="1" applyFill="1" applyBorder="1" applyAlignment="1" applyProtection="1">
      <alignment horizontal="center" vertical="center" wrapText="1"/>
      <protection locked="0"/>
    </xf>
    <xf numFmtId="0" fontId="15" fillId="0" borderId="14" xfId="0" applyFont="1" applyBorder="1" applyAlignment="1">
      <alignment horizontal="center" vertical="center" wrapText="1"/>
    </xf>
    <xf numFmtId="0" fontId="15" fillId="0" borderId="6" xfId="0" applyFont="1" applyBorder="1" applyAlignment="1">
      <alignment vertical="center" wrapText="1"/>
    </xf>
    <xf numFmtId="0" fontId="16" fillId="0" borderId="39" xfId="0" applyFont="1" applyBorder="1" applyAlignment="1">
      <alignment vertical="center"/>
    </xf>
    <xf numFmtId="0" fontId="15" fillId="0" borderId="6" xfId="5" applyFont="1" applyFill="1" applyBorder="1" applyAlignment="1">
      <alignment vertical="center" wrapText="1"/>
    </xf>
    <xf numFmtId="3" fontId="16" fillId="0" borderId="6" xfId="5" applyNumberFormat="1" applyFont="1" applyBorder="1" applyAlignment="1">
      <alignment horizontal="center" vertical="center" wrapText="1"/>
    </xf>
    <xf numFmtId="3" fontId="16" fillId="0" borderId="6" xfId="5" applyNumberFormat="1" applyFont="1" applyFill="1" applyBorder="1" applyAlignment="1" applyProtection="1">
      <alignment horizontal="right"/>
      <protection locked="0"/>
    </xf>
    <xf numFmtId="0" fontId="1" fillId="0" borderId="0" xfId="17"/>
    <xf numFmtId="0" fontId="2" fillId="0" borderId="0" xfId="5"/>
    <xf numFmtId="0" fontId="6" fillId="0" borderId="51" xfId="2" applyFont="1" applyFill="1" applyBorder="1" applyAlignment="1">
      <alignment wrapText="1"/>
    </xf>
    <xf numFmtId="0" fontId="5" fillId="0" borderId="51" xfId="2" applyFont="1" applyFill="1" applyBorder="1" applyAlignment="1">
      <alignment horizontal="right" vertical="justify" wrapText="1"/>
    </xf>
    <xf numFmtId="3" fontId="5" fillId="0" borderId="51" xfId="2" applyNumberFormat="1" applyFont="1" applyBorder="1" applyAlignment="1">
      <alignment wrapText="1"/>
    </xf>
    <xf numFmtId="0" fontId="2" fillId="0" borderId="51" xfId="2" applyFont="1" applyBorder="1" applyAlignment="1">
      <alignment wrapText="1"/>
    </xf>
    <xf numFmtId="0" fontId="2" fillId="0" borderId="51" xfId="2" applyFont="1" applyFill="1" applyBorder="1" applyAlignment="1">
      <alignment wrapText="1"/>
    </xf>
    <xf numFmtId="0" fontId="7" fillId="0" borderId="52" xfId="2" applyFont="1" applyFill="1" applyBorder="1" applyAlignment="1">
      <alignment horizontal="center" vertical="center" wrapText="1"/>
    </xf>
    <xf numFmtId="0" fontId="7" fillId="0" borderId="53" xfId="2" applyFont="1" applyFill="1" applyBorder="1" applyAlignment="1">
      <alignment horizontal="center" vertical="center" wrapText="1"/>
    </xf>
    <xf numFmtId="3" fontId="7" fillId="0" borderId="53" xfId="2" applyNumberFormat="1" applyFont="1" applyFill="1" applyBorder="1" applyAlignment="1">
      <alignment horizontal="center" vertical="center" wrapText="1"/>
    </xf>
    <xf numFmtId="0" fontId="7" fillId="0" borderId="54" xfId="2" applyFont="1" applyFill="1" applyBorder="1" applyAlignment="1">
      <alignment horizontal="center" vertical="center" wrapText="1"/>
    </xf>
    <xf numFmtId="0" fontId="7" fillId="0" borderId="55" xfId="2" applyFont="1" applyFill="1" applyBorder="1" applyAlignment="1">
      <alignment horizontal="center" vertical="center" wrapText="1"/>
    </xf>
    <xf numFmtId="0" fontId="7" fillId="0" borderId="56" xfId="2" applyFont="1" applyFill="1" applyBorder="1" applyAlignment="1">
      <alignment horizontal="center" vertical="center" wrapText="1"/>
    </xf>
    <xf numFmtId="0" fontId="7" fillId="0" borderId="57" xfId="2" applyFont="1" applyFill="1" applyBorder="1" applyAlignment="1">
      <alignment horizontal="center" vertical="center" wrapText="1"/>
    </xf>
    <xf numFmtId="0" fontId="7" fillId="0" borderId="58" xfId="2" applyFont="1" applyFill="1" applyBorder="1" applyAlignment="1">
      <alignment vertical="center" wrapText="1"/>
    </xf>
    <xf numFmtId="0" fontId="7" fillId="0" borderId="59" xfId="2" applyFont="1" applyFill="1" applyBorder="1" applyAlignment="1">
      <alignment vertical="center" wrapText="1"/>
    </xf>
    <xf numFmtId="0" fontId="7" fillId="0" borderId="59" xfId="2" applyFont="1" applyFill="1" applyBorder="1" applyAlignment="1">
      <alignment horizontal="center" vertical="center" wrapText="1"/>
    </xf>
    <xf numFmtId="3" fontId="61" fillId="0" borderId="59" xfId="2" applyNumberFormat="1" applyFont="1" applyFill="1" applyBorder="1" applyAlignment="1">
      <alignment wrapText="1"/>
    </xf>
    <xf numFmtId="3" fontId="61" fillId="0" borderId="60" xfId="2" applyNumberFormat="1" applyFont="1" applyFill="1" applyBorder="1" applyAlignment="1">
      <alignment wrapText="1"/>
    </xf>
    <xf numFmtId="3" fontId="61" fillId="0" borderId="61" xfId="2" applyNumberFormat="1" applyFont="1" applyFill="1" applyBorder="1" applyAlignment="1">
      <alignment wrapText="1"/>
    </xf>
    <xf numFmtId="0" fontId="7" fillId="0" borderId="62" xfId="2" applyFont="1" applyFill="1" applyBorder="1" applyAlignment="1">
      <alignment vertical="center" wrapText="1"/>
    </xf>
    <xf numFmtId="0" fontId="7" fillId="0" borderId="44" xfId="2" applyFont="1" applyFill="1" applyBorder="1" applyAlignment="1">
      <alignment vertical="center" wrapText="1"/>
    </xf>
    <xf numFmtId="0" fontId="7" fillId="8" borderId="44" xfId="2" applyFont="1" applyFill="1" applyBorder="1" applyAlignment="1">
      <alignment horizontal="left" vertical="center" wrapText="1"/>
    </xf>
    <xf numFmtId="10" fontId="7" fillId="8" borderId="44" xfId="2" applyNumberFormat="1" applyFont="1" applyFill="1" applyBorder="1" applyAlignment="1">
      <alignment wrapText="1"/>
    </xf>
    <xf numFmtId="10" fontId="7" fillId="8" borderId="41" xfId="2" applyNumberFormat="1" applyFont="1" applyFill="1" applyBorder="1" applyAlignment="1">
      <alignment wrapText="1"/>
    </xf>
    <xf numFmtId="10" fontId="7" fillId="9" borderId="61" xfId="2" applyNumberFormat="1" applyFont="1" applyFill="1" applyBorder="1" applyAlignment="1">
      <alignment wrapText="1"/>
    </xf>
    <xf numFmtId="3" fontId="61" fillId="0" borderId="44" xfId="2" applyNumberFormat="1" applyFont="1" applyFill="1" applyBorder="1" applyAlignment="1">
      <alignment wrapText="1"/>
    </xf>
    <xf numFmtId="3" fontId="61" fillId="0" borderId="41" xfId="2" applyNumberFormat="1" applyFont="1" applyFill="1" applyBorder="1" applyAlignment="1">
      <alignment wrapText="1"/>
    </xf>
    <xf numFmtId="3" fontId="4" fillId="0" borderId="44" xfId="2" applyNumberFormat="1" applyFont="1" applyBorder="1" applyAlignment="1">
      <alignment wrapText="1"/>
    </xf>
    <xf numFmtId="3" fontId="4" fillId="0" borderId="41" xfId="2" applyNumberFormat="1" applyFont="1" applyBorder="1" applyAlignment="1">
      <alignment wrapText="1"/>
    </xf>
    <xf numFmtId="3" fontId="4" fillId="0" borderId="61" xfId="2" applyNumberFormat="1" applyFont="1" applyFill="1" applyBorder="1" applyAlignment="1">
      <alignment wrapText="1"/>
    </xf>
    <xf numFmtId="10" fontId="20" fillId="0" borderId="44" xfId="2" applyNumberFormat="1" applyFont="1" applyFill="1" applyBorder="1" applyAlignment="1">
      <alignment wrapText="1"/>
    </xf>
    <xf numFmtId="10" fontId="20" fillId="0" borderId="41" xfId="2" applyNumberFormat="1" applyFont="1" applyFill="1" applyBorder="1" applyAlignment="1">
      <alignment wrapText="1"/>
    </xf>
    <xf numFmtId="10" fontId="20" fillId="0" borderId="61" xfId="2" applyNumberFormat="1" applyFont="1" applyFill="1" applyBorder="1" applyAlignment="1">
      <alignment wrapText="1"/>
    </xf>
    <xf numFmtId="10" fontId="20" fillId="0" borderId="63" xfId="2" applyNumberFormat="1" applyFont="1" applyFill="1" applyBorder="1" applyAlignment="1">
      <alignment wrapText="1"/>
    </xf>
    <xf numFmtId="0" fontId="7" fillId="0" borderId="64" xfId="2" applyFont="1" applyFill="1" applyBorder="1" applyAlignment="1">
      <alignment vertical="center" wrapText="1"/>
    </xf>
    <xf numFmtId="0" fontId="7" fillId="0" borderId="65" xfId="2" applyFont="1" applyFill="1" applyBorder="1" applyAlignment="1">
      <alignment vertical="center" wrapText="1"/>
    </xf>
    <xf numFmtId="0" fontId="7" fillId="0" borderId="65" xfId="2" applyFont="1" applyFill="1" applyBorder="1" applyAlignment="1">
      <alignment horizontal="center" vertical="center" wrapText="1"/>
    </xf>
    <xf numFmtId="3" fontId="61" fillId="0" borderId="65" xfId="2" applyNumberFormat="1" applyFont="1" applyFill="1" applyBorder="1" applyAlignment="1">
      <alignment wrapText="1"/>
    </xf>
    <xf numFmtId="3" fontId="61" fillId="0" borderId="66" xfId="2" applyNumberFormat="1" applyFont="1" applyFill="1" applyBorder="1" applyAlignment="1">
      <alignment wrapText="1"/>
    </xf>
    <xf numFmtId="3" fontId="7" fillId="3" borderId="67" xfId="2" applyNumberFormat="1" applyFont="1" applyFill="1" applyBorder="1" applyAlignment="1">
      <alignment horizontal="center" wrapText="1"/>
    </xf>
    <xf numFmtId="0" fontId="7" fillId="10" borderId="68" xfId="2" applyFont="1" applyFill="1" applyBorder="1" applyAlignment="1">
      <alignment horizontal="center" vertical="center" wrapText="1"/>
    </xf>
    <xf numFmtId="0" fontId="7" fillId="10" borderId="68" xfId="2" applyFont="1" applyFill="1" applyBorder="1" applyAlignment="1">
      <alignment horizontal="center" wrapText="1"/>
    </xf>
    <xf numFmtId="3" fontId="7" fillId="10" borderId="68" xfId="2" applyNumberFormat="1" applyFont="1" applyFill="1" applyBorder="1" applyAlignment="1">
      <alignment horizontal="center" vertical="center" wrapText="1"/>
    </xf>
    <xf numFmtId="3" fontId="7" fillId="10" borderId="69" xfId="2" applyNumberFormat="1" applyFont="1" applyFill="1" applyBorder="1" applyAlignment="1">
      <alignment horizontal="center" vertical="center" wrapText="1"/>
    </xf>
    <xf numFmtId="3" fontId="7" fillId="10" borderId="70" xfId="2" applyNumberFormat="1" applyFont="1" applyFill="1" applyBorder="1" applyAlignment="1">
      <alignment horizontal="center" vertical="center" wrapText="1"/>
    </xf>
    <xf numFmtId="3" fontId="7" fillId="0" borderId="71" xfId="2" applyNumberFormat="1" applyFont="1" applyFill="1" applyBorder="1" applyAlignment="1">
      <alignment horizontal="center" wrapText="1"/>
    </xf>
    <xf numFmtId="0" fontId="7" fillId="0" borderId="72" xfId="2" applyFont="1" applyFill="1" applyBorder="1" applyAlignment="1">
      <alignment horizontal="center" wrapText="1"/>
    </xf>
    <xf numFmtId="3" fontId="4" fillId="0" borderId="72" xfId="2" applyNumberFormat="1" applyFont="1" applyFill="1" applyBorder="1" applyAlignment="1">
      <alignment horizontal="right" wrapText="1"/>
    </xf>
    <xf numFmtId="3" fontId="4" fillId="0" borderId="73" xfId="2" applyNumberFormat="1" applyFont="1" applyFill="1" applyBorder="1" applyAlignment="1">
      <alignment horizontal="right" wrapText="1"/>
    </xf>
    <xf numFmtId="3" fontId="4" fillId="0" borderId="74" xfId="2" applyNumberFormat="1" applyFont="1" applyFill="1" applyBorder="1" applyAlignment="1">
      <alignment horizontal="right" wrapText="1"/>
    </xf>
    <xf numFmtId="3" fontId="7" fillId="0" borderId="75" xfId="2" applyNumberFormat="1" applyFont="1" applyFill="1" applyBorder="1" applyAlignment="1">
      <alignment horizontal="center" wrapText="1"/>
    </xf>
    <xf numFmtId="0" fontId="7" fillId="0" borderId="76" xfId="2" applyFont="1" applyFill="1" applyBorder="1" applyAlignment="1">
      <alignment horizontal="center" vertical="center" wrapText="1"/>
    </xf>
    <xf numFmtId="0" fontId="4" fillId="0" borderId="76" xfId="2" applyFont="1" applyFill="1" applyBorder="1" applyAlignment="1">
      <alignment horizontal="center" wrapText="1"/>
    </xf>
    <xf numFmtId="3" fontId="4" fillId="0" borderId="76" xfId="2" applyNumberFormat="1" applyFont="1" applyFill="1" applyBorder="1" applyAlignment="1">
      <alignment horizontal="right" wrapText="1"/>
    </xf>
    <xf numFmtId="3" fontId="4" fillId="0" borderId="12" xfId="2" applyNumberFormat="1" applyFont="1" applyFill="1" applyBorder="1" applyAlignment="1">
      <alignment horizontal="right" wrapText="1"/>
    </xf>
    <xf numFmtId="3" fontId="4" fillId="0" borderId="77" xfId="2" applyNumberFormat="1" applyFont="1" applyFill="1" applyBorder="1" applyAlignment="1">
      <alignment horizontal="right" wrapText="1"/>
    </xf>
    <xf numFmtId="3" fontId="4" fillId="0" borderId="78" xfId="2" applyNumberFormat="1" applyFont="1" applyFill="1" applyBorder="1" applyAlignment="1">
      <alignment horizontal="right" wrapText="1"/>
    </xf>
    <xf numFmtId="0" fontId="7" fillId="0" borderId="72" xfId="2" applyFont="1" applyFill="1" applyBorder="1" applyAlignment="1">
      <alignment horizontal="center" vertical="center" wrapText="1"/>
    </xf>
    <xf numFmtId="3" fontId="4" fillId="0" borderId="73" xfId="2" applyNumberFormat="1" applyFont="1" applyFill="1" applyBorder="1" applyAlignment="1">
      <alignment wrapText="1"/>
    </xf>
    <xf numFmtId="3" fontId="4" fillId="0" borderId="72" xfId="2" applyNumberFormat="1" applyFont="1" applyFill="1" applyBorder="1" applyAlignment="1">
      <alignment wrapText="1"/>
    </xf>
    <xf numFmtId="3" fontId="4" fillId="0" borderId="74" xfId="2" applyNumberFormat="1" applyFont="1" applyFill="1" applyBorder="1" applyAlignment="1">
      <alignment wrapText="1"/>
    </xf>
    <xf numFmtId="0" fontId="7" fillId="0" borderId="76" xfId="2" applyFont="1" applyFill="1" applyBorder="1" applyAlignment="1">
      <alignment horizontal="center" wrapText="1"/>
    </xf>
    <xf numFmtId="0" fontId="4" fillId="0" borderId="76" xfId="2" applyFont="1" applyFill="1" applyBorder="1" applyAlignment="1">
      <alignment horizontal="center" vertical="center" wrapText="1"/>
    </xf>
    <xf numFmtId="3" fontId="4" fillId="0" borderId="77" xfId="2" applyNumberFormat="1" applyFont="1" applyFill="1" applyBorder="1" applyAlignment="1">
      <alignment wrapText="1"/>
    </xf>
    <xf numFmtId="3" fontId="4" fillId="0" borderId="76" xfId="2" applyNumberFormat="1" applyFont="1" applyFill="1" applyBorder="1" applyAlignment="1">
      <alignment wrapText="1"/>
    </xf>
    <xf numFmtId="3" fontId="4" fillId="0" borderId="78" xfId="2" applyNumberFormat="1" applyFont="1" applyFill="1" applyBorder="1" applyAlignment="1">
      <alignment wrapText="1"/>
    </xf>
    <xf numFmtId="3" fontId="7" fillId="0" borderId="79" xfId="2" applyNumberFormat="1" applyFont="1" applyFill="1" applyBorder="1" applyAlignment="1">
      <alignment horizontal="center" wrapText="1"/>
    </xf>
    <xf numFmtId="0" fontId="7" fillId="0" borderId="80" xfId="2" applyFont="1" applyFill="1" applyBorder="1" applyAlignment="1">
      <alignment horizontal="center" wrapText="1"/>
    </xf>
    <xf numFmtId="3" fontId="4" fillId="0" borderId="80" xfId="2" applyNumberFormat="1" applyFont="1" applyFill="1" applyBorder="1" applyAlignment="1">
      <alignment wrapText="1"/>
    </xf>
    <xf numFmtId="3" fontId="4" fillId="0" borderId="81" xfId="2" applyNumberFormat="1" applyFont="1" applyFill="1" applyBorder="1" applyAlignment="1">
      <alignment wrapText="1"/>
    </xf>
    <xf numFmtId="3" fontId="4" fillId="0" borderId="82" xfId="2" applyNumberFormat="1" applyFont="1" applyFill="1" applyBorder="1" applyAlignment="1">
      <alignment wrapText="1"/>
    </xf>
    <xf numFmtId="3" fontId="62" fillId="0" borderId="73" xfId="2" applyNumberFormat="1" applyFont="1" applyFill="1" applyBorder="1" applyAlignment="1">
      <alignment wrapText="1"/>
    </xf>
    <xf numFmtId="0" fontId="2" fillId="0" borderId="0" xfId="2" applyFill="1" applyBorder="1" applyAlignment="1">
      <alignment wrapText="1"/>
    </xf>
    <xf numFmtId="0" fontId="4" fillId="0" borderId="72" xfId="2" applyFont="1" applyFill="1" applyBorder="1" applyAlignment="1">
      <alignment wrapText="1"/>
    </xf>
    <xf numFmtId="3" fontId="7" fillId="0" borderId="83" xfId="2" applyNumberFormat="1" applyFont="1" applyFill="1" applyBorder="1" applyAlignment="1">
      <alignment horizontal="center" wrapText="1"/>
    </xf>
    <xf numFmtId="0" fontId="7" fillId="0" borderId="84" xfId="2" applyFont="1" applyFill="1" applyBorder="1" applyAlignment="1">
      <alignment horizontal="center" vertical="center" wrapText="1"/>
    </xf>
    <xf numFmtId="0" fontId="4" fillId="0" borderId="84" xfId="2" applyFont="1" applyFill="1" applyBorder="1" applyAlignment="1">
      <alignment horizontal="center" vertical="center" wrapText="1"/>
    </xf>
    <xf numFmtId="3" fontId="4" fillId="0" borderId="84" xfId="2" applyNumberFormat="1" applyFont="1" applyFill="1" applyBorder="1" applyAlignment="1">
      <alignment horizontal="right" wrapText="1"/>
    </xf>
    <xf numFmtId="3" fontId="4" fillId="0" borderId="85" xfId="2" applyNumberFormat="1" applyFont="1" applyFill="1" applyBorder="1" applyAlignment="1">
      <alignment horizontal="right" wrapText="1"/>
    </xf>
    <xf numFmtId="0" fontId="7" fillId="0" borderId="80" xfId="2" applyFont="1" applyFill="1" applyBorder="1" applyAlignment="1">
      <alignment horizontal="center" vertical="center" wrapText="1"/>
    </xf>
    <xf numFmtId="0" fontId="4" fillId="0" borderId="80" xfId="2" applyFont="1" applyFill="1" applyBorder="1" applyAlignment="1">
      <alignment horizontal="center" vertical="center" wrapText="1"/>
    </xf>
    <xf numFmtId="3" fontId="4" fillId="0" borderId="81" xfId="2" applyNumberFormat="1" applyFont="1" applyFill="1" applyBorder="1" applyAlignment="1">
      <alignment horizontal="right" wrapText="1"/>
    </xf>
    <xf numFmtId="3" fontId="4" fillId="0" borderId="80" xfId="2" applyNumberFormat="1" applyFont="1" applyFill="1" applyBorder="1" applyAlignment="1">
      <alignment horizontal="right" wrapText="1"/>
    </xf>
    <xf numFmtId="3" fontId="4" fillId="0" borderId="82" xfId="2" applyNumberFormat="1" applyFont="1" applyFill="1" applyBorder="1" applyAlignment="1">
      <alignment horizontal="right" wrapText="1"/>
    </xf>
    <xf numFmtId="3" fontId="7" fillId="0" borderId="86" xfId="2" applyNumberFormat="1" applyFont="1" applyFill="1" applyBorder="1" applyAlignment="1">
      <alignment horizontal="center" wrapText="1"/>
    </xf>
    <xf numFmtId="0" fontId="7" fillId="0" borderId="87" xfId="2" applyFont="1" applyFill="1" applyBorder="1" applyAlignment="1">
      <alignment horizontal="center" wrapText="1"/>
    </xf>
    <xf numFmtId="0" fontId="7" fillId="0" borderId="87" xfId="2" applyFont="1" applyFill="1" applyBorder="1" applyAlignment="1">
      <alignment horizontal="center" vertical="center" wrapText="1"/>
    </xf>
    <xf numFmtId="3" fontId="4" fillId="0" borderId="87" xfId="2" applyNumberFormat="1" applyFont="1" applyFill="1" applyBorder="1" applyAlignment="1">
      <alignment wrapText="1"/>
    </xf>
    <xf numFmtId="3" fontId="4" fillId="0" borderId="88" xfId="2" applyNumberFormat="1" applyFont="1" applyFill="1" applyBorder="1" applyAlignment="1">
      <alignment wrapText="1"/>
    </xf>
    <xf numFmtId="3" fontId="4" fillId="0" borderId="89" xfId="2" applyNumberFormat="1" applyFont="1" applyFill="1" applyBorder="1" applyAlignment="1">
      <alignment wrapText="1"/>
    </xf>
    <xf numFmtId="0" fontId="7" fillId="0" borderId="80" xfId="2" applyFont="1" applyFill="1" applyBorder="1" applyAlignment="1">
      <alignment wrapText="1"/>
    </xf>
    <xf numFmtId="0" fontId="7" fillId="0" borderId="84" xfId="2" applyFont="1" applyFill="1" applyBorder="1" applyAlignment="1">
      <alignment horizontal="center" wrapText="1"/>
    </xf>
    <xf numFmtId="3" fontId="4" fillId="0" borderId="12" xfId="2" applyNumberFormat="1" applyFont="1" applyFill="1" applyBorder="1" applyAlignment="1">
      <alignment wrapText="1"/>
    </xf>
    <xf numFmtId="3" fontId="4" fillId="0" borderId="84" xfId="2" applyNumberFormat="1" applyFont="1" applyFill="1" applyBorder="1" applyAlignment="1">
      <alignment wrapText="1"/>
    </xf>
    <xf numFmtId="3" fontId="4" fillId="0" borderId="85" xfId="2" applyNumberFormat="1" applyFont="1" applyFill="1" applyBorder="1" applyAlignment="1">
      <alignment wrapText="1"/>
    </xf>
    <xf numFmtId="0" fontId="2" fillId="0" borderId="0" xfId="2" applyFill="1" applyBorder="1" applyAlignment="1">
      <alignment vertical="center"/>
    </xf>
    <xf numFmtId="0" fontId="2" fillId="0" borderId="0" xfId="2" applyFill="1" applyBorder="1" applyAlignment="1"/>
    <xf numFmtId="3" fontId="7" fillId="0" borderId="52" xfId="2" applyNumberFormat="1" applyFont="1" applyFill="1" applyBorder="1" applyAlignment="1">
      <alignment horizontal="center" wrapText="1"/>
    </xf>
    <xf numFmtId="0" fontId="7" fillId="0" borderId="53" xfId="2" applyFont="1" applyFill="1" applyBorder="1" applyAlignment="1">
      <alignment horizontal="center" wrapText="1"/>
    </xf>
    <xf numFmtId="3" fontId="4" fillId="0" borderId="56" xfId="2" applyNumberFormat="1" applyFont="1" applyFill="1" applyBorder="1" applyAlignment="1">
      <alignment wrapText="1"/>
    </xf>
    <xf numFmtId="3" fontId="4" fillId="0" borderId="53" xfId="2" applyNumberFormat="1" applyFont="1" applyFill="1" applyBorder="1" applyAlignment="1">
      <alignment wrapText="1"/>
    </xf>
    <xf numFmtId="3" fontId="4" fillId="0" borderId="57" xfId="2" applyNumberFormat="1" applyFont="1" applyFill="1" applyBorder="1" applyAlignment="1">
      <alignment wrapText="1"/>
    </xf>
    <xf numFmtId="3" fontId="7" fillId="0" borderId="90" xfId="2" applyNumberFormat="1" applyFont="1" applyFill="1" applyBorder="1" applyAlignment="1">
      <alignment horizontal="center" wrapText="1"/>
    </xf>
    <xf numFmtId="0" fontId="7" fillId="0" borderId="91" xfId="2" applyFont="1" applyFill="1" applyBorder="1" applyAlignment="1">
      <alignment horizontal="center" wrapText="1"/>
    </xf>
    <xf numFmtId="3" fontId="4" fillId="0" borderId="92" xfId="2" applyNumberFormat="1" applyFont="1" applyFill="1" applyBorder="1" applyAlignment="1">
      <alignment wrapText="1"/>
    </xf>
    <xf numFmtId="3" fontId="4" fillId="0" borderId="91" xfId="2" applyNumberFormat="1" applyFont="1" applyFill="1" applyBorder="1" applyAlignment="1">
      <alignment wrapText="1"/>
    </xf>
    <xf numFmtId="3" fontId="4" fillId="0" borderId="93" xfId="2" applyNumberFormat="1" applyFont="1" applyFill="1" applyBorder="1" applyAlignment="1">
      <alignment wrapText="1"/>
    </xf>
    <xf numFmtId="3" fontId="7" fillId="3" borderId="75" xfId="2" applyNumberFormat="1" applyFont="1" applyFill="1" applyBorder="1" applyAlignment="1">
      <alignment horizontal="center" wrapText="1"/>
    </xf>
    <xf numFmtId="0" fontId="7" fillId="10" borderId="76" xfId="2" applyFont="1" applyFill="1" applyBorder="1" applyAlignment="1">
      <alignment horizontal="center" vertical="center" wrapText="1"/>
    </xf>
    <xf numFmtId="3" fontId="7" fillId="10" borderId="51" xfId="2" applyNumberFormat="1" applyFont="1" applyFill="1" applyBorder="1" applyAlignment="1">
      <alignment horizontal="center" vertical="center" wrapText="1"/>
    </xf>
    <xf numFmtId="3" fontId="4" fillId="3" borderId="77" xfId="2" applyNumberFormat="1" applyFont="1" applyFill="1" applyBorder="1" applyAlignment="1">
      <alignment wrapText="1"/>
    </xf>
    <xf numFmtId="3" fontId="4" fillId="3" borderId="76" xfId="2" applyNumberFormat="1" applyFont="1" applyFill="1" applyBorder="1" applyAlignment="1">
      <alignment wrapText="1"/>
    </xf>
    <xf numFmtId="3" fontId="4" fillId="3" borderId="69" xfId="2" applyNumberFormat="1" applyFont="1" applyFill="1" applyBorder="1" applyAlignment="1">
      <alignment wrapText="1"/>
    </xf>
    <xf numFmtId="3" fontId="4" fillId="3" borderId="68" xfId="2" applyNumberFormat="1" applyFont="1" applyFill="1" applyBorder="1" applyAlignment="1">
      <alignment wrapText="1"/>
    </xf>
    <xf numFmtId="3" fontId="4" fillId="3" borderId="70" xfId="2" applyNumberFormat="1" applyFont="1" applyFill="1" applyBorder="1" applyAlignment="1">
      <alignment wrapText="1"/>
    </xf>
    <xf numFmtId="3" fontId="7" fillId="4" borderId="72" xfId="2" applyNumberFormat="1" applyFont="1" applyFill="1" applyBorder="1" applyAlignment="1">
      <alignment horizontal="center" wrapText="1"/>
    </xf>
    <xf numFmtId="0" fontId="7" fillId="0" borderId="73" xfId="2" applyFont="1" applyFill="1" applyBorder="1" applyAlignment="1">
      <alignment horizontal="center" wrapText="1"/>
    </xf>
    <xf numFmtId="3" fontId="4" fillId="0" borderId="48" xfId="2" applyNumberFormat="1" applyFont="1" applyFill="1" applyBorder="1" applyAlignment="1">
      <alignment wrapText="1"/>
    </xf>
    <xf numFmtId="3" fontId="4" fillId="0" borderId="94" xfId="2" applyNumberFormat="1" applyFont="1" applyFill="1" applyBorder="1" applyAlignment="1">
      <alignment wrapText="1"/>
    </xf>
    <xf numFmtId="3" fontId="7" fillId="4" borderId="76" xfId="2" applyNumberFormat="1" applyFont="1" applyFill="1" applyBorder="1" applyAlignment="1">
      <alignment horizontal="center" wrapText="1"/>
    </xf>
    <xf numFmtId="3" fontId="7" fillId="4" borderId="71" xfId="2" applyNumberFormat="1" applyFont="1" applyFill="1" applyBorder="1" applyAlignment="1">
      <alignment horizontal="center" wrapText="1"/>
    </xf>
    <xf numFmtId="0" fontId="7" fillId="4" borderId="72" xfId="2" applyFont="1" applyFill="1" applyBorder="1" applyAlignment="1">
      <alignment horizontal="center" wrapText="1"/>
    </xf>
    <xf numFmtId="3" fontId="4" fillId="4" borderId="73" xfId="2" applyNumberFormat="1" applyFont="1" applyFill="1" applyBorder="1" applyAlignment="1">
      <alignment wrapText="1"/>
    </xf>
    <xf numFmtId="3" fontId="4" fillId="4" borderId="72" xfId="2" applyNumberFormat="1" applyFont="1" applyFill="1" applyBorder="1" applyAlignment="1">
      <alignment wrapText="1"/>
    </xf>
    <xf numFmtId="3" fontId="7" fillId="4" borderId="75" xfId="2" applyNumberFormat="1" applyFont="1" applyFill="1" applyBorder="1" applyAlignment="1">
      <alignment horizontal="center" wrapText="1"/>
    </xf>
    <xf numFmtId="0" fontId="7" fillId="4" borderId="76" xfId="2" applyFont="1" applyFill="1" applyBorder="1" applyAlignment="1">
      <alignment horizontal="center" vertical="center" wrapText="1"/>
    </xf>
    <xf numFmtId="0" fontId="4" fillId="4" borderId="76" xfId="2" applyFont="1" applyFill="1" applyBorder="1" applyAlignment="1">
      <alignment horizontal="center" wrapText="1"/>
    </xf>
    <xf numFmtId="3" fontId="4" fillId="4" borderId="60" xfId="2" applyNumberFormat="1" applyFont="1" applyFill="1" applyBorder="1" applyAlignment="1">
      <alignment wrapText="1"/>
    </xf>
    <xf numFmtId="3" fontId="4" fillId="4" borderId="77" xfId="2" applyNumberFormat="1" applyFont="1" applyFill="1" applyBorder="1" applyAlignment="1">
      <alignment wrapText="1"/>
    </xf>
    <xf numFmtId="3" fontId="4" fillId="4" borderId="76" xfId="2" applyNumberFormat="1" applyFont="1" applyFill="1" applyBorder="1" applyAlignment="1">
      <alignment wrapText="1"/>
    </xf>
    <xf numFmtId="0" fontId="7" fillId="4" borderId="76" xfId="2" applyFont="1" applyFill="1" applyBorder="1" applyAlignment="1">
      <alignment horizontal="center" wrapText="1"/>
    </xf>
    <xf numFmtId="0" fontId="63" fillId="0" borderId="72" xfId="2" applyFont="1" applyFill="1" applyBorder="1" applyAlignment="1">
      <alignment horizontal="center" vertical="center" wrapText="1"/>
    </xf>
    <xf numFmtId="0" fontId="4" fillId="4" borderId="84" xfId="2" applyFont="1" applyFill="1" applyBorder="1" applyAlignment="1">
      <alignment horizontal="center" wrapText="1"/>
    </xf>
    <xf numFmtId="0" fontId="2" fillId="4" borderId="0" xfId="2" applyFill="1" applyBorder="1" applyAlignment="1">
      <alignment wrapText="1"/>
    </xf>
    <xf numFmtId="3" fontId="4" fillId="4" borderId="84" xfId="2" applyNumberFormat="1" applyFont="1" applyFill="1" applyBorder="1" applyAlignment="1">
      <alignment wrapText="1"/>
    </xf>
    <xf numFmtId="3" fontId="4" fillId="4" borderId="12" xfId="2" applyNumberFormat="1" applyFont="1" applyFill="1" applyBorder="1" applyAlignment="1">
      <alignment wrapText="1"/>
    </xf>
    <xf numFmtId="3" fontId="4" fillId="4" borderId="80" xfId="2" applyNumberFormat="1" applyFont="1" applyFill="1" applyBorder="1" applyAlignment="1">
      <alignment wrapText="1"/>
    </xf>
    <xf numFmtId="3" fontId="4" fillId="4" borderId="81" xfId="2" applyNumberFormat="1" applyFont="1" applyFill="1" applyBorder="1" applyAlignment="1">
      <alignment wrapText="1"/>
    </xf>
    <xf numFmtId="0" fontId="7" fillId="0" borderId="95" xfId="2" applyFont="1" applyFill="1" applyBorder="1" applyAlignment="1">
      <alignment horizontal="center" wrapText="1"/>
    </xf>
    <xf numFmtId="0" fontId="4" fillId="0" borderId="96" xfId="2" applyFont="1" applyFill="1" applyBorder="1" applyAlignment="1">
      <alignment horizontal="center" wrapText="1"/>
    </xf>
    <xf numFmtId="0" fontId="4" fillId="0" borderId="80" xfId="2" applyFont="1" applyFill="1" applyBorder="1" applyAlignment="1">
      <alignment horizontal="center" wrapText="1"/>
    </xf>
    <xf numFmtId="0" fontId="7" fillId="4" borderId="87" xfId="2" applyFont="1" applyFill="1" applyBorder="1" applyAlignment="1">
      <alignment horizontal="center" wrapText="1"/>
    </xf>
    <xf numFmtId="3" fontId="4" fillId="4" borderId="88" xfId="2" applyNumberFormat="1" applyFont="1" applyFill="1" applyBorder="1" applyAlignment="1">
      <alignment wrapText="1"/>
    </xf>
    <xf numFmtId="3" fontId="4" fillId="4" borderId="87" xfId="2" applyNumberFormat="1" applyFont="1" applyFill="1" applyBorder="1" applyAlignment="1">
      <alignment wrapText="1"/>
    </xf>
    <xf numFmtId="3" fontId="7" fillId="4" borderId="79" xfId="2" applyNumberFormat="1" applyFont="1" applyFill="1" applyBorder="1" applyAlignment="1">
      <alignment horizontal="center" wrapText="1"/>
    </xf>
    <xf numFmtId="0" fontId="7" fillId="4" borderId="80" xfId="2" applyFont="1" applyFill="1" applyBorder="1" applyAlignment="1">
      <alignment horizontal="center" wrapText="1"/>
    </xf>
    <xf numFmtId="0" fontId="4" fillId="4" borderId="80" xfId="2" applyFont="1" applyFill="1" applyBorder="1" applyAlignment="1">
      <alignment horizontal="center" wrapText="1"/>
    </xf>
    <xf numFmtId="3" fontId="4" fillId="0" borderId="80" xfId="2" applyNumberFormat="1" applyFont="1" applyBorder="1" applyAlignment="1">
      <alignment wrapText="1"/>
    </xf>
    <xf numFmtId="0" fontId="7" fillId="10" borderId="76" xfId="2" applyFont="1" applyFill="1" applyBorder="1" applyAlignment="1">
      <alignment horizontal="center" wrapText="1"/>
    </xf>
    <xf numFmtId="3" fontId="7" fillId="3" borderId="68" xfId="2" applyNumberFormat="1" applyFont="1" applyFill="1" applyBorder="1" applyAlignment="1">
      <alignment horizontal="center" vertical="center" wrapText="1"/>
    </xf>
    <xf numFmtId="0" fontId="7" fillId="4" borderId="72" xfId="2" applyFont="1" applyFill="1" applyBorder="1" applyAlignment="1">
      <alignment horizontal="center" vertical="center" wrapText="1"/>
    </xf>
    <xf numFmtId="0" fontId="4" fillId="4" borderId="76" xfId="2" applyFont="1" applyFill="1" applyBorder="1" applyAlignment="1">
      <alignment horizontal="center" vertical="center" wrapText="1"/>
    </xf>
    <xf numFmtId="3" fontId="7" fillId="4" borderId="67" xfId="2" applyNumberFormat="1" applyFont="1" applyFill="1" applyBorder="1" applyAlignment="1">
      <alignment horizontal="center" wrapText="1"/>
    </xf>
    <xf numFmtId="0" fontId="7" fillId="4" borderId="68" xfId="2" applyFont="1" applyFill="1" applyBorder="1" applyAlignment="1">
      <alignment horizontal="center" wrapText="1"/>
    </xf>
    <xf numFmtId="3" fontId="4" fillId="4" borderId="69" xfId="2" applyNumberFormat="1" applyFont="1" applyFill="1" applyBorder="1" applyAlignment="1">
      <alignment wrapText="1"/>
    </xf>
    <xf numFmtId="3" fontId="4" fillId="4" borderId="68" xfId="2" applyNumberFormat="1" applyFont="1" applyFill="1" applyBorder="1" applyAlignment="1">
      <alignment wrapText="1"/>
    </xf>
    <xf numFmtId="3" fontId="4" fillId="0" borderId="68" xfId="2" applyNumberFormat="1" applyFont="1" applyFill="1" applyBorder="1" applyAlignment="1">
      <alignment wrapText="1"/>
    </xf>
    <xf numFmtId="3" fontId="4" fillId="0" borderId="69" xfId="2" applyNumberFormat="1" applyFont="1" applyFill="1" applyBorder="1" applyAlignment="1">
      <alignment wrapText="1"/>
    </xf>
    <xf numFmtId="3" fontId="4" fillId="0" borderId="70" xfId="2" applyNumberFormat="1" applyFont="1" applyFill="1" applyBorder="1" applyAlignment="1">
      <alignment wrapText="1"/>
    </xf>
    <xf numFmtId="3" fontId="7" fillId="0" borderId="97" xfId="2" applyNumberFormat="1" applyFont="1" applyFill="1" applyBorder="1" applyAlignment="1">
      <alignment horizontal="center" wrapText="1"/>
    </xf>
    <xf numFmtId="0" fontId="64" fillId="0" borderId="72" xfId="2" applyFont="1" applyFill="1" applyBorder="1" applyAlignment="1">
      <alignment wrapText="1"/>
    </xf>
    <xf numFmtId="0" fontId="64" fillId="0" borderId="73" xfId="2" applyFont="1" applyFill="1" applyBorder="1" applyAlignment="1">
      <alignment wrapText="1"/>
    </xf>
    <xf numFmtId="0" fontId="64" fillId="0" borderId="74" xfId="2" applyFont="1" applyFill="1" applyBorder="1" applyAlignment="1">
      <alignment wrapText="1"/>
    </xf>
    <xf numFmtId="3" fontId="7" fillId="4" borderId="90" xfId="2" applyNumberFormat="1" applyFont="1" applyFill="1" applyBorder="1" applyAlignment="1">
      <alignment horizontal="center" wrapText="1"/>
    </xf>
    <xf numFmtId="0" fontId="7" fillId="4" borderId="98" xfId="2" applyFont="1" applyFill="1" applyBorder="1" applyAlignment="1">
      <alignment horizontal="center" wrapText="1"/>
    </xf>
    <xf numFmtId="0" fontId="7" fillId="4" borderId="97" xfId="2" applyFont="1" applyFill="1" applyBorder="1" applyAlignment="1">
      <alignment horizontal="center" wrapText="1"/>
    </xf>
    <xf numFmtId="0" fontId="7" fillId="4" borderId="96" xfId="2" applyFont="1" applyFill="1" applyBorder="1" applyAlignment="1">
      <alignment horizontal="center" wrapText="1"/>
    </xf>
    <xf numFmtId="0" fontId="7" fillId="0" borderId="67" xfId="2" applyFont="1" applyFill="1" applyBorder="1" applyAlignment="1">
      <alignment vertical="center" wrapText="1"/>
    </xf>
    <xf numFmtId="0" fontId="7" fillId="0" borderId="68" xfId="2" applyFont="1" applyFill="1" applyBorder="1" applyAlignment="1">
      <alignment vertical="center" wrapText="1"/>
    </xf>
    <xf numFmtId="0" fontId="4" fillId="0" borderId="99" xfId="2" applyFont="1" applyFill="1" applyBorder="1" applyAlignment="1">
      <alignment horizontal="center" wrapText="1"/>
    </xf>
    <xf numFmtId="0" fontId="4" fillId="0" borderId="0" xfId="2" applyFont="1" applyFill="1" applyBorder="1" applyAlignment="1">
      <alignment wrapText="1"/>
    </xf>
    <xf numFmtId="3" fontId="4" fillId="0" borderId="0" xfId="2" applyNumberFormat="1" applyFont="1" applyFill="1" applyBorder="1" applyAlignment="1">
      <alignment wrapText="1"/>
    </xf>
    <xf numFmtId="3" fontId="4" fillId="0" borderId="0" xfId="2" applyNumberFormat="1" applyFont="1" applyBorder="1" applyAlignment="1">
      <alignment wrapText="1"/>
    </xf>
    <xf numFmtId="0" fontId="64" fillId="0" borderId="0" xfId="2" applyFont="1" applyBorder="1" applyAlignment="1">
      <alignment wrapText="1"/>
    </xf>
    <xf numFmtId="0" fontId="64" fillId="0" borderId="100" xfId="2" applyFont="1" applyBorder="1" applyAlignment="1">
      <alignment wrapText="1"/>
    </xf>
    <xf numFmtId="0" fontId="64" fillId="0" borderId="100" xfId="2" applyFont="1" applyFill="1" applyBorder="1" applyAlignment="1">
      <alignment wrapText="1"/>
    </xf>
    <xf numFmtId="0" fontId="2" fillId="0" borderId="0" xfId="2" applyBorder="1" applyAlignment="1">
      <alignment wrapText="1"/>
    </xf>
    <xf numFmtId="0" fontId="4" fillId="0" borderId="0" xfId="2" applyFont="1" applyBorder="1" applyAlignment="1">
      <alignment wrapText="1"/>
    </xf>
    <xf numFmtId="0" fontId="4" fillId="3" borderId="0" xfId="2" applyFont="1" applyFill="1" applyBorder="1" applyAlignment="1">
      <alignment wrapText="1"/>
    </xf>
    <xf numFmtId="0" fontId="2" fillId="0" borderId="0" xfId="2" applyFont="1" applyBorder="1" applyAlignment="1">
      <alignment wrapText="1"/>
    </xf>
    <xf numFmtId="3" fontId="2" fillId="0" borderId="0" xfId="2" applyNumberFormat="1" applyFont="1" applyBorder="1" applyAlignment="1">
      <alignment wrapText="1"/>
    </xf>
    <xf numFmtId="0" fontId="2" fillId="0" borderId="0" xfId="2" applyFont="1" applyFill="1" applyBorder="1" applyAlignment="1">
      <alignment wrapText="1"/>
    </xf>
    <xf numFmtId="0" fontId="0" fillId="0" borderId="0" xfId="17" applyFont="1" applyAlignment="1">
      <alignment horizontal="right"/>
    </xf>
    <xf numFmtId="3" fontId="1" fillId="0" borderId="0" xfId="17" applyNumberFormat="1"/>
    <xf numFmtId="3" fontId="2" fillId="0" borderId="0" xfId="5" applyNumberFormat="1"/>
    <xf numFmtId="1" fontId="2" fillId="0" borderId="0" xfId="5" applyNumberFormat="1"/>
    <xf numFmtId="3" fontId="16" fillId="0" borderId="6" xfId="9" applyNumberFormat="1" applyFont="1" applyBorder="1" applyAlignment="1" applyProtection="1">
      <alignment vertical="center"/>
      <protection locked="0"/>
    </xf>
    <xf numFmtId="0" fontId="16" fillId="0" borderId="6" xfId="9" applyFont="1" applyBorder="1" applyAlignment="1">
      <alignment vertical="center"/>
    </xf>
    <xf numFmtId="3" fontId="16" fillId="0" borderId="0" xfId="2" applyNumberFormat="1" applyFont="1" applyFill="1" applyBorder="1" applyAlignment="1">
      <alignment vertical="center"/>
    </xf>
    <xf numFmtId="0" fontId="15" fillId="0" borderId="0" xfId="2" applyFont="1" applyFill="1" applyBorder="1" applyAlignment="1">
      <alignment horizontal="left"/>
    </xf>
    <xf numFmtId="0" fontId="15" fillId="0" borderId="0" xfId="2" applyFont="1" applyFill="1" applyBorder="1" applyAlignment="1">
      <alignment horizontal="center"/>
    </xf>
    <xf numFmtId="1" fontId="16" fillId="0" borderId="6" xfId="4" applyNumberFormat="1" applyFont="1" applyFill="1" applyBorder="1" applyAlignment="1" applyProtection="1">
      <alignment horizontal="center" vertical="center" wrapText="1"/>
      <protection locked="0"/>
    </xf>
    <xf numFmtId="4" fontId="16" fillId="0" borderId="6" xfId="4" applyNumberFormat="1" applyFont="1" applyFill="1" applyBorder="1" applyAlignment="1" applyProtection="1">
      <alignment horizontal="right" vertical="center" wrapText="1"/>
      <protection locked="0"/>
    </xf>
    <xf numFmtId="1" fontId="16" fillId="0" borderId="6" xfId="2" applyNumberFormat="1" applyFont="1" applyFill="1" applyBorder="1" applyAlignment="1">
      <alignment vertical="center"/>
    </xf>
    <xf numFmtId="1" fontId="15" fillId="0" borderId="6" xfId="2" applyNumberFormat="1" applyFont="1" applyFill="1" applyBorder="1" applyAlignment="1">
      <alignment vertical="center" wrapText="1"/>
    </xf>
    <xf numFmtId="2" fontId="16" fillId="0" borderId="6" xfId="2" applyNumberFormat="1" applyFont="1" applyFill="1" applyBorder="1" applyAlignment="1">
      <alignment horizontal="center" vertical="center" wrapText="1"/>
    </xf>
    <xf numFmtId="0" fontId="13" fillId="0" borderId="0" xfId="2" applyFont="1" applyAlignment="1"/>
    <xf numFmtId="3" fontId="16" fillId="0" borderId="16" xfId="1" applyNumberFormat="1" applyFont="1" applyFill="1" applyBorder="1" applyAlignment="1">
      <alignment horizontal="center" vertical="center"/>
    </xf>
    <xf numFmtId="3" fontId="16" fillId="0" borderId="19" xfId="1" applyNumberFormat="1" applyFont="1" applyFill="1" applyBorder="1" applyAlignment="1">
      <alignment horizontal="center" vertical="center"/>
    </xf>
    <xf numFmtId="165" fontId="16" fillId="0" borderId="16" xfId="1" applyNumberFormat="1" applyFont="1" applyFill="1" applyBorder="1" applyAlignment="1">
      <alignment horizontal="center" vertical="center"/>
    </xf>
    <xf numFmtId="0" fontId="16" fillId="0" borderId="6" xfId="2" applyFont="1" applyFill="1" applyBorder="1" applyAlignment="1">
      <alignment horizontal="center" vertical="center" wrapText="1"/>
    </xf>
    <xf numFmtId="3" fontId="16" fillId="0" borderId="6" xfId="2" applyNumberFormat="1" applyFont="1" applyFill="1" applyBorder="1" applyAlignment="1">
      <alignment horizontal="center" vertical="center" wrapText="1"/>
    </xf>
    <xf numFmtId="3" fontId="16" fillId="0" borderId="6" xfId="2" applyNumberFormat="1" applyFont="1" applyFill="1" applyBorder="1" applyAlignment="1" applyProtection="1">
      <alignment horizontal="center" vertical="center" wrapText="1"/>
      <protection locked="0"/>
    </xf>
    <xf numFmtId="0" fontId="16" fillId="0" borderId="6" xfId="5" applyFont="1" applyFill="1" applyBorder="1" applyAlignment="1" applyProtection="1">
      <alignment horizontal="left" vertical="center" wrapText="1"/>
      <protection locked="0"/>
    </xf>
    <xf numFmtId="3" fontId="16" fillId="0" borderId="6" xfId="2" applyNumberFormat="1" applyFont="1" applyFill="1" applyBorder="1" applyAlignment="1">
      <alignment horizontal="center" vertical="center" wrapText="1"/>
    </xf>
    <xf numFmtId="1" fontId="15" fillId="0" borderId="6" xfId="2" applyNumberFormat="1" applyFont="1" applyFill="1" applyBorder="1" applyAlignment="1" applyProtection="1">
      <alignment horizontal="center" vertical="center" wrapText="1"/>
      <protection locked="0"/>
    </xf>
    <xf numFmtId="0" fontId="16" fillId="0" borderId="6" xfId="5" applyFont="1" applyBorder="1" applyAlignment="1" applyProtection="1">
      <alignment horizontal="center" vertical="center"/>
      <protection locked="0"/>
    </xf>
    <xf numFmtId="0" fontId="16" fillId="0" borderId="6" xfId="5" applyFont="1" applyBorder="1" applyAlignment="1" applyProtection="1">
      <alignment horizontal="left" vertical="center" wrapText="1"/>
      <protection locked="0"/>
    </xf>
    <xf numFmtId="3" fontId="16" fillId="0" borderId="6" xfId="5" applyNumberFormat="1" applyFont="1" applyFill="1" applyBorder="1" applyAlignment="1" applyProtection="1">
      <alignment horizontal="center" vertical="center" wrapText="1"/>
      <protection locked="0"/>
    </xf>
    <xf numFmtId="0" fontId="16" fillId="0" borderId="6" xfId="5" applyFont="1" applyBorder="1" applyAlignment="1" applyProtection="1">
      <alignment horizontal="center" vertical="center" wrapText="1"/>
      <protection locked="0"/>
    </xf>
    <xf numFmtId="0" fontId="16" fillId="0" borderId="0" xfId="5" applyFont="1" applyFill="1" applyAlignment="1">
      <alignment horizontal="left" vertical="top" wrapText="1"/>
    </xf>
    <xf numFmtId="0" fontId="16" fillId="0" borderId="0" xfId="5" applyFont="1" applyFill="1" applyAlignment="1">
      <alignment horizontal="left" wrapText="1"/>
    </xf>
    <xf numFmtId="0" fontId="16" fillId="0" borderId="0" xfId="5" applyFont="1" applyFill="1" applyAlignment="1">
      <alignment horizontal="left" vertical="center"/>
    </xf>
    <xf numFmtId="0" fontId="16" fillId="0" borderId="22" xfId="5" applyFont="1" applyBorder="1" applyAlignment="1" applyProtection="1">
      <alignment horizontal="center" vertical="center" wrapText="1"/>
      <protection locked="0"/>
    </xf>
    <xf numFmtId="0" fontId="16" fillId="0" borderId="6" xfId="5" applyFont="1" applyBorder="1" applyAlignment="1">
      <alignment horizontal="center" vertical="center" wrapText="1"/>
    </xf>
    <xf numFmtId="3" fontId="16" fillId="0" borderId="6" xfId="5" applyNumberFormat="1" applyFont="1" applyBorder="1" applyAlignment="1" applyProtection="1">
      <alignment horizontal="center" vertical="center" wrapText="1"/>
      <protection locked="0"/>
    </xf>
    <xf numFmtId="3" fontId="16" fillId="0" borderId="6" xfId="5" applyNumberFormat="1" applyFont="1" applyBorder="1" applyAlignment="1" applyProtection="1">
      <alignment horizontal="left" vertical="center" wrapText="1"/>
      <protection locked="0"/>
    </xf>
    <xf numFmtId="3" fontId="16" fillId="0" borderId="6" xfId="5" applyNumberFormat="1" applyFont="1" applyFill="1" applyBorder="1" applyAlignment="1" applyProtection="1">
      <alignment horizontal="left" vertical="center" wrapText="1"/>
      <protection locked="0"/>
    </xf>
    <xf numFmtId="0" fontId="16" fillId="0" borderId="6" xfId="5"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left" vertical="center" wrapText="1"/>
      <protection locked="0"/>
    </xf>
    <xf numFmtId="0" fontId="16" fillId="0" borderId="0" xfId="5" applyFont="1" applyFill="1" applyBorder="1" applyAlignment="1" applyProtection="1">
      <alignment horizontal="left" vertical="center" wrapText="1"/>
      <protection locked="0"/>
    </xf>
    <xf numFmtId="0" fontId="15" fillId="0" borderId="0" xfId="5" applyFont="1" applyFill="1" applyAlignment="1">
      <alignment horizontal="left" vertical="center"/>
    </xf>
    <xf numFmtId="0" fontId="16" fillId="0" borderId="0" xfId="5" applyFont="1" applyFill="1" applyBorder="1" applyAlignment="1">
      <alignment horizontal="left" vertical="center" wrapText="1"/>
    </xf>
    <xf numFmtId="0" fontId="29" fillId="0" borderId="0" xfId="5" applyFont="1" applyFill="1" applyAlignment="1">
      <alignment horizontal="left" vertical="center" wrapText="1"/>
    </xf>
    <xf numFmtId="0" fontId="16" fillId="0" borderId="6" xfId="5" applyFont="1" applyFill="1" applyBorder="1" applyAlignment="1" applyProtection="1">
      <alignment horizontal="center" vertical="center"/>
      <protection locked="0"/>
    </xf>
    <xf numFmtId="0" fontId="16" fillId="0" borderId="0" xfId="5" applyFont="1" applyBorder="1" applyAlignment="1" applyProtection="1">
      <alignment horizontal="left" vertical="center" wrapText="1"/>
      <protection locked="0"/>
    </xf>
    <xf numFmtId="3" fontId="16" fillId="0" borderId="6" xfId="5" applyNumberFormat="1" applyFont="1" applyBorder="1" applyAlignment="1" applyProtection="1">
      <alignment horizontal="right" vertical="center" wrapText="1"/>
      <protection locked="0"/>
    </xf>
    <xf numFmtId="3" fontId="15" fillId="0" borderId="6" xfId="5" applyNumberFormat="1" applyFont="1" applyBorder="1" applyAlignment="1" applyProtection="1">
      <alignment horizontal="center" vertical="center" wrapText="1"/>
      <protection locked="0"/>
    </xf>
    <xf numFmtId="0" fontId="16" fillId="0" borderId="0" xfId="5" applyFont="1" applyBorder="1" applyAlignment="1" applyProtection="1">
      <alignment horizontal="center" vertical="center" wrapText="1"/>
      <protection locked="0"/>
    </xf>
    <xf numFmtId="0" fontId="16" fillId="0" borderId="6" xfId="5" applyFont="1" applyBorder="1" applyAlignment="1" applyProtection="1">
      <alignment vertical="center" wrapText="1"/>
      <protection locked="0"/>
    </xf>
    <xf numFmtId="0" fontId="16" fillId="0" borderId="0" xfId="5" applyFont="1" applyAlignment="1"/>
    <xf numFmtId="3" fontId="16" fillId="0" borderId="16" xfId="1" applyNumberFormat="1" applyFont="1" applyFill="1" applyBorder="1" applyAlignment="1">
      <alignment horizontal="right" vertical="center"/>
    </xf>
    <xf numFmtId="3" fontId="16" fillId="0" borderId="19" xfId="1" applyNumberFormat="1" applyFont="1" applyFill="1" applyBorder="1" applyAlignment="1">
      <alignment horizontal="right" vertical="center"/>
    </xf>
    <xf numFmtId="165" fontId="16" fillId="0" borderId="16" xfId="1" applyNumberFormat="1" applyFont="1" applyFill="1" applyBorder="1" applyAlignment="1">
      <alignment vertical="center"/>
    </xf>
    <xf numFmtId="0" fontId="16" fillId="0" borderId="18" xfId="0" applyFont="1" applyFill="1" applyBorder="1" applyAlignment="1">
      <alignment vertical="center" wrapText="1"/>
    </xf>
    <xf numFmtId="0" fontId="16" fillId="0" borderId="40" xfId="4" applyFont="1" applyFill="1" applyBorder="1" applyAlignment="1" applyProtection="1">
      <alignment horizontal="left" vertical="top" wrapText="1"/>
      <protection locked="0"/>
    </xf>
    <xf numFmtId="3" fontId="16" fillId="0" borderId="40" xfId="4" applyNumberFormat="1" applyFont="1" applyFill="1" applyBorder="1" applyAlignment="1" applyProtection="1">
      <alignment wrapText="1"/>
      <protection locked="0"/>
    </xf>
    <xf numFmtId="0" fontId="16" fillId="0" borderId="6" xfId="2" applyFont="1" applyFill="1" applyBorder="1" applyAlignment="1" applyProtection="1">
      <alignment horizontal="center" vertical="center" wrapText="1"/>
      <protection locked="0"/>
    </xf>
    <xf numFmtId="3" fontId="16" fillId="0" borderId="6" xfId="2" applyNumberFormat="1" applyFont="1" applyFill="1" applyBorder="1" applyAlignment="1" applyProtection="1">
      <alignment horizontal="center" vertical="center" wrapText="1"/>
      <protection locked="0"/>
    </xf>
    <xf numFmtId="0" fontId="16" fillId="0" borderId="0" xfId="2" applyFont="1" applyFill="1" applyAlignment="1">
      <alignment horizontal="left"/>
    </xf>
    <xf numFmtId="0" fontId="16" fillId="0" borderId="6" xfId="2" applyFont="1" applyFill="1" applyBorder="1" applyAlignment="1" applyProtection="1">
      <alignment horizontal="center" vertical="center"/>
      <protection locked="0"/>
    </xf>
    <xf numFmtId="3" fontId="16" fillId="0" borderId="17" xfId="2" applyNumberFormat="1" applyFont="1" applyFill="1" applyBorder="1" applyAlignment="1" applyProtection="1">
      <alignment horizontal="center" vertical="center" wrapText="1"/>
      <protection locked="0"/>
    </xf>
    <xf numFmtId="0" fontId="16" fillId="0" borderId="0" xfId="5" applyFont="1" applyFill="1" applyAlignment="1">
      <alignment horizontal="left" vertical="center"/>
    </xf>
    <xf numFmtId="0" fontId="16" fillId="0" borderId="0" xfId="5" applyFont="1" applyFill="1" applyAlignment="1">
      <alignment horizontal="left" vertical="top"/>
    </xf>
    <xf numFmtId="0" fontId="16" fillId="0" borderId="6" xfId="5" applyFont="1" applyBorder="1" applyAlignment="1" applyProtection="1">
      <alignment horizontal="center" vertical="center"/>
      <protection locked="0"/>
    </xf>
    <xf numFmtId="3" fontId="16" fillId="0" borderId="6" xfId="5" applyNumberFormat="1" applyFont="1" applyFill="1" applyBorder="1" applyAlignment="1" applyProtection="1">
      <alignment horizontal="center" vertical="center" wrapText="1"/>
      <protection locked="0"/>
    </xf>
    <xf numFmtId="0" fontId="16" fillId="0" borderId="6" xfId="5" applyFont="1" applyBorder="1" applyAlignment="1" applyProtection="1">
      <alignment horizontal="center" vertical="center" wrapText="1"/>
      <protection locked="0"/>
    </xf>
    <xf numFmtId="0" fontId="16" fillId="0" borderId="6" xfId="5" applyFont="1" applyBorder="1" applyAlignment="1">
      <alignment horizontal="center" vertical="center" wrapText="1"/>
    </xf>
    <xf numFmtId="3" fontId="16" fillId="0" borderId="6" xfId="5" applyNumberFormat="1" applyFont="1" applyBorder="1" applyAlignment="1" applyProtection="1">
      <alignment horizontal="center" vertical="center" wrapText="1"/>
      <protection locked="0"/>
    </xf>
    <xf numFmtId="3" fontId="16" fillId="0" borderId="6" xfId="5" applyNumberFormat="1" applyFont="1" applyBorder="1" applyAlignment="1" applyProtection="1">
      <alignment horizontal="center" vertical="center"/>
      <protection locked="0"/>
    </xf>
    <xf numFmtId="0" fontId="16" fillId="0" borderId="6" xfId="2" applyFont="1" applyBorder="1" applyAlignment="1">
      <alignment horizontal="center" vertical="center" wrapText="1"/>
    </xf>
    <xf numFmtId="0" fontId="16" fillId="0" borderId="6" xfId="2" applyFont="1" applyBorder="1" applyAlignment="1" applyProtection="1">
      <alignment horizontal="center" vertical="center" wrapText="1"/>
      <protection locked="0"/>
    </xf>
    <xf numFmtId="0" fontId="16" fillId="0" borderId="6" xfId="2" applyFont="1" applyBorder="1" applyAlignment="1" applyProtection="1">
      <alignment horizontal="left" vertical="center" wrapText="1"/>
      <protection locked="0"/>
    </xf>
    <xf numFmtId="0" fontId="16" fillId="0" borderId="0" xfId="2" applyFont="1" applyAlignment="1">
      <alignment horizontal="left"/>
    </xf>
    <xf numFmtId="0" fontId="16" fillId="0" borderId="0" xfId="2" applyFont="1" applyFill="1" applyAlignment="1">
      <alignment horizontal="left" vertical="center"/>
    </xf>
    <xf numFmtId="0" fontId="16" fillId="0" borderId="0" xfId="2" applyFont="1" applyAlignment="1">
      <alignment horizontal="left" vertical="center"/>
    </xf>
    <xf numFmtId="0" fontId="16" fillId="0" borderId="0" xfId="5" applyFont="1" applyAlignment="1">
      <alignment horizontal="left" wrapText="1"/>
    </xf>
    <xf numFmtId="170" fontId="16" fillId="0" borderId="0" xfId="11" applyNumberFormat="1" applyFont="1" applyFill="1" applyBorder="1" applyAlignment="1">
      <alignment horizontal="left" vertical="center" wrapText="1"/>
    </xf>
    <xf numFmtId="0" fontId="16" fillId="0" borderId="0" xfId="5" applyFont="1" applyBorder="1" applyAlignment="1" applyProtection="1">
      <alignment horizontal="left" vertical="center" wrapText="1"/>
      <protection locked="0"/>
    </xf>
    <xf numFmtId="3" fontId="16" fillId="0" borderId="6" xfId="2" applyNumberFormat="1" applyFont="1" applyBorder="1" applyAlignment="1" applyProtection="1">
      <alignment horizontal="center" vertical="center" wrapText="1"/>
      <protection locked="0"/>
    </xf>
    <xf numFmtId="0" fontId="16" fillId="0" borderId="0" xfId="2" applyFont="1" applyAlignment="1">
      <alignment horizontal="left" indent="3"/>
    </xf>
    <xf numFmtId="0" fontId="16" fillId="0" borderId="0" xfId="2" applyFont="1" applyBorder="1" applyAlignment="1" applyProtection="1">
      <alignment horizontal="left"/>
      <protection locked="0"/>
    </xf>
    <xf numFmtId="0" fontId="16" fillId="0" borderId="0" xfId="2" applyFont="1" applyBorder="1" applyAlignment="1" applyProtection="1">
      <alignment horizontal="left" wrapText="1"/>
      <protection locked="0"/>
    </xf>
    <xf numFmtId="0" fontId="16" fillId="0" borderId="0" xfId="5" applyFont="1" applyAlignment="1"/>
    <xf numFmtId="0" fontId="16" fillId="0" borderId="6" xfId="2" applyFont="1" applyBorder="1" applyAlignment="1" applyProtection="1">
      <alignment vertical="center" wrapText="1"/>
      <protection locked="0"/>
    </xf>
    <xf numFmtId="3" fontId="15" fillId="0" borderId="6" xfId="5" applyNumberFormat="1" applyFont="1" applyBorder="1" applyAlignment="1" applyProtection="1">
      <alignment horizontal="center" vertical="center" wrapText="1"/>
      <protection locked="0"/>
    </xf>
    <xf numFmtId="0" fontId="16" fillId="0" borderId="0" xfId="5" applyFont="1" applyBorder="1" applyAlignment="1">
      <alignment horizontal="left" vertical="center" wrapText="1"/>
    </xf>
    <xf numFmtId="0" fontId="16" fillId="0" borderId="0" xfId="2" applyFont="1" applyBorder="1" applyAlignment="1" applyProtection="1">
      <alignment wrapText="1"/>
      <protection locked="0"/>
    </xf>
    <xf numFmtId="0" fontId="6" fillId="0" borderId="40" xfId="2" applyFont="1" applyFill="1" applyBorder="1"/>
    <xf numFmtId="3" fontId="6" fillId="0" borderId="40" xfId="2" applyNumberFormat="1" applyFont="1" applyFill="1" applyBorder="1"/>
    <xf numFmtId="0" fontId="27" fillId="0" borderId="0" xfId="2" applyFont="1" applyBorder="1"/>
    <xf numFmtId="0" fontId="15" fillId="0" borderId="0" xfId="2" applyFont="1" applyFill="1"/>
    <xf numFmtId="0" fontId="27" fillId="0" borderId="0" xfId="2" applyFont="1" applyFill="1"/>
    <xf numFmtId="0" fontId="65" fillId="0" borderId="0" xfId="4" applyFont="1" applyFill="1"/>
    <xf numFmtId="0" fontId="29" fillId="0" borderId="0" xfId="4" applyFont="1" applyFill="1"/>
    <xf numFmtId="0" fontId="16" fillId="0" borderId="0" xfId="4" applyFont="1" applyFill="1"/>
    <xf numFmtId="0" fontId="28" fillId="0" borderId="0" xfId="4" applyFont="1" applyFill="1" applyAlignment="1"/>
    <xf numFmtId="0" fontId="66" fillId="0" borderId="0" xfId="4" applyFont="1" applyFill="1"/>
    <xf numFmtId="0" fontId="56" fillId="0" borderId="0" xfId="4" applyFont="1" applyFill="1"/>
    <xf numFmtId="0" fontId="16" fillId="0" borderId="0" xfId="5" applyFont="1" applyFill="1" applyAlignment="1">
      <alignment horizontal="left" vertical="center" wrapText="1"/>
    </xf>
    <xf numFmtId="0" fontId="16" fillId="0" borderId="17" xfId="5" applyFont="1" applyBorder="1" applyAlignment="1">
      <alignment vertical="center" wrapText="1"/>
    </xf>
    <xf numFmtId="0" fontId="16" fillId="0" borderId="17" xfId="5" applyFont="1" applyBorder="1" applyAlignment="1" applyProtection="1">
      <alignment vertical="center" wrapText="1"/>
      <protection locked="0"/>
    </xf>
    <xf numFmtId="0" fontId="16" fillId="0" borderId="0" xfId="5" applyFont="1" applyFill="1" applyAlignment="1">
      <alignment horizontal="center"/>
    </xf>
    <xf numFmtId="0" fontId="16" fillId="0" borderId="6" xfId="0" applyFont="1" applyFill="1" applyBorder="1" applyAlignment="1" applyProtection="1">
      <alignment horizontal="left" vertical="center" wrapText="1"/>
      <protection locked="0"/>
    </xf>
    <xf numFmtId="0" fontId="16" fillId="0" borderId="22" xfId="5" applyFont="1" applyFill="1" applyBorder="1" applyAlignment="1">
      <alignment horizontal="left" vertical="center" wrapText="1"/>
    </xf>
    <xf numFmtId="3" fontId="16" fillId="0" borderId="0" xfId="5" applyNumberFormat="1" applyFont="1" applyBorder="1"/>
    <xf numFmtId="3" fontId="15" fillId="0" borderId="17" xfId="5"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0" fontId="16" fillId="0" borderId="0" xfId="5" applyFont="1" applyFill="1" applyBorder="1" applyAlignment="1">
      <alignment vertical="center" wrapText="1"/>
    </xf>
    <xf numFmtId="0" fontId="15" fillId="0" borderId="0" xfId="5" applyFont="1" applyFill="1" applyBorder="1" applyAlignment="1" applyProtection="1">
      <alignment vertical="center" wrapText="1"/>
      <protection locked="0"/>
    </xf>
    <xf numFmtId="0" fontId="15" fillId="0" borderId="0" xfId="5" applyFont="1" applyFill="1" applyBorder="1" applyAlignment="1">
      <alignment vertical="center" wrapText="1"/>
    </xf>
    <xf numFmtId="0" fontId="29" fillId="0" borderId="0" xfId="5" applyFont="1" applyFill="1" applyAlignment="1">
      <alignment vertical="center" wrapText="1"/>
    </xf>
    <xf numFmtId="0" fontId="31" fillId="0" borderId="0" xfId="5" applyFont="1" applyFill="1" applyAlignment="1">
      <alignment vertical="center" wrapText="1"/>
    </xf>
    <xf numFmtId="0" fontId="16" fillId="0" borderId="0" xfId="5" applyFont="1" applyAlignment="1">
      <alignment vertical="top" wrapText="1"/>
    </xf>
    <xf numFmtId="3" fontId="16" fillId="0" borderId="6" xfId="0" applyNumberFormat="1" applyFont="1" applyFill="1" applyBorder="1" applyAlignment="1" applyProtection="1">
      <alignment horizontal="center" vertical="center" wrapText="1"/>
      <protection locked="0"/>
    </xf>
    <xf numFmtId="0" fontId="16" fillId="0" borderId="0" xfId="5" applyFont="1" applyFill="1" applyBorder="1" applyAlignment="1">
      <alignment vertical="center"/>
    </xf>
    <xf numFmtId="0" fontId="15" fillId="0" borderId="0" xfId="5" applyFont="1" applyFill="1" applyBorder="1" applyAlignment="1">
      <alignment vertical="center"/>
    </xf>
    <xf numFmtId="0" fontId="15" fillId="0" borderId="0" xfId="5" applyFont="1" applyFill="1" applyBorder="1" applyAlignment="1" applyProtection="1">
      <alignment vertical="center"/>
      <protection locked="0"/>
    </xf>
    <xf numFmtId="0" fontId="29" fillId="0" borderId="0" xfId="5" applyFont="1" applyFill="1" applyAlignment="1">
      <alignment vertical="center"/>
    </xf>
    <xf numFmtId="0" fontId="31" fillId="0" borderId="0" xfId="5" applyFont="1" applyFill="1" applyAlignment="1">
      <alignment vertical="center"/>
    </xf>
    <xf numFmtId="0" fontId="15" fillId="0" borderId="0" xfId="5" applyFont="1" applyAlignment="1"/>
    <xf numFmtId="0" fontId="16" fillId="0" borderId="6" xfId="2" applyFont="1" applyFill="1" applyBorder="1" applyAlignment="1">
      <alignment horizontal="center" vertical="center" wrapText="1"/>
    </xf>
    <xf numFmtId="0" fontId="16" fillId="0" borderId="6" xfId="2" applyFont="1" applyBorder="1" applyAlignment="1">
      <alignment horizontal="center" vertical="center" wrapText="1"/>
    </xf>
    <xf numFmtId="0" fontId="16" fillId="0" borderId="15" xfId="5" applyFont="1" applyBorder="1" applyAlignment="1" applyProtection="1">
      <alignment horizontal="left" vertical="center" wrapText="1"/>
      <protection locked="0"/>
    </xf>
    <xf numFmtId="3" fontId="15" fillId="0" borderId="6" xfId="5" applyNumberFormat="1" applyFont="1" applyBorder="1" applyAlignment="1" applyProtection="1">
      <alignment horizontal="center" vertical="center" wrapText="1"/>
      <protection locked="0"/>
    </xf>
    <xf numFmtId="3" fontId="16" fillId="0" borderId="6" xfId="1" applyNumberFormat="1" applyFont="1" applyBorder="1" applyAlignment="1">
      <alignment horizontal="center" vertical="center" wrapText="1"/>
    </xf>
    <xf numFmtId="0" fontId="16" fillId="0" borderId="0" xfId="5" applyFont="1" applyFill="1" applyBorder="1" applyAlignment="1" applyProtection="1">
      <alignment horizontal="left" vertical="center" wrapText="1"/>
      <protection locked="0"/>
    </xf>
    <xf numFmtId="0" fontId="15" fillId="0" borderId="0" xfId="2" applyFont="1" applyAlignment="1"/>
    <xf numFmtId="0" fontId="28" fillId="0" borderId="0" xfId="2" applyFont="1" applyAlignment="1">
      <alignment vertical="center"/>
    </xf>
    <xf numFmtId="0" fontId="15" fillId="0" borderId="0" xfId="5" applyFont="1" applyAlignment="1">
      <alignment vertical="top"/>
    </xf>
    <xf numFmtId="0" fontId="15" fillId="0" borderId="0" xfId="0" applyFont="1"/>
    <xf numFmtId="1" fontId="16" fillId="0" borderId="6" xfId="2" applyNumberFormat="1" applyFont="1" applyFill="1" applyBorder="1" applyAlignment="1">
      <alignment horizontal="center" vertical="center" wrapText="1"/>
    </xf>
    <xf numFmtId="0" fontId="15" fillId="0" borderId="0" xfId="2" applyFont="1" applyFill="1" applyAlignment="1">
      <alignment horizontal="left" vertical="center"/>
    </xf>
    <xf numFmtId="0" fontId="16" fillId="0" borderId="40" xfId="2" applyFont="1" applyBorder="1" applyAlignment="1" applyProtection="1">
      <alignment wrapText="1"/>
      <protection locked="0"/>
    </xf>
    <xf numFmtId="0" fontId="16" fillId="0" borderId="40" xfId="2" applyFont="1" applyBorder="1" applyAlignment="1" applyProtection="1">
      <alignment horizontal="left" wrapText="1"/>
      <protection locked="0"/>
    </xf>
    <xf numFmtId="4" fontId="16" fillId="0" borderId="40" xfId="2" applyNumberFormat="1" applyFont="1" applyBorder="1" applyAlignment="1" applyProtection="1">
      <alignment wrapText="1"/>
      <protection locked="0"/>
    </xf>
    <xf numFmtId="3" fontId="16" fillId="0" borderId="40" xfId="2" applyNumberFormat="1" applyFont="1" applyBorder="1" applyAlignment="1" applyProtection="1">
      <alignment horizontal="center" wrapText="1"/>
      <protection locked="0"/>
    </xf>
    <xf numFmtId="3" fontId="16" fillId="0" borderId="40" xfId="2" applyNumberFormat="1" applyFont="1" applyBorder="1" applyAlignment="1" applyProtection="1">
      <alignment wrapText="1"/>
      <protection locked="0"/>
    </xf>
    <xf numFmtId="0" fontId="16" fillId="0" borderId="40" xfId="2" applyFont="1" applyBorder="1" applyAlignment="1">
      <alignment wrapText="1"/>
    </xf>
    <xf numFmtId="0" fontId="16" fillId="0" borderId="40" xfId="2" applyFont="1" applyBorder="1" applyAlignment="1">
      <alignment horizontal="center" wrapText="1"/>
    </xf>
    <xf numFmtId="0" fontId="16" fillId="0" borderId="40" xfId="2" applyFont="1" applyBorder="1" applyAlignment="1" applyProtection="1">
      <alignment horizontal="right" vertical="top" wrapText="1"/>
      <protection locked="0"/>
    </xf>
    <xf numFmtId="0" fontId="16" fillId="0" borderId="40" xfId="2" applyFont="1" applyBorder="1" applyAlignment="1" applyProtection="1">
      <alignment horizontal="left" vertical="top" wrapText="1"/>
      <protection locked="0"/>
    </xf>
    <xf numFmtId="1" fontId="16" fillId="0" borderId="40" xfId="2" applyNumberFormat="1" applyFont="1" applyBorder="1" applyAlignment="1" applyProtection="1">
      <alignment horizontal="center" wrapText="1"/>
      <protection locked="0"/>
    </xf>
    <xf numFmtId="0" fontId="16" fillId="0" borderId="40" xfId="2" applyFont="1" applyBorder="1"/>
    <xf numFmtId="3" fontId="16" fillId="0" borderId="17" xfId="2" applyNumberFormat="1" applyFont="1" applyFill="1" applyBorder="1" applyAlignment="1" applyProtection="1">
      <alignment vertical="center" wrapText="1"/>
      <protection locked="0"/>
    </xf>
    <xf numFmtId="3" fontId="16" fillId="0" borderId="36" xfId="2" applyNumberFormat="1" applyFont="1" applyFill="1" applyBorder="1" applyAlignment="1" applyProtection="1">
      <alignment vertical="center" wrapText="1"/>
      <protection locked="0"/>
    </xf>
    <xf numFmtId="0" fontId="16" fillId="0" borderId="0" xfId="2" applyFont="1" applyFill="1" applyBorder="1" applyAlignment="1">
      <alignment horizontal="left" vertical="center"/>
    </xf>
    <xf numFmtId="0" fontId="29" fillId="0" borderId="0" xfId="0" applyFont="1" applyAlignment="1">
      <alignment horizontal="center" vertical="center"/>
    </xf>
    <xf numFmtId="3" fontId="16" fillId="0" borderId="17" xfId="4" applyNumberFormat="1" applyFont="1" applyBorder="1" applyAlignment="1" applyProtection="1">
      <alignment horizontal="center" vertical="center" wrapText="1"/>
      <protection locked="0"/>
    </xf>
    <xf numFmtId="0" fontId="16" fillId="0" borderId="0" xfId="4" applyFont="1" applyFill="1" applyAlignment="1">
      <alignment vertical="center"/>
    </xf>
    <xf numFmtId="0" fontId="15" fillId="0" borderId="0" xfId="9" applyFont="1"/>
    <xf numFmtId="0" fontId="16" fillId="0" borderId="0" xfId="9" applyFont="1" applyFill="1"/>
    <xf numFmtId="0" fontId="15" fillId="0" borderId="0" xfId="9" applyFont="1" applyFill="1"/>
    <xf numFmtId="0" fontId="15" fillId="0" borderId="6" xfId="5" applyFont="1" applyFill="1" applyBorder="1" applyAlignment="1">
      <alignment horizontal="center" vertical="center"/>
    </xf>
    <xf numFmtId="170" fontId="15" fillId="0" borderId="0" xfId="11" applyNumberFormat="1" applyFont="1" applyFill="1" applyBorder="1" applyAlignment="1">
      <alignment vertical="center"/>
    </xf>
    <xf numFmtId="0" fontId="5" fillId="0" borderId="0" xfId="5" applyFont="1" applyFill="1" applyAlignment="1">
      <alignment horizontal="right" vertical="center"/>
    </xf>
    <xf numFmtId="0" fontId="16" fillId="0" borderId="0" xfId="5" applyFont="1" applyFill="1" applyAlignment="1"/>
    <xf numFmtId="0" fontId="13" fillId="0" borderId="0" xfId="5" applyFont="1" applyFill="1" applyAlignment="1" applyProtection="1">
      <alignment horizontal="right" vertical="center"/>
      <protection locked="0"/>
    </xf>
    <xf numFmtId="16" fontId="16" fillId="0" borderId="6" xfId="2" applyNumberFormat="1" applyFont="1" applyBorder="1" applyAlignment="1" applyProtection="1">
      <alignment horizontal="center" vertical="center" wrapText="1"/>
      <protection locked="0"/>
    </xf>
    <xf numFmtId="0" fontId="16" fillId="0" borderId="0" xfId="2" applyFont="1" applyAlignment="1" applyProtection="1">
      <alignment horizontal="center"/>
      <protection locked="0"/>
    </xf>
    <xf numFmtId="0" fontId="16" fillId="0" borderId="6" xfId="2" applyFont="1" applyBorder="1"/>
    <xf numFmtId="0" fontId="16" fillId="0" borderId="6" xfId="0" applyFont="1" applyBorder="1" applyAlignment="1" applyProtection="1">
      <alignment horizontal="left" vertical="top" wrapText="1"/>
      <protection locked="0"/>
    </xf>
    <xf numFmtId="0" fontId="16" fillId="0" borderId="6" xfId="2" applyFont="1" applyBorder="1" applyProtection="1">
      <protection locked="0"/>
    </xf>
    <xf numFmtId="0" fontId="16" fillId="0" borderId="0" xfId="5" applyFont="1" applyBorder="1" applyAlignment="1" applyProtection="1">
      <alignment vertical="center"/>
      <protection locked="0"/>
    </xf>
    <xf numFmtId="0" fontId="15" fillId="0" borderId="0" xfId="5" applyFont="1" applyBorder="1" applyAlignment="1">
      <alignment vertical="center"/>
    </xf>
    <xf numFmtId="3" fontId="16" fillId="0" borderId="0" xfId="5" applyNumberFormat="1" applyFont="1" applyBorder="1" applyAlignment="1">
      <alignment vertical="center"/>
    </xf>
    <xf numFmtId="0" fontId="16" fillId="0" borderId="0" xfId="5" applyFont="1" applyBorder="1" applyAlignment="1" applyProtection="1">
      <alignment horizontal="center" vertical="center"/>
      <protection locked="0"/>
    </xf>
    <xf numFmtId="0" fontId="16" fillId="0" borderId="0" xfId="2" applyFont="1" applyBorder="1" applyAlignment="1" applyProtection="1">
      <protection locked="0"/>
    </xf>
    <xf numFmtId="0" fontId="15" fillId="0" borderId="0" xfId="2" applyFont="1" applyBorder="1" applyAlignment="1"/>
    <xf numFmtId="0" fontId="15" fillId="0" borderId="0" xfId="2" applyFont="1" applyBorder="1" applyAlignment="1">
      <alignment horizontal="left" wrapText="1"/>
    </xf>
    <xf numFmtId="0" fontId="15" fillId="0" borderId="0" xfId="2" applyFont="1" applyBorder="1" applyAlignment="1" applyProtection="1">
      <protection locked="0"/>
    </xf>
    <xf numFmtId="0" fontId="15" fillId="0" borderId="0" xfId="2" applyFont="1" applyBorder="1" applyAlignment="1" applyProtection="1">
      <alignment horizontal="left"/>
      <protection locked="0"/>
    </xf>
    <xf numFmtId="0" fontId="16" fillId="0" borderId="0" xfId="2" applyFont="1" applyFill="1" applyBorder="1" applyAlignment="1">
      <alignment vertical="center"/>
    </xf>
    <xf numFmtId="0" fontId="28" fillId="0" borderId="0" xfId="2" applyFont="1"/>
    <xf numFmtId="0" fontId="16" fillId="0" borderId="0" xfId="2" applyFont="1" applyAlignment="1" applyProtection="1">
      <protection locked="0"/>
    </xf>
    <xf numFmtId="0" fontId="16" fillId="0" borderId="0" xfId="2" applyFont="1" applyAlignment="1">
      <alignment horizontal="right" vertical="center"/>
    </xf>
    <xf numFmtId="0" fontId="16" fillId="0" borderId="0" xfId="2" applyFont="1" applyFill="1" applyAlignment="1" applyProtection="1">
      <protection locked="0"/>
    </xf>
    <xf numFmtId="0" fontId="16" fillId="2" borderId="0" xfId="2" applyFont="1" applyFill="1" applyAlignment="1"/>
    <xf numFmtId="0" fontId="15" fillId="0" borderId="0" xfId="2" applyFont="1" applyFill="1" applyBorder="1" applyAlignment="1"/>
    <xf numFmtId="0" fontId="16" fillId="0" borderId="0" xfId="2" applyFont="1" applyFill="1" applyBorder="1" applyAlignment="1"/>
    <xf numFmtId="0" fontId="16" fillId="0" borderId="0" xfId="2" applyFont="1" applyFill="1" applyBorder="1" applyAlignment="1" applyProtection="1">
      <protection locked="0"/>
    </xf>
    <xf numFmtId="0" fontId="15" fillId="0" borderId="0" xfId="2" applyFont="1" applyFill="1" applyBorder="1" applyAlignment="1" applyProtection="1">
      <protection locked="0"/>
    </xf>
    <xf numFmtId="0" fontId="28" fillId="0" borderId="0" xfId="2" applyFont="1" applyFill="1"/>
    <xf numFmtId="0" fontId="16" fillId="0" borderId="0" xfId="2" applyFont="1" applyFill="1" applyBorder="1" applyAlignment="1" applyProtection="1">
      <alignment horizontal="left"/>
      <protection locked="0"/>
    </xf>
    <xf numFmtId="0" fontId="15" fillId="0" borderId="0" xfId="2" applyFont="1" applyFill="1" applyAlignment="1"/>
    <xf numFmtId="0" fontId="15" fillId="0" borderId="0" xfId="2" applyFont="1" applyAlignment="1">
      <alignment horizontal="left" indent="1"/>
    </xf>
    <xf numFmtId="0" fontId="16" fillId="0" borderId="0" xfId="2" applyFont="1" applyFill="1" applyAlignment="1">
      <alignment horizontal="left" indent="3"/>
    </xf>
    <xf numFmtId="0" fontId="15" fillId="0" borderId="0" xfId="2" applyFont="1" applyBorder="1" applyAlignment="1">
      <alignment vertical="center"/>
    </xf>
    <xf numFmtId="0" fontId="29" fillId="0" borderId="0" xfId="2" applyFont="1" applyFill="1" applyAlignment="1">
      <alignment horizontal="left"/>
    </xf>
    <xf numFmtId="0" fontId="1" fillId="0" borderId="0" xfId="4" applyFill="1"/>
    <xf numFmtId="0" fontId="16" fillId="0" borderId="0" xfId="5" applyFont="1" applyFill="1" applyAlignment="1">
      <alignment horizontal="center" wrapText="1"/>
    </xf>
    <xf numFmtId="0" fontId="2" fillId="0" borderId="0" xfId="5" applyFill="1" applyAlignment="1"/>
    <xf numFmtId="0" fontId="56" fillId="0" borderId="0" xfId="5" applyFont="1" applyFill="1"/>
    <xf numFmtId="0" fontId="29" fillId="0" borderId="0" xfId="2" applyFont="1" applyFill="1" applyAlignment="1">
      <alignment horizontal="left" vertical="center"/>
    </xf>
    <xf numFmtId="0" fontId="1" fillId="0" borderId="0" xfId="4" applyFill="1" applyAlignment="1">
      <alignment vertical="center"/>
    </xf>
    <xf numFmtId="0" fontId="16" fillId="0" borderId="34" xfId="5" applyFont="1" applyBorder="1" applyAlignment="1">
      <alignment wrapText="1"/>
    </xf>
    <xf numFmtId="0" fontId="16" fillId="0" borderId="40" xfId="1" applyFont="1" applyFill="1" applyBorder="1" applyAlignment="1" applyProtection="1">
      <alignment horizontal="center" vertical="center" wrapText="1"/>
      <protection locked="0"/>
    </xf>
    <xf numFmtId="0" fontId="16" fillId="0" borderId="40" xfId="1" applyFont="1" applyFill="1" applyBorder="1" applyAlignment="1" applyProtection="1">
      <alignment horizontal="left" vertical="center" wrapText="1"/>
      <protection locked="0"/>
    </xf>
    <xf numFmtId="0" fontId="16" fillId="0" borderId="40" xfId="1" applyFont="1" applyFill="1" applyBorder="1" applyAlignment="1" applyProtection="1">
      <alignment vertical="center" wrapText="1"/>
      <protection locked="0"/>
    </xf>
    <xf numFmtId="0" fontId="15" fillId="0" borderId="40" xfId="1" applyFont="1" applyFill="1" applyBorder="1" applyAlignment="1" applyProtection="1">
      <alignment horizontal="center" vertical="center" wrapText="1"/>
      <protection locked="0"/>
    </xf>
    <xf numFmtId="3" fontId="16" fillId="0" borderId="40" xfId="1" applyNumberFormat="1" applyFont="1" applyFill="1" applyBorder="1" applyAlignment="1" applyProtection="1">
      <alignment vertical="center" wrapText="1"/>
      <protection locked="0"/>
    </xf>
    <xf numFmtId="3" fontId="16" fillId="0" borderId="40" xfId="1" applyNumberFormat="1" applyFont="1" applyFill="1" applyBorder="1" applyAlignment="1" applyProtection="1">
      <alignment vertical="center"/>
      <protection locked="0"/>
    </xf>
    <xf numFmtId="3" fontId="16" fillId="0" borderId="40" xfId="1" applyNumberFormat="1" applyFont="1" applyFill="1" applyBorder="1" applyAlignment="1" applyProtection="1">
      <alignment horizontal="center" vertical="center" wrapText="1"/>
      <protection locked="0"/>
    </xf>
    <xf numFmtId="0" fontId="16" fillId="0" borderId="21" xfId="5" applyFont="1" applyBorder="1" applyAlignment="1">
      <alignment vertical="center" wrapText="1"/>
    </xf>
    <xf numFmtId="3" fontId="16" fillId="0" borderId="15" xfId="5" applyNumberFormat="1" applyFont="1" applyBorder="1" applyAlignment="1">
      <alignment wrapText="1"/>
    </xf>
    <xf numFmtId="3" fontId="15" fillId="0" borderId="15" xfId="5" applyNumberFormat="1" applyFont="1" applyBorder="1" applyAlignment="1">
      <alignment wrapText="1"/>
    </xf>
    <xf numFmtId="0" fontId="16" fillId="0" borderId="15" xfId="5" applyFont="1" applyBorder="1" applyAlignment="1">
      <alignment wrapText="1"/>
    </xf>
    <xf numFmtId="0" fontId="15" fillId="0" borderId="6" xfId="5" applyFont="1" applyBorder="1" applyAlignment="1">
      <alignment horizontal="center" vertical="center"/>
    </xf>
    <xf numFmtId="0" fontId="15" fillId="0" borderId="22" xfId="5" applyFont="1" applyBorder="1" applyAlignment="1">
      <alignment horizontal="center" vertical="center"/>
    </xf>
    <xf numFmtId="0" fontId="15" fillId="0" borderId="22" xfId="5" applyFont="1" applyBorder="1" applyAlignment="1">
      <alignment vertical="center"/>
    </xf>
    <xf numFmtId="0" fontId="15" fillId="0" borderId="6" xfId="5" applyFont="1" applyBorder="1" applyAlignment="1" applyProtection="1">
      <alignment horizontal="center" vertical="center"/>
      <protection locked="0"/>
    </xf>
    <xf numFmtId="0" fontId="16" fillId="0" borderId="0" xfId="2" applyFont="1" applyFill="1" applyBorder="1" applyAlignment="1" applyProtection="1">
      <alignment vertical="center"/>
      <protection locked="0"/>
    </xf>
    <xf numFmtId="0" fontId="15" fillId="0" borderId="0" xfId="5" applyFont="1" applyFill="1" applyBorder="1"/>
    <xf numFmtId="0" fontId="16" fillId="0" borderId="0" xfId="5" applyFont="1" applyFill="1" applyBorder="1" applyAlignment="1">
      <alignment wrapText="1"/>
    </xf>
    <xf numFmtId="0" fontId="16" fillId="0" borderId="0" xfId="5" applyFont="1" applyFill="1" applyBorder="1" applyAlignment="1" applyProtection="1">
      <alignment wrapText="1"/>
      <protection locked="0"/>
    </xf>
    <xf numFmtId="3" fontId="15" fillId="0" borderId="6" xfId="5" applyNumberFormat="1" applyFont="1" applyBorder="1" applyAlignment="1">
      <alignment horizontal="center" vertical="center"/>
    </xf>
    <xf numFmtId="3" fontId="15" fillId="4" borderId="6" xfId="5" applyNumberFormat="1" applyFont="1" applyFill="1" applyBorder="1" applyAlignment="1" applyProtection="1">
      <alignment horizontal="center" vertical="center"/>
      <protection locked="0"/>
    </xf>
    <xf numFmtId="3" fontId="15" fillId="0" borderId="6" xfId="0" applyNumberFormat="1" applyFont="1" applyBorder="1" applyAlignment="1">
      <alignment horizontal="center" vertical="center"/>
    </xf>
    <xf numFmtId="3" fontId="15" fillId="4" borderId="6" xfId="5" applyNumberFormat="1" applyFont="1" applyFill="1" applyBorder="1" applyAlignment="1">
      <alignment horizontal="center" vertical="center"/>
    </xf>
    <xf numFmtId="0" fontId="29" fillId="0" borderId="0" xfId="5" applyFont="1" applyFill="1" applyBorder="1" applyAlignment="1"/>
    <xf numFmtId="0" fontId="16" fillId="4" borderId="15" xfId="5" applyFont="1" applyFill="1" applyBorder="1" applyAlignment="1" applyProtection="1">
      <alignment horizontal="left" vertical="center" wrapText="1"/>
      <protection locked="0"/>
    </xf>
    <xf numFmtId="0" fontId="16" fillId="0" borderId="15"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6" fillId="0" borderId="15" xfId="0" applyFont="1" applyBorder="1" applyAlignment="1" applyProtection="1">
      <alignment horizontal="left" vertical="center" wrapText="1"/>
      <protection locked="0"/>
    </xf>
    <xf numFmtId="4" fontId="16" fillId="4" borderId="15" xfId="0" applyNumberFormat="1" applyFont="1" applyFill="1" applyBorder="1" applyAlignment="1" applyProtection="1">
      <alignment horizontal="left" vertical="center" wrapText="1"/>
      <protection locked="0"/>
    </xf>
    <xf numFmtId="0" fontId="28" fillId="0" borderId="0" xfId="0" applyFont="1" applyAlignment="1">
      <alignment vertical="center"/>
    </xf>
    <xf numFmtId="0" fontId="15" fillId="0" borderId="0" xfId="1" applyFont="1"/>
    <xf numFmtId="3" fontId="16" fillId="4" borderId="6" xfId="13" applyNumberFormat="1" applyFont="1" applyFill="1" applyBorder="1" applyAlignment="1">
      <alignment horizontal="center" vertical="center" wrapText="1"/>
    </xf>
    <xf numFmtId="3" fontId="16" fillId="0" borderId="6" xfId="13" applyNumberFormat="1" applyFont="1" applyBorder="1" applyAlignment="1">
      <alignment vertical="center" wrapText="1"/>
    </xf>
    <xf numFmtId="0" fontId="16" fillId="0" borderId="0" xfId="1" applyFont="1" applyAlignment="1"/>
    <xf numFmtId="0" fontId="16" fillId="0" borderId="0" xfId="1" applyFont="1" applyAlignment="1">
      <alignment vertical="top"/>
    </xf>
    <xf numFmtId="3" fontId="16" fillId="0" borderId="0" xfId="2" applyNumberFormat="1" applyFont="1" applyAlignment="1">
      <alignment vertical="top"/>
    </xf>
    <xf numFmtId="0" fontId="16" fillId="0" borderId="0" xfId="1" applyFont="1" applyFill="1" applyAlignment="1"/>
    <xf numFmtId="0" fontId="16" fillId="0" borderId="0" xfId="1" applyFont="1" applyFill="1" applyAlignment="1">
      <alignment vertical="top"/>
    </xf>
    <xf numFmtId="3" fontId="15" fillId="0" borderId="6" xfId="2" applyNumberFormat="1" applyFont="1" applyFill="1" applyBorder="1" applyAlignment="1" applyProtection="1">
      <alignment horizontal="center" vertical="center"/>
      <protection locked="0"/>
    </xf>
    <xf numFmtId="3" fontId="15" fillId="0" borderId="0" xfId="2" applyNumberFormat="1" applyFont="1" applyFill="1" applyAlignment="1">
      <alignment horizontal="center" vertical="center"/>
    </xf>
    <xf numFmtId="3" fontId="15" fillId="0" borderId="6" xfId="2" applyNumberFormat="1" applyFont="1" applyFill="1" applyBorder="1" applyAlignment="1">
      <alignment horizontal="center" wrapText="1"/>
    </xf>
    <xf numFmtId="0" fontId="16" fillId="0" borderId="8" xfId="1" applyFont="1" applyFill="1" applyBorder="1" applyAlignment="1">
      <alignment horizontal="center" vertical="center"/>
    </xf>
    <xf numFmtId="0" fontId="15" fillId="0" borderId="8"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4" xfId="2" applyFont="1" applyBorder="1" applyAlignment="1">
      <alignment horizontal="center" vertical="center" wrapText="1"/>
    </xf>
    <xf numFmtId="0" fontId="16" fillId="0" borderId="8" xfId="2" applyFont="1" applyBorder="1" applyAlignment="1">
      <alignment horizontal="center" vertical="center" wrapText="1"/>
    </xf>
    <xf numFmtId="0" fontId="15" fillId="0" borderId="10" xfId="1" applyFont="1" applyFill="1" applyBorder="1" applyAlignment="1">
      <alignment horizontal="right" vertical="center" wrapText="1"/>
    </xf>
    <xf numFmtId="0" fontId="15" fillId="0" borderId="11" xfId="1" applyFont="1" applyFill="1" applyBorder="1" applyAlignment="1">
      <alignment horizontal="righ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2" xfId="3" applyFont="1" applyFill="1" applyBorder="1" applyAlignment="1">
      <alignment horizontal="left" wrapText="1"/>
    </xf>
    <xf numFmtId="0" fontId="16" fillId="0" borderId="0" xfId="3" applyFont="1" applyFill="1" applyBorder="1" applyAlignment="1">
      <alignment horizontal="left" wrapText="1"/>
    </xf>
    <xf numFmtId="0" fontId="16" fillId="0" borderId="5" xfId="1" applyFont="1" applyFill="1" applyBorder="1" applyAlignment="1">
      <alignment horizontal="center" vertical="center"/>
    </xf>
    <xf numFmtId="0" fontId="16" fillId="0" borderId="6" xfId="1" applyFont="1" applyFill="1" applyBorder="1" applyAlignment="1">
      <alignment horizontal="left" vertical="center" wrapText="1"/>
    </xf>
    <xf numFmtId="0" fontId="16" fillId="0" borderId="28" xfId="1" applyFont="1" applyFill="1" applyBorder="1" applyAlignment="1">
      <alignment horizontal="left" wrapText="1"/>
    </xf>
    <xf numFmtId="0" fontId="16" fillId="0" borderId="29" xfId="1" applyFont="1" applyFill="1" applyBorder="1" applyAlignment="1">
      <alignment horizontal="left" wrapText="1"/>
    </xf>
    <xf numFmtId="0" fontId="16" fillId="0" borderId="12" xfId="1" applyFont="1" applyFill="1" applyBorder="1" applyAlignment="1">
      <alignment horizontal="left" vertical="center" wrapText="1"/>
    </xf>
    <xf numFmtId="0" fontId="16" fillId="0" borderId="0" xfId="1" applyFont="1" applyFill="1" applyBorder="1" applyAlignment="1">
      <alignment horizontal="left" vertical="center" wrapText="1"/>
    </xf>
    <xf numFmtId="3" fontId="5" fillId="0" borderId="0" xfId="1" applyNumberFormat="1" applyFont="1" applyAlignment="1">
      <alignment horizontal="center"/>
    </xf>
    <xf numFmtId="0" fontId="8" fillId="0" borderId="0" xfId="1" applyFont="1" applyFill="1" applyAlignment="1">
      <alignment horizontal="center" wrapText="1"/>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6" xfId="1" applyFont="1" applyFill="1" applyBorder="1" applyAlignment="1">
      <alignment horizontal="center" vertical="center" wrapText="1"/>
    </xf>
    <xf numFmtId="49" fontId="16" fillId="0" borderId="2" xfId="1" applyNumberFormat="1" applyFont="1" applyFill="1" applyBorder="1" applyAlignment="1">
      <alignment horizontal="center" vertical="center" wrapText="1"/>
    </xf>
    <xf numFmtId="49" fontId="16" fillId="0" borderId="6" xfId="1" applyNumberFormat="1" applyFont="1" applyFill="1" applyBorder="1" applyAlignment="1">
      <alignment horizontal="center" vertical="center" wrapText="1"/>
    </xf>
    <xf numFmtId="49" fontId="16" fillId="0" borderId="3" xfId="1" applyNumberFormat="1" applyFont="1" applyFill="1" applyBorder="1" applyAlignment="1">
      <alignment horizontal="center" vertical="center" wrapText="1"/>
    </xf>
    <xf numFmtId="49" fontId="16" fillId="0" borderId="7"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wrapText="1"/>
    </xf>
    <xf numFmtId="49" fontId="16" fillId="0" borderId="2" xfId="1" applyNumberFormat="1" applyFont="1" applyFill="1" applyBorder="1" applyAlignment="1">
      <alignment horizontal="center" wrapText="1"/>
    </xf>
    <xf numFmtId="49" fontId="16" fillId="0" borderId="3" xfId="1" applyNumberFormat="1" applyFont="1" applyFill="1" applyBorder="1" applyAlignment="1">
      <alignment horizontal="center" wrapText="1"/>
    </xf>
    <xf numFmtId="3" fontId="16" fillId="0" borderId="1"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0" fontId="16" fillId="4" borderId="0" xfId="2" applyFont="1" applyFill="1" applyAlignment="1">
      <alignment horizontal="left" wrapText="1"/>
    </xf>
    <xf numFmtId="0" fontId="16" fillId="0" borderId="6" xfId="4" applyFont="1" applyFill="1" applyBorder="1" applyAlignment="1" applyProtection="1">
      <alignment horizontal="center" vertical="center" wrapText="1"/>
      <protection locked="0"/>
    </xf>
    <xf numFmtId="0" fontId="16" fillId="0" borderId="6" xfId="4" applyFont="1" applyFill="1" applyBorder="1" applyAlignment="1" applyProtection="1">
      <alignment horizontal="left" vertical="center" wrapText="1"/>
      <protection locked="0"/>
    </xf>
    <xf numFmtId="3" fontId="16" fillId="0" borderId="6" xfId="4" applyNumberFormat="1" applyFont="1" applyFill="1" applyBorder="1" applyAlignment="1" applyProtection="1">
      <alignment horizontal="center" vertical="center" wrapText="1"/>
      <protection locked="0"/>
    </xf>
    <xf numFmtId="0" fontId="16" fillId="0" borderId="6" xfId="2" applyFont="1" applyFill="1" applyBorder="1" applyAlignment="1" applyProtection="1">
      <alignment horizontal="center" vertical="center" wrapText="1"/>
      <protection locked="0"/>
    </xf>
    <xf numFmtId="0" fontId="16" fillId="0" borderId="6" xfId="2" applyFont="1" applyFill="1" applyBorder="1" applyAlignment="1" applyProtection="1">
      <alignment horizontal="left" vertical="center" wrapText="1"/>
      <protection locked="0"/>
    </xf>
    <xf numFmtId="0" fontId="16" fillId="0" borderId="6" xfId="2" applyFont="1" applyFill="1" applyBorder="1" applyAlignment="1">
      <alignment horizontal="center" vertical="center" wrapText="1"/>
    </xf>
    <xf numFmtId="0" fontId="15" fillId="0" borderId="6" xfId="2" applyFont="1" applyFill="1" applyBorder="1" applyAlignment="1">
      <alignment horizontal="right" vertical="center" wrapText="1"/>
    </xf>
    <xf numFmtId="3" fontId="16" fillId="0" borderId="6" xfId="2" applyNumberFormat="1" applyFont="1" applyFill="1" applyBorder="1" applyAlignment="1" applyProtection="1">
      <alignment horizontal="center" vertical="center" wrapText="1"/>
      <protection locked="0"/>
    </xf>
    <xf numFmtId="0" fontId="16" fillId="0" borderId="0" xfId="2" applyFont="1" applyFill="1" applyBorder="1" applyAlignment="1">
      <alignment horizontal="left"/>
    </xf>
    <xf numFmtId="0" fontId="16" fillId="0" borderId="39" xfId="2" applyFont="1" applyFill="1" applyBorder="1" applyAlignment="1">
      <alignment horizontal="left"/>
    </xf>
    <xf numFmtId="0" fontId="16" fillId="0" borderId="0" xfId="2" applyFont="1" applyFill="1" applyAlignment="1">
      <alignment horizontal="left"/>
    </xf>
    <xf numFmtId="0" fontId="16" fillId="0" borderId="6" xfId="2" applyFont="1" applyFill="1" applyBorder="1" applyAlignment="1" applyProtection="1">
      <alignment horizontal="center" vertical="center"/>
      <protection locked="0"/>
    </xf>
    <xf numFmtId="3" fontId="16" fillId="0" borderId="6" xfId="2" applyNumberFormat="1" applyFont="1" applyFill="1" applyBorder="1" applyAlignment="1">
      <alignment horizontal="center" vertical="center" wrapText="1"/>
    </xf>
    <xf numFmtId="0" fontId="16" fillId="0" borderId="14" xfId="2" applyFont="1" applyFill="1" applyBorder="1" applyAlignment="1" applyProtection="1">
      <alignment horizontal="left" vertical="center" wrapText="1"/>
      <protection locked="0"/>
    </xf>
    <xf numFmtId="0" fontId="16" fillId="0" borderId="15" xfId="2" applyFont="1" applyFill="1" applyBorder="1" applyAlignment="1" applyProtection="1">
      <alignment horizontal="left" vertical="center" wrapText="1"/>
      <protection locked="0"/>
    </xf>
    <xf numFmtId="0" fontId="16" fillId="0" borderId="17" xfId="2" applyFont="1" applyFill="1" applyBorder="1" applyAlignment="1" applyProtection="1">
      <alignment horizontal="center" vertical="center" wrapText="1"/>
      <protection locked="0"/>
    </xf>
    <xf numFmtId="0" fontId="16" fillId="0" borderId="36" xfId="2" applyFont="1" applyFill="1" applyBorder="1" applyAlignment="1" applyProtection="1">
      <alignment horizontal="center" vertical="center" wrapText="1"/>
      <protection locked="0"/>
    </xf>
    <xf numFmtId="0" fontId="16" fillId="0" borderId="22" xfId="2" applyFont="1" applyFill="1" applyBorder="1" applyAlignment="1" applyProtection="1">
      <alignment horizontal="center" vertical="center" wrapText="1"/>
      <protection locked="0"/>
    </xf>
    <xf numFmtId="0" fontId="16" fillId="0" borderId="18" xfId="2" applyFont="1" applyFill="1" applyBorder="1" applyAlignment="1" applyProtection="1">
      <alignment horizontal="left" vertical="center" wrapText="1"/>
      <protection locked="0"/>
    </xf>
    <xf numFmtId="0" fontId="16" fillId="0" borderId="34" xfId="2" applyFont="1" applyFill="1" applyBorder="1" applyAlignment="1" applyProtection="1">
      <alignment horizontal="left" vertical="center" wrapText="1"/>
      <protection locked="0"/>
    </xf>
    <xf numFmtId="0" fontId="16" fillId="0" borderId="37" xfId="2" applyFont="1" applyFill="1" applyBorder="1" applyAlignment="1" applyProtection="1">
      <alignment horizontal="left" vertical="center" wrapText="1"/>
      <protection locked="0"/>
    </xf>
    <xf numFmtId="0" fontId="16" fillId="0" borderId="38" xfId="2" applyFont="1" applyFill="1" applyBorder="1" applyAlignment="1" applyProtection="1">
      <alignment horizontal="left" vertical="center" wrapText="1"/>
      <protection locked="0"/>
    </xf>
    <xf numFmtId="0" fontId="16" fillId="0" borderId="21" xfId="2" applyFont="1" applyFill="1" applyBorder="1" applyAlignment="1" applyProtection="1">
      <alignment horizontal="left" vertical="center" wrapText="1"/>
      <protection locked="0"/>
    </xf>
    <xf numFmtId="0" fontId="16" fillId="0" borderId="35" xfId="2" applyFont="1" applyFill="1" applyBorder="1" applyAlignment="1" applyProtection="1">
      <alignment horizontal="left" vertical="center" wrapText="1"/>
      <protection locked="0"/>
    </xf>
    <xf numFmtId="0" fontId="16" fillId="0" borderId="18" xfId="5" applyFont="1" applyFill="1" applyBorder="1" applyAlignment="1" applyProtection="1">
      <alignment horizontal="left" vertical="center" wrapText="1"/>
      <protection locked="0"/>
    </xf>
    <xf numFmtId="0" fontId="16" fillId="0" borderId="34" xfId="5" applyFont="1" applyFill="1" applyBorder="1" applyAlignment="1" applyProtection="1">
      <alignment horizontal="left" vertical="center" wrapText="1"/>
      <protection locked="0"/>
    </xf>
    <xf numFmtId="0" fontId="16" fillId="0" borderId="37" xfId="5" applyFont="1" applyFill="1" applyBorder="1" applyAlignment="1" applyProtection="1">
      <alignment horizontal="left" vertical="center" wrapText="1"/>
      <protection locked="0"/>
    </xf>
    <xf numFmtId="0" fontId="16" fillId="0" borderId="38" xfId="5" applyFont="1" applyFill="1" applyBorder="1" applyAlignment="1" applyProtection="1">
      <alignment horizontal="left" vertical="center" wrapText="1"/>
      <protection locked="0"/>
    </xf>
    <xf numFmtId="0" fontId="16" fillId="0" borderId="21" xfId="5" applyFont="1" applyFill="1" applyBorder="1" applyAlignment="1" applyProtection="1">
      <alignment horizontal="left" vertical="center" wrapText="1"/>
      <protection locked="0"/>
    </xf>
    <xf numFmtId="0" fontId="16" fillId="0" borderId="35" xfId="5" applyFont="1" applyFill="1" applyBorder="1" applyAlignment="1" applyProtection="1">
      <alignment horizontal="left" vertical="center" wrapText="1"/>
      <protection locked="0"/>
    </xf>
    <xf numFmtId="0" fontId="16" fillId="0" borderId="6" xfId="5" applyFont="1" applyFill="1" applyBorder="1" applyAlignment="1" applyProtection="1">
      <alignment horizontal="left" vertical="center" wrapText="1"/>
      <protection locked="0"/>
    </xf>
    <xf numFmtId="0" fontId="21" fillId="0" borderId="17" xfId="4" applyFont="1" applyFill="1" applyBorder="1" applyAlignment="1">
      <alignment horizontal="left" vertical="center" wrapText="1"/>
    </xf>
    <xf numFmtId="0" fontId="21" fillId="0" borderId="22" xfId="4" applyFont="1" applyFill="1" applyBorder="1" applyAlignment="1">
      <alignment horizontal="left" vertical="center" wrapText="1"/>
    </xf>
    <xf numFmtId="3" fontId="16" fillId="0" borderId="17" xfId="2" applyNumberFormat="1" applyFont="1" applyFill="1" applyBorder="1" applyAlignment="1" applyProtection="1">
      <alignment horizontal="center" vertical="center" wrapText="1"/>
      <protection locked="0"/>
    </xf>
    <xf numFmtId="3" fontId="16" fillId="0" borderId="22" xfId="2" applyNumberFormat="1" applyFont="1" applyFill="1" applyBorder="1" applyAlignment="1" applyProtection="1">
      <alignment horizontal="center" vertical="center" wrapText="1"/>
      <protection locked="0"/>
    </xf>
    <xf numFmtId="0" fontId="16" fillId="0" borderId="0" xfId="2" applyFont="1" applyFill="1" applyAlignment="1">
      <alignment horizontal="right"/>
    </xf>
    <xf numFmtId="0" fontId="7" fillId="0" borderId="0" xfId="4" applyFont="1" applyAlignment="1">
      <alignment horizontal="center" vertical="center"/>
    </xf>
    <xf numFmtId="0" fontId="16" fillId="0" borderId="6" xfId="2" applyFont="1" applyFill="1" applyBorder="1" applyAlignment="1">
      <alignment horizontal="left" vertical="center" wrapText="1"/>
    </xf>
    <xf numFmtId="1" fontId="16" fillId="0" borderId="6" xfId="2" applyNumberFormat="1" applyFont="1" applyFill="1" applyBorder="1" applyAlignment="1">
      <alignment horizontal="left" vertical="center" wrapText="1"/>
    </xf>
    <xf numFmtId="1" fontId="15" fillId="0" borderId="6" xfId="2" applyNumberFormat="1" applyFont="1" applyFill="1" applyBorder="1" applyAlignment="1" applyProtection="1">
      <alignment horizontal="center" vertical="center" wrapText="1"/>
      <protection locked="0"/>
    </xf>
    <xf numFmtId="3" fontId="16" fillId="0" borderId="6" xfId="2" applyNumberFormat="1" applyFont="1" applyFill="1" applyBorder="1" applyAlignment="1" applyProtection="1">
      <alignment horizontal="right" vertical="center" wrapText="1"/>
      <protection locked="0"/>
    </xf>
    <xf numFmtId="0" fontId="21" fillId="0" borderId="6" xfId="2" applyFont="1" applyFill="1" applyBorder="1" applyAlignment="1" applyProtection="1">
      <alignment horizontal="left" vertical="center" wrapText="1"/>
      <protection locked="0"/>
    </xf>
    <xf numFmtId="0" fontId="21" fillId="0" borderId="6" xfId="4" applyFont="1" applyFill="1" applyBorder="1" applyAlignment="1">
      <alignment horizontal="left" vertical="center" wrapText="1"/>
    </xf>
    <xf numFmtId="0" fontId="16" fillId="0" borderId="17" xfId="5" applyFont="1" applyBorder="1" applyAlignment="1" applyProtection="1">
      <alignment horizontal="center" vertical="center" wrapText="1"/>
      <protection locked="0"/>
    </xf>
    <xf numFmtId="0" fontId="16" fillId="0" borderId="22" xfId="5" applyFont="1" applyBorder="1" applyAlignment="1" applyProtection="1">
      <alignment horizontal="center" vertical="center" wrapText="1"/>
      <protection locked="0"/>
    </xf>
    <xf numFmtId="0" fontId="16" fillId="0" borderId="17" xfId="5" applyFont="1" applyBorder="1" applyAlignment="1" applyProtection="1">
      <alignment horizontal="left" vertical="center" wrapText="1"/>
      <protection locked="0"/>
    </xf>
    <xf numFmtId="0" fontId="16" fillId="0" borderId="22" xfId="5" applyFont="1" applyBorder="1" applyAlignment="1" applyProtection="1">
      <alignment horizontal="left" vertical="center" wrapText="1"/>
      <protection locked="0"/>
    </xf>
    <xf numFmtId="0" fontId="16" fillId="0" borderId="0" xfId="5" applyFont="1" applyFill="1" applyAlignment="1">
      <alignment horizontal="left" vertical="top" wrapText="1"/>
    </xf>
    <xf numFmtId="0" fontId="16" fillId="0" borderId="0" xfId="5" applyFont="1" applyFill="1" applyAlignment="1">
      <alignment horizontal="left" vertical="top"/>
    </xf>
    <xf numFmtId="0" fontId="16" fillId="0" borderId="0" xfId="5" applyFont="1" applyFill="1" applyAlignment="1">
      <alignment horizontal="left" vertical="center"/>
    </xf>
    <xf numFmtId="0" fontId="16" fillId="0" borderId="0" xfId="5" applyFont="1" applyFill="1" applyAlignment="1">
      <alignment horizontal="left" wrapText="1"/>
    </xf>
    <xf numFmtId="0" fontId="16" fillId="0" borderId="0" xfId="5" applyFont="1" applyAlignment="1">
      <alignment horizontal="left"/>
    </xf>
    <xf numFmtId="0" fontId="7" fillId="0" borderId="0" xfId="5" applyFont="1" applyAlignment="1">
      <alignment horizontal="center"/>
    </xf>
    <xf numFmtId="0" fontId="16" fillId="0" borderId="6" xfId="5" applyFont="1" applyBorder="1" applyAlignment="1" applyProtection="1">
      <alignment horizontal="center" vertical="center"/>
      <protection locked="0"/>
    </xf>
    <xf numFmtId="0" fontId="16" fillId="0" borderId="6" xfId="5" applyFont="1" applyBorder="1" applyAlignment="1" applyProtection="1">
      <alignment horizontal="left" vertical="center" wrapText="1"/>
      <protection locked="0"/>
    </xf>
    <xf numFmtId="3" fontId="16" fillId="0" borderId="6" xfId="5" applyNumberFormat="1" applyFont="1" applyFill="1" applyBorder="1" applyAlignment="1" applyProtection="1">
      <alignment horizontal="center" vertical="center" wrapText="1"/>
      <protection locked="0"/>
    </xf>
    <xf numFmtId="0" fontId="29" fillId="4" borderId="0" xfId="5" applyFont="1" applyFill="1" applyAlignment="1">
      <alignment horizontal="left" vertical="top" wrapText="1"/>
    </xf>
    <xf numFmtId="0" fontId="20" fillId="0" borderId="0" xfId="5" applyFont="1" applyAlignment="1">
      <alignment horizontal="left"/>
    </xf>
    <xf numFmtId="49" fontId="15" fillId="0" borderId="39" xfId="5" applyNumberFormat="1" applyFont="1" applyFill="1" applyBorder="1" applyAlignment="1">
      <alignment horizontal="left"/>
    </xf>
    <xf numFmtId="0" fontId="15" fillId="0" borderId="6" xfId="5" applyFont="1" applyBorder="1" applyAlignment="1">
      <alignment horizontal="right" vertical="center" wrapText="1"/>
    </xf>
    <xf numFmtId="0" fontId="15" fillId="0" borderId="39" xfId="2" applyFont="1" applyFill="1" applyBorder="1" applyAlignment="1">
      <alignment horizontal="left" vertical="center"/>
    </xf>
    <xf numFmtId="3" fontId="16" fillId="0" borderId="17" xfId="5" applyNumberFormat="1" applyFont="1" applyBorder="1" applyAlignment="1" applyProtection="1">
      <alignment horizontal="center" vertical="center" wrapText="1"/>
      <protection locked="0"/>
    </xf>
    <xf numFmtId="3" fontId="16" fillId="0" borderId="22" xfId="5" applyNumberFormat="1" applyFont="1" applyBorder="1" applyAlignment="1" applyProtection="1">
      <alignment horizontal="center" vertical="center" wrapText="1"/>
      <protection locked="0"/>
    </xf>
    <xf numFmtId="0" fontId="16" fillId="0" borderId="17" xfId="5" applyFont="1" applyBorder="1" applyAlignment="1">
      <alignment horizontal="center" vertical="center" wrapText="1"/>
    </xf>
    <xf numFmtId="0" fontId="16" fillId="0" borderId="22" xfId="5" applyFont="1" applyBorder="1" applyAlignment="1">
      <alignment horizontal="center" vertical="center" wrapText="1"/>
    </xf>
    <xf numFmtId="0" fontId="16" fillId="0" borderId="0" xfId="2" applyFont="1" applyAlignment="1">
      <alignment horizontal="left" wrapText="1"/>
    </xf>
    <xf numFmtId="0" fontId="16" fillId="0" borderId="6" xfId="5" applyFont="1" applyBorder="1" applyAlignment="1">
      <alignment horizontal="center" vertical="center" wrapText="1"/>
    </xf>
    <xf numFmtId="0" fontId="16" fillId="0" borderId="6" xfId="5" applyFont="1" applyBorder="1" applyAlignment="1" applyProtection="1">
      <alignment horizontal="center" vertical="center" wrapText="1"/>
      <protection locked="0"/>
    </xf>
    <xf numFmtId="3" fontId="16" fillId="0" borderId="6" xfId="5" applyNumberFormat="1" applyFont="1" applyBorder="1" applyAlignment="1" applyProtection="1">
      <alignment horizontal="right" vertical="top" wrapText="1"/>
      <protection locked="0"/>
    </xf>
    <xf numFmtId="3" fontId="16" fillId="0" borderId="6" xfId="5" applyNumberFormat="1" applyFont="1" applyFill="1" applyBorder="1" applyAlignment="1" applyProtection="1">
      <alignment horizontal="right" vertical="top" wrapText="1"/>
      <protection locked="0"/>
    </xf>
    <xf numFmtId="3" fontId="16" fillId="0" borderId="17" xfId="5" applyNumberFormat="1" applyFont="1" applyBorder="1" applyAlignment="1" applyProtection="1">
      <alignment horizontal="right" vertical="top" wrapText="1"/>
      <protection locked="0"/>
    </xf>
    <xf numFmtId="3" fontId="16" fillId="0" borderId="36" xfId="5" applyNumberFormat="1" applyFont="1" applyBorder="1" applyAlignment="1" applyProtection="1">
      <alignment horizontal="right" vertical="top" wrapText="1"/>
      <protection locked="0"/>
    </xf>
    <xf numFmtId="3" fontId="16" fillId="0" borderId="22" xfId="5" applyNumberFormat="1" applyFont="1" applyBorder="1" applyAlignment="1" applyProtection="1">
      <alignment horizontal="right" vertical="top" wrapText="1"/>
      <protection locked="0"/>
    </xf>
    <xf numFmtId="3" fontId="16" fillId="0" borderId="17" xfId="5" applyNumberFormat="1" applyFont="1" applyFill="1" applyBorder="1" applyAlignment="1" applyProtection="1">
      <alignment horizontal="right" vertical="top" wrapText="1"/>
      <protection locked="0"/>
    </xf>
    <xf numFmtId="3" fontId="16" fillId="0" borderId="36" xfId="5" applyNumberFormat="1" applyFont="1" applyFill="1" applyBorder="1" applyAlignment="1" applyProtection="1">
      <alignment horizontal="right" vertical="top" wrapText="1"/>
      <protection locked="0"/>
    </xf>
    <xf numFmtId="3" fontId="16" fillId="0" borderId="22" xfId="5" applyNumberFormat="1" applyFont="1" applyFill="1" applyBorder="1" applyAlignment="1" applyProtection="1">
      <alignment horizontal="right" vertical="top" wrapText="1"/>
      <protection locked="0"/>
    </xf>
    <xf numFmtId="0" fontId="16" fillId="0" borderId="17" xfId="5" applyFont="1" applyBorder="1" applyAlignment="1">
      <alignment horizontal="right" vertical="top" wrapText="1"/>
    </xf>
    <xf numFmtId="0" fontId="16" fillId="0" borderId="36" xfId="5" applyFont="1" applyBorder="1" applyAlignment="1">
      <alignment horizontal="right" vertical="top" wrapText="1"/>
    </xf>
    <xf numFmtId="0" fontId="16" fillId="0" borderId="22" xfId="5" applyFont="1" applyBorder="1" applyAlignment="1">
      <alignment horizontal="right" vertical="top" wrapText="1"/>
    </xf>
    <xf numFmtId="0" fontId="16" fillId="0" borderId="36" xfId="5" applyFont="1" applyBorder="1" applyAlignment="1" applyProtection="1">
      <alignment horizontal="center" vertical="center" wrapText="1"/>
      <protection locked="0"/>
    </xf>
    <xf numFmtId="0" fontId="16" fillId="0" borderId="36" xfId="5" applyFont="1" applyBorder="1" applyAlignment="1" applyProtection="1">
      <alignment horizontal="left" vertical="center" wrapText="1"/>
      <protection locked="0"/>
    </xf>
    <xf numFmtId="0" fontId="16" fillId="0" borderId="17" xfId="0" applyFont="1" applyFill="1" applyBorder="1" applyAlignment="1" applyProtection="1">
      <alignment vertical="center" wrapText="1"/>
      <protection locked="0"/>
    </xf>
    <xf numFmtId="0" fontId="16" fillId="0" borderId="36" xfId="0" applyFont="1" applyFill="1" applyBorder="1" applyAlignment="1" applyProtection="1">
      <alignment vertical="center" wrapText="1"/>
      <protection locked="0"/>
    </xf>
    <xf numFmtId="0" fontId="67" fillId="0" borderId="22" xfId="0" applyFont="1" applyBorder="1" applyAlignment="1">
      <alignment vertical="center" wrapText="1"/>
    </xf>
    <xf numFmtId="0" fontId="16" fillId="0" borderId="17" xfId="5" applyFont="1" applyFill="1" applyBorder="1" applyAlignment="1">
      <alignment horizontal="left" vertical="center" wrapText="1"/>
    </xf>
    <xf numFmtId="0" fontId="16" fillId="0" borderId="36" xfId="5" applyFont="1" applyFill="1" applyBorder="1" applyAlignment="1">
      <alignment horizontal="left" vertical="center" wrapText="1"/>
    </xf>
    <xf numFmtId="0" fontId="16" fillId="0" borderId="22" xfId="5" applyFont="1" applyFill="1" applyBorder="1" applyAlignment="1">
      <alignment horizontal="left" vertical="center" wrapText="1"/>
    </xf>
    <xf numFmtId="3" fontId="16" fillId="0" borderId="6" xfId="0" applyNumberFormat="1" applyFont="1" applyFill="1" applyBorder="1" applyAlignment="1" applyProtection="1">
      <alignment horizontal="center" vertical="center" wrapText="1"/>
      <protection locked="0"/>
    </xf>
    <xf numFmtId="3" fontId="16" fillId="0" borderId="0" xfId="5" applyNumberFormat="1" applyFont="1" applyBorder="1" applyAlignment="1" applyProtection="1">
      <alignment horizontal="left" vertical="center" wrapText="1"/>
      <protection locked="0"/>
    </xf>
    <xf numFmtId="0" fontId="16" fillId="0" borderId="6" xfId="5" applyFont="1" applyFill="1" applyBorder="1" applyAlignment="1" applyProtection="1">
      <alignment horizontal="center" vertical="center" wrapText="1"/>
      <protection locked="0"/>
    </xf>
    <xf numFmtId="3" fontId="16" fillId="0" borderId="6" xfId="5" applyNumberFormat="1" applyFont="1" applyBorder="1" applyAlignment="1" applyProtection="1">
      <alignment horizontal="center" vertical="center" wrapText="1"/>
      <protection locked="0"/>
    </xf>
    <xf numFmtId="0" fontId="16" fillId="0" borderId="17" xfId="5" applyFont="1" applyFill="1" applyBorder="1" applyAlignment="1" applyProtection="1">
      <alignment horizontal="left" vertical="center" wrapText="1"/>
      <protection locked="0"/>
    </xf>
    <xf numFmtId="0" fontId="16" fillId="0" borderId="36" xfId="5" applyFont="1" applyFill="1" applyBorder="1" applyAlignment="1" applyProtection="1">
      <alignment horizontal="left" vertical="center" wrapText="1"/>
      <protection locked="0"/>
    </xf>
    <xf numFmtId="0" fontId="16" fillId="0" borderId="22" xfId="5" applyFont="1" applyFill="1" applyBorder="1" applyAlignment="1" applyProtection="1">
      <alignment horizontal="left" vertical="center" wrapText="1"/>
      <protection locked="0"/>
    </xf>
    <xf numFmtId="3" fontId="16" fillId="0" borderId="36" xfId="5" applyNumberFormat="1" applyFont="1" applyBorder="1" applyAlignment="1" applyProtection="1">
      <alignment horizontal="center" vertical="center" wrapText="1"/>
      <protection locked="0"/>
    </xf>
    <xf numFmtId="49" fontId="15" fillId="0" borderId="39" xfId="5" applyNumberFormat="1" applyFont="1" applyFill="1" applyBorder="1" applyAlignment="1">
      <alignment horizontal="left" vertical="center"/>
    </xf>
    <xf numFmtId="3" fontId="16" fillId="0" borderId="6" xfId="5" applyNumberFormat="1" applyFont="1" applyBorder="1" applyAlignment="1" applyProtection="1">
      <alignment horizontal="center" vertical="center"/>
      <protection locked="0"/>
    </xf>
    <xf numFmtId="3" fontId="16" fillId="0" borderId="6" xfId="5" applyNumberFormat="1" applyFont="1" applyFill="1" applyBorder="1" applyAlignment="1" applyProtection="1">
      <alignment horizontal="left" vertical="center" wrapText="1"/>
      <protection locked="0"/>
    </xf>
    <xf numFmtId="3" fontId="16" fillId="0" borderId="17" xfId="2" applyNumberFormat="1" applyFont="1" applyFill="1" applyBorder="1" applyAlignment="1">
      <alignment horizontal="center" vertical="center" wrapText="1"/>
    </xf>
    <xf numFmtId="3" fontId="16" fillId="0" borderId="36" xfId="2" applyNumberFormat="1" applyFont="1" applyFill="1" applyBorder="1" applyAlignment="1">
      <alignment horizontal="center" vertical="center" wrapText="1"/>
    </xf>
    <xf numFmtId="3" fontId="16" fillId="0" borderId="22" xfId="2" applyNumberFormat="1" applyFont="1" applyFill="1" applyBorder="1" applyAlignment="1">
      <alignment horizontal="center" vertical="center" wrapText="1"/>
    </xf>
    <xf numFmtId="0" fontId="16" fillId="0" borderId="0" xfId="5" applyFont="1" applyBorder="1" applyAlignment="1" applyProtection="1">
      <alignment horizontal="left"/>
      <protection locked="0"/>
    </xf>
    <xf numFmtId="0" fontId="16" fillId="0" borderId="0" xfId="5" applyFont="1" applyBorder="1" applyAlignment="1" applyProtection="1">
      <alignment horizontal="left" wrapText="1"/>
      <protection locked="0"/>
    </xf>
    <xf numFmtId="0" fontId="7" fillId="0" borderId="0" xfId="5" applyFont="1" applyBorder="1" applyAlignment="1">
      <alignment horizontal="center"/>
    </xf>
    <xf numFmtId="0" fontId="16" fillId="0" borderId="0" xfId="5" applyFont="1" applyBorder="1" applyAlignment="1">
      <alignment horizontal="left"/>
    </xf>
    <xf numFmtId="0" fontId="20" fillId="0" borderId="0" xfId="5" applyFont="1" applyBorder="1" applyAlignment="1" applyProtection="1">
      <alignment horizontal="left"/>
      <protection locked="0"/>
    </xf>
    <xf numFmtId="49" fontId="15" fillId="0" borderId="39" xfId="5" applyNumberFormat="1" applyFont="1" applyFill="1" applyBorder="1" applyAlignment="1" applyProtection="1">
      <alignment horizontal="left"/>
      <protection locked="0"/>
    </xf>
    <xf numFmtId="0" fontId="15" fillId="0" borderId="14" xfId="5" applyFont="1" applyBorder="1" applyAlignment="1">
      <alignment horizontal="right" vertical="center" wrapText="1"/>
    </xf>
    <xf numFmtId="0" fontId="15" fillId="0" borderId="10" xfId="5" applyFont="1" applyBorder="1" applyAlignment="1">
      <alignment horizontal="right" vertical="center" wrapText="1"/>
    </xf>
    <xf numFmtId="0" fontId="16" fillId="0" borderId="0" xfId="5" applyFont="1" applyAlignment="1">
      <alignment horizontal="left" vertical="center"/>
    </xf>
    <xf numFmtId="3" fontId="16" fillId="4" borderId="17" xfId="2" applyNumberFormat="1" applyFont="1" applyFill="1" applyBorder="1" applyAlignment="1" applyProtection="1">
      <alignment horizontal="center" vertical="center" wrapText="1"/>
      <protection locked="0"/>
    </xf>
    <xf numFmtId="3" fontId="16" fillId="4" borderId="36" xfId="2" applyNumberFormat="1" applyFont="1" applyFill="1" applyBorder="1" applyAlignment="1" applyProtection="1">
      <alignment horizontal="center" vertical="center" wrapText="1"/>
      <protection locked="0"/>
    </xf>
    <xf numFmtId="3" fontId="16" fillId="4" borderId="22" xfId="2" applyNumberFormat="1" applyFont="1" applyFill="1" applyBorder="1" applyAlignment="1" applyProtection="1">
      <alignment horizontal="center" vertical="center" wrapText="1"/>
      <protection locked="0"/>
    </xf>
    <xf numFmtId="0" fontId="23" fillId="0" borderId="6" xfId="2" applyFont="1" applyFill="1" applyBorder="1" applyAlignment="1" applyProtection="1">
      <alignment horizontal="left" vertical="center" wrapText="1"/>
      <protection locked="0"/>
    </xf>
    <xf numFmtId="0" fontId="33" fillId="0" borderId="6" xfId="2" applyFont="1" applyBorder="1" applyAlignment="1">
      <alignment horizontal="left" vertical="center"/>
    </xf>
    <xf numFmtId="0" fontId="35" fillId="0" borderId="6" xfId="2" applyFont="1" applyFill="1" applyBorder="1" applyAlignment="1" applyProtection="1">
      <alignment horizontal="left" vertical="center" wrapText="1"/>
      <protection locked="0"/>
    </xf>
    <xf numFmtId="0" fontId="16" fillId="0" borderId="14" xfId="2" applyFont="1" applyBorder="1" applyAlignment="1" applyProtection="1">
      <alignment horizontal="left" vertical="center" wrapText="1"/>
      <protection locked="0"/>
    </xf>
    <xf numFmtId="0" fontId="16" fillId="0" borderId="15" xfId="2" applyFont="1" applyBorder="1" applyAlignment="1" applyProtection="1">
      <alignment horizontal="left" vertical="center" wrapText="1"/>
      <protection locked="0"/>
    </xf>
    <xf numFmtId="0" fontId="23" fillId="0" borderId="6" xfId="2" applyFont="1" applyBorder="1" applyAlignment="1" applyProtection="1">
      <alignment horizontal="left" vertical="center" wrapText="1"/>
      <protection locked="0"/>
    </xf>
    <xf numFmtId="0" fontId="16" fillId="0" borderId="6" xfId="2" applyFont="1" applyBorder="1" applyAlignment="1">
      <alignment horizontal="center" vertical="center" wrapText="1"/>
    </xf>
    <xf numFmtId="0" fontId="15" fillId="0" borderId="6" xfId="2" applyFont="1" applyBorder="1" applyAlignment="1">
      <alignment horizontal="right" vertical="center" wrapText="1"/>
    </xf>
    <xf numFmtId="0" fontId="16" fillId="0" borderId="17" xfId="2" applyFont="1" applyBorder="1" applyAlignment="1" applyProtection="1">
      <alignment horizontal="center" vertical="center" wrapText="1"/>
      <protection locked="0"/>
    </xf>
    <xf numFmtId="0" fontId="16" fillId="0" borderId="36" xfId="2" applyFont="1" applyBorder="1" applyAlignment="1" applyProtection="1">
      <alignment horizontal="center" vertical="center" wrapText="1"/>
      <protection locked="0"/>
    </xf>
    <xf numFmtId="0" fontId="16" fillId="0" borderId="18" xfId="2" applyFont="1" applyBorder="1" applyAlignment="1" applyProtection="1">
      <alignment horizontal="left" vertical="center" wrapText="1"/>
      <protection locked="0"/>
    </xf>
    <xf numFmtId="0" fontId="16" fillId="0" borderId="34" xfId="2" applyFont="1" applyBorder="1" applyAlignment="1" applyProtection="1">
      <alignment horizontal="left" vertical="center" wrapText="1"/>
      <protection locked="0"/>
    </xf>
    <xf numFmtId="0" fontId="16" fillId="0" borderId="37" xfId="2" applyFont="1" applyBorder="1" applyAlignment="1" applyProtection="1">
      <alignment horizontal="left" vertical="center" wrapText="1"/>
      <protection locked="0"/>
    </xf>
    <xf numFmtId="0" fontId="16" fillId="0" borderId="38" xfId="2" applyFont="1" applyBorder="1" applyAlignment="1" applyProtection="1">
      <alignment horizontal="left" vertical="center" wrapText="1"/>
      <protection locked="0"/>
    </xf>
    <xf numFmtId="0" fontId="38" fillId="0" borderId="6" xfId="2" applyFont="1" applyFill="1" applyBorder="1" applyAlignment="1" applyProtection="1">
      <alignment horizontal="left" vertical="center" wrapText="1"/>
      <protection locked="0"/>
    </xf>
    <xf numFmtId="0" fontId="23" fillId="0" borderId="6" xfId="2" applyFont="1" applyFill="1" applyBorder="1" applyAlignment="1" applyProtection="1">
      <alignment vertical="center" wrapText="1"/>
      <protection locked="0"/>
    </xf>
    <xf numFmtId="0" fontId="21" fillId="0" borderId="0" xfId="2" applyFont="1" applyBorder="1" applyAlignment="1" applyProtection="1">
      <alignment horizontal="left" vertical="center" wrapText="1"/>
      <protection locked="0"/>
    </xf>
    <xf numFmtId="0" fontId="16" fillId="0" borderId="0" xfId="2" applyFont="1" applyBorder="1" applyAlignment="1">
      <alignment horizontal="left"/>
    </xf>
    <xf numFmtId="0" fontId="21" fillId="0" borderId="0" xfId="2" applyFont="1" applyFill="1" applyBorder="1" applyAlignment="1" applyProtection="1">
      <alignment horizontal="left" vertical="center" wrapText="1"/>
      <protection locked="0"/>
    </xf>
    <xf numFmtId="0" fontId="16" fillId="0" borderId="6" xfId="2" applyFont="1" applyBorder="1" applyAlignment="1" applyProtection="1">
      <alignment horizontal="center" vertical="center" wrapText="1"/>
      <protection locked="0"/>
    </xf>
    <xf numFmtId="3" fontId="16" fillId="0" borderId="36" xfId="2" applyNumberFormat="1" applyFont="1" applyFill="1" applyBorder="1" applyAlignment="1" applyProtection="1">
      <alignment horizontal="center" vertical="center" wrapText="1"/>
      <protection locked="0"/>
    </xf>
    <xf numFmtId="0" fontId="33" fillId="0" borderId="6" xfId="2" applyFont="1" applyFill="1" applyBorder="1" applyAlignment="1" applyProtection="1">
      <alignment vertical="center" wrapText="1"/>
      <protection locked="0"/>
    </xf>
    <xf numFmtId="0" fontId="36" fillId="0" borderId="6" xfId="4" applyNumberFormat="1" applyFont="1" applyFill="1" applyBorder="1" applyAlignment="1" applyProtection="1">
      <alignment vertical="center" wrapText="1"/>
    </xf>
    <xf numFmtId="0" fontId="36" fillId="0" borderId="6" xfId="4" applyFont="1" applyFill="1" applyBorder="1" applyAlignment="1">
      <alignment vertical="center" wrapText="1"/>
    </xf>
    <xf numFmtId="0" fontId="36" fillId="0" borderId="6" xfId="4" applyFont="1" applyBorder="1" applyAlignment="1" applyProtection="1">
      <alignment vertical="center" wrapText="1"/>
      <protection locked="0"/>
    </xf>
    <xf numFmtId="0" fontId="16" fillId="0" borderId="22" xfId="2" applyFont="1" applyBorder="1" applyAlignment="1" applyProtection="1">
      <alignment horizontal="center" vertical="center" wrapText="1"/>
      <protection locked="0"/>
    </xf>
    <xf numFmtId="0" fontId="16" fillId="0" borderId="14" xfId="2" applyFont="1" applyBorder="1" applyAlignment="1">
      <alignment horizontal="center" vertical="center"/>
    </xf>
    <xf numFmtId="0" fontId="16" fillId="0" borderId="15" xfId="2" applyFont="1" applyBorder="1" applyAlignment="1">
      <alignment horizontal="center" vertical="center"/>
    </xf>
    <xf numFmtId="0" fontId="33" fillId="0" borderId="14" xfId="4" applyFont="1" applyFill="1" applyBorder="1" applyAlignment="1" applyProtection="1">
      <alignment horizontal="left" vertical="center" wrapText="1"/>
      <protection locked="0"/>
    </xf>
    <xf numFmtId="0" fontId="33" fillId="0" borderId="15" xfId="4" applyFont="1" applyFill="1" applyBorder="1" applyAlignment="1" applyProtection="1">
      <alignment horizontal="left" vertical="center" wrapText="1"/>
      <protection locked="0"/>
    </xf>
    <xf numFmtId="0" fontId="36" fillId="0" borderId="14" xfId="4" applyFont="1" applyFill="1" applyBorder="1" applyAlignment="1">
      <alignment horizontal="left" vertical="center" wrapText="1"/>
    </xf>
    <xf numFmtId="0" fontId="36" fillId="0" borderId="15" xfId="4" applyFont="1" applyFill="1" applyBorder="1" applyAlignment="1">
      <alignment horizontal="left" vertical="center" wrapText="1"/>
    </xf>
    <xf numFmtId="2" fontId="36" fillId="4" borderId="6" xfId="6" applyNumberFormat="1" applyFont="1" applyFill="1" applyBorder="1" applyAlignment="1">
      <alignment vertical="center" wrapText="1"/>
    </xf>
    <xf numFmtId="0" fontId="16" fillId="0" borderId="6" xfId="2" applyFont="1" applyBorder="1" applyAlignment="1" applyProtection="1">
      <alignment horizontal="center" vertical="center"/>
      <protection locked="0"/>
    </xf>
    <xf numFmtId="164" fontId="36" fillId="0" borderId="6" xfId="6" applyFont="1" applyFill="1" applyBorder="1" applyAlignment="1">
      <alignment vertical="center" wrapText="1"/>
    </xf>
    <xf numFmtId="0" fontId="36" fillId="0" borderId="6" xfId="4" applyFont="1" applyBorder="1" applyAlignment="1">
      <alignment vertical="center" wrapText="1"/>
    </xf>
    <xf numFmtId="0" fontId="32" fillId="0" borderId="6" xfId="4" applyFont="1" applyBorder="1" applyAlignment="1" applyProtection="1">
      <alignment vertical="center" wrapText="1"/>
      <protection locked="0"/>
    </xf>
    <xf numFmtId="0" fontId="23" fillId="0" borderId="6" xfId="4" applyFont="1" applyBorder="1" applyAlignment="1" applyProtection="1">
      <alignment horizontal="left" vertical="center" wrapText="1"/>
      <protection locked="0"/>
    </xf>
    <xf numFmtId="0" fontId="35" fillId="0" borderId="6" xfId="2" applyFont="1" applyFill="1" applyBorder="1" applyAlignment="1" applyProtection="1">
      <alignment vertical="center" wrapText="1"/>
      <protection locked="0"/>
    </xf>
    <xf numFmtId="0" fontId="36" fillId="0" borderId="6" xfId="4" applyFont="1" applyBorder="1" applyAlignment="1">
      <alignment vertical="center"/>
    </xf>
    <xf numFmtId="0" fontId="36" fillId="0" borderId="14" xfId="4" applyFont="1" applyBorder="1" applyAlignment="1">
      <alignment horizontal="left" vertical="center"/>
    </xf>
    <xf numFmtId="0" fontId="36" fillId="0" borderId="15" xfId="4" applyFont="1" applyBorder="1" applyAlignment="1">
      <alignment horizontal="left" vertical="center"/>
    </xf>
    <xf numFmtId="0" fontId="36" fillId="0" borderId="6" xfId="4" applyFont="1" applyFill="1" applyBorder="1" applyAlignment="1">
      <alignment horizontal="left" vertical="center" wrapText="1"/>
    </xf>
    <xf numFmtId="2" fontId="23" fillId="0" borderId="6" xfId="6" applyNumberFormat="1" applyFont="1" applyFill="1" applyBorder="1" applyAlignment="1">
      <alignment horizontal="left" vertical="center" wrapText="1"/>
    </xf>
    <xf numFmtId="169" fontId="23" fillId="0" borderId="6" xfId="7" applyNumberFormat="1" applyFont="1" applyFill="1" applyBorder="1" applyAlignment="1" applyProtection="1">
      <alignment horizontal="left" vertical="center" wrapText="1"/>
    </xf>
    <xf numFmtId="0" fontId="24" fillId="0" borderId="14" xfId="2" applyFont="1" applyBorder="1" applyAlignment="1">
      <alignment horizontal="center" vertical="center"/>
    </xf>
    <xf numFmtId="0" fontId="24" fillId="0" borderId="15" xfId="2" applyFont="1" applyBorder="1" applyAlignment="1">
      <alignment horizontal="center" vertical="center"/>
    </xf>
    <xf numFmtId="0" fontId="33" fillId="0" borderId="6" xfId="2" applyFont="1" applyFill="1" applyBorder="1" applyAlignment="1" applyProtection="1">
      <alignment horizontal="left" vertical="center" wrapText="1"/>
      <protection locked="0"/>
    </xf>
    <xf numFmtId="0" fontId="36" fillId="0" borderId="6" xfId="4" applyNumberFormat="1" applyFont="1" applyFill="1" applyBorder="1" applyAlignment="1" applyProtection="1">
      <alignment horizontal="left" vertical="center" wrapText="1"/>
    </xf>
    <xf numFmtId="49" fontId="23" fillId="0" borderId="6" xfId="4" applyNumberFormat="1" applyFont="1" applyFill="1" applyBorder="1" applyAlignment="1">
      <alignment horizontal="left" vertical="center" wrapText="1"/>
    </xf>
    <xf numFmtId="164" fontId="23" fillId="0" borderId="6" xfId="6" applyFont="1" applyFill="1" applyBorder="1" applyAlignment="1">
      <alignment horizontal="left" vertical="center" wrapText="1"/>
    </xf>
    <xf numFmtId="0" fontId="36" fillId="0" borderId="14" xfId="4" applyFont="1" applyBorder="1" applyAlignment="1">
      <alignment horizontal="left" vertical="center" wrapText="1"/>
    </xf>
    <xf numFmtId="0" fontId="36" fillId="0" borderId="15" xfId="4" applyFont="1" applyBorder="1" applyAlignment="1">
      <alignment horizontal="left" vertical="center" wrapText="1"/>
    </xf>
    <xf numFmtId="0" fontId="38" fillId="0" borderId="6" xfId="2" applyFont="1" applyFill="1" applyBorder="1" applyAlignment="1" applyProtection="1">
      <alignment vertical="center" wrapText="1"/>
      <protection locked="0"/>
    </xf>
    <xf numFmtId="0" fontId="36" fillId="0" borderId="6" xfId="4" applyFont="1" applyBorder="1" applyAlignment="1">
      <alignment horizontal="left" vertical="center" wrapText="1"/>
    </xf>
    <xf numFmtId="2" fontId="36" fillId="4" borderId="6" xfId="6" applyNumberFormat="1" applyFont="1" applyFill="1" applyBorder="1" applyAlignment="1">
      <alignment horizontal="left" vertical="center" wrapText="1"/>
    </xf>
    <xf numFmtId="2" fontId="36" fillId="4" borderId="14" xfId="6" applyNumberFormat="1" applyFont="1" applyFill="1" applyBorder="1" applyAlignment="1">
      <alignment horizontal="left" vertical="center" wrapText="1"/>
    </xf>
    <xf numFmtId="2" fontId="36" fillId="4" borderId="15" xfId="6" applyNumberFormat="1" applyFont="1" applyFill="1" applyBorder="1" applyAlignment="1">
      <alignment horizontal="left" vertical="center" wrapText="1"/>
    </xf>
    <xf numFmtId="0" fontId="33" fillId="0" borderId="6" xfId="4" applyFont="1" applyFill="1" applyBorder="1" applyAlignment="1" applyProtection="1">
      <alignment vertical="center" wrapText="1"/>
      <protection locked="0"/>
    </xf>
    <xf numFmtId="49" fontId="36" fillId="0" borderId="6" xfId="4" applyNumberFormat="1" applyFont="1" applyFill="1" applyBorder="1" applyAlignment="1">
      <alignment vertical="center" wrapText="1"/>
    </xf>
    <xf numFmtId="0" fontId="33" fillId="0" borderId="6" xfId="4" applyFont="1" applyBorder="1" applyAlignment="1" applyProtection="1">
      <alignment horizontal="left" vertical="center" wrapText="1"/>
      <protection locked="0"/>
    </xf>
    <xf numFmtId="0" fontId="23" fillId="0" borderId="6" xfId="2" quotePrefix="1" applyFont="1" applyFill="1" applyBorder="1" applyAlignment="1" applyProtection="1">
      <alignment horizontal="left" vertical="center" wrapText="1"/>
      <protection locked="0"/>
    </xf>
    <xf numFmtId="49" fontId="36" fillId="0" borderId="6" xfId="4" applyNumberFormat="1" applyFont="1" applyFill="1" applyBorder="1" applyAlignment="1">
      <alignment horizontal="left" vertical="center" wrapText="1"/>
    </xf>
    <xf numFmtId="0" fontId="16" fillId="0" borderId="6" xfId="2" applyFont="1" applyBorder="1" applyAlignment="1">
      <alignment horizontal="center" vertical="center"/>
    </xf>
    <xf numFmtId="0" fontId="23" fillId="0" borderId="6" xfId="4" applyFont="1" applyFill="1" applyBorder="1" applyAlignment="1">
      <alignment horizontal="left" vertical="center" wrapText="1"/>
    </xf>
    <xf numFmtId="0" fontId="23" fillId="0" borderId="6" xfId="2" applyFont="1" applyBorder="1" applyAlignment="1">
      <alignment horizontal="left" vertical="center"/>
    </xf>
    <xf numFmtId="0" fontId="16" fillId="0" borderId="21" xfId="2" applyFont="1" applyBorder="1" applyAlignment="1" applyProtection="1">
      <alignment horizontal="left" vertical="center" wrapText="1"/>
      <protection locked="0"/>
    </xf>
    <xf numFmtId="0" fontId="16" fillId="0" borderId="35" xfId="2" applyFont="1" applyBorder="1" applyAlignment="1" applyProtection="1">
      <alignment horizontal="left" vertical="center" wrapText="1"/>
      <protection locked="0"/>
    </xf>
    <xf numFmtId="0" fontId="16" fillId="0" borderId="6" xfId="2" applyFont="1" applyBorder="1" applyAlignment="1" applyProtection="1">
      <alignment horizontal="left" vertical="center" wrapText="1"/>
      <protection locked="0"/>
    </xf>
    <xf numFmtId="0" fontId="38" fillId="0" borderId="6" xfId="2" applyFont="1" applyBorder="1" applyAlignment="1" applyProtection="1">
      <alignment vertical="center" wrapText="1"/>
      <protection locked="0"/>
    </xf>
    <xf numFmtId="0" fontId="23" fillId="0" borderId="6" xfId="2" applyFont="1" applyBorder="1" applyAlignment="1" applyProtection="1">
      <alignment vertical="center" wrapText="1"/>
      <protection locked="0"/>
    </xf>
    <xf numFmtId="0" fontId="33" fillId="0" borderId="6" xfId="2" applyFont="1" applyBorder="1" applyAlignment="1" applyProtection="1">
      <alignment vertical="center" wrapText="1"/>
      <protection locked="0"/>
    </xf>
    <xf numFmtId="0" fontId="33" fillId="0" borderId="6" xfId="2" applyFont="1" applyBorder="1" applyAlignment="1" applyProtection="1">
      <alignment horizontal="left" vertical="center" wrapText="1"/>
      <protection locked="0"/>
    </xf>
    <xf numFmtId="0" fontId="35" fillId="0" borderId="6" xfId="2" applyFont="1" applyBorder="1" applyAlignment="1" applyProtection="1">
      <alignment horizontal="left" vertical="center" wrapText="1"/>
      <protection locked="0"/>
    </xf>
    <xf numFmtId="0" fontId="38" fillId="0" borderId="6" xfId="2" applyFont="1" applyBorder="1" applyAlignment="1" applyProtection="1">
      <alignment horizontal="left" vertical="center" wrapText="1"/>
      <protection locked="0"/>
    </xf>
    <xf numFmtId="0" fontId="23" fillId="0" borderId="6" xfId="2" quotePrefix="1" applyFont="1" applyBorder="1" applyAlignment="1" applyProtection="1">
      <alignment horizontal="left" vertical="center" wrapText="1"/>
      <protection locked="0"/>
    </xf>
    <xf numFmtId="0" fontId="36" fillId="0" borderId="14" xfId="4" applyNumberFormat="1" applyFont="1" applyFill="1" applyBorder="1" applyAlignment="1" applyProtection="1">
      <alignment horizontal="left" vertical="center" wrapText="1"/>
    </xf>
    <xf numFmtId="0" fontId="36" fillId="0" borderId="15" xfId="4" applyNumberFormat="1" applyFont="1" applyFill="1" applyBorder="1" applyAlignment="1" applyProtection="1">
      <alignment horizontal="left" vertical="center" wrapText="1"/>
    </xf>
    <xf numFmtId="0" fontId="16" fillId="0" borderId="17" xfId="4" applyFont="1" applyBorder="1" applyAlignment="1" applyProtection="1">
      <alignment horizontal="center" vertical="center" wrapText="1"/>
      <protection locked="0"/>
    </xf>
    <xf numFmtId="0" fontId="16" fillId="0" borderId="36" xfId="4" applyFont="1" applyBorder="1" applyAlignment="1" applyProtection="1">
      <alignment horizontal="center" vertical="center" wrapText="1"/>
      <protection locked="0"/>
    </xf>
    <xf numFmtId="0" fontId="16" fillId="0" borderId="22" xfId="4" applyFont="1" applyBorder="1" applyAlignment="1" applyProtection="1">
      <alignment horizontal="center" vertical="center" wrapText="1"/>
      <protection locked="0"/>
    </xf>
    <xf numFmtId="0" fontId="16" fillId="0" borderId="18" xfId="4" applyFont="1" applyFill="1" applyBorder="1" applyAlignment="1" applyProtection="1">
      <alignment horizontal="left" vertical="center" wrapText="1"/>
      <protection locked="0"/>
    </xf>
    <xf numFmtId="0" fontId="16" fillId="0" borderId="34" xfId="4" applyFont="1" applyFill="1" applyBorder="1" applyAlignment="1" applyProtection="1">
      <alignment horizontal="left" vertical="center" wrapText="1"/>
      <protection locked="0"/>
    </xf>
    <xf numFmtId="0" fontId="16" fillId="0" borderId="37" xfId="4" applyFont="1" applyFill="1" applyBorder="1" applyAlignment="1" applyProtection="1">
      <alignment horizontal="left" vertical="center" wrapText="1"/>
      <protection locked="0"/>
    </xf>
    <xf numFmtId="0" fontId="16" fillId="0" borderId="38" xfId="4" applyFont="1" applyFill="1" applyBorder="1" applyAlignment="1" applyProtection="1">
      <alignment horizontal="left" vertical="center" wrapText="1"/>
      <protection locked="0"/>
    </xf>
    <xf numFmtId="0" fontId="16" fillId="0" borderId="21" xfId="4" applyFont="1" applyFill="1" applyBorder="1" applyAlignment="1" applyProtection="1">
      <alignment horizontal="left" vertical="center" wrapText="1"/>
      <protection locked="0"/>
    </xf>
    <xf numFmtId="0" fontId="16" fillId="0" borderId="35" xfId="4" applyFont="1" applyFill="1" applyBorder="1" applyAlignment="1" applyProtection="1">
      <alignment horizontal="left" vertical="center" wrapText="1"/>
      <protection locked="0"/>
    </xf>
    <xf numFmtId="0" fontId="23" fillId="0" borderId="14" xfId="2" applyFont="1" applyBorder="1" applyAlignment="1" applyProtection="1">
      <alignment horizontal="left" vertical="center" wrapText="1"/>
      <protection locked="0"/>
    </xf>
    <xf numFmtId="0" fontId="23" fillId="0" borderId="15" xfId="2" applyFont="1" applyBorder="1" applyAlignment="1" applyProtection="1">
      <alignment horizontal="left" vertical="center" wrapText="1"/>
      <protection locked="0"/>
    </xf>
    <xf numFmtId="0" fontId="16" fillId="0" borderId="14" xfId="2" applyFont="1" applyBorder="1" applyAlignment="1">
      <alignment horizontal="left"/>
    </xf>
    <xf numFmtId="0" fontId="16" fillId="0" borderId="10" xfId="2" applyFont="1" applyBorder="1" applyAlignment="1">
      <alignment horizontal="left"/>
    </xf>
    <xf numFmtId="0" fontId="16" fillId="0" borderId="14" xfId="2" applyFont="1" applyBorder="1" applyAlignment="1">
      <alignment horizontal="left" wrapText="1"/>
    </xf>
    <xf numFmtId="0" fontId="16" fillId="0" borderId="10" xfId="2" applyFont="1" applyBorder="1" applyAlignment="1">
      <alignment horizontal="left" wrapText="1"/>
    </xf>
    <xf numFmtId="0" fontId="36" fillId="4" borderId="6" xfId="4" applyFont="1" applyFill="1" applyBorder="1" applyAlignment="1">
      <alignment horizontal="left" vertical="center" wrapText="1"/>
    </xf>
    <xf numFmtId="0" fontId="16" fillId="0" borderId="6" xfId="2" quotePrefix="1" applyFont="1" applyFill="1" applyBorder="1" applyAlignment="1">
      <alignment horizontal="center" vertical="center" wrapText="1"/>
    </xf>
    <xf numFmtId="0" fontId="36" fillId="4" borderId="6" xfId="6" applyNumberFormat="1" applyFont="1" applyFill="1" applyBorder="1" applyAlignment="1">
      <alignment horizontal="left" vertical="center" wrapText="1"/>
    </xf>
    <xf numFmtId="0" fontId="38" fillId="0" borderId="6" xfId="4" applyFont="1" applyBorder="1" applyAlignment="1" applyProtection="1">
      <alignment horizontal="left" vertical="center" wrapText="1"/>
      <protection locked="0"/>
    </xf>
    <xf numFmtId="0" fontId="23" fillId="0" borderId="6" xfId="4" applyFont="1" applyFill="1" applyBorder="1" applyAlignment="1" applyProtection="1">
      <alignment horizontal="left" vertical="center" wrapText="1"/>
      <protection locked="0"/>
    </xf>
    <xf numFmtId="0" fontId="36" fillId="4" borderId="6" xfId="4" applyNumberFormat="1" applyFont="1" applyFill="1" applyBorder="1" applyAlignment="1" applyProtection="1">
      <alignment horizontal="left" vertical="center" wrapText="1"/>
    </xf>
    <xf numFmtId="0" fontId="32" fillId="0" borderId="6" xfId="4" applyFont="1" applyFill="1" applyBorder="1" applyAlignment="1">
      <alignment horizontal="left" vertical="center" wrapText="1"/>
    </xf>
    <xf numFmtId="0" fontId="16" fillId="0" borderId="0" xfId="2" applyFont="1" applyBorder="1" applyAlignment="1">
      <alignment horizontal="center" wrapText="1"/>
    </xf>
    <xf numFmtId="0" fontId="16" fillId="0" borderId="18" xfId="2" quotePrefix="1" applyFont="1" applyFill="1" applyBorder="1" applyAlignment="1" applyProtection="1">
      <alignment horizontal="left" vertical="center" wrapText="1"/>
      <protection locked="0"/>
    </xf>
    <xf numFmtId="0" fontId="16" fillId="0" borderId="34" xfId="2" quotePrefix="1" applyFont="1" applyFill="1" applyBorder="1" applyAlignment="1" applyProtection="1">
      <alignment horizontal="left" vertical="center" wrapText="1"/>
      <protection locked="0"/>
    </xf>
    <xf numFmtId="0" fontId="16" fillId="0" borderId="37" xfId="2" quotePrefix="1" applyFont="1" applyFill="1" applyBorder="1" applyAlignment="1" applyProtection="1">
      <alignment horizontal="left" vertical="center" wrapText="1"/>
      <protection locked="0"/>
    </xf>
    <xf numFmtId="0" fontId="16" fillId="0" borderId="38" xfId="2" quotePrefix="1" applyFont="1" applyFill="1" applyBorder="1" applyAlignment="1" applyProtection="1">
      <alignment horizontal="left" vertical="center" wrapText="1"/>
      <protection locked="0"/>
    </xf>
    <xf numFmtId="0" fontId="16" fillId="0" borderId="21" xfId="2" quotePrefix="1" applyFont="1" applyFill="1" applyBorder="1" applyAlignment="1" applyProtection="1">
      <alignment horizontal="left" vertical="center" wrapText="1"/>
      <protection locked="0"/>
    </xf>
    <xf numFmtId="0" fontId="16" fillId="0" borderId="35" xfId="2" quotePrefix="1" applyFont="1" applyFill="1" applyBorder="1" applyAlignment="1" applyProtection="1">
      <alignment horizontal="left" vertical="center" wrapText="1"/>
      <protection locked="0"/>
    </xf>
    <xf numFmtId="0" fontId="35" fillId="0" borderId="6" xfId="2" applyFont="1" applyBorder="1" applyAlignment="1" applyProtection="1">
      <alignment horizontal="center" vertical="center" wrapText="1"/>
      <protection locked="0"/>
    </xf>
    <xf numFmtId="0" fontId="16" fillId="0" borderId="0" xfId="2" applyFont="1" applyBorder="1" applyAlignment="1" applyProtection="1">
      <alignment horizontal="left" vertical="top" wrapText="1"/>
      <protection locked="0"/>
    </xf>
    <xf numFmtId="0" fontId="23" fillId="0" borderId="0" xfId="2" applyFont="1" applyBorder="1" applyAlignment="1" applyProtection="1">
      <alignment horizontal="left" vertical="center" wrapText="1"/>
      <protection locked="0"/>
    </xf>
    <xf numFmtId="0" fontId="32" fillId="0" borderId="0" xfId="2" applyFont="1" applyBorder="1" applyAlignment="1">
      <alignment horizontal="center"/>
    </xf>
    <xf numFmtId="0" fontId="34" fillId="0" borderId="0" xfId="2" applyFont="1" applyBorder="1" applyAlignment="1">
      <alignment horizontal="center"/>
    </xf>
    <xf numFmtId="0" fontId="16" fillId="0" borderId="6" xfId="2" quotePrefix="1" applyFont="1" applyFill="1" applyBorder="1" applyAlignment="1">
      <alignment horizontal="left" vertical="center" wrapText="1"/>
    </xf>
    <xf numFmtId="0" fontId="23" fillId="0" borderId="6" xfId="4" quotePrefix="1" applyFont="1" applyFill="1" applyBorder="1" applyAlignment="1">
      <alignment horizontal="left" vertical="center" wrapText="1"/>
    </xf>
    <xf numFmtId="0" fontId="33" fillId="0" borderId="6" xfId="2" quotePrefix="1" applyFont="1" applyBorder="1" applyAlignment="1" applyProtection="1">
      <alignment horizontal="left" vertical="center" wrapText="1"/>
      <protection locked="0"/>
    </xf>
    <xf numFmtId="0" fontId="16" fillId="0" borderId="6" xfId="2" applyFont="1" applyFill="1" applyBorder="1" applyAlignment="1">
      <alignment horizontal="left" vertical="center"/>
    </xf>
    <xf numFmtId="0" fontId="23" fillId="0" borderId="14" xfId="4" applyFont="1" applyFill="1" applyBorder="1" applyAlignment="1">
      <alignment horizontal="center" vertical="center" wrapText="1"/>
    </xf>
    <xf numFmtId="0" fontId="23" fillId="0" borderId="15" xfId="4" applyFont="1" applyFill="1" applyBorder="1" applyAlignment="1">
      <alignment horizontal="center" vertical="center" wrapText="1"/>
    </xf>
    <xf numFmtId="0" fontId="23" fillId="0" borderId="6" xfId="2" quotePrefix="1" applyFont="1" applyBorder="1" applyAlignment="1">
      <alignment horizontal="left" vertical="center" wrapText="1"/>
    </xf>
    <xf numFmtId="0" fontId="23" fillId="0" borderId="6" xfId="2" applyFont="1" applyBorder="1" applyAlignment="1">
      <alignment horizontal="left" vertical="center" wrapText="1"/>
    </xf>
    <xf numFmtId="49" fontId="16" fillId="0" borderId="18" xfId="2" applyNumberFormat="1" applyFont="1" applyFill="1" applyBorder="1" applyAlignment="1" applyProtection="1">
      <alignment horizontal="left" vertical="center" wrapText="1"/>
      <protection locked="0"/>
    </xf>
    <xf numFmtId="49" fontId="16" fillId="0" borderId="34" xfId="2" applyNumberFormat="1" applyFont="1" applyFill="1" applyBorder="1" applyAlignment="1" applyProtection="1">
      <alignment horizontal="left" vertical="center" wrapText="1"/>
      <protection locked="0"/>
    </xf>
    <xf numFmtId="49" fontId="16" fillId="0" borderId="37" xfId="2" applyNumberFormat="1" applyFont="1" applyFill="1" applyBorder="1" applyAlignment="1" applyProtection="1">
      <alignment horizontal="left" vertical="center" wrapText="1"/>
      <protection locked="0"/>
    </xf>
    <xf numFmtId="49" fontId="16" fillId="0" borderId="38" xfId="2" applyNumberFormat="1" applyFont="1" applyFill="1" applyBorder="1" applyAlignment="1" applyProtection="1">
      <alignment horizontal="left" vertical="center" wrapText="1"/>
      <protection locked="0"/>
    </xf>
    <xf numFmtId="0" fontId="33" fillId="0" borderId="6" xfId="4" applyFont="1" applyFill="1" applyBorder="1" applyAlignment="1">
      <alignment horizontal="left" vertical="center" wrapText="1"/>
    </xf>
    <xf numFmtId="0" fontId="23" fillId="0" borderId="14" xfId="4" applyFont="1" applyFill="1" applyBorder="1" applyAlignment="1">
      <alignment horizontal="left" vertical="center" wrapText="1"/>
    </xf>
    <xf numFmtId="0" fontId="23" fillId="0" borderId="15" xfId="4" applyFont="1" applyFill="1" applyBorder="1" applyAlignment="1">
      <alignment horizontal="left" vertical="center" wrapText="1"/>
    </xf>
    <xf numFmtId="0" fontId="16" fillId="0" borderId="6" xfId="4" applyFont="1" applyBorder="1" applyAlignment="1" applyProtection="1">
      <alignment horizontal="center" vertical="center" wrapText="1"/>
      <protection locked="0"/>
    </xf>
    <xf numFmtId="0" fontId="37" fillId="0" borderId="6" xfId="4" applyFont="1" applyFill="1" applyBorder="1" applyAlignment="1">
      <alignment horizontal="left" vertical="center" wrapText="1"/>
    </xf>
    <xf numFmtId="3" fontId="16" fillId="0" borderId="17" xfId="4" applyNumberFormat="1" applyFont="1" applyFill="1" applyBorder="1" applyAlignment="1" applyProtection="1">
      <alignment horizontal="center" vertical="center" wrapText="1"/>
      <protection locked="0"/>
    </xf>
    <xf numFmtId="3" fontId="16" fillId="0" borderId="36" xfId="4" applyNumberFormat="1" applyFont="1" applyFill="1" applyBorder="1" applyAlignment="1" applyProtection="1">
      <alignment horizontal="center" vertical="center" wrapText="1"/>
      <protection locked="0"/>
    </xf>
    <xf numFmtId="3" fontId="16" fillId="0" borderId="22" xfId="4" applyNumberFormat="1" applyFont="1" applyFill="1" applyBorder="1" applyAlignment="1" applyProtection="1">
      <alignment horizontal="center" vertical="center" wrapText="1"/>
      <protection locked="0"/>
    </xf>
    <xf numFmtId="0" fontId="33" fillId="0" borderId="6" xfId="4" quotePrefix="1" applyFont="1" applyFill="1" applyBorder="1" applyAlignment="1">
      <alignment horizontal="left" vertical="center" wrapText="1"/>
    </xf>
    <xf numFmtId="0" fontId="16" fillId="0" borderId="17"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16" fillId="0" borderId="22" xfId="2" applyFont="1" applyBorder="1" applyAlignment="1" applyProtection="1">
      <alignment horizontal="center" vertical="center"/>
      <protection locked="0"/>
    </xf>
    <xf numFmtId="0" fontId="23" fillId="0" borderId="6" xfId="4" applyFont="1" applyFill="1" applyBorder="1" applyAlignment="1">
      <alignment horizontal="center" vertical="center" wrapText="1"/>
    </xf>
    <xf numFmtId="0" fontId="23" fillId="0" borderId="14" xfId="2" applyFont="1" applyBorder="1" applyAlignment="1">
      <alignment horizontal="left" vertical="center" wrapText="1"/>
    </xf>
    <xf numFmtId="0" fontId="23" fillId="0" borderId="15" xfId="2" applyFont="1" applyBorder="1" applyAlignment="1">
      <alignment horizontal="left" vertical="center" wrapText="1"/>
    </xf>
    <xf numFmtId="0" fontId="35" fillId="0" borderId="6" xfId="4" applyFont="1" applyFill="1" applyBorder="1" applyAlignment="1">
      <alignment horizontal="left" vertical="center" wrapText="1"/>
    </xf>
    <xf numFmtId="3" fontId="16" fillId="0" borderId="17" xfId="2" applyNumberFormat="1" applyFont="1" applyBorder="1" applyAlignment="1" applyProtection="1">
      <alignment horizontal="center" vertical="center" wrapText="1"/>
      <protection locked="0"/>
    </xf>
    <xf numFmtId="3" fontId="16" fillId="0" borderId="36" xfId="2" applyNumberFormat="1" applyFont="1" applyBorder="1" applyAlignment="1" applyProtection="1">
      <alignment horizontal="center" vertical="center" wrapText="1"/>
      <protection locked="0"/>
    </xf>
    <xf numFmtId="3" fontId="16" fillId="0" borderId="22" xfId="2" applyNumberFormat="1" applyFont="1" applyBorder="1" applyAlignment="1" applyProtection="1">
      <alignment horizontal="center" vertical="center" wrapText="1"/>
      <protection locked="0"/>
    </xf>
    <xf numFmtId="0" fontId="32" fillId="0" borderId="6" xfId="2" applyFont="1" applyBorder="1" applyAlignment="1" applyProtection="1">
      <alignment horizontal="center" vertical="center" wrapText="1"/>
      <protection locked="0"/>
    </xf>
    <xf numFmtId="0" fontId="23" fillId="0" borderId="6" xfId="4" applyFont="1" applyFill="1" applyBorder="1" applyAlignment="1">
      <alignment horizontal="left" vertical="center"/>
    </xf>
    <xf numFmtId="0" fontId="23" fillId="0" borderId="6" xfId="4" applyFont="1" applyFill="1" applyBorder="1" applyAlignment="1">
      <alignment vertical="center" wrapText="1"/>
    </xf>
    <xf numFmtId="0" fontId="23" fillId="0" borderId="0" xfId="4" applyFont="1" applyFill="1" applyBorder="1" applyAlignment="1">
      <alignment horizontal="left" vertical="center" wrapText="1"/>
    </xf>
    <xf numFmtId="0" fontId="23" fillId="0" borderId="6" xfId="2" quotePrefix="1" applyFont="1" applyFill="1" applyBorder="1" applyAlignment="1">
      <alignment horizontal="left" vertical="center" wrapText="1"/>
    </xf>
    <xf numFmtId="0" fontId="23" fillId="0" borderId="6" xfId="2" quotePrefix="1" applyFont="1" applyFill="1" applyBorder="1" applyAlignment="1">
      <alignment vertical="center" wrapText="1"/>
    </xf>
    <xf numFmtId="0" fontId="16" fillId="0" borderId="0" xfId="2" applyFont="1" applyAlignment="1">
      <alignment horizontal="left"/>
    </xf>
    <xf numFmtId="0" fontId="16" fillId="0" borderId="0" xfId="2" applyFont="1" applyAlignment="1">
      <alignment horizontal="right"/>
    </xf>
    <xf numFmtId="0" fontId="7" fillId="0" borderId="0" xfId="2" applyFont="1" applyAlignment="1">
      <alignment horizontal="center"/>
    </xf>
    <xf numFmtId="0" fontId="16" fillId="0" borderId="0" xfId="2" applyFont="1" applyFill="1" applyAlignment="1">
      <alignment horizontal="left" vertical="center"/>
    </xf>
    <xf numFmtId="0" fontId="15" fillId="0" borderId="39" xfId="5" applyFont="1" applyFill="1" applyBorder="1" applyAlignment="1">
      <alignment horizontal="left" vertical="center"/>
    </xf>
    <xf numFmtId="0" fontId="15" fillId="0" borderId="39" xfId="5" applyFont="1" applyFill="1" applyBorder="1" applyAlignment="1">
      <alignment horizontal="left"/>
    </xf>
    <xf numFmtId="0" fontId="6" fillId="0" borderId="6" xfId="5" applyFont="1" applyBorder="1" applyAlignment="1" applyProtection="1">
      <alignment horizontal="left" vertical="center" wrapText="1"/>
      <protection locked="0"/>
    </xf>
    <xf numFmtId="0" fontId="20" fillId="0" borderId="0" xfId="2" applyFont="1" applyFill="1" applyAlignment="1">
      <alignment horizontal="left" vertical="center"/>
    </xf>
    <xf numFmtId="0" fontId="43" fillId="0" borderId="14" xfId="8" applyBorder="1" applyAlignment="1">
      <alignment horizontal="left" vertical="center" wrapText="1"/>
    </xf>
    <xf numFmtId="0" fontId="43" fillId="0" borderId="10" xfId="8" applyBorder="1" applyAlignment="1">
      <alignment horizontal="left" vertical="center" wrapText="1"/>
    </xf>
    <xf numFmtId="0" fontId="43" fillId="0" borderId="15" xfId="8" applyBorder="1" applyAlignment="1">
      <alignment horizontal="left" vertical="center" wrapText="1"/>
    </xf>
    <xf numFmtId="0" fontId="29" fillId="0" borderId="6" xfId="8" applyFont="1" applyBorder="1" applyAlignment="1">
      <alignment vertical="center" wrapText="1"/>
    </xf>
    <xf numFmtId="0" fontId="29" fillId="0" borderId="6" xfId="4" applyFont="1" applyBorder="1" applyAlignment="1">
      <alignment vertical="center" wrapText="1"/>
    </xf>
    <xf numFmtId="0" fontId="16" fillId="0" borderId="0" xfId="4" applyFont="1" applyAlignment="1">
      <alignment horizontal="left" vertical="center"/>
    </xf>
    <xf numFmtId="0" fontId="15" fillId="0" borderId="6" xfId="4" applyFont="1" applyBorder="1" applyAlignment="1">
      <alignment horizontal="right" vertical="center" wrapText="1"/>
    </xf>
    <xf numFmtId="0" fontId="1" fillId="0" borderId="6" xfId="4" applyBorder="1" applyAlignment="1">
      <alignment horizontal="center" vertical="center" wrapText="1"/>
    </xf>
    <xf numFmtId="0" fontId="16" fillId="0" borderId="6" xfId="4" applyFont="1" applyBorder="1" applyAlignment="1" applyProtection="1">
      <alignment horizontal="left" vertical="center" wrapText="1"/>
      <protection locked="0"/>
    </xf>
    <xf numFmtId="0" fontId="1" fillId="0" borderId="6" xfId="4" applyBorder="1" applyAlignment="1">
      <alignment horizontal="left" vertical="center" wrapText="1"/>
    </xf>
    <xf numFmtId="0" fontId="16" fillId="4" borderId="6" xfId="4" applyFont="1" applyFill="1" applyBorder="1" applyAlignment="1" applyProtection="1">
      <alignment horizontal="left" vertical="center" wrapText="1"/>
      <protection locked="0"/>
    </xf>
    <xf numFmtId="3" fontId="43" fillId="0" borderId="6" xfId="8" applyNumberFormat="1" applyBorder="1" applyAlignment="1" applyProtection="1">
      <alignment vertical="center" wrapText="1"/>
      <protection locked="0"/>
    </xf>
    <xf numFmtId="0" fontId="43" fillId="0" borderId="6" xfId="8" applyBorder="1" applyAlignment="1">
      <alignment vertical="center" wrapText="1"/>
    </xf>
    <xf numFmtId="0" fontId="16" fillId="0" borderId="6" xfId="4" applyFont="1" applyBorder="1" applyAlignment="1">
      <alignment horizontal="center" vertical="center" wrapText="1"/>
    </xf>
    <xf numFmtId="0" fontId="16" fillId="0" borderId="17" xfId="4" applyFont="1" applyBorder="1" applyAlignment="1" applyProtection="1">
      <alignment horizontal="left" vertical="center" wrapText="1"/>
      <protection locked="0"/>
    </xf>
    <xf numFmtId="0" fontId="16" fillId="0" borderId="36" xfId="4" applyFont="1" applyBorder="1" applyAlignment="1" applyProtection="1">
      <alignment horizontal="left" vertical="center" wrapText="1"/>
      <protection locked="0"/>
    </xf>
    <xf numFmtId="0" fontId="16" fillId="0" borderId="22" xfId="4" applyFont="1" applyBorder="1" applyAlignment="1" applyProtection="1">
      <alignment horizontal="left" vertical="center" wrapText="1"/>
      <protection locked="0"/>
    </xf>
    <xf numFmtId="3" fontId="16" fillId="4" borderId="17" xfId="4" applyNumberFormat="1" applyFont="1" applyFill="1" applyBorder="1" applyAlignment="1" applyProtection="1">
      <alignment horizontal="center" vertical="center" wrapText="1"/>
      <protection locked="0"/>
    </xf>
    <xf numFmtId="3" fontId="16" fillId="4" borderId="36" xfId="4" applyNumberFormat="1" applyFont="1" applyFill="1" applyBorder="1" applyAlignment="1" applyProtection="1">
      <alignment horizontal="center" vertical="center" wrapText="1"/>
      <protection locked="0"/>
    </xf>
    <xf numFmtId="3" fontId="16" fillId="4" borderId="22" xfId="4" applyNumberFormat="1" applyFont="1" applyFill="1" applyBorder="1" applyAlignment="1" applyProtection="1">
      <alignment horizontal="center" vertical="center" wrapText="1"/>
      <protection locked="0"/>
    </xf>
    <xf numFmtId="0" fontId="43" fillId="4" borderId="37" xfId="8" applyFill="1" applyBorder="1" applyAlignment="1">
      <alignment horizontal="center" vertical="center"/>
    </xf>
    <xf numFmtId="0" fontId="43" fillId="4" borderId="21" xfId="8" applyFill="1" applyBorder="1" applyAlignment="1">
      <alignment horizontal="center" vertical="center"/>
    </xf>
    <xf numFmtId="3" fontId="16" fillId="4" borderId="17" xfId="4" applyNumberFormat="1" applyFont="1" applyFill="1" applyBorder="1" applyAlignment="1" applyProtection="1">
      <alignment horizontal="right" vertical="center" wrapText="1"/>
      <protection locked="0"/>
    </xf>
    <xf numFmtId="0" fontId="1" fillId="4" borderId="22" xfId="4" applyFill="1" applyBorder="1" applyAlignment="1">
      <alignment horizontal="right" vertical="center" wrapText="1"/>
    </xf>
    <xf numFmtId="0" fontId="11" fillId="0" borderId="0" xfId="4" applyFont="1" applyBorder="1" applyAlignment="1">
      <alignment horizontal="left" vertical="center" wrapText="1"/>
    </xf>
    <xf numFmtId="0" fontId="15" fillId="0" borderId="39" xfId="4" applyFont="1" applyBorder="1" applyAlignment="1">
      <alignment horizontal="left" vertical="center"/>
    </xf>
    <xf numFmtId="0" fontId="15" fillId="0" borderId="14" xfId="4" applyFont="1" applyBorder="1" applyAlignment="1">
      <alignment horizontal="right" vertical="center" wrapText="1"/>
    </xf>
    <xf numFmtId="0" fontId="15" fillId="0" borderId="10" xfId="4" applyFont="1" applyBorder="1" applyAlignment="1">
      <alignment horizontal="right" vertical="center" wrapText="1"/>
    </xf>
    <xf numFmtId="0" fontId="1" fillId="0" borderId="22" xfId="4" applyBorder="1" applyAlignment="1">
      <alignment horizontal="left" vertical="center" wrapText="1"/>
    </xf>
    <xf numFmtId="3" fontId="16" fillId="0" borderId="17" xfId="4" applyNumberFormat="1" applyFont="1" applyBorder="1" applyAlignment="1" applyProtection="1">
      <alignment horizontal="center" vertical="center" wrapText="1"/>
      <protection locked="0"/>
    </xf>
    <xf numFmtId="3" fontId="16" fillId="0" borderId="22" xfId="4" applyNumberFormat="1" applyFont="1" applyBorder="1" applyAlignment="1" applyProtection="1">
      <alignment horizontal="center" vertical="center" wrapText="1"/>
      <protection locked="0"/>
    </xf>
    <xf numFmtId="49" fontId="15" fillId="0" borderId="39" xfId="4" applyNumberFormat="1" applyFont="1" applyFill="1" applyBorder="1" applyAlignment="1">
      <alignment horizontal="left" vertical="center"/>
    </xf>
    <xf numFmtId="0" fontId="16" fillId="0" borderId="17" xfId="4" applyFont="1" applyBorder="1" applyAlignment="1">
      <alignment horizontal="center" vertical="center" wrapText="1"/>
    </xf>
    <xf numFmtId="0" fontId="16" fillId="0" borderId="22" xfId="4" applyFont="1" applyBorder="1" applyAlignment="1">
      <alignment horizontal="center" vertical="center" wrapText="1"/>
    </xf>
    <xf numFmtId="0" fontId="16" fillId="0" borderId="18" xfId="4" applyFont="1" applyBorder="1" applyAlignment="1">
      <alignment horizontal="center" vertical="center" wrapText="1"/>
    </xf>
    <xf numFmtId="0" fontId="16" fillId="0" borderId="34" xfId="4" applyFont="1" applyBorder="1" applyAlignment="1">
      <alignment horizontal="center" vertical="center" wrapText="1"/>
    </xf>
    <xf numFmtId="0" fontId="16" fillId="0" borderId="14" xfId="4" applyFont="1" applyBorder="1" applyAlignment="1">
      <alignment horizontal="center" vertical="center" wrapText="1"/>
    </xf>
    <xf numFmtId="0" fontId="16" fillId="0" borderId="15" xfId="4" applyFont="1" applyBorder="1" applyAlignment="1">
      <alignment horizontal="center" vertical="center" wrapText="1"/>
    </xf>
    <xf numFmtId="0" fontId="20" fillId="0" borderId="0" xfId="4" applyFont="1" applyAlignment="1">
      <alignment horizontal="left" vertical="center"/>
    </xf>
    <xf numFmtId="0" fontId="16" fillId="0" borderId="0" xfId="2" applyFont="1" applyBorder="1" applyAlignment="1">
      <alignment horizontal="left" vertical="center" wrapText="1"/>
    </xf>
    <xf numFmtId="0" fontId="15" fillId="0" borderId="0" xfId="2" applyFont="1" applyBorder="1" applyAlignment="1">
      <alignment vertical="center" wrapText="1"/>
    </xf>
    <xf numFmtId="0" fontId="46" fillId="0" borderId="0" xfId="2" applyFont="1" applyAlignment="1">
      <alignment vertical="center" wrapText="1"/>
    </xf>
    <xf numFmtId="0" fontId="16" fillId="0" borderId="14" xfId="2" applyFont="1" applyBorder="1" applyAlignment="1">
      <alignment horizontal="center" vertical="center" wrapText="1"/>
    </xf>
    <xf numFmtId="0" fontId="16" fillId="0" borderId="15" xfId="2" applyFont="1" applyBorder="1" applyAlignment="1">
      <alignment horizontal="center" vertical="center" wrapText="1"/>
    </xf>
    <xf numFmtId="0" fontId="15" fillId="0" borderId="14" xfId="2" applyFont="1" applyBorder="1" applyAlignment="1">
      <alignment horizontal="right" vertical="center" wrapText="1"/>
    </xf>
    <xf numFmtId="0" fontId="15" fillId="0" borderId="10" xfId="2" applyFont="1" applyBorder="1" applyAlignment="1">
      <alignment horizontal="right" vertical="center" wrapText="1"/>
    </xf>
    <xf numFmtId="0" fontId="15" fillId="0" borderId="15" xfId="2" applyFont="1" applyBorder="1" applyAlignment="1">
      <alignment horizontal="right" vertical="center" wrapText="1"/>
    </xf>
    <xf numFmtId="0" fontId="16" fillId="0" borderId="14" xfId="2" applyFont="1" applyBorder="1" applyAlignment="1" applyProtection="1">
      <alignment vertical="center" wrapText="1"/>
      <protection locked="0"/>
    </xf>
    <xf numFmtId="0" fontId="16" fillId="0" borderId="15" xfId="2" applyFont="1" applyBorder="1" applyAlignment="1" applyProtection="1">
      <alignment vertical="center" wrapText="1"/>
      <protection locked="0"/>
    </xf>
    <xf numFmtId="0" fontId="16" fillId="0" borderId="17" xfId="2" applyFont="1" applyBorder="1" applyAlignment="1" applyProtection="1">
      <alignment horizontal="left" vertical="center" wrapText="1"/>
      <protection locked="0"/>
    </xf>
    <xf numFmtId="0" fontId="16" fillId="0" borderId="22" xfId="2" applyFont="1" applyBorder="1" applyAlignment="1" applyProtection="1">
      <alignment horizontal="left" vertical="center" wrapText="1"/>
      <protection locked="0"/>
    </xf>
    <xf numFmtId="0" fontId="16" fillId="0" borderId="0" xfId="2" applyFont="1" applyAlignment="1">
      <alignment horizontal="left" vertical="center"/>
    </xf>
    <xf numFmtId="0" fontId="20" fillId="0" borderId="0" xfId="2" applyFont="1" applyAlignment="1">
      <alignment horizontal="left" vertical="center"/>
    </xf>
    <xf numFmtId="0" fontId="7" fillId="0" borderId="0" xfId="2" applyFont="1" applyAlignment="1">
      <alignment horizontal="center" vertical="center"/>
    </xf>
    <xf numFmtId="0" fontId="16" fillId="0" borderId="0" xfId="5" applyFont="1" applyAlignment="1">
      <alignment horizontal="left" wrapText="1"/>
    </xf>
    <xf numFmtId="0" fontId="16" fillId="0" borderId="14" xfId="5" applyFont="1" applyBorder="1" applyAlignment="1" applyProtection="1">
      <alignment horizontal="left" vertical="center" wrapText="1"/>
      <protection locked="0"/>
    </xf>
    <xf numFmtId="0" fontId="16" fillId="0" borderId="15" xfId="5" applyFont="1" applyBorder="1" applyAlignment="1" applyProtection="1">
      <alignment horizontal="left" vertical="center" wrapText="1"/>
      <protection locked="0"/>
    </xf>
    <xf numFmtId="0" fontId="12" fillId="0" borderId="0" xfId="5" applyFont="1" applyBorder="1" applyAlignment="1">
      <alignment horizontal="left" vertical="center" wrapText="1"/>
    </xf>
    <xf numFmtId="0" fontId="16" fillId="0" borderId="39" xfId="5" applyFont="1" applyBorder="1" applyAlignment="1">
      <alignment horizontal="left" vertical="center"/>
    </xf>
    <xf numFmtId="0" fontId="16" fillId="0" borderId="14" xfId="5" applyFont="1" applyBorder="1" applyAlignment="1">
      <alignment horizontal="center" vertical="center" wrapText="1"/>
    </xf>
    <xf numFmtId="0" fontId="16" fillId="0" borderId="15" xfId="5" applyFont="1" applyBorder="1" applyAlignment="1">
      <alignment horizontal="center" vertical="center" wrapText="1"/>
    </xf>
    <xf numFmtId="0" fontId="15" fillId="0" borderId="15" xfId="5" applyFont="1" applyBorder="1" applyAlignment="1">
      <alignment horizontal="right" vertical="center" wrapText="1"/>
    </xf>
    <xf numFmtId="0" fontId="7" fillId="0" borderId="0" xfId="5" applyFont="1" applyAlignment="1">
      <alignment horizontal="center" vertical="center"/>
    </xf>
    <xf numFmtId="3" fontId="16" fillId="0" borderId="17" xfId="9" applyNumberFormat="1" applyFont="1" applyBorder="1" applyAlignment="1" applyProtection="1">
      <alignment horizontal="center" vertical="center" wrapText="1"/>
      <protection locked="0"/>
    </xf>
    <xf numFmtId="3" fontId="16" fillId="0" borderId="22" xfId="9" applyNumberFormat="1" applyFont="1" applyBorder="1" applyAlignment="1" applyProtection="1">
      <alignment horizontal="center" vertical="center" wrapText="1"/>
      <protection locked="0"/>
    </xf>
    <xf numFmtId="0" fontId="15" fillId="0" borderId="37" xfId="9" applyFont="1" applyBorder="1" applyAlignment="1">
      <alignment horizontal="right" wrapText="1"/>
    </xf>
    <xf numFmtId="0" fontId="15" fillId="0" borderId="38" xfId="9" applyFont="1" applyBorder="1" applyAlignment="1">
      <alignment horizontal="right" wrapText="1"/>
    </xf>
    <xf numFmtId="49" fontId="15" fillId="0" borderId="39" xfId="9" applyNumberFormat="1" applyFont="1" applyBorder="1" applyAlignment="1" applyProtection="1">
      <alignment horizontal="left"/>
      <protection locked="0"/>
    </xf>
    <xf numFmtId="0" fontId="16" fillId="0" borderId="17" xfId="9" applyFont="1" applyBorder="1" applyAlignment="1">
      <alignment horizontal="center" vertical="center" wrapText="1"/>
    </xf>
    <xf numFmtId="0" fontId="16" fillId="0" borderId="22" xfId="9" applyFont="1" applyBorder="1" applyAlignment="1">
      <alignment horizontal="center" vertical="center" wrapText="1"/>
    </xf>
    <xf numFmtId="0" fontId="16" fillId="0" borderId="18" xfId="9" applyFont="1" applyBorder="1" applyAlignment="1">
      <alignment horizontal="center" vertical="center" wrapText="1"/>
    </xf>
    <xf numFmtId="0" fontId="16" fillId="0" borderId="34" xfId="9" applyFont="1" applyBorder="1" applyAlignment="1">
      <alignment horizontal="center" vertical="center" wrapText="1"/>
    </xf>
    <xf numFmtId="0" fontId="16" fillId="0" borderId="18" xfId="9" applyFont="1" applyFill="1" applyBorder="1" applyAlignment="1">
      <alignment horizontal="center" vertical="center" wrapText="1"/>
    </xf>
    <xf numFmtId="0" fontId="16" fillId="0" borderId="34" xfId="9" applyFont="1" applyFill="1" applyBorder="1" applyAlignment="1">
      <alignment horizontal="center" vertical="center" wrapText="1"/>
    </xf>
    <xf numFmtId="0" fontId="16" fillId="0" borderId="14" xfId="9" applyFont="1" applyBorder="1" applyAlignment="1">
      <alignment horizontal="center" vertical="center" wrapText="1"/>
    </xf>
    <xf numFmtId="0" fontId="16" fillId="0" borderId="15" xfId="9" applyFont="1" applyBorder="1" applyAlignment="1">
      <alignment horizontal="center" vertical="center" wrapText="1"/>
    </xf>
    <xf numFmtId="0" fontId="16" fillId="0" borderId="0" xfId="9" applyFont="1" applyBorder="1" applyAlignment="1" applyProtection="1">
      <alignment horizontal="left"/>
      <protection locked="0"/>
    </xf>
    <xf numFmtId="0" fontId="16" fillId="0" borderId="36" xfId="9" applyFont="1" applyBorder="1" applyAlignment="1">
      <alignment horizontal="center" vertical="center" wrapText="1"/>
    </xf>
    <xf numFmtId="0" fontId="15" fillId="0" borderId="6" xfId="9" applyFont="1" applyBorder="1" applyAlignment="1">
      <alignment horizontal="right" wrapText="1"/>
    </xf>
    <xf numFmtId="0" fontId="16" fillId="0" borderId="6" xfId="10" applyFont="1" applyBorder="1" applyAlignment="1">
      <alignment horizontal="center" vertical="center" wrapText="1"/>
    </xf>
    <xf numFmtId="3" fontId="16" fillId="0" borderId="6" xfId="10" applyNumberFormat="1" applyFont="1" applyFill="1" applyBorder="1" applyAlignment="1">
      <alignment horizontal="left" vertical="center" wrapText="1"/>
    </xf>
    <xf numFmtId="0" fontId="16" fillId="0" borderId="0" xfId="9" applyFont="1" applyBorder="1" applyAlignment="1">
      <alignment horizontal="left"/>
    </xf>
    <xf numFmtId="0" fontId="16" fillId="0" borderId="0" xfId="9" applyFont="1" applyBorder="1" applyAlignment="1" applyProtection="1">
      <alignment horizontal="left" wrapText="1"/>
      <protection locked="0"/>
    </xf>
    <xf numFmtId="0" fontId="7" fillId="0" borderId="0" xfId="9" applyFont="1" applyBorder="1" applyAlignment="1">
      <alignment horizontal="center"/>
    </xf>
    <xf numFmtId="0" fontId="20" fillId="0" borderId="0" xfId="9" applyFont="1" applyBorder="1" applyAlignment="1" applyProtection="1">
      <alignment horizontal="left"/>
      <protection locked="0"/>
    </xf>
    <xf numFmtId="0" fontId="16" fillId="0" borderId="0" xfId="5" applyFont="1" applyFill="1" applyAlignment="1">
      <alignment horizontal="left" vertical="center" wrapText="1"/>
    </xf>
    <xf numFmtId="0" fontId="16" fillId="0" borderId="17" xfId="5" applyFont="1" applyBorder="1" applyAlignment="1">
      <alignment horizontal="center" vertical="center"/>
    </xf>
    <xf numFmtId="0" fontId="16" fillId="0" borderId="22" xfId="5" applyFont="1" applyBorder="1" applyAlignment="1">
      <alignment horizontal="center" vertical="center"/>
    </xf>
    <xf numFmtId="0" fontId="49" fillId="0" borderId="17" xfId="5" applyFont="1" applyBorder="1" applyAlignment="1" applyProtection="1">
      <alignment horizontal="left" vertical="center"/>
      <protection locked="0"/>
    </xf>
    <xf numFmtId="0" fontId="49" fillId="0" borderId="36" xfId="5" applyFont="1" applyBorder="1" applyAlignment="1" applyProtection="1">
      <alignment horizontal="left" vertical="center"/>
      <protection locked="0"/>
    </xf>
    <xf numFmtId="0" fontId="49" fillId="0" borderId="22" xfId="5" applyFont="1" applyBorder="1" applyAlignment="1" applyProtection="1">
      <alignment horizontal="left" vertical="center"/>
      <protection locked="0"/>
    </xf>
    <xf numFmtId="0" fontId="51" fillId="0" borderId="17" xfId="5" applyFont="1" applyBorder="1" applyAlignment="1" applyProtection="1">
      <alignment horizontal="left" vertical="center"/>
      <protection locked="0"/>
    </xf>
    <xf numFmtId="0" fontId="51" fillId="0" borderId="36" xfId="5" applyFont="1" applyBorder="1" applyAlignment="1" applyProtection="1">
      <alignment horizontal="left" vertical="center"/>
      <protection locked="0"/>
    </xf>
    <xf numFmtId="0" fontId="51" fillId="0" borderId="22" xfId="5" applyFont="1" applyBorder="1" applyAlignment="1" applyProtection="1">
      <alignment horizontal="left" vertical="center"/>
      <protection locked="0"/>
    </xf>
    <xf numFmtId="0" fontId="52" fillId="0" borderId="17" xfId="5" applyFont="1" applyBorder="1" applyAlignment="1" applyProtection="1">
      <alignment horizontal="left" vertical="top"/>
      <protection locked="0"/>
    </xf>
    <xf numFmtId="0" fontId="52" fillId="0" borderId="22" xfId="5" applyFont="1" applyBorder="1" applyAlignment="1" applyProtection="1">
      <alignment horizontal="left" vertical="top"/>
      <protection locked="0"/>
    </xf>
    <xf numFmtId="0" fontId="52" fillId="0" borderId="17" xfId="5" applyFont="1" applyBorder="1" applyAlignment="1" applyProtection="1">
      <alignment horizontal="left" vertical="center"/>
      <protection locked="0"/>
    </xf>
    <xf numFmtId="0" fontId="52" fillId="0" borderId="36" xfId="5" applyFont="1" applyBorder="1" applyAlignment="1" applyProtection="1">
      <alignment horizontal="left" vertical="center"/>
      <protection locked="0"/>
    </xf>
    <xf numFmtId="0" fontId="52" fillId="0" borderId="22" xfId="5" applyFont="1" applyBorder="1" applyAlignment="1" applyProtection="1">
      <alignment horizontal="left" vertical="center"/>
      <protection locked="0"/>
    </xf>
    <xf numFmtId="0" fontId="16" fillId="0" borderId="14" xfId="5" applyFont="1" applyFill="1" applyBorder="1" applyAlignment="1" applyProtection="1">
      <alignment horizontal="right" wrapText="1"/>
      <protection locked="0"/>
    </xf>
    <xf numFmtId="0" fontId="16" fillId="0" borderId="10" xfId="5" applyFont="1" applyFill="1" applyBorder="1" applyAlignment="1" applyProtection="1">
      <alignment horizontal="right" wrapText="1"/>
      <protection locked="0"/>
    </xf>
    <xf numFmtId="0" fontId="15" fillId="0" borderId="14" xfId="5" applyFont="1" applyFill="1" applyBorder="1" applyAlignment="1">
      <alignment horizontal="right" wrapText="1"/>
    </xf>
    <xf numFmtId="0" fontId="15" fillId="0" borderId="10" xfId="5" applyFont="1" applyFill="1" applyBorder="1" applyAlignment="1">
      <alignment horizontal="right" wrapText="1"/>
    </xf>
    <xf numFmtId="0" fontId="16" fillId="0" borderId="0" xfId="5" applyFont="1" applyBorder="1" applyAlignment="1" applyProtection="1">
      <alignment horizontal="left" vertical="center" wrapText="1"/>
      <protection locked="0"/>
    </xf>
    <xf numFmtId="3" fontId="16" fillId="0" borderId="0" xfId="5" applyNumberFormat="1" applyFont="1" applyBorder="1" applyAlignment="1" applyProtection="1">
      <alignment horizontal="left" vertical="center"/>
      <protection locked="0"/>
    </xf>
    <xf numFmtId="3" fontId="15" fillId="0" borderId="39" xfId="5" applyNumberFormat="1" applyFont="1" applyFill="1" applyBorder="1" applyAlignment="1" applyProtection="1">
      <alignment horizontal="left" vertical="center"/>
      <protection locked="0"/>
    </xf>
    <xf numFmtId="0" fontId="16" fillId="0" borderId="18" xfId="5" applyFont="1" applyBorder="1" applyAlignment="1" applyProtection="1">
      <alignment horizontal="left" vertical="center" wrapText="1"/>
      <protection locked="0"/>
    </xf>
    <xf numFmtId="0" fontId="16" fillId="0" borderId="21" xfId="5" applyFont="1" applyBorder="1" applyAlignment="1" applyProtection="1">
      <alignment horizontal="left" vertical="center" wrapText="1"/>
      <protection locked="0"/>
    </xf>
    <xf numFmtId="0" fontId="16" fillId="0" borderId="37" xfId="5" applyFont="1" applyBorder="1" applyAlignment="1" applyProtection="1">
      <alignment horizontal="left" vertical="center" wrapText="1"/>
      <protection locked="0"/>
    </xf>
    <xf numFmtId="0" fontId="16" fillId="0" borderId="39" xfId="5" applyFont="1" applyBorder="1" applyAlignment="1">
      <alignment horizontal="left"/>
    </xf>
    <xf numFmtId="0" fontId="16" fillId="0" borderId="6" xfId="5" applyFont="1" applyFill="1" applyBorder="1" applyAlignment="1">
      <alignment horizontal="left" vertical="center" wrapText="1"/>
    </xf>
    <xf numFmtId="0" fontId="49" fillId="0" borderId="17" xfId="5" applyFont="1" applyBorder="1" applyAlignment="1" applyProtection="1">
      <alignment horizontal="left" vertical="center" wrapText="1"/>
      <protection locked="0"/>
    </xf>
    <xf numFmtId="0" fontId="15" fillId="0" borderId="36" xfId="5" applyFont="1" applyBorder="1" applyAlignment="1" applyProtection="1">
      <alignment horizontal="left" vertical="center" wrapText="1"/>
      <protection locked="0"/>
    </xf>
    <xf numFmtId="0" fontId="15" fillId="0" borderId="22" xfId="5" applyFont="1" applyBorder="1" applyAlignment="1" applyProtection="1">
      <alignment horizontal="left" vertical="center" wrapText="1"/>
      <protection locked="0"/>
    </xf>
    <xf numFmtId="0" fontId="51" fillId="0" borderId="17" xfId="5" applyFont="1" applyBorder="1" applyAlignment="1" applyProtection="1">
      <alignment horizontal="left" vertical="center" wrapText="1"/>
      <protection locked="0"/>
    </xf>
    <xf numFmtId="0" fontId="51" fillId="0" borderId="36" xfId="5" applyFont="1" applyBorder="1" applyAlignment="1" applyProtection="1">
      <alignment horizontal="left" vertical="center" wrapText="1"/>
      <protection locked="0"/>
    </xf>
    <xf numFmtId="0" fontId="51" fillId="0" borderId="22" xfId="5" applyFont="1" applyBorder="1" applyAlignment="1" applyProtection="1">
      <alignment horizontal="left" vertical="center" wrapText="1"/>
      <protection locked="0"/>
    </xf>
    <xf numFmtId="0" fontId="16" fillId="0" borderId="6" xfId="5" applyFont="1" applyFill="1" applyBorder="1" applyAlignment="1" applyProtection="1">
      <alignment horizontal="center" vertical="center"/>
      <protection locked="0"/>
    </xf>
    <xf numFmtId="0" fontId="16" fillId="0" borderId="14" xfId="5" applyFont="1" applyFill="1" applyBorder="1" applyAlignment="1" applyProtection="1">
      <alignment horizontal="left" vertical="center" wrapText="1"/>
      <protection locked="0"/>
    </xf>
    <xf numFmtId="0" fontId="51" fillId="0" borderId="17" xfId="5" applyFont="1" applyFill="1" applyBorder="1" applyAlignment="1">
      <alignment horizontal="left" vertical="center" wrapText="1"/>
    </xf>
    <xf numFmtId="0" fontId="51" fillId="0" borderId="36" xfId="5" applyFont="1" applyFill="1" applyBorder="1" applyAlignment="1">
      <alignment horizontal="left" vertical="center" wrapText="1"/>
    </xf>
    <xf numFmtId="0" fontId="51" fillId="0" borderId="22" xfId="5" applyFont="1" applyFill="1" applyBorder="1" applyAlignment="1">
      <alignment horizontal="left" vertical="center" wrapText="1"/>
    </xf>
    <xf numFmtId="0" fontId="49" fillId="0" borderId="17" xfId="5" applyFont="1" applyFill="1" applyBorder="1" applyAlignment="1">
      <alignment horizontal="left" vertical="center" wrapText="1"/>
    </xf>
    <xf numFmtId="0" fontId="49" fillId="0" borderId="36" xfId="5" applyFont="1" applyFill="1" applyBorder="1" applyAlignment="1">
      <alignment horizontal="left" vertical="center" wrapText="1"/>
    </xf>
    <xf numFmtId="0" fontId="49" fillId="0" borderId="22" xfId="5" applyFont="1" applyFill="1" applyBorder="1" applyAlignment="1">
      <alignment horizontal="left" vertical="center" wrapText="1"/>
    </xf>
    <xf numFmtId="0" fontId="16" fillId="0" borderId="17" xfId="5" applyFont="1" applyBorder="1" applyAlignment="1" applyProtection="1">
      <alignment horizontal="center" vertical="center"/>
      <protection locked="0"/>
    </xf>
    <xf numFmtId="0" fontId="16" fillId="0" borderId="36" xfId="5" applyFont="1" applyBorder="1" applyAlignment="1" applyProtection="1">
      <alignment horizontal="center" vertical="center"/>
      <protection locked="0"/>
    </xf>
    <xf numFmtId="0" fontId="16" fillId="0" borderId="22" xfId="5" applyFont="1" applyBorder="1" applyAlignment="1" applyProtection="1">
      <alignment horizontal="center" vertical="center"/>
      <protection locked="0"/>
    </xf>
    <xf numFmtId="0" fontId="16" fillId="0" borderId="18" xfId="5" applyFont="1" applyBorder="1" applyAlignment="1" applyProtection="1">
      <alignment horizontal="left" vertical="center"/>
      <protection locked="0"/>
    </xf>
    <xf numFmtId="0" fontId="16" fillId="0" borderId="21" xfId="5" applyFont="1" applyBorder="1" applyAlignment="1" applyProtection="1">
      <alignment horizontal="left" vertical="center"/>
      <protection locked="0"/>
    </xf>
    <xf numFmtId="0" fontId="18" fillId="0" borderId="18" xfId="5" applyFont="1" applyBorder="1" applyAlignment="1" applyProtection="1">
      <alignment horizontal="left" vertical="center" wrapText="1"/>
      <protection locked="0"/>
    </xf>
    <xf numFmtId="0" fontId="18" fillId="0" borderId="37" xfId="5" applyFont="1" applyBorder="1" applyAlignment="1" applyProtection="1">
      <alignment horizontal="left" vertical="center" wrapText="1"/>
      <protection locked="0"/>
    </xf>
    <xf numFmtId="0" fontId="18" fillId="0" borderId="21" xfId="5" applyFont="1" applyBorder="1" applyAlignment="1" applyProtection="1">
      <alignment horizontal="left" vertical="center" wrapText="1"/>
      <protection locked="0"/>
    </xf>
    <xf numFmtId="0" fontId="52" fillId="0" borderId="17" xfId="5" applyFont="1" applyBorder="1" applyAlignment="1" applyProtection="1">
      <alignment horizontal="left" vertical="center" wrapText="1"/>
      <protection locked="0"/>
    </xf>
    <xf numFmtId="0" fontId="52" fillId="0" borderId="36" xfId="5" applyFont="1" applyBorder="1" applyAlignment="1" applyProtection="1">
      <alignment horizontal="left" vertical="center" wrapText="1"/>
      <protection locked="0"/>
    </xf>
    <xf numFmtId="0" fontId="52" fillId="0" borderId="22" xfId="5" applyFont="1" applyBorder="1" applyAlignment="1" applyProtection="1">
      <alignment horizontal="left" vertical="center" wrapText="1"/>
      <protection locked="0"/>
    </xf>
    <xf numFmtId="0" fontId="16" fillId="0" borderId="17" xfId="5" applyFont="1" applyBorder="1" applyAlignment="1" applyProtection="1">
      <alignment horizontal="left" vertical="top" wrapText="1"/>
      <protection locked="0"/>
    </xf>
    <xf numFmtId="0" fontId="16" fillId="0" borderId="36" xfId="5" applyFont="1" applyBorder="1" applyAlignment="1" applyProtection="1">
      <alignment horizontal="left" vertical="top" wrapText="1"/>
      <protection locked="0"/>
    </xf>
    <xf numFmtId="0" fontId="16" fillId="0" borderId="22" xfId="5" applyFont="1" applyBorder="1" applyAlignment="1" applyProtection="1">
      <alignment horizontal="left" vertical="top" wrapText="1"/>
      <protection locked="0"/>
    </xf>
    <xf numFmtId="3" fontId="16" fillId="0" borderId="17" xfId="5" applyNumberFormat="1" applyFont="1" applyFill="1" applyBorder="1" applyAlignment="1" applyProtection="1">
      <alignment horizontal="center" vertical="center" wrapText="1"/>
      <protection locked="0"/>
    </xf>
    <xf numFmtId="3" fontId="16" fillId="0" borderId="36" xfId="5" applyNumberFormat="1" applyFont="1" applyFill="1" applyBorder="1" applyAlignment="1" applyProtection="1">
      <alignment horizontal="center" vertical="center" wrapText="1"/>
      <protection locked="0"/>
    </xf>
    <xf numFmtId="0" fontId="49" fillId="0" borderId="36" xfId="5" applyFont="1" applyBorder="1" applyAlignment="1" applyProtection="1">
      <alignment horizontal="left" vertical="center" wrapText="1"/>
      <protection locked="0"/>
    </xf>
    <xf numFmtId="0" fontId="49" fillId="0" borderId="22" xfId="5" applyFont="1" applyBorder="1" applyAlignment="1" applyProtection="1">
      <alignment horizontal="left" vertical="center" wrapText="1"/>
      <protection locked="0"/>
    </xf>
    <xf numFmtId="0" fontId="16" fillId="0" borderId="0" xfId="5" quotePrefix="1" applyFont="1" applyAlignment="1">
      <alignment horizontal="left"/>
    </xf>
    <xf numFmtId="0" fontId="16" fillId="0" borderId="6" xfId="2"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3" fontId="16" fillId="0" borderId="6" xfId="2" applyNumberFormat="1" applyFont="1" applyBorder="1" applyAlignment="1" applyProtection="1">
      <alignment horizontal="center" vertical="center" wrapText="1"/>
      <protection locked="0"/>
    </xf>
    <xf numFmtId="0" fontId="16" fillId="0" borderId="17"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6" xfId="0" applyFont="1" applyFill="1" applyBorder="1" applyAlignment="1" applyProtection="1">
      <alignment horizontal="left" vertical="center" wrapText="1"/>
      <protection locked="0"/>
    </xf>
    <xf numFmtId="0" fontId="16" fillId="0" borderId="18" xfId="2" applyFont="1" applyBorder="1" applyAlignment="1">
      <alignment horizontal="center" vertical="center" wrapText="1"/>
    </xf>
    <xf numFmtId="0" fontId="16" fillId="0" borderId="34"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35" xfId="2" applyFont="1" applyBorder="1" applyAlignment="1">
      <alignment horizontal="center" vertical="center" wrapText="1"/>
    </xf>
    <xf numFmtId="0" fontId="16" fillId="0" borderId="6" xfId="2" applyFont="1" applyBorder="1" applyAlignment="1" applyProtection="1">
      <alignment vertical="center" wrapText="1"/>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5" fillId="0" borderId="6" xfId="2" applyFont="1" applyBorder="1" applyAlignment="1" applyProtection="1">
      <alignment horizontal="left" vertical="center" wrapText="1"/>
      <protection locked="0"/>
    </xf>
    <xf numFmtId="0" fontId="15" fillId="0" borderId="6" xfId="5" applyFont="1" applyFill="1" applyBorder="1" applyAlignment="1">
      <alignment horizontal="left" vertical="center" wrapText="1"/>
    </xf>
    <xf numFmtId="0" fontId="16" fillId="0" borderId="6" xfId="2" applyFont="1" applyFill="1" applyBorder="1" applyAlignment="1" applyProtection="1">
      <alignment horizontal="left" vertical="center"/>
      <protection locked="0"/>
    </xf>
    <xf numFmtId="16" fontId="16" fillId="0" borderId="6" xfId="5" applyNumberFormat="1" applyFont="1" applyFill="1" applyBorder="1" applyAlignment="1" applyProtection="1">
      <alignment horizontal="center" vertical="center" wrapText="1"/>
      <protection locked="0"/>
    </xf>
    <xf numFmtId="0" fontId="15" fillId="0" borderId="6" xfId="2" applyFont="1" applyBorder="1" applyAlignment="1" applyProtection="1">
      <alignment vertical="center" wrapText="1"/>
      <protection locked="0"/>
    </xf>
    <xf numFmtId="0" fontId="16" fillId="0" borderId="6" xfId="5" applyFont="1" applyBorder="1" applyAlignment="1">
      <alignment horizontal="left" vertical="center" wrapText="1"/>
    </xf>
    <xf numFmtId="0" fontId="15" fillId="0" borderId="0" xfId="2" applyFont="1" applyBorder="1" applyAlignment="1">
      <alignment horizontal="left" vertical="center" wrapText="1"/>
    </xf>
    <xf numFmtId="0" fontId="16" fillId="0" borderId="17" xfId="2" applyFont="1" applyBorder="1" applyAlignment="1" applyProtection="1">
      <alignment horizontal="right" vertical="center" wrapText="1"/>
      <protection locked="0"/>
    </xf>
    <xf numFmtId="0" fontId="16" fillId="0" borderId="36" xfId="2" applyFont="1" applyBorder="1" applyAlignment="1" applyProtection="1">
      <alignment horizontal="right" vertical="center" wrapText="1"/>
      <protection locked="0"/>
    </xf>
    <xf numFmtId="0" fontId="16" fillId="0" borderId="22" xfId="2" applyFont="1" applyBorder="1" applyAlignment="1" applyProtection="1">
      <alignment horizontal="right" vertical="center" wrapText="1"/>
      <protection locked="0"/>
    </xf>
    <xf numFmtId="0" fontId="15" fillId="0" borderId="0" xfId="2" applyFont="1" applyFill="1" applyAlignment="1">
      <alignment horizontal="left" vertical="center"/>
    </xf>
    <xf numFmtId="0" fontId="16" fillId="0" borderId="6" xfId="2" applyFont="1" applyBorder="1" applyAlignment="1" applyProtection="1">
      <alignment horizontal="right" vertical="center" wrapText="1"/>
      <protection locked="0"/>
    </xf>
    <xf numFmtId="3" fontId="16" fillId="0" borderId="6" xfId="2" applyNumberFormat="1" applyFont="1" applyBorder="1" applyAlignment="1" applyProtection="1">
      <alignment horizontal="right" vertical="center"/>
      <protection locked="0"/>
    </xf>
    <xf numFmtId="3" fontId="16" fillId="4" borderId="6" xfId="2" applyNumberFormat="1" applyFont="1" applyFill="1" applyBorder="1" applyAlignment="1" applyProtection="1">
      <alignment horizontal="right" vertical="center" wrapText="1"/>
      <protection locked="0"/>
    </xf>
    <xf numFmtId="3" fontId="16" fillId="0" borderId="6" xfId="2" applyNumberFormat="1" applyFont="1" applyBorder="1" applyAlignment="1" applyProtection="1">
      <alignment horizontal="right" vertical="center" wrapText="1"/>
      <protection locked="0"/>
    </xf>
    <xf numFmtId="0" fontId="16" fillId="0" borderId="0" xfId="2" applyFont="1" applyBorder="1" applyAlignment="1" applyProtection="1">
      <alignment horizontal="left"/>
      <protection locked="0"/>
    </xf>
    <xf numFmtId="0" fontId="16" fillId="0" borderId="0" xfId="2" applyFont="1" applyBorder="1" applyAlignment="1" applyProtection="1">
      <alignment horizontal="left" wrapText="1"/>
      <protection locked="0"/>
    </xf>
    <xf numFmtId="0" fontId="7" fillId="4" borderId="0" xfId="2" applyFont="1" applyFill="1" applyAlignment="1">
      <alignment horizontal="center"/>
    </xf>
    <xf numFmtId="3" fontId="16" fillId="0" borderId="6" xfId="2" applyNumberFormat="1" applyFont="1" applyBorder="1" applyAlignment="1" applyProtection="1">
      <alignment horizontal="left" vertical="center" wrapText="1"/>
      <protection locked="0"/>
    </xf>
    <xf numFmtId="0" fontId="20" fillId="0" borderId="0" xfId="2" applyFont="1" applyBorder="1" applyAlignment="1" applyProtection="1">
      <alignment horizontal="left"/>
      <protection locked="0"/>
    </xf>
    <xf numFmtId="49" fontId="15" fillId="0" borderId="39" xfId="2" applyNumberFormat="1" applyFont="1" applyFill="1" applyBorder="1" applyAlignment="1" applyProtection="1">
      <alignment horizontal="left"/>
      <protection locked="0"/>
    </xf>
    <xf numFmtId="3" fontId="16" fillId="4" borderId="6" xfId="2" applyNumberFormat="1" applyFont="1" applyFill="1" applyBorder="1" applyAlignment="1" applyProtection="1">
      <alignment horizontal="center" vertical="center" wrapText="1"/>
      <protection locked="0"/>
    </xf>
    <xf numFmtId="0" fontId="16" fillId="0" borderId="0" xfId="5" applyFont="1" applyFill="1" applyAlignment="1">
      <alignment horizontal="center" wrapText="1"/>
    </xf>
    <xf numFmtId="0" fontId="29" fillId="0" borderId="0" xfId="2" applyFont="1" applyFill="1" applyAlignment="1">
      <alignment horizontal="left"/>
    </xf>
    <xf numFmtId="0" fontId="16" fillId="0" borderId="0" xfId="5" applyFont="1" applyFill="1" applyAlignment="1"/>
    <xf numFmtId="0" fontId="16" fillId="0" borderId="6" xfId="5" applyFont="1" applyBorder="1" applyAlignment="1" applyProtection="1">
      <alignment vertical="center" wrapText="1"/>
      <protection locked="0"/>
    </xf>
    <xf numFmtId="0" fontId="16" fillId="0" borderId="0" xfId="5" applyFont="1" applyBorder="1" applyAlignment="1" applyProtection="1">
      <alignment horizontal="center" vertical="center" wrapText="1"/>
      <protection locked="0"/>
    </xf>
    <xf numFmtId="3" fontId="16" fillId="0" borderId="17" xfId="5" applyNumberFormat="1" applyFont="1" applyBorder="1" applyAlignment="1" applyProtection="1">
      <alignment horizontal="right" vertical="center" wrapText="1"/>
      <protection locked="0"/>
    </xf>
    <xf numFmtId="3" fontId="16" fillId="0" borderId="36" xfId="5" applyNumberFormat="1" applyFont="1" applyBorder="1" applyAlignment="1" applyProtection="1">
      <alignment horizontal="right" vertical="center" wrapText="1"/>
      <protection locked="0"/>
    </xf>
    <xf numFmtId="3" fontId="16" fillId="0" borderId="22" xfId="5" applyNumberFormat="1" applyFont="1" applyBorder="1" applyAlignment="1" applyProtection="1">
      <alignment horizontal="right" vertical="center" wrapText="1"/>
      <protection locked="0"/>
    </xf>
    <xf numFmtId="3" fontId="16" fillId="0" borderId="17" xfId="5" applyNumberFormat="1" applyFont="1" applyBorder="1" applyAlignment="1" applyProtection="1">
      <alignment horizontal="center" vertical="center"/>
      <protection locked="0"/>
    </xf>
    <xf numFmtId="3" fontId="16" fillId="0" borderId="36" xfId="5" applyNumberFormat="1" applyFont="1" applyBorder="1" applyAlignment="1" applyProtection="1">
      <alignment horizontal="center" vertical="center"/>
      <protection locked="0"/>
    </xf>
    <xf numFmtId="3" fontId="16" fillId="0" borderId="22" xfId="5" applyNumberFormat="1" applyFont="1" applyBorder="1" applyAlignment="1" applyProtection="1">
      <alignment horizontal="center" vertical="center"/>
      <protection locked="0"/>
    </xf>
    <xf numFmtId="3" fontId="15" fillId="0" borderId="6" xfId="5" applyNumberFormat="1" applyFont="1" applyBorder="1" applyAlignment="1" applyProtection="1">
      <alignment horizontal="center" vertical="center" wrapText="1"/>
      <protection locked="0"/>
    </xf>
    <xf numFmtId="3" fontId="16" fillId="0" borderId="6" xfId="5" applyNumberFormat="1" applyFont="1" applyBorder="1" applyAlignment="1" applyProtection="1">
      <alignment horizontal="right" vertical="center" wrapText="1"/>
      <protection locked="0"/>
    </xf>
    <xf numFmtId="0" fontId="16" fillId="0" borderId="38" xfId="5" applyFont="1" applyBorder="1" applyAlignment="1">
      <alignment horizontal="left"/>
    </xf>
    <xf numFmtId="49" fontId="15" fillId="0" borderId="35" xfId="5" applyNumberFormat="1" applyFont="1" applyFill="1" applyBorder="1" applyAlignment="1">
      <alignment horizontal="left"/>
    </xf>
    <xf numFmtId="0" fontId="15" fillId="0" borderId="14" xfId="5" applyFont="1" applyBorder="1" applyAlignment="1">
      <alignment horizontal="right" wrapText="1"/>
    </xf>
    <xf numFmtId="0" fontId="15" fillId="0" borderId="10" xfId="5" applyFont="1" applyBorder="1" applyAlignment="1">
      <alignment horizontal="right" wrapText="1"/>
    </xf>
    <xf numFmtId="3" fontId="16" fillId="0" borderId="17" xfId="5" applyNumberFormat="1" applyFont="1" applyBorder="1" applyAlignment="1">
      <alignment horizontal="center" vertical="center" wrapText="1"/>
    </xf>
    <xf numFmtId="3" fontId="16" fillId="0" borderId="22" xfId="5" applyNumberFormat="1" applyFont="1" applyBorder="1" applyAlignment="1">
      <alignment horizontal="center" vertical="center" wrapText="1"/>
    </xf>
    <xf numFmtId="49" fontId="15" fillId="0" borderId="39" xfId="5" applyNumberFormat="1" applyFont="1" applyFill="1" applyBorder="1" applyAlignment="1">
      <alignment horizontal="left" wrapText="1"/>
    </xf>
    <xf numFmtId="0" fontId="15" fillId="0" borderId="0" xfId="1" applyFont="1" applyFill="1" applyAlignment="1">
      <alignment horizontal="left"/>
    </xf>
    <xf numFmtId="0" fontId="16" fillId="0" borderId="0" xfId="5" applyFont="1" applyFill="1" applyBorder="1" applyAlignment="1" applyProtection="1">
      <alignment horizontal="left" vertical="center" wrapText="1"/>
      <protection locked="0"/>
    </xf>
    <xf numFmtId="0" fontId="16" fillId="0" borderId="6" xfId="1" applyFont="1" applyBorder="1" applyAlignment="1" applyProtection="1">
      <alignment horizontal="center" vertical="center" wrapText="1"/>
      <protection locked="0"/>
    </xf>
    <xf numFmtId="0" fontId="16" fillId="0" borderId="6" xfId="1" applyFont="1" applyFill="1" applyBorder="1" applyAlignment="1" applyProtection="1">
      <alignment horizontal="left" vertical="center" wrapText="1"/>
      <protection locked="0"/>
    </xf>
    <xf numFmtId="3" fontId="16" fillId="0" borderId="6" xfId="1" applyNumberFormat="1" applyFont="1" applyBorder="1" applyAlignment="1" applyProtection="1">
      <alignment horizontal="center" vertical="center" wrapText="1"/>
      <protection locked="0"/>
    </xf>
    <xf numFmtId="49" fontId="16" fillId="0" borderId="6" xfId="1" applyNumberFormat="1" applyFont="1" applyBorder="1" applyAlignment="1" applyProtection="1">
      <alignment horizontal="center" vertical="center"/>
      <protection locked="0"/>
    </xf>
    <xf numFmtId="49" fontId="16" fillId="0" borderId="6" xfId="1" applyNumberFormat="1" applyFont="1" applyBorder="1" applyAlignment="1" applyProtection="1">
      <alignment horizontal="left" vertical="center" wrapText="1"/>
      <protection locked="0"/>
    </xf>
    <xf numFmtId="0" fontId="16" fillId="0" borderId="6" xfId="1" applyFont="1" applyBorder="1" applyAlignment="1" applyProtection="1">
      <alignment horizontal="left" vertical="center" wrapText="1"/>
      <protection locked="0"/>
    </xf>
    <xf numFmtId="49" fontId="16" fillId="0" borderId="6" xfId="1" applyNumberFormat="1" applyFont="1" applyFill="1" applyBorder="1" applyAlignment="1" applyProtection="1">
      <alignment horizontal="center" vertical="center" wrapText="1"/>
      <protection locked="0"/>
    </xf>
    <xf numFmtId="0" fontId="16" fillId="0" borderId="6" xfId="1" applyFont="1" applyBorder="1" applyAlignment="1">
      <alignment horizontal="center" vertical="center"/>
    </xf>
    <xf numFmtId="0" fontId="16" fillId="0" borderId="6" xfId="1" applyFont="1" applyBorder="1" applyAlignment="1">
      <alignment horizontal="left" vertical="center"/>
    </xf>
    <xf numFmtId="49" fontId="16" fillId="0" borderId="6" xfId="1" applyNumberFormat="1" applyFont="1" applyBorder="1" applyAlignment="1" applyProtection="1">
      <alignment horizontal="center" vertical="center" wrapText="1"/>
      <protection locked="0"/>
    </xf>
    <xf numFmtId="49" fontId="16" fillId="0" borderId="6" xfId="1" applyNumberFormat="1" applyFont="1" applyFill="1" applyBorder="1" applyAlignment="1" applyProtection="1">
      <alignment horizontal="left" vertical="center" wrapText="1"/>
      <protection locked="0"/>
    </xf>
    <xf numFmtId="0" fontId="16" fillId="0" borderId="6" xfId="1" applyFont="1" applyBorder="1" applyAlignment="1">
      <alignment horizontal="left" vertical="center" wrapText="1"/>
    </xf>
    <xf numFmtId="3" fontId="16" fillId="0" borderId="6" xfId="1" applyNumberFormat="1" applyFont="1" applyFill="1" applyBorder="1" applyAlignment="1" applyProtection="1">
      <alignment horizontal="center" vertical="center" wrapText="1"/>
      <protection locked="0"/>
    </xf>
    <xf numFmtId="0" fontId="16" fillId="0" borderId="6" xfId="1" applyFont="1" applyFill="1" applyBorder="1" applyAlignment="1" applyProtection="1">
      <alignment horizontal="center" vertical="center" wrapText="1"/>
      <protection locked="0"/>
    </xf>
    <xf numFmtId="3" fontId="16" fillId="0" borderId="6" xfId="1" applyNumberFormat="1" applyFont="1" applyBorder="1" applyAlignment="1">
      <alignment horizontal="center" vertical="center" wrapText="1"/>
    </xf>
    <xf numFmtId="17" fontId="16" fillId="0" borderId="6" xfId="1" applyNumberFormat="1" applyFont="1" applyBorder="1" applyAlignment="1" applyProtection="1">
      <alignment horizontal="center" vertical="center" wrapText="1"/>
      <protection locked="0"/>
    </xf>
    <xf numFmtId="0" fontId="16" fillId="0" borderId="6" xfId="1" applyFont="1" applyFill="1" applyBorder="1" applyAlignment="1" applyProtection="1">
      <alignment vertical="center" wrapText="1"/>
      <protection locked="0"/>
    </xf>
    <xf numFmtId="49" fontId="16" fillId="0" borderId="6" xfId="1" applyNumberFormat="1" applyFont="1" applyBorder="1" applyAlignment="1" applyProtection="1">
      <alignment horizontal="left" vertical="center"/>
      <protection locked="0"/>
    </xf>
    <xf numFmtId="0" fontId="16" fillId="0" borderId="6" xfId="1" applyFont="1" applyBorder="1" applyAlignment="1">
      <alignment horizontal="center" vertical="center" wrapText="1"/>
    </xf>
    <xf numFmtId="49" fontId="16" fillId="0" borderId="6" xfId="1" applyNumberFormat="1" applyFont="1" applyFill="1" applyBorder="1" applyAlignment="1">
      <alignment horizontal="left" vertical="center" wrapText="1"/>
    </xf>
    <xf numFmtId="0" fontId="16" fillId="0" borderId="6" xfId="1" applyFont="1" applyFill="1" applyBorder="1" applyAlignment="1">
      <alignment horizontal="left" vertical="center"/>
    </xf>
    <xf numFmtId="49" fontId="16" fillId="0" borderId="6" xfId="1" applyNumberFormat="1" applyFont="1" applyBorder="1" applyAlignment="1">
      <alignment horizontal="left" vertical="center" wrapText="1"/>
    </xf>
    <xf numFmtId="49" fontId="16" fillId="0" borderId="6" xfId="1" applyNumberFormat="1" applyFont="1" applyBorder="1" applyAlignment="1">
      <alignment horizontal="center" vertical="center" wrapText="1"/>
    </xf>
    <xf numFmtId="49" fontId="29" fillId="0" borderId="6" xfId="1" applyNumberFormat="1" applyFont="1" applyBorder="1" applyAlignment="1">
      <alignment horizontal="center" vertical="center" wrapText="1"/>
    </xf>
    <xf numFmtId="49" fontId="16" fillId="0" borderId="6" xfId="1" applyNumberFormat="1" applyFont="1" applyBorder="1" applyAlignment="1">
      <alignment vertical="center" wrapText="1"/>
    </xf>
    <xf numFmtId="3" fontId="16" fillId="0" borderId="6" xfId="1" applyNumberFormat="1" applyFont="1" applyFill="1" applyBorder="1" applyAlignment="1">
      <alignment horizontal="center" vertical="center" wrapText="1"/>
    </xf>
    <xf numFmtId="0" fontId="16" fillId="4" borderId="6" xfId="1" applyFont="1" applyFill="1" applyBorder="1" applyAlignment="1">
      <alignment horizontal="left" vertical="center" wrapText="1"/>
    </xf>
    <xf numFmtId="49" fontId="15" fillId="0" borderId="6" xfId="1" applyNumberFormat="1" applyFont="1" applyBorder="1" applyAlignment="1">
      <alignment horizontal="center" vertical="center" wrapText="1"/>
    </xf>
    <xf numFmtId="0" fontId="15" fillId="0" borderId="6" xfId="1" applyFont="1" applyBorder="1" applyAlignment="1">
      <alignment horizontal="right" wrapText="1"/>
    </xf>
    <xf numFmtId="0" fontId="15" fillId="0" borderId="6" xfId="1" applyFont="1" applyFill="1" applyBorder="1" applyAlignment="1">
      <alignment horizontal="left" vertical="center" wrapText="1"/>
    </xf>
    <xf numFmtId="49" fontId="15" fillId="0" borderId="6" xfId="1" applyNumberFormat="1" applyFont="1" applyFill="1" applyBorder="1" applyAlignment="1">
      <alignment horizontal="left" vertical="center" wrapText="1"/>
    </xf>
    <xf numFmtId="0" fontId="7" fillId="0" borderId="0" xfId="2" applyFont="1" applyBorder="1" applyAlignment="1">
      <alignment horizontal="center"/>
    </xf>
    <xf numFmtId="49" fontId="15" fillId="0" borderId="0" xfId="2" applyNumberFormat="1" applyFont="1" applyBorder="1" applyAlignment="1" applyProtection="1">
      <alignment horizontal="left"/>
      <protection locked="0"/>
    </xf>
    <xf numFmtId="3" fontId="16" fillId="0" borderId="36" xfId="5" applyNumberFormat="1" applyFont="1" applyBorder="1" applyAlignment="1">
      <alignment horizontal="center" vertical="center" wrapText="1"/>
    </xf>
    <xf numFmtId="0" fontId="16" fillId="0" borderId="18" xfId="5" applyFont="1" applyBorder="1" applyAlignment="1">
      <alignment horizontal="center" vertical="center" wrapText="1"/>
    </xf>
    <xf numFmtId="0" fontId="16" fillId="0" borderId="37" xfId="5" applyFont="1" applyBorder="1" applyAlignment="1">
      <alignment horizontal="center" vertical="center" wrapText="1"/>
    </xf>
    <xf numFmtId="0" fontId="16" fillId="0" borderId="21" xfId="5" applyFont="1" applyBorder="1" applyAlignment="1">
      <alignment horizontal="center" vertical="center" wrapText="1"/>
    </xf>
    <xf numFmtId="0" fontId="16" fillId="0" borderId="18" xfId="5" applyFont="1" applyBorder="1" applyAlignment="1" applyProtection="1">
      <alignment horizontal="center" vertical="center" wrapText="1"/>
      <protection locked="0"/>
    </xf>
    <xf numFmtId="0" fontId="16" fillId="0" borderId="37" xfId="5" applyFont="1" applyBorder="1" applyAlignment="1" applyProtection="1">
      <alignment horizontal="center" vertical="center" wrapText="1"/>
      <protection locked="0"/>
    </xf>
    <xf numFmtId="0" fontId="16" fillId="0" borderId="21" xfId="5" applyFont="1" applyBorder="1" applyAlignment="1" applyProtection="1">
      <alignment horizontal="center" vertical="center" wrapText="1"/>
      <protection locked="0"/>
    </xf>
    <xf numFmtId="0" fontId="15" fillId="0" borderId="21" xfId="5" applyFont="1" applyBorder="1" applyAlignment="1">
      <alignment horizontal="right" wrapText="1"/>
    </xf>
    <xf numFmtId="0" fontId="15" fillId="0" borderId="35" xfId="5" applyFont="1" applyBorder="1" applyAlignment="1">
      <alignment horizontal="right" wrapText="1"/>
    </xf>
    <xf numFmtId="49" fontId="15" fillId="0" borderId="39" xfId="5" applyNumberFormat="1" applyFont="1" applyBorder="1" applyAlignment="1" applyProtection="1">
      <alignment horizontal="left"/>
      <protection locked="0"/>
    </xf>
    <xf numFmtId="0" fontId="16" fillId="0" borderId="34" xfId="5" applyFont="1" applyBorder="1" applyAlignment="1">
      <alignment horizontal="center" vertical="center" wrapText="1"/>
    </xf>
    <xf numFmtId="3" fontId="16" fillId="0" borderId="6" xfId="5" applyNumberFormat="1" applyFont="1" applyBorder="1" applyAlignment="1">
      <alignment horizontal="center" vertical="center" wrapText="1"/>
    </xf>
    <xf numFmtId="0" fontId="15" fillId="0" borderId="15" xfId="5" applyFont="1" applyBorder="1" applyAlignment="1">
      <alignment horizontal="right" wrapText="1"/>
    </xf>
    <xf numFmtId="0" fontId="16" fillId="0" borderId="14" xfId="5" applyFont="1" applyBorder="1" applyAlignment="1" applyProtection="1">
      <alignment horizontal="center" vertical="center" wrapText="1"/>
      <protection locked="0"/>
    </xf>
    <xf numFmtId="0" fontId="16" fillId="0" borderId="15" xfId="5" applyFont="1" applyBorder="1" applyAlignment="1" applyProtection="1">
      <alignment horizontal="center" vertical="center" wrapText="1"/>
      <protection locked="0"/>
    </xf>
    <xf numFmtId="3" fontId="15" fillId="0" borderId="14" xfId="5" applyNumberFormat="1" applyFont="1" applyFill="1" applyBorder="1" applyAlignment="1" applyProtection="1">
      <alignment horizontal="center" vertical="center" wrapText="1"/>
      <protection locked="0"/>
    </xf>
    <xf numFmtId="0" fontId="15" fillId="0" borderId="6" xfId="5" applyFont="1" applyFill="1" applyBorder="1" applyAlignment="1" applyProtection="1">
      <alignment horizontal="left" vertical="center" wrapText="1"/>
      <protection locked="0"/>
    </xf>
    <xf numFmtId="3" fontId="16" fillId="0" borderId="17" xfId="0" applyNumberFormat="1" applyFont="1" applyBorder="1" applyAlignment="1" applyProtection="1">
      <alignment horizontal="center" vertical="center" wrapText="1"/>
      <protection locked="0"/>
    </xf>
    <xf numFmtId="3" fontId="16" fillId="0" borderId="36" xfId="0" applyNumberFormat="1" applyFont="1" applyBorder="1" applyAlignment="1" applyProtection="1">
      <alignment horizontal="center" vertical="center" wrapText="1"/>
      <protection locked="0"/>
    </xf>
    <xf numFmtId="3" fontId="16" fillId="0" borderId="22" xfId="0" applyNumberFormat="1" applyFont="1" applyBorder="1" applyAlignment="1" applyProtection="1">
      <alignment horizontal="center" vertical="center" wrapText="1"/>
      <protection locked="0"/>
    </xf>
    <xf numFmtId="0" fontId="16" fillId="0" borderId="17"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0" xfId="5" applyFont="1" applyBorder="1" applyAlignment="1">
      <alignment horizontal="left" vertical="center" wrapText="1"/>
    </xf>
    <xf numFmtId="0" fontId="15" fillId="0" borderId="18" xfId="5" applyFont="1" applyBorder="1" applyAlignment="1">
      <alignment horizontal="center" vertical="center" wrapText="1"/>
    </xf>
    <xf numFmtId="0" fontId="15" fillId="0" borderId="37" xfId="5" applyFont="1" applyBorder="1" applyAlignment="1">
      <alignment horizontal="center" vertical="center" wrapText="1"/>
    </xf>
    <xf numFmtId="0" fontId="15" fillId="0" borderId="21" xfId="5" applyFont="1" applyBorder="1" applyAlignment="1">
      <alignment horizontal="center" vertical="center" wrapText="1"/>
    </xf>
    <xf numFmtId="0" fontId="15" fillId="0" borderId="6" xfId="5" applyFont="1" applyBorder="1" applyAlignment="1">
      <alignment horizontal="left" vertical="center" wrapText="1"/>
    </xf>
    <xf numFmtId="0" fontId="16" fillId="0" borderId="18"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6" xfId="0" applyFont="1" applyBorder="1" applyAlignment="1" applyProtection="1">
      <alignment horizontal="left" vertical="center" wrapText="1"/>
      <protection locked="0"/>
    </xf>
    <xf numFmtId="0" fontId="16" fillId="0" borderId="14" xfId="0" applyFont="1" applyBorder="1" applyAlignment="1" applyProtection="1">
      <alignment horizontal="center" vertical="center" wrapText="1"/>
      <protection locked="0"/>
    </xf>
    <xf numFmtId="4" fontId="16" fillId="4" borderId="17" xfId="0" applyNumberFormat="1" applyFont="1" applyFill="1" applyBorder="1" applyAlignment="1" applyProtection="1">
      <alignment horizontal="center" vertical="center" wrapText="1"/>
      <protection locked="0"/>
    </xf>
    <xf numFmtId="4" fontId="16" fillId="4" borderId="36" xfId="0" applyNumberFormat="1" applyFont="1" applyFill="1" applyBorder="1" applyAlignment="1" applyProtection="1">
      <alignment horizontal="center" vertical="center" wrapText="1"/>
      <protection locked="0"/>
    </xf>
    <xf numFmtId="4" fontId="16" fillId="4" borderId="22" xfId="0" applyNumberFormat="1"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3" fontId="16" fillId="0" borderId="6" xfId="0" applyNumberFormat="1" applyFont="1" applyBorder="1" applyAlignment="1" applyProtection="1">
      <alignment horizontal="center" vertical="center" wrapText="1"/>
      <protection locked="0"/>
    </xf>
    <xf numFmtId="4" fontId="16" fillId="4" borderId="6" xfId="0" applyNumberFormat="1" applyFont="1" applyFill="1" applyBorder="1" applyAlignment="1" applyProtection="1">
      <alignment horizontal="center" vertical="center" wrapText="1"/>
      <protection locked="0"/>
    </xf>
    <xf numFmtId="0" fontId="15" fillId="0" borderId="18" xfId="5" applyFont="1" applyBorder="1" applyAlignment="1" applyProtection="1">
      <alignment horizontal="center" vertical="center" wrapText="1"/>
      <protection locked="0"/>
    </xf>
    <xf numFmtId="0" fontId="15" fillId="0" borderId="37" xfId="5" applyFont="1" applyBorder="1" applyAlignment="1" applyProtection="1">
      <alignment horizontal="center" vertical="center" wrapText="1"/>
      <protection locked="0"/>
    </xf>
    <xf numFmtId="0" fontId="15" fillId="0" borderId="21" xfId="5" applyFont="1" applyBorder="1" applyAlignment="1" applyProtection="1">
      <alignment horizontal="center" vertical="center" wrapText="1"/>
      <protection locked="0"/>
    </xf>
    <xf numFmtId="0" fontId="15" fillId="0" borderId="6" xfId="5" applyFont="1" applyBorder="1" applyAlignment="1">
      <alignment vertical="center" wrapText="1"/>
    </xf>
    <xf numFmtId="49" fontId="15" fillId="0" borderId="18" xfId="5" applyNumberFormat="1" applyFont="1" applyBorder="1" applyAlignment="1">
      <alignment horizontal="center" vertical="center" wrapText="1"/>
    </xf>
    <xf numFmtId="49" fontId="15" fillId="0" borderId="37" xfId="5" applyNumberFormat="1" applyFont="1" applyBorder="1" applyAlignment="1">
      <alignment horizontal="center" vertical="center" wrapText="1"/>
    </xf>
    <xf numFmtId="49" fontId="15" fillId="0" borderId="21" xfId="5" applyNumberFormat="1" applyFont="1" applyBorder="1" applyAlignment="1">
      <alignment horizontal="center" vertical="center" wrapText="1"/>
    </xf>
    <xf numFmtId="0" fontId="15" fillId="0" borderId="18"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6" xfId="0" applyFont="1" applyBorder="1" applyAlignment="1" applyProtection="1">
      <alignment horizontal="left" vertical="center" wrapText="1"/>
      <protection locked="0"/>
    </xf>
    <xf numFmtId="49" fontId="16" fillId="0" borderId="18" xfId="5" applyNumberFormat="1" applyFont="1" applyBorder="1" applyAlignment="1">
      <alignment horizontal="center" vertical="center" wrapText="1"/>
    </xf>
    <xf numFmtId="49" fontId="16" fillId="0" borderId="37" xfId="5" applyNumberFormat="1" applyFont="1" applyBorder="1" applyAlignment="1">
      <alignment horizontal="center" vertical="center" wrapText="1"/>
    </xf>
    <xf numFmtId="0" fontId="16" fillId="0" borderId="17"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49" fontId="16" fillId="0" borderId="18" xfId="5" applyNumberFormat="1" applyFont="1" applyBorder="1" applyAlignment="1" applyProtection="1">
      <alignment horizontal="center" vertical="center" wrapText="1"/>
      <protection locked="0"/>
    </xf>
    <xf numFmtId="49" fontId="16" fillId="0" borderId="37" xfId="5" applyNumberFormat="1" applyFont="1" applyBorder="1" applyAlignment="1" applyProtection="1">
      <alignment horizontal="center" vertical="center" wrapText="1"/>
      <protection locked="0"/>
    </xf>
    <xf numFmtId="49" fontId="16" fillId="0" borderId="21" xfId="5" applyNumberFormat="1" applyFont="1" applyBorder="1" applyAlignment="1" applyProtection="1">
      <alignment horizontal="center" vertical="center" wrapText="1"/>
      <protection locked="0"/>
    </xf>
    <xf numFmtId="0" fontId="16" fillId="0" borderId="0" xfId="5" applyFont="1" applyFill="1" applyAlignment="1">
      <alignment horizontal="left"/>
    </xf>
    <xf numFmtId="49" fontId="15" fillId="4" borderId="39" xfId="5" applyNumberFormat="1" applyFont="1" applyFill="1" applyBorder="1" applyAlignment="1">
      <alignment horizontal="left"/>
    </xf>
    <xf numFmtId="0" fontId="16" fillId="4" borderId="0" xfId="5" applyFont="1" applyFill="1" applyAlignment="1">
      <alignment horizontal="left"/>
    </xf>
    <xf numFmtId="0" fontId="20" fillId="4" borderId="0" xfId="5" applyFont="1" applyFill="1" applyAlignment="1">
      <alignment horizontal="left"/>
    </xf>
    <xf numFmtId="3" fontId="16" fillId="0" borderId="0" xfId="13" applyNumberFormat="1" applyFont="1" applyFill="1" applyBorder="1" applyAlignment="1">
      <alignment horizontal="left"/>
    </xf>
    <xf numFmtId="3" fontId="15" fillId="0" borderId="39" xfId="13" applyNumberFormat="1" applyFont="1" applyFill="1" applyBorder="1" applyAlignment="1">
      <alignment horizontal="left"/>
    </xf>
    <xf numFmtId="0" fontId="15" fillId="0" borderId="14" xfId="2" applyFont="1" applyBorder="1" applyAlignment="1">
      <alignment horizontal="right" wrapText="1"/>
    </xf>
    <xf numFmtId="0" fontId="15" fillId="0" borderId="10" xfId="2" applyFont="1" applyBorder="1" applyAlignment="1">
      <alignment horizontal="right" wrapText="1"/>
    </xf>
    <xf numFmtId="49" fontId="15" fillId="0" borderId="39" xfId="2" applyNumberFormat="1" applyFont="1" applyFill="1" applyBorder="1" applyAlignment="1">
      <alignment horizontal="left"/>
    </xf>
    <xf numFmtId="3" fontId="16" fillId="0" borderId="0" xfId="2" applyNumberFormat="1" applyFont="1" applyAlignment="1">
      <alignment horizontal="left"/>
    </xf>
    <xf numFmtId="3" fontId="15" fillId="0" borderId="39" xfId="2" applyNumberFormat="1" applyFont="1" applyFill="1" applyBorder="1" applyAlignment="1">
      <alignment horizontal="left"/>
    </xf>
    <xf numFmtId="3" fontId="16" fillId="0" borderId="17" xfId="12" applyNumberFormat="1" applyFont="1" applyFill="1" applyBorder="1" applyAlignment="1">
      <alignment horizontal="left" vertical="center" wrapText="1"/>
    </xf>
    <xf numFmtId="3" fontId="16" fillId="0" borderId="22" xfId="12" applyNumberFormat="1" applyFont="1" applyFill="1" applyBorder="1" applyAlignment="1">
      <alignment horizontal="left" vertical="center" wrapText="1"/>
    </xf>
    <xf numFmtId="0" fontId="16" fillId="0" borderId="17" xfId="2" applyFont="1" applyBorder="1" applyAlignment="1" applyProtection="1">
      <alignment horizontal="left" wrapText="1"/>
      <protection locked="0"/>
    </xf>
    <xf numFmtId="0" fontId="16" fillId="0" borderId="36" xfId="2" applyFont="1" applyBorder="1" applyAlignment="1" applyProtection="1">
      <alignment horizontal="left" wrapText="1"/>
      <protection locked="0"/>
    </xf>
    <xf numFmtId="0" fontId="16" fillId="0" borderId="22" xfId="2" applyFont="1" applyBorder="1" applyAlignment="1" applyProtection="1">
      <alignment horizontal="left" wrapText="1"/>
      <protection locked="0"/>
    </xf>
    <xf numFmtId="3" fontId="16" fillId="0" borderId="36" xfId="12" applyNumberFormat="1" applyFont="1" applyFill="1" applyBorder="1" applyAlignment="1">
      <alignment horizontal="left" vertical="center" wrapText="1"/>
    </xf>
    <xf numFmtId="3" fontId="20" fillId="0" borderId="0" xfId="2" applyNumberFormat="1" applyFont="1" applyAlignment="1">
      <alignment horizontal="left"/>
    </xf>
    <xf numFmtId="3" fontId="16" fillId="0" borderId="17" xfId="13" applyNumberFormat="1" applyFont="1" applyFill="1" applyBorder="1" applyAlignment="1">
      <alignment horizontal="center" vertical="center" wrapText="1"/>
    </xf>
    <xf numFmtId="3" fontId="16" fillId="0" borderId="36" xfId="13" applyNumberFormat="1" applyFont="1" applyFill="1" applyBorder="1" applyAlignment="1">
      <alignment horizontal="center" vertical="center" wrapText="1"/>
    </xf>
    <xf numFmtId="3" fontId="16" fillId="0" borderId="22" xfId="13" applyNumberFormat="1" applyFont="1" applyFill="1" applyBorder="1" applyAlignment="1">
      <alignment horizontal="center" vertical="center" wrapText="1"/>
    </xf>
    <xf numFmtId="3" fontId="16" fillId="0" borderId="17" xfId="2" applyNumberFormat="1" applyFont="1" applyBorder="1" applyAlignment="1">
      <alignment horizontal="left" vertical="center" wrapText="1"/>
    </xf>
    <xf numFmtId="3" fontId="16" fillId="0" borderId="22" xfId="2" applyNumberFormat="1" applyFont="1" applyBorder="1" applyAlignment="1">
      <alignment horizontal="left" vertical="center" wrapText="1"/>
    </xf>
    <xf numFmtId="3" fontId="16" fillId="0" borderId="17" xfId="12" applyNumberFormat="1" applyFont="1" applyFill="1" applyBorder="1" applyAlignment="1">
      <alignment horizontal="left" wrapText="1"/>
    </xf>
    <xf numFmtId="3" fontId="16" fillId="0" borderId="22" xfId="12" applyNumberFormat="1" applyFont="1" applyFill="1" applyBorder="1" applyAlignment="1">
      <alignment horizontal="left" wrapText="1"/>
    </xf>
    <xf numFmtId="0" fontId="16" fillId="0" borderId="36" xfId="2" applyFont="1" applyBorder="1" applyAlignment="1" applyProtection="1">
      <alignment horizontal="left" vertical="center" wrapText="1"/>
      <protection locked="0"/>
    </xf>
    <xf numFmtId="3" fontId="16" fillId="0" borderId="0" xfId="13" applyNumberFormat="1" applyFont="1" applyFill="1" applyBorder="1" applyAlignment="1">
      <alignment horizontal="left" vertical="center"/>
    </xf>
    <xf numFmtId="3" fontId="16" fillId="0" borderId="18" xfId="2" applyNumberFormat="1" applyFont="1" applyBorder="1" applyAlignment="1">
      <alignment horizontal="left" vertical="center" wrapText="1"/>
    </xf>
    <xf numFmtId="3" fontId="16" fillId="0" borderId="21" xfId="2" applyNumberFormat="1" applyFont="1" applyBorder="1" applyAlignment="1">
      <alignment horizontal="left" vertical="center" wrapText="1"/>
    </xf>
    <xf numFmtId="3" fontId="16" fillId="4" borderId="17" xfId="13" applyNumberFormat="1" applyFont="1" applyFill="1" applyBorder="1" applyAlignment="1">
      <alignment horizontal="center" vertical="center" wrapText="1"/>
    </xf>
    <xf numFmtId="3" fontId="16" fillId="4" borderId="36" xfId="13" applyNumberFormat="1" applyFont="1" applyFill="1" applyBorder="1" applyAlignment="1">
      <alignment horizontal="center" vertical="center" wrapText="1"/>
    </xf>
    <xf numFmtId="3" fontId="16" fillId="4" borderId="22" xfId="13" applyNumberFormat="1" applyFont="1" applyFill="1" applyBorder="1" applyAlignment="1">
      <alignment horizontal="center" vertical="center" wrapText="1"/>
    </xf>
    <xf numFmtId="0" fontId="20" fillId="0" borderId="0" xfId="2" applyFont="1" applyAlignment="1">
      <alignment horizontal="left"/>
    </xf>
    <xf numFmtId="3" fontId="16" fillId="0" borderId="0" xfId="13" applyNumberFormat="1" applyFont="1" applyBorder="1" applyAlignment="1">
      <alignment horizontal="left"/>
    </xf>
    <xf numFmtId="3" fontId="15" fillId="0" borderId="39" xfId="13" applyNumberFormat="1" applyFont="1" applyBorder="1" applyAlignment="1">
      <alignment horizontal="left"/>
    </xf>
    <xf numFmtId="3" fontId="16" fillId="0" borderId="36" xfId="2" applyNumberFormat="1" applyFont="1" applyBorder="1" applyAlignment="1">
      <alignment horizontal="left" vertical="center" wrapText="1"/>
    </xf>
    <xf numFmtId="3" fontId="16" fillId="0" borderId="17" xfId="12" applyNumberFormat="1" applyFont="1" applyBorder="1" applyAlignment="1">
      <alignment horizontal="center" vertical="center" wrapText="1"/>
    </xf>
    <xf numFmtId="3" fontId="16" fillId="0" borderId="36" xfId="12" applyNumberFormat="1" applyFont="1" applyBorder="1" applyAlignment="1">
      <alignment horizontal="center" vertical="center" wrapText="1"/>
    </xf>
    <xf numFmtId="3" fontId="16" fillId="0" borderId="22" xfId="12" applyNumberFormat="1" applyFont="1" applyBorder="1" applyAlignment="1">
      <alignment horizontal="center" vertical="center" wrapText="1"/>
    </xf>
    <xf numFmtId="3" fontId="16" fillId="0" borderId="17" xfId="2" applyNumberFormat="1" applyFont="1" applyBorder="1" applyAlignment="1" applyProtection="1">
      <alignment horizontal="left" vertical="center" wrapText="1"/>
      <protection locked="0"/>
    </xf>
    <xf numFmtId="3" fontId="16" fillId="0" borderId="36" xfId="2" applyNumberFormat="1" applyFont="1" applyBorder="1" applyAlignment="1" applyProtection="1">
      <alignment horizontal="left" vertical="center" wrapText="1"/>
      <protection locked="0"/>
    </xf>
    <xf numFmtId="3" fontId="16" fillId="0" borderId="22" xfId="2" applyNumberFormat="1" applyFont="1" applyBorder="1" applyAlignment="1" applyProtection="1">
      <alignment horizontal="left" vertical="center" wrapText="1"/>
      <protection locked="0"/>
    </xf>
    <xf numFmtId="3" fontId="16" fillId="0" borderId="17" xfId="12" applyNumberFormat="1" applyFont="1" applyFill="1" applyBorder="1" applyAlignment="1">
      <alignment horizontal="center" vertical="center" wrapText="1"/>
    </xf>
    <xf numFmtId="3" fontId="16" fillId="0" borderId="22" xfId="12" applyNumberFormat="1" applyFont="1" applyFill="1" applyBorder="1" applyAlignment="1">
      <alignment horizontal="center" vertical="center" wrapText="1"/>
    </xf>
    <xf numFmtId="3" fontId="20" fillId="0" borderId="0" xfId="13" applyNumberFormat="1" applyFont="1" applyAlignment="1">
      <alignment horizontal="left"/>
    </xf>
    <xf numFmtId="0" fontId="16" fillId="0" borderId="0" xfId="2" applyFont="1" applyBorder="1" applyAlignment="1" applyProtection="1">
      <alignment wrapText="1"/>
      <protection locked="0"/>
    </xf>
    <xf numFmtId="0" fontId="15" fillId="0" borderId="39" xfId="2" applyFont="1" applyFill="1" applyBorder="1" applyAlignment="1">
      <alignment horizontal="left"/>
    </xf>
    <xf numFmtId="0" fontId="15" fillId="0" borderId="15" xfId="2" applyFont="1" applyBorder="1" applyAlignment="1">
      <alignment horizontal="right" wrapText="1"/>
    </xf>
    <xf numFmtId="0" fontId="16" fillId="0" borderId="0" xfId="2" applyFont="1" applyBorder="1" applyAlignment="1">
      <alignment horizontal="left" wrapText="1"/>
    </xf>
    <xf numFmtId="3" fontId="16" fillId="0" borderId="0" xfId="2" applyNumberFormat="1" applyFont="1" applyFill="1" applyBorder="1" applyAlignment="1" applyProtection="1">
      <alignment horizontal="left"/>
      <protection locked="0"/>
    </xf>
    <xf numFmtId="0" fontId="16" fillId="0" borderId="6" xfId="2" applyFont="1" applyBorder="1" applyAlignment="1">
      <alignment horizontal="left" vertical="center" wrapText="1"/>
    </xf>
    <xf numFmtId="0" fontId="16" fillId="0" borderId="6" xfId="2" applyFont="1" applyBorder="1" applyAlignment="1">
      <alignment vertical="center"/>
    </xf>
    <xf numFmtId="0" fontId="16" fillId="0" borderId="6" xfId="2" applyFont="1" applyBorder="1" applyAlignment="1">
      <alignment vertical="center" wrapText="1"/>
    </xf>
    <xf numFmtId="0" fontId="16" fillId="0" borderId="17" xfId="2" applyFont="1" applyBorder="1" applyAlignment="1">
      <alignment vertical="center"/>
    </xf>
    <xf numFmtId="0" fontId="16" fillId="0" borderId="36" xfId="2" applyFont="1" applyBorder="1" applyAlignment="1">
      <alignment vertical="center"/>
    </xf>
    <xf numFmtId="1" fontId="8" fillId="0" borderId="0" xfId="15" applyNumberFormat="1" applyFont="1" applyFill="1" applyAlignment="1">
      <alignment horizontal="center"/>
    </xf>
    <xf numFmtId="0" fontId="5" fillId="0" borderId="45" xfId="15" applyFont="1" applyFill="1" applyBorder="1" applyAlignment="1">
      <alignment horizontal="center" vertical="center" wrapText="1"/>
    </xf>
    <xf numFmtId="0" fontId="5" fillId="0" borderId="47" xfId="15" applyFont="1" applyFill="1" applyBorder="1" applyAlignment="1">
      <alignment horizontal="center" vertical="center" wrapText="1"/>
    </xf>
    <xf numFmtId="0" fontId="5" fillId="0" borderId="20" xfId="15" applyFont="1" applyFill="1" applyBorder="1" applyAlignment="1">
      <alignment horizontal="center" vertical="center" wrapText="1"/>
    </xf>
    <xf numFmtId="0" fontId="5" fillId="0" borderId="46" xfId="15" applyFont="1" applyFill="1" applyBorder="1" applyAlignment="1">
      <alignment horizontal="center" vertical="center"/>
    </xf>
    <xf numFmtId="0" fontId="5" fillId="0" borderId="36" xfId="15" applyFont="1" applyFill="1" applyBorder="1" applyAlignment="1">
      <alignment horizontal="center" vertical="center"/>
    </xf>
    <xf numFmtId="0" fontId="5" fillId="0" borderId="22" xfId="15" applyFont="1" applyFill="1" applyBorder="1" applyAlignment="1">
      <alignment horizontal="center" vertical="center"/>
    </xf>
    <xf numFmtId="0" fontId="12" fillId="0" borderId="46" xfId="15" applyFont="1" applyFill="1" applyBorder="1" applyAlignment="1">
      <alignment horizontal="center" vertical="center"/>
    </xf>
    <xf numFmtId="0" fontId="12" fillId="0" borderId="36" xfId="15" applyFont="1" applyFill="1" applyBorder="1" applyAlignment="1">
      <alignment horizontal="center" vertical="center"/>
    </xf>
    <xf numFmtId="0" fontId="12" fillId="0" borderId="22" xfId="15" applyFont="1" applyFill="1" applyBorder="1" applyAlignment="1">
      <alignment horizontal="center" vertical="center"/>
    </xf>
    <xf numFmtId="0" fontId="12" fillId="0" borderId="33" xfId="15" applyFont="1" applyFill="1" applyBorder="1" applyAlignment="1">
      <alignment horizontal="center" vertical="center" wrapText="1"/>
    </xf>
    <xf numFmtId="0" fontId="12" fillId="0" borderId="13" xfId="15" applyFont="1" applyFill="1" applyBorder="1" applyAlignment="1">
      <alignment horizontal="center" vertical="center" wrapText="1"/>
    </xf>
    <xf numFmtId="0" fontId="12" fillId="0" borderId="41" xfId="15" applyFont="1" applyFill="1" applyBorder="1" applyAlignment="1">
      <alignment horizontal="center" vertical="center"/>
    </xf>
    <xf numFmtId="0" fontId="12" fillId="0" borderId="42" xfId="15" applyFont="1" applyFill="1" applyBorder="1" applyAlignment="1">
      <alignment horizontal="center" vertical="center"/>
    </xf>
    <xf numFmtId="0" fontId="12" fillId="0" borderId="43" xfId="15" applyFont="1" applyFill="1" applyBorder="1" applyAlignment="1">
      <alignment horizontal="center" vertical="center"/>
    </xf>
    <xf numFmtId="0" fontId="60" fillId="0" borderId="0" xfId="2" applyFont="1" applyBorder="1" applyAlignment="1">
      <alignment horizontal="center" wrapText="1"/>
    </xf>
    <xf numFmtId="0" fontId="7" fillId="0" borderId="44" xfId="2" applyFont="1" applyFill="1" applyBorder="1" applyAlignment="1">
      <alignment horizontal="left" vertical="center"/>
    </xf>
    <xf numFmtId="0" fontId="7" fillId="0" borderId="44" xfId="2" applyFont="1" applyFill="1" applyBorder="1" applyAlignment="1">
      <alignment horizontal="left" vertical="center" wrapText="1"/>
    </xf>
    <xf numFmtId="0" fontId="5" fillId="0" borderId="31" xfId="15" applyFont="1" applyFill="1" applyBorder="1" applyAlignment="1">
      <alignment horizontal="center" vertical="center" wrapText="1"/>
    </xf>
    <xf numFmtId="0" fontId="5" fillId="0" borderId="33" xfId="15" applyFont="1" applyFill="1" applyBorder="1" applyAlignment="1">
      <alignment horizontal="center" vertical="center" wrapText="1"/>
    </xf>
    <xf numFmtId="0" fontId="5" fillId="0" borderId="48" xfId="15" applyFont="1" applyFill="1" applyBorder="1" applyAlignment="1">
      <alignment horizontal="center" vertical="center" wrapText="1"/>
    </xf>
    <xf numFmtId="0" fontId="5" fillId="0" borderId="49" xfId="15" applyFont="1" applyFill="1" applyBorder="1" applyAlignment="1">
      <alignment horizontal="center" vertical="center" wrapText="1"/>
    </xf>
    <xf numFmtId="0" fontId="32" fillId="0" borderId="5" xfId="15" applyFont="1" applyFill="1" applyBorder="1" applyAlignment="1">
      <alignment horizontal="center" vertical="center"/>
    </xf>
    <xf numFmtId="0" fontId="32" fillId="0" borderId="6" xfId="15" applyFont="1" applyFill="1" applyBorder="1" applyAlignment="1">
      <alignment horizontal="center" vertical="center"/>
    </xf>
    <xf numFmtId="0" fontId="32" fillId="0" borderId="14" xfId="15" applyFont="1" applyFill="1" applyBorder="1" applyAlignment="1">
      <alignment horizontal="center" vertical="center"/>
    </xf>
    <xf numFmtId="0" fontId="32" fillId="0" borderId="10" xfId="15" applyFont="1" applyFill="1" applyBorder="1" applyAlignment="1">
      <alignment horizontal="center" vertical="center"/>
    </xf>
    <xf numFmtId="0" fontId="32" fillId="0" borderId="7" xfId="15" applyFont="1" applyFill="1" applyBorder="1" applyAlignment="1">
      <alignment horizontal="center" vertical="center"/>
    </xf>
  </cellXfs>
  <cellStyles count="18">
    <cellStyle name="Comma 2" xfId="6"/>
    <cellStyle name="Hyperlink" xfId="8" builtinId="8"/>
    <cellStyle name="Normal" xfId="0" builtinId="0"/>
    <cellStyle name="Normal 11" xfId="5"/>
    <cellStyle name="Normal 2" xfId="2"/>
    <cellStyle name="Normal 2 2" xfId="14"/>
    <cellStyle name="Normal 2 3 2" xfId="11"/>
    <cellStyle name="Normal 2 3 2 2" xfId="3"/>
    <cellStyle name="Normal 3" xfId="4"/>
    <cellStyle name="Normal 3 2" xfId="10"/>
    <cellStyle name="Normal 3 2 2 2 2" xfId="1"/>
    <cellStyle name="Normal 4" xfId="9"/>
    <cellStyle name="Normal 5" xfId="15"/>
    <cellStyle name="Normal 6" xfId="12"/>
    <cellStyle name="Normal 7" xfId="16"/>
    <cellStyle name="Normal 8 2" xfId="17"/>
    <cellStyle name="Normal_budžeta nod.2" xfId="13"/>
    <cellStyle name="Обычный_33. OZOLNIEKU NOVADA DOME_OZO SKOLA_TELPU, GAITENU, KAPNU TELPU REMONTS_TAME_VADIMS_2011_02_25_melnraksts_09. ELITE BRAIN_ZIKI_KUTS BUVNIECIBA_TAME_2013_08_01+EL labot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10</xdr:col>
      <xdr:colOff>0</xdr:colOff>
      <xdr:row>59</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69</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793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69</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793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9525" cy="9525"/>
    <xdr:pic>
      <xdr:nvPicPr>
        <xdr:cNvPr id="15" name="Picture 1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9525" cy="9525"/>
    <xdr:pic>
      <xdr:nvPicPr>
        <xdr:cNvPr id="16" name="Picture 1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9525" cy="9525"/>
    <xdr:pic>
      <xdr:nvPicPr>
        <xdr:cNvPr id="17" name="Picture 1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167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69</xdr:row>
      <xdr:rowOff>0</xdr:rowOff>
    </xdr:from>
    <xdr:ext cx="9525" cy="9525"/>
    <xdr:pic>
      <xdr:nvPicPr>
        <xdr:cNvPr id="18" name="Picture 17"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793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69</xdr:row>
      <xdr:rowOff>0</xdr:rowOff>
    </xdr:from>
    <xdr:ext cx="9525" cy="9525"/>
    <xdr:pic>
      <xdr:nvPicPr>
        <xdr:cNvPr id="19" name="Picture 18"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2793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0" name="Picture 1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1"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2" name="Picture 2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3" name="Picture 2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4" name="Picture 2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5" name="Picture 2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6" name="Picture 2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133</xdr:row>
      <xdr:rowOff>0</xdr:rowOff>
    </xdr:from>
    <xdr:ext cx="9525" cy="9525"/>
    <xdr:pic>
      <xdr:nvPicPr>
        <xdr:cNvPr id="27" name="Picture 2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5287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17</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17</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973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122</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3190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122</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3190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122</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3190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131</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3466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131</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3466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414</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10350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61"/>
  <sheetViews>
    <sheetView view="pageLayout" topLeftCell="A3" zoomScaleNormal="100" zoomScaleSheetLayoutView="100" workbookViewId="0">
      <selection activeCell="S5" sqref="S5:S6"/>
    </sheetView>
  </sheetViews>
  <sheetFormatPr defaultColWidth="9.140625" defaultRowHeight="15.75" x14ac:dyDescent="0.25"/>
  <cols>
    <col min="1" max="1" width="3.7109375" style="1" customWidth="1"/>
    <col min="2" max="2" width="29.7109375" style="2" customWidth="1"/>
    <col min="3" max="3" width="8.5703125" style="2" customWidth="1"/>
    <col min="4" max="4" width="6.140625" style="2" bestFit="1" customWidth="1"/>
    <col min="5" max="5" width="6" style="3" customWidth="1"/>
    <col min="6" max="6" width="8.28515625" style="3" hidden="1" customWidth="1"/>
    <col min="7" max="7" width="9.7109375" style="4" hidden="1" customWidth="1"/>
    <col min="8" max="8" width="8.5703125" style="4" customWidth="1"/>
    <col min="9" max="9" width="8.28515625" style="4" hidden="1" customWidth="1"/>
    <col min="10" max="10" width="8.140625" style="4" hidden="1" customWidth="1"/>
    <col min="11" max="11" width="10" style="4" customWidth="1"/>
    <col min="12" max="12" width="8.140625" style="4" hidden="1" customWidth="1"/>
    <col min="13" max="13" width="8" style="4" hidden="1" customWidth="1"/>
    <col min="14" max="14" width="10.42578125" style="7" customWidth="1"/>
    <col min="15" max="15" width="7.5703125" style="2" customWidth="1"/>
    <col min="16" max="16" width="8.5703125" style="2" customWidth="1"/>
    <col min="17" max="17" width="7.140625" style="2" customWidth="1"/>
    <col min="18" max="18" width="8.42578125" style="2" customWidth="1"/>
    <col min="19" max="19" width="18.85546875" style="2" customWidth="1"/>
    <col min="20" max="20" width="0" style="2" hidden="1" customWidth="1"/>
    <col min="21" max="27" width="9.140625" style="2" hidden="1" customWidth="1"/>
    <col min="28" max="28" width="0" style="2" hidden="1" customWidth="1"/>
    <col min="29" max="16384" width="9.140625" style="2"/>
  </cols>
  <sheetData>
    <row r="1" spans="1:29" hidden="1" x14ac:dyDescent="0.25">
      <c r="J1" s="5" t="s">
        <v>0</v>
      </c>
      <c r="K1" s="6">
        <f>1547148+64932+209383+21379</f>
        <v>1842842</v>
      </c>
      <c r="S1" s="8" t="s">
        <v>1</v>
      </c>
    </row>
    <row r="2" spans="1:29" ht="13.5" hidden="1" customHeight="1" x14ac:dyDescent="0.25">
      <c r="A2" s="9"/>
      <c r="B2" s="10"/>
      <c r="C2" s="10"/>
      <c r="D2" s="10"/>
      <c r="E2" s="10"/>
      <c r="F2" s="10"/>
      <c r="G2" s="11"/>
      <c r="H2" s="11"/>
      <c r="I2" s="11"/>
      <c r="J2" s="11"/>
      <c r="K2" s="12">
        <f>K1-K7</f>
        <v>0</v>
      </c>
      <c r="L2" s="11"/>
      <c r="M2" s="11"/>
      <c r="N2" s="11"/>
      <c r="O2" s="10"/>
      <c r="P2" s="1622"/>
      <c r="Q2" s="1622"/>
      <c r="R2" s="10"/>
      <c r="S2" s="10"/>
    </row>
    <row r="3" spans="1:29" s="7" customFormat="1" ht="15.75" customHeight="1" x14ac:dyDescent="0.3">
      <c r="A3" s="13"/>
      <c r="B3" s="14"/>
      <c r="C3" s="1623" t="s">
        <v>2</v>
      </c>
      <c r="D3" s="1623"/>
      <c r="E3" s="1623"/>
      <c r="F3" s="1623"/>
      <c r="G3" s="1623"/>
      <c r="H3" s="1623"/>
      <c r="I3" s="1623"/>
      <c r="J3" s="1623"/>
      <c r="K3" s="1623"/>
      <c r="L3" s="1623"/>
      <c r="M3" s="1623"/>
      <c r="N3" s="1623"/>
      <c r="O3" s="1623"/>
      <c r="P3" s="1623"/>
      <c r="Q3" s="1623"/>
      <c r="U3" s="15" t="s">
        <v>3</v>
      </c>
      <c r="V3" s="15"/>
      <c r="W3" s="15"/>
      <c r="X3" s="15"/>
      <c r="Y3" s="15"/>
      <c r="Z3" s="15"/>
    </row>
    <row r="4" spans="1:29" s="7" customFormat="1" ht="14.25" customHeight="1" x14ac:dyDescent="0.25">
      <c r="A4" s="16"/>
      <c r="B4" s="17"/>
      <c r="C4" s="18"/>
      <c r="D4" s="18"/>
      <c r="E4" s="19"/>
      <c r="F4" s="19"/>
      <c r="G4" s="19"/>
      <c r="H4" s="19"/>
      <c r="I4" s="19"/>
      <c r="J4" s="19"/>
      <c r="K4" s="20"/>
      <c r="L4" s="21"/>
      <c r="M4" s="21"/>
      <c r="N4" s="17"/>
      <c r="O4" s="22"/>
      <c r="P4" s="22"/>
      <c r="Q4" s="22"/>
      <c r="S4" s="23"/>
    </row>
    <row r="5" spans="1:29" s="24" customFormat="1" ht="48" customHeight="1" x14ac:dyDescent="0.2">
      <c r="A5" s="1624" t="s">
        <v>4</v>
      </c>
      <c r="B5" s="1626" t="s">
        <v>5</v>
      </c>
      <c r="C5" s="1628" t="s">
        <v>6</v>
      </c>
      <c r="D5" s="1630" t="s">
        <v>7</v>
      </c>
      <c r="E5" s="1632" t="s">
        <v>8</v>
      </c>
      <c r="F5" s="1634" t="s">
        <v>9</v>
      </c>
      <c r="G5" s="1630"/>
      <c r="H5" s="1632"/>
      <c r="I5" s="1635" t="s">
        <v>10</v>
      </c>
      <c r="J5" s="1636"/>
      <c r="K5" s="1637"/>
      <c r="L5" s="1634" t="s">
        <v>11</v>
      </c>
      <c r="M5" s="1630"/>
      <c r="N5" s="1632"/>
      <c r="O5" s="1638" t="s">
        <v>12</v>
      </c>
      <c r="P5" s="1639"/>
      <c r="Q5" s="1638" t="s">
        <v>13</v>
      </c>
      <c r="R5" s="1639"/>
      <c r="S5" s="1608" t="s">
        <v>14</v>
      </c>
    </row>
    <row r="6" spans="1:29" s="24" customFormat="1" ht="40.5" customHeight="1" x14ac:dyDescent="0.2">
      <c r="A6" s="1625"/>
      <c r="B6" s="1627"/>
      <c r="C6" s="1629"/>
      <c r="D6" s="1631"/>
      <c r="E6" s="1633"/>
      <c r="F6" s="25" t="s">
        <v>15</v>
      </c>
      <c r="G6" s="26" t="s">
        <v>16</v>
      </c>
      <c r="H6" s="27" t="s">
        <v>3464</v>
      </c>
      <c r="I6" s="25" t="s">
        <v>17</v>
      </c>
      <c r="J6" s="26" t="s">
        <v>15</v>
      </c>
      <c r="K6" s="27" t="s">
        <v>3464</v>
      </c>
      <c r="L6" s="25" t="s">
        <v>17</v>
      </c>
      <c r="M6" s="26" t="s">
        <v>15</v>
      </c>
      <c r="N6" s="27" t="s">
        <v>3464</v>
      </c>
      <c r="O6" s="25" t="s">
        <v>6</v>
      </c>
      <c r="P6" s="27" t="s">
        <v>18</v>
      </c>
      <c r="Q6" s="25" t="s">
        <v>6</v>
      </c>
      <c r="R6" s="27" t="s">
        <v>19</v>
      </c>
      <c r="S6" s="1609"/>
    </row>
    <row r="7" spans="1:29" s="24" customFormat="1" ht="15" customHeight="1" x14ac:dyDescent="0.2">
      <c r="A7" s="28"/>
      <c r="B7" s="29"/>
      <c r="C7" s="1610" t="s">
        <v>20</v>
      </c>
      <c r="D7" s="1610"/>
      <c r="E7" s="1611"/>
      <c r="F7" s="30">
        <f t="shared" ref="F7:M7" si="0">SUM(F9,F45,F49)</f>
        <v>5586231</v>
      </c>
      <c r="G7" s="31">
        <f t="shared" si="0"/>
        <v>10619410</v>
      </c>
      <c r="H7" s="32">
        <f>SUM(H9,H45,H49)</f>
        <v>10579752</v>
      </c>
      <c r="I7" s="30">
        <f t="shared" si="0"/>
        <v>1721195</v>
      </c>
      <c r="J7" s="31">
        <f t="shared" si="0"/>
        <v>1298831</v>
      </c>
      <c r="K7" s="32">
        <f>SUM(K9,K45,K49)</f>
        <v>1842842</v>
      </c>
      <c r="L7" s="30">
        <f t="shared" si="0"/>
        <v>4480174</v>
      </c>
      <c r="M7" s="31">
        <f t="shared" si="0"/>
        <v>4287400</v>
      </c>
      <c r="N7" s="32">
        <f>SUM(N9,N45,N49)</f>
        <v>8736910</v>
      </c>
      <c r="O7" s="30"/>
      <c r="P7" s="33">
        <f>SUM(P9,P45,P49)</f>
        <v>11379937</v>
      </c>
      <c r="Q7" s="30"/>
      <c r="R7" s="33">
        <f>SUM(R9,R45,R49)</f>
        <v>10522263</v>
      </c>
      <c r="S7" s="34"/>
      <c r="Y7" s="35">
        <f>SUM(Y11:Y43)</f>
        <v>4924140</v>
      </c>
      <c r="Z7" s="35">
        <f t="shared" ref="Z7:AA7" si="1">SUM(Z11:Z43)</f>
        <v>1903305</v>
      </c>
      <c r="AA7" s="35">
        <f t="shared" si="1"/>
        <v>90694</v>
      </c>
      <c r="AC7" s="36"/>
    </row>
    <row r="8" spans="1:29" s="24" customFormat="1" ht="34.5" customHeight="1" x14ac:dyDescent="0.2">
      <c r="A8" s="1612" t="s">
        <v>21</v>
      </c>
      <c r="B8" s="1613"/>
      <c r="C8" s="37"/>
      <c r="D8" s="37"/>
      <c r="E8" s="38"/>
      <c r="F8" s="39"/>
      <c r="G8" s="40"/>
      <c r="H8" s="41"/>
      <c r="I8" s="39"/>
      <c r="J8" s="40"/>
      <c r="K8" s="41"/>
      <c r="L8" s="39"/>
      <c r="M8" s="40"/>
      <c r="N8" s="41"/>
      <c r="O8" s="39"/>
      <c r="P8" s="42"/>
      <c r="Q8" s="39"/>
      <c r="R8" s="43"/>
      <c r="S8" s="44"/>
      <c r="Y8" s="45" t="s">
        <v>22</v>
      </c>
      <c r="Z8" s="45" t="s">
        <v>23</v>
      </c>
      <c r="AA8" s="46" t="s">
        <v>24</v>
      </c>
    </row>
    <row r="9" spans="1:29" s="24" customFormat="1" ht="12" x14ac:dyDescent="0.2">
      <c r="A9" s="1620"/>
      <c r="B9" s="1621"/>
      <c r="C9" s="47"/>
      <c r="D9" s="47"/>
      <c r="E9" s="48" t="s">
        <v>25</v>
      </c>
      <c r="F9" s="49">
        <f>SUM(F10,F23,F28,F36,F42)</f>
        <v>3753357</v>
      </c>
      <c r="G9" s="50">
        <f t="shared" ref="G9:J9" si="2">SUM(G10,G23,G28,G36,G42)</f>
        <v>8389964</v>
      </c>
      <c r="H9" s="51">
        <f>SUM(H10,H23,H28,H36,H42)</f>
        <v>8350306</v>
      </c>
      <c r="I9" s="52">
        <f t="shared" si="2"/>
        <v>874123</v>
      </c>
      <c r="J9" s="50">
        <f t="shared" si="2"/>
        <v>606214</v>
      </c>
      <c r="K9" s="51">
        <f>SUM(K10,K23,K28,K36,K42)</f>
        <v>982460</v>
      </c>
      <c r="L9" s="53">
        <f>SUM(L10,L23,L28,L36,L42)</f>
        <v>3254138</v>
      </c>
      <c r="M9" s="50">
        <f t="shared" ref="M9:P9" si="3">SUM(M10,M23,M28,M36,M42)</f>
        <v>3147143</v>
      </c>
      <c r="N9" s="54">
        <f>SUM(N10,N23,N28,N36,N42)</f>
        <v>7367846</v>
      </c>
      <c r="O9" s="30"/>
      <c r="P9" s="33">
        <f t="shared" si="3"/>
        <v>9874443</v>
      </c>
      <c r="Q9" s="30"/>
      <c r="R9" s="33">
        <f>SUM(R10,R23,R28,R36,R42)</f>
        <v>9017069</v>
      </c>
      <c r="S9" s="55"/>
    </row>
    <row r="10" spans="1:29" s="24" customFormat="1" ht="12" x14ac:dyDescent="0.2">
      <c r="A10" s="56">
        <v>1</v>
      </c>
      <c r="B10" s="57" t="s">
        <v>26</v>
      </c>
      <c r="C10" s="58"/>
      <c r="D10" s="58"/>
      <c r="E10" s="59"/>
      <c r="F10" s="60">
        <f t="shared" ref="F10:R10" si="4">SUM(F11:F22)</f>
        <v>3159798</v>
      </c>
      <c r="G10" s="61">
        <f t="shared" si="4"/>
        <v>7384624</v>
      </c>
      <c r="H10" s="62">
        <f t="shared" si="4"/>
        <v>7384624</v>
      </c>
      <c r="I10" s="60">
        <f t="shared" si="4"/>
        <v>218811</v>
      </c>
      <c r="J10" s="61">
        <f t="shared" si="4"/>
        <v>36881</v>
      </c>
      <c r="K10" s="62">
        <f>SUM(K11:K22)</f>
        <v>176479</v>
      </c>
      <c r="L10" s="60">
        <f t="shared" si="4"/>
        <v>3203584</v>
      </c>
      <c r="M10" s="61">
        <f t="shared" si="4"/>
        <v>3122917</v>
      </c>
      <c r="N10" s="62">
        <f t="shared" si="4"/>
        <v>7208145</v>
      </c>
      <c r="O10" s="60"/>
      <c r="P10" s="62">
        <f t="shared" si="4"/>
        <v>9278968</v>
      </c>
      <c r="Q10" s="60"/>
      <c r="R10" s="62">
        <f t="shared" si="4"/>
        <v>8415100</v>
      </c>
      <c r="S10" s="44"/>
    </row>
    <row r="11" spans="1:29" s="24" customFormat="1" ht="12" x14ac:dyDescent="0.2">
      <c r="A11" s="63">
        <v>1.1000000000000001</v>
      </c>
      <c r="B11" s="64" t="s">
        <v>27</v>
      </c>
      <c r="C11" s="65" t="s">
        <v>28</v>
      </c>
      <c r="D11" s="66" t="s">
        <v>29</v>
      </c>
      <c r="E11" s="59" t="s">
        <v>30</v>
      </c>
      <c r="F11" s="67">
        <f t="shared" ref="F11:F22" si="5">SUM(J11+M11)</f>
        <v>1367682</v>
      </c>
      <c r="G11" s="68">
        <v>2374955</v>
      </c>
      <c r="H11" s="69">
        <f>SUM(K11+N11)</f>
        <v>2374955</v>
      </c>
      <c r="I11" s="67"/>
      <c r="J11" s="68"/>
      <c r="K11" s="69">
        <f>33404</f>
        <v>33404</v>
      </c>
      <c r="L11" s="67">
        <v>1411512</v>
      </c>
      <c r="M11" s="68">
        <v>1367682</v>
      </c>
      <c r="N11" s="69">
        <f>1677115+664436</f>
        <v>2341551</v>
      </c>
      <c r="O11" s="70" t="s">
        <v>31</v>
      </c>
      <c r="P11" s="71">
        <v>2861000</v>
      </c>
      <c r="Q11" s="70" t="s">
        <v>32</v>
      </c>
      <c r="R11" s="71">
        <v>1636000</v>
      </c>
      <c r="S11" s="44" t="s">
        <v>37</v>
      </c>
      <c r="Y11" s="36">
        <v>1677115</v>
      </c>
      <c r="Z11" s="36">
        <v>664436</v>
      </c>
      <c r="AA11" s="36">
        <v>33404</v>
      </c>
    </row>
    <row r="12" spans="1:29" s="24" customFormat="1" ht="24" x14ac:dyDescent="0.2">
      <c r="A12" s="72">
        <v>1.2</v>
      </c>
      <c r="B12" s="73" t="s">
        <v>33</v>
      </c>
      <c r="C12" s="74" t="s">
        <v>34</v>
      </c>
      <c r="D12" s="75" t="s">
        <v>29</v>
      </c>
      <c r="E12" s="76" t="s">
        <v>30</v>
      </c>
      <c r="F12" s="77">
        <f t="shared" si="5"/>
        <v>569730</v>
      </c>
      <c r="G12" s="78">
        <v>1555700</v>
      </c>
      <c r="H12" s="79">
        <f t="shared" ref="H12:H22" si="6">SUM(K12+N12)</f>
        <v>1555700</v>
      </c>
      <c r="I12" s="77"/>
      <c r="J12" s="78"/>
      <c r="K12" s="79">
        <f>6875</f>
        <v>6875</v>
      </c>
      <c r="L12" s="77">
        <v>576771</v>
      </c>
      <c r="M12" s="78">
        <v>569730</v>
      </c>
      <c r="N12" s="79">
        <f>1267500+281325</f>
        <v>1548825</v>
      </c>
      <c r="O12" s="80" t="s">
        <v>35</v>
      </c>
      <c r="P12" s="81">
        <v>1690968</v>
      </c>
      <c r="Q12" s="80" t="s">
        <v>36</v>
      </c>
      <c r="R12" s="81">
        <v>896000</v>
      </c>
      <c r="S12" s="82" t="s">
        <v>37</v>
      </c>
      <c r="Y12" s="36">
        <v>1267500</v>
      </c>
      <c r="Z12" s="36">
        <v>281325</v>
      </c>
      <c r="AA12" s="36">
        <v>6875</v>
      </c>
    </row>
    <row r="13" spans="1:29" s="24" customFormat="1" ht="24" x14ac:dyDescent="0.2">
      <c r="A13" s="72">
        <v>1.3</v>
      </c>
      <c r="B13" s="83" t="s">
        <v>38</v>
      </c>
      <c r="C13" s="75" t="s">
        <v>39</v>
      </c>
      <c r="D13" s="75" t="s">
        <v>29</v>
      </c>
      <c r="E13" s="76" t="s">
        <v>30</v>
      </c>
      <c r="F13" s="77">
        <f>SUM(J13+M13)</f>
        <v>115915</v>
      </c>
      <c r="G13" s="78">
        <v>350700</v>
      </c>
      <c r="H13" s="79">
        <f t="shared" si="6"/>
        <v>350700</v>
      </c>
      <c r="I13" s="77"/>
      <c r="J13" s="78"/>
      <c r="K13" s="79"/>
      <c r="L13" s="77">
        <v>115918</v>
      </c>
      <c r="M13" s="78">
        <v>115915</v>
      </c>
      <c r="N13" s="79">
        <v>350700</v>
      </c>
      <c r="O13" s="80" t="s">
        <v>40</v>
      </c>
      <c r="P13" s="81">
        <v>333000</v>
      </c>
      <c r="Q13" s="80"/>
      <c r="R13" s="81">
        <v>0</v>
      </c>
      <c r="S13" s="82" t="s">
        <v>37</v>
      </c>
      <c r="Y13" s="36"/>
      <c r="Z13" s="36"/>
      <c r="AA13" s="36"/>
    </row>
    <row r="14" spans="1:29" s="24" customFormat="1" ht="24" x14ac:dyDescent="0.2">
      <c r="A14" s="72">
        <v>1.4</v>
      </c>
      <c r="B14" s="83" t="s">
        <v>41</v>
      </c>
      <c r="C14" s="75" t="s">
        <v>39</v>
      </c>
      <c r="D14" s="75" t="s">
        <v>29</v>
      </c>
      <c r="E14" s="76" t="s">
        <v>30</v>
      </c>
      <c r="F14" s="77">
        <f t="shared" si="5"/>
        <v>145359</v>
      </c>
      <c r="G14" s="78">
        <v>589500</v>
      </c>
      <c r="H14" s="79">
        <f t="shared" si="6"/>
        <v>589500</v>
      </c>
      <c r="I14" s="77"/>
      <c r="J14" s="78"/>
      <c r="K14" s="79"/>
      <c r="L14" s="77">
        <v>145359</v>
      </c>
      <c r="M14" s="78">
        <v>145359</v>
      </c>
      <c r="N14" s="79">
        <f>62000+527500</f>
        <v>589500</v>
      </c>
      <c r="O14" s="80" t="s">
        <v>42</v>
      </c>
      <c r="P14" s="81">
        <v>125000</v>
      </c>
      <c r="Q14" s="80" t="s">
        <v>43</v>
      </c>
      <c r="R14" s="81">
        <v>160000</v>
      </c>
      <c r="S14" s="44" t="s">
        <v>44</v>
      </c>
      <c r="Y14" s="36">
        <v>62000</v>
      </c>
      <c r="Z14" s="36">
        <v>527500</v>
      </c>
      <c r="AA14" s="36"/>
    </row>
    <row r="15" spans="1:29" s="24" customFormat="1" ht="12" x14ac:dyDescent="0.2">
      <c r="A15" s="72">
        <v>1.5</v>
      </c>
      <c r="B15" s="83" t="s">
        <v>45</v>
      </c>
      <c r="C15" s="75" t="s">
        <v>46</v>
      </c>
      <c r="D15" s="75" t="s">
        <v>29</v>
      </c>
      <c r="E15" s="76" t="s">
        <v>47</v>
      </c>
      <c r="F15" s="77">
        <f t="shared" si="5"/>
        <v>30468</v>
      </c>
      <c r="G15" s="78">
        <v>227881</v>
      </c>
      <c r="H15" s="79">
        <f t="shared" si="6"/>
        <v>227881</v>
      </c>
      <c r="I15" s="77">
        <v>160600</v>
      </c>
      <c r="J15" s="78">
        <v>30468</v>
      </c>
      <c r="K15" s="79"/>
      <c r="L15" s="77"/>
      <c r="M15" s="78"/>
      <c r="N15" s="79">
        <f>114726+113155</f>
        <v>227881</v>
      </c>
      <c r="O15" s="80" t="s">
        <v>48</v>
      </c>
      <c r="P15" s="81">
        <v>92000</v>
      </c>
      <c r="Q15" s="80" t="s">
        <v>49</v>
      </c>
      <c r="R15" s="81">
        <v>250000</v>
      </c>
      <c r="S15" s="1605" t="s">
        <v>37</v>
      </c>
      <c r="Y15" s="36">
        <v>114726</v>
      </c>
      <c r="Z15" s="36">
        <v>113155</v>
      </c>
      <c r="AA15" s="36"/>
    </row>
    <row r="16" spans="1:29" s="24" customFormat="1" ht="12" x14ac:dyDescent="0.2">
      <c r="A16" s="84">
        <v>1.6</v>
      </c>
      <c r="B16" s="83" t="s">
        <v>50</v>
      </c>
      <c r="C16" s="75" t="s">
        <v>51</v>
      </c>
      <c r="D16" s="75" t="s">
        <v>29</v>
      </c>
      <c r="E16" s="76" t="s">
        <v>30</v>
      </c>
      <c r="F16" s="77">
        <f t="shared" si="5"/>
        <v>720524</v>
      </c>
      <c r="G16" s="78">
        <v>1673848</v>
      </c>
      <c r="H16" s="79">
        <f t="shared" si="6"/>
        <v>1673848</v>
      </c>
      <c r="I16" s="77">
        <v>6292</v>
      </c>
      <c r="J16" s="78">
        <v>6292</v>
      </c>
      <c r="K16" s="79">
        <f>31200</f>
        <v>31200</v>
      </c>
      <c r="L16" s="77">
        <v>731984</v>
      </c>
      <c r="M16" s="78">
        <v>714232</v>
      </c>
      <c r="N16" s="79">
        <f>1349105+293543</f>
        <v>1642648</v>
      </c>
      <c r="O16" s="80" t="s">
        <v>52</v>
      </c>
      <c r="P16" s="81">
        <v>1786500</v>
      </c>
      <c r="Q16" s="80" t="s">
        <v>53</v>
      </c>
      <c r="R16" s="81">
        <v>1318600</v>
      </c>
      <c r="S16" s="1605" t="s">
        <v>37</v>
      </c>
      <c r="Y16" s="36">
        <v>1349105</v>
      </c>
      <c r="Z16" s="36">
        <v>293543</v>
      </c>
      <c r="AA16" s="36">
        <v>31200</v>
      </c>
    </row>
    <row r="17" spans="1:27" s="24" customFormat="1" ht="12" x14ac:dyDescent="0.2">
      <c r="A17" s="84">
        <v>1.7</v>
      </c>
      <c r="B17" s="83" t="s">
        <v>54</v>
      </c>
      <c r="C17" s="75" t="s">
        <v>55</v>
      </c>
      <c r="D17" s="75" t="s">
        <v>29</v>
      </c>
      <c r="E17" s="76" t="s">
        <v>30</v>
      </c>
      <c r="F17" s="77">
        <f>SUM(J17+M17)</f>
        <v>121</v>
      </c>
      <c r="G17" s="78">
        <v>125000</v>
      </c>
      <c r="H17" s="79">
        <f t="shared" si="6"/>
        <v>125000</v>
      </c>
      <c r="I17" s="77">
        <v>40000</v>
      </c>
      <c r="J17" s="78">
        <v>121</v>
      </c>
      <c r="K17" s="79">
        <v>95000</v>
      </c>
      <c r="L17" s="77"/>
      <c r="M17" s="78"/>
      <c r="N17" s="79">
        <v>30000</v>
      </c>
      <c r="O17" s="80" t="s">
        <v>56</v>
      </c>
      <c r="P17" s="81">
        <v>2052000</v>
      </c>
      <c r="Q17" s="80" t="s">
        <v>57</v>
      </c>
      <c r="R17" s="81">
        <v>2512000</v>
      </c>
      <c r="S17" s="1605" t="s">
        <v>37</v>
      </c>
      <c r="Y17" s="36"/>
      <c r="Z17" s="36"/>
      <c r="AA17" s="36"/>
    </row>
    <row r="18" spans="1:27" s="24" customFormat="1" ht="12" x14ac:dyDescent="0.2">
      <c r="A18" s="84">
        <v>1.8</v>
      </c>
      <c r="B18" s="83" t="s">
        <v>58</v>
      </c>
      <c r="C18" s="75" t="s">
        <v>59</v>
      </c>
      <c r="D18" s="75"/>
      <c r="E18" s="76" t="s">
        <v>47</v>
      </c>
      <c r="F18" s="77"/>
      <c r="G18" s="78">
        <v>10000</v>
      </c>
      <c r="H18" s="79">
        <f t="shared" si="6"/>
        <v>10000</v>
      </c>
      <c r="I18" s="77"/>
      <c r="J18" s="78"/>
      <c r="K18" s="79">
        <v>10000</v>
      </c>
      <c r="L18" s="77"/>
      <c r="M18" s="78"/>
      <c r="N18" s="79"/>
      <c r="O18" s="80" t="s">
        <v>60</v>
      </c>
      <c r="P18" s="81">
        <v>182500</v>
      </c>
      <c r="Q18" s="80" t="s">
        <v>60</v>
      </c>
      <c r="R18" s="81">
        <v>827500</v>
      </c>
      <c r="S18" s="1605" t="s">
        <v>37</v>
      </c>
      <c r="Y18" s="36"/>
      <c r="Z18" s="36"/>
      <c r="AA18" s="36"/>
    </row>
    <row r="19" spans="1:27" s="24" customFormat="1" ht="36" hidden="1" x14ac:dyDescent="0.2">
      <c r="A19" s="84">
        <v>1.9</v>
      </c>
      <c r="B19" s="83" t="s">
        <v>61</v>
      </c>
      <c r="C19" s="75"/>
      <c r="D19" s="75" t="s">
        <v>29</v>
      </c>
      <c r="E19" s="76" t="s">
        <v>30</v>
      </c>
      <c r="F19" s="77">
        <f t="shared" si="5"/>
        <v>0</v>
      </c>
      <c r="G19" s="78"/>
      <c r="H19" s="79">
        <f t="shared" si="6"/>
        <v>0</v>
      </c>
      <c r="I19" s="77"/>
      <c r="J19" s="78"/>
      <c r="K19" s="79"/>
      <c r="L19" s="77"/>
      <c r="M19" s="78"/>
      <c r="N19" s="79"/>
      <c r="O19" s="80"/>
      <c r="P19" s="81"/>
      <c r="Q19" s="80"/>
      <c r="R19" s="81"/>
      <c r="S19" s="1605" t="s">
        <v>37</v>
      </c>
      <c r="Y19" s="36"/>
      <c r="Z19" s="36"/>
      <c r="AA19" s="36"/>
    </row>
    <row r="20" spans="1:27" s="24" customFormat="1" ht="24" hidden="1" x14ac:dyDescent="0.2">
      <c r="A20" s="84" t="s">
        <v>62</v>
      </c>
      <c r="B20" s="83" t="s">
        <v>63</v>
      </c>
      <c r="C20" s="75"/>
      <c r="D20" s="75" t="s">
        <v>29</v>
      </c>
      <c r="E20" s="76" t="s">
        <v>30</v>
      </c>
      <c r="F20" s="77">
        <f t="shared" si="5"/>
        <v>0</v>
      </c>
      <c r="G20" s="78">
        <v>0</v>
      </c>
      <c r="H20" s="79">
        <f t="shared" si="6"/>
        <v>0</v>
      </c>
      <c r="I20" s="77">
        <v>11919</v>
      </c>
      <c r="J20" s="78">
        <v>0</v>
      </c>
      <c r="K20" s="79"/>
      <c r="L20" s="77"/>
      <c r="M20" s="78"/>
      <c r="N20" s="79"/>
      <c r="O20" s="80"/>
      <c r="P20" s="81"/>
      <c r="Q20" s="80"/>
      <c r="R20" s="81"/>
      <c r="S20" s="1605" t="s">
        <v>37</v>
      </c>
      <c r="X20" s="36"/>
      <c r="Y20" s="36"/>
      <c r="Z20" s="36"/>
      <c r="AA20" s="36"/>
    </row>
    <row r="21" spans="1:27" s="24" customFormat="1" ht="12" hidden="1" x14ac:dyDescent="0.2">
      <c r="A21" s="1421"/>
      <c r="B21" s="1422"/>
      <c r="C21" s="66"/>
      <c r="D21" s="66"/>
      <c r="E21" s="76" t="s">
        <v>30</v>
      </c>
      <c r="F21" s="77">
        <f t="shared" si="5"/>
        <v>209999</v>
      </c>
      <c r="G21" s="78"/>
      <c r="H21" s="79">
        <f t="shared" si="6"/>
        <v>0</v>
      </c>
      <c r="I21" s="77"/>
      <c r="J21" s="78"/>
      <c r="K21" s="79"/>
      <c r="L21" s="77">
        <v>210000</v>
      </c>
      <c r="M21" s="78">
        <v>209999</v>
      </c>
      <c r="N21" s="79"/>
      <c r="O21" s="1385"/>
      <c r="P21" s="1386"/>
      <c r="Q21" s="1385"/>
      <c r="R21" s="1386"/>
      <c r="S21" s="1605"/>
      <c r="X21" s="36"/>
      <c r="Y21" s="36"/>
      <c r="Z21" s="36"/>
      <c r="AA21" s="36"/>
    </row>
    <row r="22" spans="1:27" s="24" customFormat="1" ht="15" customHeight="1" x14ac:dyDescent="0.2">
      <c r="A22" s="1387">
        <v>1.9</v>
      </c>
      <c r="B22" s="1422" t="s">
        <v>64</v>
      </c>
      <c r="C22" s="66" t="s">
        <v>65</v>
      </c>
      <c r="D22" s="66" t="s">
        <v>29</v>
      </c>
      <c r="E22" s="59" t="s">
        <v>47</v>
      </c>
      <c r="F22" s="77">
        <f t="shared" si="5"/>
        <v>0</v>
      </c>
      <c r="G22" s="68">
        <v>477040</v>
      </c>
      <c r="H22" s="79">
        <f t="shared" si="6"/>
        <v>477040</v>
      </c>
      <c r="I22" s="67"/>
      <c r="J22" s="68"/>
      <c r="K22" s="69"/>
      <c r="L22" s="67">
        <v>12040</v>
      </c>
      <c r="M22" s="68">
        <v>0</v>
      </c>
      <c r="N22" s="69">
        <f>453694+23346</f>
        <v>477040</v>
      </c>
      <c r="O22" s="1419" t="s">
        <v>46</v>
      </c>
      <c r="P22" s="1420">
        <v>156000</v>
      </c>
      <c r="Q22" s="1419" t="s">
        <v>66</v>
      </c>
      <c r="R22" s="1420">
        <v>815000</v>
      </c>
      <c r="S22" s="1605" t="s">
        <v>67</v>
      </c>
      <c r="Y22" s="36">
        <v>453694</v>
      </c>
      <c r="Z22" s="36">
        <v>23346</v>
      </c>
      <c r="AA22" s="36"/>
    </row>
    <row r="23" spans="1:27" s="24" customFormat="1" ht="12" x14ac:dyDescent="0.2">
      <c r="A23" s="56">
        <v>2</v>
      </c>
      <c r="B23" s="57" t="s">
        <v>68</v>
      </c>
      <c r="C23" s="58"/>
      <c r="D23" s="58"/>
      <c r="E23" s="59"/>
      <c r="F23" s="60">
        <f t="shared" ref="F23:M23" si="7">SUM(F24:F27)</f>
        <v>318105</v>
      </c>
      <c r="G23" s="61">
        <f t="shared" si="7"/>
        <v>388000</v>
      </c>
      <c r="H23" s="62">
        <f t="shared" si="7"/>
        <v>354642</v>
      </c>
      <c r="I23" s="60">
        <f t="shared" si="7"/>
        <v>294952</v>
      </c>
      <c r="J23" s="61">
        <f t="shared" si="7"/>
        <v>293879</v>
      </c>
      <c r="K23" s="62">
        <f>SUM(K24:K27)</f>
        <v>244941</v>
      </c>
      <c r="L23" s="60">
        <f t="shared" si="7"/>
        <v>24585</v>
      </c>
      <c r="M23" s="61">
        <f t="shared" si="7"/>
        <v>24226</v>
      </c>
      <c r="N23" s="62">
        <f>SUM(N24:N27)</f>
        <v>109701</v>
      </c>
      <c r="O23" s="85"/>
      <c r="P23" s="86">
        <f>SUM(P24:P27)</f>
        <v>407400</v>
      </c>
      <c r="Q23" s="85"/>
      <c r="R23" s="86">
        <f>SUM(R24:R27)</f>
        <v>407400</v>
      </c>
      <c r="S23" s="1605"/>
      <c r="Y23" s="36"/>
      <c r="Z23" s="36"/>
      <c r="AA23" s="36"/>
    </row>
    <row r="24" spans="1:27" s="24" customFormat="1" ht="12" x14ac:dyDescent="0.2">
      <c r="A24" s="72">
        <v>2.1</v>
      </c>
      <c r="B24" s="87" t="s">
        <v>69</v>
      </c>
      <c r="C24" s="74" t="s">
        <v>70</v>
      </c>
      <c r="D24" s="75" t="s">
        <v>29</v>
      </c>
      <c r="E24" s="59" t="s">
        <v>71</v>
      </c>
      <c r="F24" s="67">
        <f>SUM(J24+M24)</f>
        <v>141927</v>
      </c>
      <c r="G24" s="68">
        <v>208000</v>
      </c>
      <c r="H24" s="69">
        <f t="shared" ref="H24:H26" si="8">SUM(K24+N24)</f>
        <v>208000</v>
      </c>
      <c r="I24" s="67">
        <v>143000</v>
      </c>
      <c r="J24" s="68">
        <v>141927</v>
      </c>
      <c r="K24" s="69">
        <v>143000</v>
      </c>
      <c r="L24" s="67"/>
      <c r="M24" s="68"/>
      <c r="N24" s="69">
        <v>65000</v>
      </c>
      <c r="O24" s="70" t="s">
        <v>72</v>
      </c>
      <c r="P24" s="71">
        <v>218400</v>
      </c>
      <c r="Q24" s="70" t="s">
        <v>73</v>
      </c>
      <c r="R24" s="71">
        <v>218400</v>
      </c>
      <c r="S24" s="1605" t="s">
        <v>37</v>
      </c>
      <c r="Y24" s="36"/>
      <c r="Z24" s="36"/>
      <c r="AA24" s="36"/>
    </row>
    <row r="25" spans="1:27" s="24" customFormat="1" ht="24" x14ac:dyDescent="0.2">
      <c r="A25" s="72">
        <v>2.2000000000000002</v>
      </c>
      <c r="B25" s="87" t="s">
        <v>74</v>
      </c>
      <c r="C25" s="75" t="s">
        <v>75</v>
      </c>
      <c r="D25" s="75" t="s">
        <v>29</v>
      </c>
      <c r="E25" s="59" t="s">
        <v>71</v>
      </c>
      <c r="F25" s="77">
        <f>SUM(J25+M25)</f>
        <v>159536</v>
      </c>
      <c r="G25" s="78">
        <v>160000</v>
      </c>
      <c r="H25" s="79">
        <f t="shared" si="8"/>
        <v>130000</v>
      </c>
      <c r="I25" s="77">
        <v>151952</v>
      </c>
      <c r="J25" s="78">
        <v>151952</v>
      </c>
      <c r="K25" s="79">
        <f>130000-28059</f>
        <v>101941</v>
      </c>
      <c r="L25" s="77">
        <v>7585</v>
      </c>
      <c r="M25" s="78">
        <v>7584</v>
      </c>
      <c r="N25" s="79">
        <v>28059</v>
      </c>
      <c r="O25" s="80" t="s">
        <v>75</v>
      </c>
      <c r="P25" s="81">
        <v>168000</v>
      </c>
      <c r="Q25" s="80" t="s">
        <v>75</v>
      </c>
      <c r="R25" s="81">
        <v>168000</v>
      </c>
      <c r="S25" s="1605" t="s">
        <v>37</v>
      </c>
      <c r="Y25" s="36"/>
      <c r="Z25" s="36"/>
      <c r="AA25" s="36"/>
    </row>
    <row r="26" spans="1:27" s="24" customFormat="1" ht="12" x14ac:dyDescent="0.2">
      <c r="A26" s="72">
        <v>2.2999999999999998</v>
      </c>
      <c r="B26" s="73" t="s">
        <v>76</v>
      </c>
      <c r="C26" s="75" t="s">
        <v>77</v>
      </c>
      <c r="D26" s="75" t="s">
        <v>29</v>
      </c>
      <c r="E26" s="59" t="s">
        <v>71</v>
      </c>
      <c r="F26" s="77">
        <f>SUM(J26+M26)</f>
        <v>16642</v>
      </c>
      <c r="G26" s="78">
        <v>20000</v>
      </c>
      <c r="H26" s="79">
        <f t="shared" si="8"/>
        <v>16642</v>
      </c>
      <c r="I26" s="77"/>
      <c r="J26" s="78"/>
      <c r="K26" s="79"/>
      <c r="L26" s="77">
        <v>17000</v>
      </c>
      <c r="M26" s="78">
        <v>16642</v>
      </c>
      <c r="N26" s="79">
        <v>16642</v>
      </c>
      <c r="O26" s="80" t="s">
        <v>77</v>
      </c>
      <c r="P26" s="81">
        <v>21000</v>
      </c>
      <c r="Q26" s="80" t="s">
        <v>77</v>
      </c>
      <c r="R26" s="81">
        <v>21000</v>
      </c>
      <c r="S26" s="1605" t="s">
        <v>37</v>
      </c>
      <c r="Y26" s="36"/>
      <c r="Z26" s="36"/>
      <c r="AA26" s="36"/>
    </row>
    <row r="27" spans="1:27" s="24" customFormat="1" ht="15" customHeight="1" x14ac:dyDescent="0.2">
      <c r="A27" s="88"/>
      <c r="B27" s="89"/>
      <c r="C27" s="74"/>
      <c r="D27" s="74"/>
      <c r="E27" s="59"/>
      <c r="F27" s="67"/>
      <c r="G27" s="68"/>
      <c r="H27" s="69"/>
      <c r="I27" s="67"/>
      <c r="J27" s="68"/>
      <c r="K27" s="69"/>
      <c r="L27" s="67"/>
      <c r="M27" s="68"/>
      <c r="N27" s="69"/>
      <c r="O27" s="90"/>
      <c r="P27" s="71"/>
      <c r="Q27" s="90"/>
      <c r="R27" s="71"/>
      <c r="S27" s="1605"/>
      <c r="Y27" s="36"/>
      <c r="Z27" s="36"/>
      <c r="AA27" s="36"/>
    </row>
    <row r="28" spans="1:27" s="24" customFormat="1" ht="12" x14ac:dyDescent="0.2">
      <c r="A28" s="56">
        <v>3</v>
      </c>
      <c r="B28" s="57" t="s">
        <v>78</v>
      </c>
      <c r="C28" s="58"/>
      <c r="D28" s="58"/>
      <c r="E28" s="59"/>
      <c r="F28" s="60">
        <f>SUM(F29:F35)</f>
        <v>170143</v>
      </c>
      <c r="G28" s="61">
        <f t="shared" ref="G28:N28" si="9">SUM(G29:G35)</f>
        <v>271700</v>
      </c>
      <c r="H28" s="62">
        <f t="shared" si="9"/>
        <v>271700</v>
      </c>
      <c r="I28" s="60">
        <f t="shared" si="9"/>
        <v>175071</v>
      </c>
      <c r="J28" s="61">
        <f t="shared" si="9"/>
        <v>170143</v>
      </c>
      <c r="K28" s="62">
        <f>SUM(K29:K35)</f>
        <v>271700</v>
      </c>
      <c r="L28" s="60">
        <f t="shared" si="9"/>
        <v>0</v>
      </c>
      <c r="M28" s="61">
        <f t="shared" si="9"/>
        <v>0</v>
      </c>
      <c r="N28" s="62">
        <f t="shared" si="9"/>
        <v>0</v>
      </c>
      <c r="O28" s="85"/>
      <c r="P28" s="86">
        <f>SUM(P29:P35)</f>
        <v>188075</v>
      </c>
      <c r="Q28" s="85"/>
      <c r="R28" s="86">
        <f>SUM(R29:R35)</f>
        <v>194569</v>
      </c>
      <c r="S28" s="1605"/>
      <c r="Y28" s="36"/>
      <c r="Z28" s="36"/>
      <c r="AA28" s="36"/>
    </row>
    <row r="29" spans="1:27" s="24" customFormat="1" ht="12" x14ac:dyDescent="0.2">
      <c r="A29" s="72">
        <v>3.1</v>
      </c>
      <c r="B29" s="73" t="s">
        <v>79</v>
      </c>
      <c r="C29" s="91" t="s">
        <v>80</v>
      </c>
      <c r="D29" s="75" t="s">
        <v>29</v>
      </c>
      <c r="E29" s="59" t="s">
        <v>71</v>
      </c>
      <c r="F29" s="77">
        <f t="shared" ref="F29:F43" si="10">SUM(J29+M29)</f>
        <v>68556</v>
      </c>
      <c r="G29" s="78">
        <v>130000</v>
      </c>
      <c r="H29" s="79">
        <f t="shared" ref="H29:H41" si="11">SUM(K29+N29)</f>
        <v>130000</v>
      </c>
      <c r="I29" s="77">
        <v>70000</v>
      </c>
      <c r="J29" s="78">
        <v>68556</v>
      </c>
      <c r="K29" s="79">
        <v>130000</v>
      </c>
      <c r="L29" s="77"/>
      <c r="M29" s="78"/>
      <c r="N29" s="79"/>
      <c r="O29" s="92" t="s">
        <v>81</v>
      </c>
      <c r="P29" s="81">
        <v>104000</v>
      </c>
      <c r="Q29" s="92" t="s">
        <v>82</v>
      </c>
      <c r="R29" s="81">
        <v>108000</v>
      </c>
      <c r="S29" s="1605" t="s">
        <v>37</v>
      </c>
      <c r="Y29" s="36"/>
      <c r="Z29" s="36"/>
      <c r="AA29" s="36"/>
    </row>
    <row r="30" spans="1:27" s="24" customFormat="1" ht="48" x14ac:dyDescent="0.2">
      <c r="A30" s="72">
        <v>3.2</v>
      </c>
      <c r="B30" s="93" t="s">
        <v>83</v>
      </c>
      <c r="C30" s="26" t="s">
        <v>84</v>
      </c>
      <c r="D30" s="75" t="s">
        <v>29</v>
      </c>
      <c r="E30" s="76" t="s">
        <v>71</v>
      </c>
      <c r="F30" s="94">
        <f t="shared" si="10"/>
        <v>46512</v>
      </c>
      <c r="G30" s="95">
        <v>47500</v>
      </c>
      <c r="H30" s="81">
        <f t="shared" si="11"/>
        <v>47500</v>
      </c>
      <c r="I30" s="94">
        <v>47500</v>
      </c>
      <c r="J30" s="95">
        <v>46512</v>
      </c>
      <c r="K30" s="81">
        <v>47500</v>
      </c>
      <c r="L30" s="94"/>
      <c r="M30" s="95"/>
      <c r="N30" s="81"/>
      <c r="O30" s="25" t="s">
        <v>85</v>
      </c>
      <c r="P30" s="81">
        <v>49875</v>
      </c>
      <c r="Q30" s="25" t="s">
        <v>85</v>
      </c>
      <c r="R30" s="81">
        <v>52369</v>
      </c>
      <c r="S30" s="1605" t="s">
        <v>37</v>
      </c>
      <c r="Y30" s="36"/>
      <c r="Z30" s="36"/>
      <c r="AA30" s="36"/>
    </row>
    <row r="31" spans="1:27" s="24" customFormat="1" ht="12" x14ac:dyDescent="0.2">
      <c r="A31" s="72">
        <v>3.3</v>
      </c>
      <c r="B31" s="93" t="s">
        <v>86</v>
      </c>
      <c r="C31" s="75" t="s">
        <v>87</v>
      </c>
      <c r="D31" s="75" t="s">
        <v>29</v>
      </c>
      <c r="E31" s="59" t="s">
        <v>71</v>
      </c>
      <c r="F31" s="67">
        <f t="shared" si="10"/>
        <v>1199</v>
      </c>
      <c r="G31" s="68">
        <v>1200</v>
      </c>
      <c r="H31" s="69">
        <f t="shared" si="11"/>
        <v>1200</v>
      </c>
      <c r="I31" s="67">
        <v>1200</v>
      </c>
      <c r="J31" s="68">
        <v>1199</v>
      </c>
      <c r="K31" s="69">
        <v>1200</v>
      </c>
      <c r="L31" s="67"/>
      <c r="M31" s="68"/>
      <c r="N31" s="69"/>
      <c r="O31" s="80" t="s">
        <v>88</v>
      </c>
      <c r="P31" s="71">
        <v>1200</v>
      </c>
      <c r="Q31" s="80" t="s">
        <v>88</v>
      </c>
      <c r="R31" s="71">
        <v>1200</v>
      </c>
      <c r="S31" s="1605" t="s">
        <v>37</v>
      </c>
      <c r="Y31" s="36"/>
      <c r="Z31" s="36"/>
      <c r="AA31" s="36"/>
    </row>
    <row r="32" spans="1:27" s="24" customFormat="1" ht="13.5" customHeight="1" x14ac:dyDescent="0.2">
      <c r="A32" s="72">
        <v>3.4</v>
      </c>
      <c r="B32" s="93" t="s">
        <v>89</v>
      </c>
      <c r="C32" s="75" t="s">
        <v>90</v>
      </c>
      <c r="D32" s="75" t="s">
        <v>29</v>
      </c>
      <c r="E32" s="59" t="s">
        <v>91</v>
      </c>
      <c r="F32" s="67">
        <f t="shared" si="10"/>
        <v>23070</v>
      </c>
      <c r="G32" s="68">
        <v>65000</v>
      </c>
      <c r="H32" s="69">
        <f t="shared" si="11"/>
        <v>65000</v>
      </c>
      <c r="I32" s="67">
        <v>23071</v>
      </c>
      <c r="J32" s="68">
        <v>23070</v>
      </c>
      <c r="K32" s="69">
        <v>65000</v>
      </c>
      <c r="L32" s="67"/>
      <c r="M32" s="68"/>
      <c r="N32" s="69"/>
      <c r="O32" s="80" t="s">
        <v>87</v>
      </c>
      <c r="P32" s="71">
        <v>5000</v>
      </c>
      <c r="Q32" s="80" t="s">
        <v>87</v>
      </c>
      <c r="R32" s="71">
        <v>5000</v>
      </c>
      <c r="S32" s="1605" t="s">
        <v>37</v>
      </c>
      <c r="Y32" s="36"/>
      <c r="Z32" s="36"/>
      <c r="AA32" s="36"/>
    </row>
    <row r="33" spans="1:27" s="24" customFormat="1" ht="12" x14ac:dyDescent="0.2">
      <c r="A33" s="1616">
        <v>3.5</v>
      </c>
      <c r="B33" s="1617" t="s">
        <v>92</v>
      </c>
      <c r="C33" s="75" t="s">
        <v>93</v>
      </c>
      <c r="D33" s="75" t="s">
        <v>29</v>
      </c>
      <c r="E33" s="59" t="s">
        <v>71</v>
      </c>
      <c r="F33" s="67">
        <f t="shared" si="10"/>
        <v>12300</v>
      </c>
      <c r="G33" s="68">
        <v>13000</v>
      </c>
      <c r="H33" s="69">
        <f t="shared" si="11"/>
        <v>13000</v>
      </c>
      <c r="I33" s="67">
        <v>12500</v>
      </c>
      <c r="J33" s="68">
        <v>12300</v>
      </c>
      <c r="K33" s="69">
        <v>13000</v>
      </c>
      <c r="L33" s="67"/>
      <c r="M33" s="68"/>
      <c r="N33" s="69"/>
      <c r="O33" s="80" t="s">
        <v>93</v>
      </c>
      <c r="P33" s="71">
        <v>13000</v>
      </c>
      <c r="Q33" s="80" t="s">
        <v>93</v>
      </c>
      <c r="R33" s="71">
        <v>13000</v>
      </c>
      <c r="S33" s="1605" t="s">
        <v>37</v>
      </c>
      <c r="Y33" s="36"/>
      <c r="Z33" s="36"/>
      <c r="AA33" s="36"/>
    </row>
    <row r="34" spans="1:27" s="24" customFormat="1" ht="15" customHeight="1" x14ac:dyDescent="0.2">
      <c r="A34" s="1616"/>
      <c r="B34" s="1617"/>
      <c r="C34" s="75" t="s">
        <v>94</v>
      </c>
      <c r="D34" s="75" t="s">
        <v>29</v>
      </c>
      <c r="E34" s="59" t="s">
        <v>95</v>
      </c>
      <c r="F34" s="67">
        <f t="shared" si="10"/>
        <v>17540</v>
      </c>
      <c r="G34" s="68">
        <v>14000</v>
      </c>
      <c r="H34" s="69">
        <f t="shared" si="11"/>
        <v>14000</v>
      </c>
      <c r="I34" s="67">
        <v>18800</v>
      </c>
      <c r="J34" s="68">
        <v>17540</v>
      </c>
      <c r="K34" s="69">
        <v>14000</v>
      </c>
      <c r="L34" s="67"/>
      <c r="M34" s="68"/>
      <c r="N34" s="69"/>
      <c r="O34" s="80" t="s">
        <v>94</v>
      </c>
      <c r="P34" s="71">
        <v>14000</v>
      </c>
      <c r="Q34" s="80" t="s">
        <v>96</v>
      </c>
      <c r="R34" s="71">
        <v>14000</v>
      </c>
      <c r="S34" s="1605" t="s">
        <v>37</v>
      </c>
      <c r="Y34" s="36"/>
      <c r="Z34" s="36"/>
      <c r="AA34" s="36"/>
    </row>
    <row r="35" spans="1:27" s="24" customFormat="1" ht="15" customHeight="1" x14ac:dyDescent="0.2">
      <c r="A35" s="1616"/>
      <c r="B35" s="1617"/>
      <c r="C35" s="75" t="s">
        <v>97</v>
      </c>
      <c r="D35" s="75" t="s">
        <v>29</v>
      </c>
      <c r="E35" s="59" t="s">
        <v>91</v>
      </c>
      <c r="F35" s="67">
        <f t="shared" si="10"/>
        <v>966</v>
      </c>
      <c r="G35" s="68">
        <v>1000</v>
      </c>
      <c r="H35" s="69">
        <f t="shared" si="11"/>
        <v>1000</v>
      </c>
      <c r="I35" s="67">
        <v>2000</v>
      </c>
      <c r="J35" s="68">
        <v>966</v>
      </c>
      <c r="K35" s="69">
        <v>1000</v>
      </c>
      <c r="L35" s="67"/>
      <c r="M35" s="68"/>
      <c r="N35" s="69"/>
      <c r="O35" s="80" t="s">
        <v>97</v>
      </c>
      <c r="P35" s="71">
        <v>1000</v>
      </c>
      <c r="Q35" s="80" t="s">
        <v>97</v>
      </c>
      <c r="R35" s="71">
        <v>1000</v>
      </c>
      <c r="S35" s="1605" t="s">
        <v>37</v>
      </c>
      <c r="Y35" s="36"/>
      <c r="Z35" s="36"/>
      <c r="AA35" s="36"/>
    </row>
    <row r="36" spans="1:27" s="24" customFormat="1" ht="12" x14ac:dyDescent="0.2">
      <c r="A36" s="56">
        <v>4</v>
      </c>
      <c r="B36" s="57" t="s">
        <v>98</v>
      </c>
      <c r="C36" s="96"/>
      <c r="D36" s="96"/>
      <c r="E36" s="76"/>
      <c r="F36" s="60">
        <f>SUM(F37:F41)</f>
        <v>105311</v>
      </c>
      <c r="G36" s="61">
        <f>SUM(G37:G41)</f>
        <v>252581</v>
      </c>
      <c r="H36" s="62">
        <f>SUM(H37:H41)</f>
        <v>246281</v>
      </c>
      <c r="I36" s="60">
        <f t="shared" ref="I36:R36" si="12">SUM(I37:I41)</f>
        <v>185289</v>
      </c>
      <c r="J36" s="61">
        <f t="shared" si="12"/>
        <v>105311</v>
      </c>
      <c r="K36" s="62">
        <f t="shared" si="12"/>
        <v>196281</v>
      </c>
      <c r="L36" s="60">
        <f t="shared" si="12"/>
        <v>25969</v>
      </c>
      <c r="M36" s="61">
        <f t="shared" si="12"/>
        <v>0</v>
      </c>
      <c r="N36" s="62">
        <f t="shared" si="12"/>
        <v>50000</v>
      </c>
      <c r="O36" s="60"/>
      <c r="P36" s="62">
        <f t="shared" si="12"/>
        <v>0</v>
      </c>
      <c r="Q36" s="60"/>
      <c r="R36" s="62">
        <f t="shared" si="12"/>
        <v>0</v>
      </c>
      <c r="S36" s="1605" t="s">
        <v>37</v>
      </c>
      <c r="Y36" s="36"/>
      <c r="Z36" s="36"/>
      <c r="AA36" s="36"/>
    </row>
    <row r="37" spans="1:27" s="24" customFormat="1" ht="12" x14ac:dyDescent="0.2">
      <c r="A37" s="72">
        <v>4.0999999999999996</v>
      </c>
      <c r="B37" s="73" t="s">
        <v>99</v>
      </c>
      <c r="C37" s="97" t="s">
        <v>100</v>
      </c>
      <c r="D37" s="97" t="s">
        <v>29</v>
      </c>
      <c r="E37" s="76" t="s">
        <v>71</v>
      </c>
      <c r="F37" s="77">
        <f t="shared" si="10"/>
        <v>11229</v>
      </c>
      <c r="G37" s="68">
        <v>6300</v>
      </c>
      <c r="H37" s="79">
        <f>SUM(K37+N37)</f>
        <v>0</v>
      </c>
      <c r="I37" s="67">
        <v>11229</v>
      </c>
      <c r="J37" s="68">
        <v>11229</v>
      </c>
      <c r="K37" s="69"/>
      <c r="L37" s="67"/>
      <c r="M37" s="68"/>
      <c r="N37" s="69"/>
      <c r="O37" s="90"/>
      <c r="P37" s="71"/>
      <c r="Q37" s="90"/>
      <c r="R37" s="71"/>
      <c r="S37" s="1605" t="s">
        <v>37</v>
      </c>
      <c r="T37" s="98"/>
      <c r="Y37" s="36"/>
      <c r="Z37" s="36"/>
      <c r="AA37" s="36"/>
    </row>
    <row r="38" spans="1:27" s="24" customFormat="1" ht="24" x14ac:dyDescent="0.2">
      <c r="A38" s="72">
        <v>4.2</v>
      </c>
      <c r="B38" s="73" t="s">
        <v>101</v>
      </c>
      <c r="C38" s="97"/>
      <c r="D38" s="97" t="s">
        <v>29</v>
      </c>
      <c r="E38" s="76" t="s">
        <v>30</v>
      </c>
      <c r="F38" s="77">
        <f t="shared" si="10"/>
        <v>0</v>
      </c>
      <c r="G38" s="78">
        <v>50000</v>
      </c>
      <c r="H38" s="79">
        <f t="shared" si="11"/>
        <v>50000</v>
      </c>
      <c r="I38" s="94"/>
      <c r="J38" s="95"/>
      <c r="K38" s="81"/>
      <c r="L38" s="94"/>
      <c r="M38" s="95"/>
      <c r="N38" s="81">
        <v>50000</v>
      </c>
      <c r="O38" s="94"/>
      <c r="P38" s="81"/>
      <c r="Q38" s="94"/>
      <c r="R38" s="81"/>
      <c r="S38" s="1605" t="s">
        <v>37</v>
      </c>
      <c r="T38" s="98"/>
      <c r="Y38" s="36"/>
      <c r="Z38" s="36"/>
      <c r="AA38" s="36"/>
    </row>
    <row r="39" spans="1:27" s="24" customFormat="1" ht="24" x14ac:dyDescent="0.2">
      <c r="A39" s="72">
        <v>4.3</v>
      </c>
      <c r="B39" s="99" t="s">
        <v>102</v>
      </c>
      <c r="C39" s="97"/>
      <c r="D39" s="97" t="s">
        <v>29</v>
      </c>
      <c r="E39" s="76" t="s">
        <v>47</v>
      </c>
      <c r="F39" s="77">
        <f t="shared" si="10"/>
        <v>60051</v>
      </c>
      <c r="G39" s="78">
        <v>177066</v>
      </c>
      <c r="H39" s="79">
        <f t="shared" si="11"/>
        <v>177066</v>
      </c>
      <c r="I39" s="77">
        <v>118828</v>
      </c>
      <c r="J39" s="78">
        <v>60051</v>
      </c>
      <c r="K39" s="79">
        <f>69000+108066</f>
        <v>177066</v>
      </c>
      <c r="L39" s="77">
        <v>22641</v>
      </c>
      <c r="M39" s="78"/>
      <c r="N39" s="79"/>
      <c r="O39" s="80"/>
      <c r="P39" s="81"/>
      <c r="Q39" s="80"/>
      <c r="R39" s="81"/>
      <c r="S39" s="1605" t="s">
        <v>37</v>
      </c>
      <c r="T39" s="98"/>
      <c r="Y39" s="36"/>
      <c r="Z39" s="36"/>
      <c r="AA39" s="36"/>
    </row>
    <row r="40" spans="1:27" s="24" customFormat="1" ht="24" hidden="1" x14ac:dyDescent="0.2">
      <c r="A40" s="72">
        <v>4.4000000000000004</v>
      </c>
      <c r="B40" s="100" t="s">
        <v>103</v>
      </c>
      <c r="C40" s="101"/>
      <c r="D40" s="97" t="s">
        <v>29</v>
      </c>
      <c r="E40" s="76" t="s">
        <v>30</v>
      </c>
      <c r="F40" s="77">
        <f t="shared" si="10"/>
        <v>34031</v>
      </c>
      <c r="G40" s="78">
        <v>0</v>
      </c>
      <c r="H40" s="79">
        <f t="shared" si="11"/>
        <v>0</v>
      </c>
      <c r="I40" s="77">
        <v>34032</v>
      </c>
      <c r="J40" s="78">
        <v>34031</v>
      </c>
      <c r="K40" s="79"/>
      <c r="L40" s="77">
        <v>2118</v>
      </c>
      <c r="M40" s="78"/>
      <c r="N40" s="79"/>
      <c r="O40" s="80"/>
      <c r="P40" s="81"/>
      <c r="Q40" s="80"/>
      <c r="R40" s="81"/>
      <c r="S40" s="1605" t="s">
        <v>37</v>
      </c>
      <c r="T40" s="98"/>
      <c r="Y40" s="102"/>
      <c r="Z40" s="36"/>
      <c r="AA40" s="36"/>
    </row>
    <row r="41" spans="1:27" s="24" customFormat="1" ht="39.75" customHeight="1" x14ac:dyDescent="0.2">
      <c r="A41" s="72">
        <v>4.4000000000000004</v>
      </c>
      <c r="B41" s="100" t="s">
        <v>104</v>
      </c>
      <c r="C41" s="103"/>
      <c r="D41" s="97" t="s">
        <v>29</v>
      </c>
      <c r="E41" s="76" t="s">
        <v>30</v>
      </c>
      <c r="F41" s="77">
        <f t="shared" si="10"/>
        <v>0</v>
      </c>
      <c r="G41" s="78">
        <v>19215</v>
      </c>
      <c r="H41" s="79">
        <f t="shared" si="11"/>
        <v>19215</v>
      </c>
      <c r="I41" s="94">
        <v>21200</v>
      </c>
      <c r="J41" s="95">
        <v>0</v>
      </c>
      <c r="K41" s="81">
        <v>19215</v>
      </c>
      <c r="L41" s="94">
        <v>1210</v>
      </c>
      <c r="M41" s="95">
        <v>0</v>
      </c>
      <c r="N41" s="81"/>
      <c r="O41" s="94"/>
      <c r="P41" s="81"/>
      <c r="Q41" s="94"/>
      <c r="R41" s="81"/>
      <c r="S41" s="1605" t="s">
        <v>37</v>
      </c>
      <c r="T41" s="98"/>
      <c r="Y41" s="102"/>
      <c r="Z41" s="36"/>
      <c r="AA41" s="36">
        <v>19215</v>
      </c>
    </row>
    <row r="42" spans="1:27" s="24" customFormat="1" ht="12" x14ac:dyDescent="0.2">
      <c r="A42" s="56">
        <v>5</v>
      </c>
      <c r="B42" s="104" t="s">
        <v>105</v>
      </c>
      <c r="C42" s="103"/>
      <c r="D42" s="97"/>
      <c r="E42" s="76"/>
      <c r="F42" s="105">
        <f>SUM(F43)</f>
        <v>0</v>
      </c>
      <c r="G42" s="106">
        <f>SUM(G43)</f>
        <v>93059</v>
      </c>
      <c r="H42" s="107">
        <f>SUM(H43)</f>
        <v>93059</v>
      </c>
      <c r="I42" s="105">
        <f t="shared" ref="I42:R42" si="13">SUM(I43)</f>
        <v>0</v>
      </c>
      <c r="J42" s="106">
        <f t="shared" si="13"/>
        <v>0</v>
      </c>
      <c r="K42" s="107">
        <f t="shared" si="13"/>
        <v>93059</v>
      </c>
      <c r="L42" s="105">
        <f t="shared" si="13"/>
        <v>0</v>
      </c>
      <c r="M42" s="106">
        <f t="shared" si="13"/>
        <v>0</v>
      </c>
      <c r="N42" s="107">
        <f t="shared" si="13"/>
        <v>0</v>
      </c>
      <c r="O42" s="105">
        <f t="shared" si="13"/>
        <v>0</v>
      </c>
      <c r="P42" s="107">
        <f t="shared" si="13"/>
        <v>0</v>
      </c>
      <c r="Q42" s="105">
        <f t="shared" si="13"/>
        <v>0</v>
      </c>
      <c r="R42" s="107">
        <f t="shared" si="13"/>
        <v>0</v>
      </c>
      <c r="S42" s="1606"/>
      <c r="T42" s="98"/>
      <c r="Y42" s="36"/>
      <c r="Z42" s="36"/>
      <c r="AA42" s="36"/>
    </row>
    <row r="43" spans="1:27" s="24" customFormat="1" ht="50.25" customHeight="1" x14ac:dyDescent="0.2">
      <c r="A43" s="108">
        <v>5.0999999999999996</v>
      </c>
      <c r="B43" s="109" t="s">
        <v>106</v>
      </c>
      <c r="C43" s="110"/>
      <c r="D43" s="111" t="s">
        <v>107</v>
      </c>
      <c r="E43" s="112" t="s">
        <v>47</v>
      </c>
      <c r="F43" s="113">
        <f t="shared" si="10"/>
        <v>0</v>
      </c>
      <c r="G43" s="114">
        <v>93059</v>
      </c>
      <c r="H43" s="115">
        <f>SUM(K43+N43)</f>
        <v>93059</v>
      </c>
      <c r="I43" s="116"/>
      <c r="J43" s="111"/>
      <c r="K43" s="117">
        <v>93059</v>
      </c>
      <c r="L43" s="116"/>
      <c r="M43" s="111"/>
      <c r="N43" s="118"/>
      <c r="O43" s="116"/>
      <c r="P43" s="118"/>
      <c r="Q43" s="116"/>
      <c r="R43" s="118"/>
      <c r="S43" s="1605" t="s">
        <v>3638</v>
      </c>
      <c r="Y43" s="36"/>
      <c r="Z43" s="36"/>
      <c r="AA43" s="36"/>
    </row>
    <row r="44" spans="1:27" s="24" customFormat="1" ht="23.25" customHeight="1" x14ac:dyDescent="0.2">
      <c r="A44" s="1618" t="s">
        <v>108</v>
      </c>
      <c r="B44" s="1619"/>
      <c r="C44" s="120"/>
      <c r="D44" s="120"/>
      <c r="E44" s="121"/>
      <c r="F44" s="122"/>
      <c r="G44" s="123"/>
      <c r="H44" s="124"/>
      <c r="I44" s="125"/>
      <c r="J44" s="123"/>
      <c r="K44" s="126"/>
      <c r="L44" s="125"/>
      <c r="M44" s="123"/>
      <c r="N44" s="126"/>
      <c r="O44" s="125"/>
      <c r="P44" s="126"/>
      <c r="Q44" s="125"/>
      <c r="R44" s="121"/>
      <c r="S44" s="1607"/>
    </row>
    <row r="45" spans="1:27" s="24" customFormat="1" ht="12" x14ac:dyDescent="0.2">
      <c r="A45" s="1614"/>
      <c r="B45" s="1615"/>
      <c r="C45" s="1615"/>
      <c r="D45" s="128"/>
      <c r="E45" s="129" t="s">
        <v>25</v>
      </c>
      <c r="F45" s="130">
        <f>SUM(F46)</f>
        <v>1181113</v>
      </c>
      <c r="G45" s="131">
        <f>SUM(G46)</f>
        <v>1421347</v>
      </c>
      <c r="H45" s="132">
        <f>SUM(H46)</f>
        <v>1421347</v>
      </c>
      <c r="I45" s="130">
        <f>SUM(I46)</f>
        <v>625382</v>
      </c>
      <c r="J45" s="131">
        <f t="shared" ref="J45:R45" si="14">SUM(J46)</f>
        <v>470927</v>
      </c>
      <c r="K45" s="132">
        <f t="shared" si="14"/>
        <v>625382</v>
      </c>
      <c r="L45" s="130">
        <f t="shared" si="14"/>
        <v>795965</v>
      </c>
      <c r="M45" s="131">
        <f t="shared" si="14"/>
        <v>710186</v>
      </c>
      <c r="N45" s="132">
        <f>SUM(N46)</f>
        <v>795965</v>
      </c>
      <c r="O45" s="133">
        <f t="shared" si="14"/>
        <v>0</v>
      </c>
      <c r="P45" s="134">
        <f t="shared" si="14"/>
        <v>1505494</v>
      </c>
      <c r="Q45" s="133">
        <f t="shared" si="14"/>
        <v>0</v>
      </c>
      <c r="R45" s="135">
        <f t="shared" si="14"/>
        <v>1505194</v>
      </c>
      <c r="S45" s="1605"/>
    </row>
    <row r="46" spans="1:27" s="24" customFormat="1" ht="12" x14ac:dyDescent="0.2">
      <c r="A46" s="56">
        <v>1</v>
      </c>
      <c r="B46" s="57" t="s">
        <v>109</v>
      </c>
      <c r="C46" s="58"/>
      <c r="D46" s="58"/>
      <c r="E46" s="59"/>
      <c r="F46" s="60">
        <f t="shared" ref="F46:R46" si="15">SUM(F47:F47)</f>
        <v>1181113</v>
      </c>
      <c r="G46" s="61">
        <f t="shared" si="15"/>
        <v>1421347</v>
      </c>
      <c r="H46" s="62">
        <f t="shared" si="15"/>
        <v>1421347</v>
      </c>
      <c r="I46" s="60">
        <f t="shared" si="15"/>
        <v>625382</v>
      </c>
      <c r="J46" s="61">
        <f t="shared" si="15"/>
        <v>470927</v>
      </c>
      <c r="K46" s="62">
        <f t="shared" si="15"/>
        <v>625382</v>
      </c>
      <c r="L46" s="60">
        <f t="shared" si="15"/>
        <v>795965</v>
      </c>
      <c r="M46" s="61">
        <f t="shared" si="15"/>
        <v>710186</v>
      </c>
      <c r="N46" s="62">
        <f>SUM(N47:N47)</f>
        <v>795965</v>
      </c>
      <c r="O46" s="85"/>
      <c r="P46" s="86">
        <f t="shared" si="15"/>
        <v>1505494</v>
      </c>
      <c r="Q46" s="85"/>
      <c r="R46" s="86">
        <f t="shared" si="15"/>
        <v>1505194</v>
      </c>
      <c r="S46" s="1605"/>
    </row>
    <row r="47" spans="1:27" s="24" customFormat="1" ht="36" x14ac:dyDescent="0.2">
      <c r="A47" s="108">
        <v>1.1000000000000001</v>
      </c>
      <c r="B47" s="136" t="s">
        <v>110</v>
      </c>
      <c r="C47" s="137" t="s">
        <v>111</v>
      </c>
      <c r="D47" s="137" t="s">
        <v>112</v>
      </c>
      <c r="E47" s="112" t="s">
        <v>113</v>
      </c>
      <c r="F47" s="113">
        <f>SUM(J47+M47)</f>
        <v>1181113</v>
      </c>
      <c r="G47" s="138">
        <v>1421347</v>
      </c>
      <c r="H47" s="115">
        <f>SUM(K47+N47)</f>
        <v>1421347</v>
      </c>
      <c r="I47" s="113">
        <v>625382</v>
      </c>
      <c r="J47" s="138">
        <v>470927</v>
      </c>
      <c r="K47" s="115">
        <v>625382</v>
      </c>
      <c r="L47" s="113">
        <v>795965</v>
      </c>
      <c r="M47" s="138">
        <v>710186</v>
      </c>
      <c r="N47" s="115">
        <v>795965</v>
      </c>
      <c r="O47" s="108" t="s">
        <v>111</v>
      </c>
      <c r="P47" s="117">
        <v>1505494</v>
      </c>
      <c r="Q47" s="108" t="s">
        <v>111</v>
      </c>
      <c r="R47" s="117">
        <v>1505194</v>
      </c>
      <c r="S47" s="119" t="s">
        <v>37</v>
      </c>
    </row>
    <row r="48" spans="1:27" x14ac:dyDescent="0.25">
      <c r="A48" s="140" t="s">
        <v>114</v>
      </c>
      <c r="B48" s="141"/>
      <c r="C48" s="120"/>
      <c r="D48" s="120"/>
      <c r="E48" s="121"/>
      <c r="F48" s="122"/>
      <c r="G48" s="123"/>
      <c r="H48" s="124"/>
      <c r="I48" s="125"/>
      <c r="J48" s="123"/>
      <c r="K48" s="126"/>
      <c r="L48" s="125"/>
      <c r="M48" s="123"/>
      <c r="N48" s="126"/>
      <c r="O48" s="125"/>
      <c r="P48" s="126"/>
      <c r="Q48" s="125"/>
      <c r="R48" s="121"/>
      <c r="S48" s="127"/>
    </row>
    <row r="49" spans="1:19" x14ac:dyDescent="0.25">
      <c r="A49" s="1614"/>
      <c r="B49" s="1615"/>
      <c r="C49" s="1615"/>
      <c r="D49" s="128"/>
      <c r="E49" s="129" t="s">
        <v>25</v>
      </c>
      <c r="F49" s="130">
        <f t="shared" ref="F49:R49" si="16">SUM(F50:F50)</f>
        <v>651761</v>
      </c>
      <c r="G49" s="131">
        <f t="shared" si="16"/>
        <v>808099</v>
      </c>
      <c r="H49" s="132">
        <f t="shared" si="16"/>
        <v>808099</v>
      </c>
      <c r="I49" s="130">
        <f t="shared" si="16"/>
        <v>221690</v>
      </c>
      <c r="J49" s="131">
        <f t="shared" si="16"/>
        <v>221690</v>
      </c>
      <c r="K49" s="132">
        <f t="shared" si="16"/>
        <v>235000</v>
      </c>
      <c r="L49" s="130">
        <f t="shared" si="16"/>
        <v>430071</v>
      </c>
      <c r="M49" s="131">
        <f t="shared" si="16"/>
        <v>430071</v>
      </c>
      <c r="N49" s="132">
        <f t="shared" si="16"/>
        <v>573099</v>
      </c>
      <c r="O49" s="130">
        <f t="shared" si="16"/>
        <v>0</v>
      </c>
      <c r="P49" s="132">
        <f t="shared" si="16"/>
        <v>0</v>
      </c>
      <c r="Q49" s="130">
        <f t="shared" si="16"/>
        <v>0</v>
      </c>
      <c r="R49" s="132">
        <f t="shared" si="16"/>
        <v>0</v>
      </c>
      <c r="S49" s="82"/>
    </row>
    <row r="50" spans="1:19" ht="24" x14ac:dyDescent="0.25">
      <c r="A50" s="108">
        <v>1</v>
      </c>
      <c r="B50" s="142" t="s">
        <v>115</v>
      </c>
      <c r="C50" s="143"/>
      <c r="D50" s="143"/>
      <c r="E50" s="112"/>
      <c r="F50" s="113">
        <f>SUM(J50+M50)</f>
        <v>651761</v>
      </c>
      <c r="G50" s="138">
        <v>808099</v>
      </c>
      <c r="H50" s="115">
        <f t="shared" ref="H50" si="17">SUM(K50+N50)</f>
        <v>808099</v>
      </c>
      <c r="I50" s="113">
        <v>221690</v>
      </c>
      <c r="J50" s="138">
        <v>221690</v>
      </c>
      <c r="K50" s="115">
        <v>235000</v>
      </c>
      <c r="L50" s="113">
        <v>430071</v>
      </c>
      <c r="M50" s="138">
        <v>430071</v>
      </c>
      <c r="N50" s="115">
        <v>573099</v>
      </c>
      <c r="O50" s="144"/>
      <c r="P50" s="117"/>
      <c r="Q50" s="144"/>
      <c r="R50" s="117"/>
      <c r="S50" s="139"/>
    </row>
    <row r="52" spans="1:19" x14ac:dyDescent="0.25">
      <c r="A52" s="145" t="s">
        <v>116</v>
      </c>
    </row>
    <row r="53" spans="1:19" x14ac:dyDescent="0.25">
      <c r="A53" s="146" t="s">
        <v>117</v>
      </c>
      <c r="B53" s="146"/>
      <c r="C53" s="146"/>
      <c r="D53" s="147"/>
      <c r="E53" s="147"/>
      <c r="F53" s="148"/>
      <c r="G53" s="148"/>
      <c r="H53" s="148"/>
      <c r="I53" s="149"/>
      <c r="J53" s="149"/>
    </row>
    <row r="54" spans="1:19" x14ac:dyDescent="0.25">
      <c r="A54" s="146"/>
      <c r="B54" s="146" t="s">
        <v>118</v>
      </c>
      <c r="C54" s="146"/>
      <c r="D54" s="147"/>
      <c r="E54" s="147"/>
      <c r="F54" s="148"/>
      <c r="G54" s="148"/>
      <c r="H54" s="148"/>
      <c r="I54" s="149"/>
      <c r="J54" s="149"/>
    </row>
    <row r="55" spans="1:19" x14ac:dyDescent="0.25">
      <c r="A55" s="150"/>
      <c r="B55" s="146" t="s">
        <v>119</v>
      </c>
      <c r="C55" s="146"/>
      <c r="D55" s="151"/>
      <c r="E55" s="151"/>
      <c r="F55" s="151"/>
      <c r="G55" s="151"/>
      <c r="H55" s="151"/>
      <c r="I55" s="151"/>
    </row>
    <row r="56" spans="1:19" x14ac:dyDescent="0.25">
      <c r="A56" s="146"/>
      <c r="B56" s="146" t="s">
        <v>120</v>
      </c>
      <c r="C56" s="146"/>
      <c r="D56" s="147"/>
      <c r="E56" s="147"/>
      <c r="F56" s="148"/>
      <c r="G56" s="148"/>
      <c r="H56" s="148"/>
      <c r="I56" s="149"/>
      <c r="J56" s="149"/>
    </row>
    <row r="57" spans="1:19" x14ac:dyDescent="0.25">
      <c r="A57" s="146"/>
      <c r="B57" s="146" t="s">
        <v>121</v>
      </c>
      <c r="C57" s="152"/>
      <c r="D57" s="150"/>
      <c r="E57" s="150"/>
      <c r="F57" s="150"/>
      <c r="G57" s="150"/>
      <c r="H57" s="150"/>
      <c r="J57" s="153"/>
    </row>
    <row r="58" spans="1:19" x14ac:dyDescent="0.25">
      <c r="A58" s="146"/>
      <c r="B58" s="146" t="s">
        <v>3636</v>
      </c>
      <c r="C58" s="152"/>
      <c r="D58" s="150"/>
      <c r="E58" s="150"/>
      <c r="F58" s="150"/>
      <c r="G58" s="150"/>
      <c r="H58" s="150"/>
      <c r="J58" s="153"/>
    </row>
    <row r="59" spans="1:19" x14ac:dyDescent="0.25">
      <c r="A59" s="146"/>
      <c r="B59" s="146" t="s">
        <v>3637</v>
      </c>
      <c r="C59" s="152"/>
      <c r="D59" s="150"/>
      <c r="E59" s="150"/>
      <c r="F59" s="150"/>
      <c r="G59" s="150"/>
      <c r="H59" s="150"/>
      <c r="J59" s="153"/>
    </row>
    <row r="60" spans="1:19" x14ac:dyDescent="0.25">
      <c r="A60" s="146"/>
      <c r="B60" s="146" t="s">
        <v>122</v>
      </c>
      <c r="C60" s="146"/>
      <c r="D60" s="147"/>
      <c r="E60" s="147"/>
      <c r="F60" s="148"/>
      <c r="G60" s="148"/>
      <c r="H60" s="148"/>
      <c r="I60" s="149"/>
      <c r="J60" s="149"/>
    </row>
    <row r="61" spans="1:19" x14ac:dyDescent="0.25">
      <c r="A61" s="146"/>
      <c r="B61" s="146" t="s">
        <v>123</v>
      </c>
      <c r="C61" s="152"/>
      <c r="D61" s="152"/>
      <c r="E61" s="152"/>
      <c r="F61" s="152"/>
      <c r="G61" s="152"/>
      <c r="H61" s="152"/>
      <c r="I61" s="152"/>
      <c r="J61" s="152"/>
      <c r="K61" s="152"/>
    </row>
  </sheetData>
  <sheetProtection algorithmName="SHA-512" hashValue="6iXp03mkFtivbaXcdYsMjxUUatoKoYrUQSFjAU3aQh5EvqvQPJbhlENTIoLMuKKyuXEPW/8NgsNI5cB6X5Z7+g==" saltValue="KvU7EwWT4DeBYOxfwlf9TQ==" spinCount="100000" sheet="1" objects="1" scenarios="1" formatCells="0" formatColumns="0" formatRows="0"/>
  <mergeCells count="21">
    <mergeCell ref="P2:Q2"/>
    <mergeCell ref="C3:Q3"/>
    <mergeCell ref="A5:A6"/>
    <mergeCell ref="B5:B6"/>
    <mergeCell ref="C5:C6"/>
    <mergeCell ref="D5:D6"/>
    <mergeCell ref="E5:E6"/>
    <mergeCell ref="F5:H5"/>
    <mergeCell ref="I5:K5"/>
    <mergeCell ref="L5:N5"/>
    <mergeCell ref="O5:P5"/>
    <mergeCell ref="Q5:R5"/>
    <mergeCell ref="S5:S6"/>
    <mergeCell ref="C7:E7"/>
    <mergeCell ref="A8:B8"/>
    <mergeCell ref="A49:C49"/>
    <mergeCell ref="A33:A35"/>
    <mergeCell ref="B33:B35"/>
    <mergeCell ref="A44:B44"/>
    <mergeCell ref="A45:C45"/>
    <mergeCell ref="A9:B9"/>
  </mergeCells>
  <printOptions horizontalCentered="1"/>
  <pageMargins left="0.78740157480314965" right="0.39370078740157483" top="0.73802083333333335" bottom="0.39370078740157483" header="0.23622047244094491" footer="0.23622047244094491"/>
  <pageSetup paperSize="9" scale="65"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3.pielikums Jūrmalas pilsētas domes
2018.gada 18.decembra saistošajiem noteikumiem Nr.44
(protokols Nr.17, 2.punkts)</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7"/>
  <sheetViews>
    <sheetView view="pageLayout" zoomScaleNormal="100" workbookViewId="0">
      <selection activeCell="R7" sqref="R7"/>
    </sheetView>
  </sheetViews>
  <sheetFormatPr defaultRowHeight="12" x14ac:dyDescent="0.25"/>
  <cols>
    <col min="1" max="1" width="3.28515625" style="539" bestFit="1" customWidth="1"/>
    <col min="2" max="2" width="35.28515625" style="539" customWidth="1"/>
    <col min="3" max="4" width="11.85546875" style="539" hidden="1" customWidth="1"/>
    <col min="5" max="6" width="11.140625" style="539" hidden="1" customWidth="1"/>
    <col min="7" max="7" width="11.140625" style="600" hidden="1" customWidth="1"/>
    <col min="8" max="8" width="12" style="539" hidden="1" customWidth="1"/>
    <col min="9" max="9" width="11.5703125" style="539" customWidth="1"/>
    <col min="10" max="10" width="11" style="539" customWidth="1"/>
    <col min="11" max="11" width="9.42578125" style="539" customWidth="1"/>
    <col min="12" max="12" width="16.85546875" style="539" customWidth="1"/>
    <col min="13" max="13" width="41" style="539" hidden="1" customWidth="1"/>
    <col min="14" max="14" width="0" style="539" hidden="1" customWidth="1"/>
    <col min="15" max="16384" width="9.140625" style="539"/>
  </cols>
  <sheetData>
    <row r="1" spans="1:15" x14ac:dyDescent="0.25">
      <c r="A1" s="1916" t="s">
        <v>124</v>
      </c>
      <c r="B1" s="1916"/>
      <c r="C1" s="1916" t="s">
        <v>125</v>
      </c>
      <c r="D1" s="1916"/>
      <c r="E1" s="1916"/>
      <c r="F1" s="1916"/>
      <c r="G1" s="1916"/>
      <c r="H1" s="1916"/>
      <c r="I1" s="1916"/>
      <c r="J1" s="1916"/>
      <c r="K1" s="1916"/>
      <c r="L1" s="1916"/>
      <c r="M1" s="1916"/>
    </row>
    <row r="2" spans="1:15" x14ac:dyDescent="0.25">
      <c r="A2" s="1916" t="s">
        <v>126</v>
      </c>
      <c r="B2" s="1916"/>
      <c r="C2" s="1916">
        <v>90000056357</v>
      </c>
      <c r="D2" s="1916"/>
      <c r="E2" s="1916"/>
      <c r="F2" s="1916"/>
      <c r="G2" s="1916"/>
      <c r="H2" s="1916"/>
      <c r="I2" s="1916"/>
      <c r="J2" s="1916"/>
      <c r="K2" s="1916"/>
      <c r="L2" s="1916"/>
      <c r="M2" s="1916"/>
    </row>
    <row r="3" spans="1:15" ht="15.75" x14ac:dyDescent="0.25">
      <c r="A3" s="1677" t="s">
        <v>3641</v>
      </c>
      <c r="B3" s="1677"/>
      <c r="C3" s="1677"/>
      <c r="D3" s="1677"/>
      <c r="E3" s="1677"/>
      <c r="F3" s="1677"/>
      <c r="G3" s="1677"/>
      <c r="H3" s="1677"/>
      <c r="I3" s="1677"/>
      <c r="J3" s="1677"/>
      <c r="K3" s="1677"/>
      <c r="L3" s="1677"/>
      <c r="M3" s="1677"/>
    </row>
    <row r="4" spans="1:15" ht="15.75" x14ac:dyDescent="0.25">
      <c r="A4" s="540"/>
      <c r="B4" s="540"/>
      <c r="C4" s="540"/>
      <c r="D4" s="540"/>
      <c r="E4" s="540"/>
      <c r="F4" s="540"/>
      <c r="G4" s="541"/>
      <c r="H4" s="540"/>
      <c r="I4" s="540"/>
      <c r="J4" s="540"/>
      <c r="K4" s="540"/>
      <c r="L4" s="540"/>
      <c r="M4" s="540"/>
    </row>
    <row r="5" spans="1:15" ht="15.75" x14ac:dyDescent="0.25">
      <c r="A5" s="1916" t="s">
        <v>440</v>
      </c>
      <c r="B5" s="1916"/>
      <c r="C5" s="1949" t="s">
        <v>1357</v>
      </c>
      <c r="D5" s="1949"/>
      <c r="E5" s="1949"/>
      <c r="F5" s="1949"/>
      <c r="G5" s="1949"/>
      <c r="H5" s="1949"/>
      <c r="I5" s="1949"/>
      <c r="J5" s="1949"/>
      <c r="K5" s="1949"/>
      <c r="L5" s="1949"/>
      <c r="M5" s="1949"/>
    </row>
    <row r="6" spans="1:15" x14ac:dyDescent="0.25">
      <c r="A6" s="1916" t="s">
        <v>129</v>
      </c>
      <c r="B6" s="1916"/>
      <c r="C6" s="1916" t="s">
        <v>1358</v>
      </c>
      <c r="D6" s="1916"/>
      <c r="E6" s="1916"/>
      <c r="F6" s="1916"/>
      <c r="G6" s="1916"/>
      <c r="H6" s="1916"/>
      <c r="I6" s="1916"/>
      <c r="J6" s="1916"/>
      <c r="K6" s="1916"/>
      <c r="L6" s="1916"/>
      <c r="M6" s="1916"/>
    </row>
    <row r="7" spans="1:15" x14ac:dyDescent="0.25">
      <c r="A7" s="1916" t="s">
        <v>131</v>
      </c>
      <c r="B7" s="1916"/>
      <c r="C7" s="1942" t="s">
        <v>154</v>
      </c>
      <c r="D7" s="1942"/>
      <c r="E7" s="1942"/>
      <c r="F7" s="1942"/>
      <c r="G7" s="1942"/>
      <c r="H7" s="1942"/>
      <c r="I7" s="1942"/>
      <c r="J7" s="1942"/>
      <c r="K7" s="1942"/>
      <c r="L7" s="1942"/>
      <c r="M7" s="1942"/>
    </row>
    <row r="8" spans="1:15" ht="18.75" customHeight="1" x14ac:dyDescent="0.25">
      <c r="A8" s="1943" t="s">
        <v>4</v>
      </c>
      <c r="B8" s="1943" t="s">
        <v>133</v>
      </c>
      <c r="C8" s="1945" t="s">
        <v>528</v>
      </c>
      <c r="D8" s="1946"/>
      <c r="E8" s="1945" t="s">
        <v>529</v>
      </c>
      <c r="F8" s="1946"/>
      <c r="G8" s="1945" t="s">
        <v>530</v>
      </c>
      <c r="H8" s="1946"/>
      <c r="I8" s="1943" t="s">
        <v>135</v>
      </c>
      <c r="J8" s="1947" t="s">
        <v>3472</v>
      </c>
      <c r="K8" s="1948"/>
      <c r="L8" s="1943" t="s">
        <v>14</v>
      </c>
      <c r="M8" s="1943" t="s">
        <v>137</v>
      </c>
    </row>
    <row r="9" spans="1:15" ht="31.5" customHeight="1" x14ac:dyDescent="0.25">
      <c r="A9" s="1944"/>
      <c r="B9" s="1944"/>
      <c r="C9" s="542" t="s">
        <v>531</v>
      </c>
      <c r="D9" s="542" t="s">
        <v>532</v>
      </c>
      <c r="E9" s="542" t="s">
        <v>531</v>
      </c>
      <c r="F9" s="542" t="s">
        <v>532</v>
      </c>
      <c r="G9" s="543" t="s">
        <v>531</v>
      </c>
      <c r="H9" s="542" t="s">
        <v>532</v>
      </c>
      <c r="I9" s="1944"/>
      <c r="J9" s="542" t="s">
        <v>531</v>
      </c>
      <c r="K9" s="542" t="s">
        <v>532</v>
      </c>
      <c r="L9" s="1944"/>
      <c r="M9" s="1944"/>
    </row>
    <row r="10" spans="1:15" ht="12.75" customHeight="1" x14ac:dyDescent="0.25">
      <c r="A10" s="1937" t="s">
        <v>138</v>
      </c>
      <c r="B10" s="1938"/>
      <c r="C10" s="544">
        <f t="shared" ref="C10:H10" si="0">SUM(C11:C35)</f>
        <v>489457</v>
      </c>
      <c r="D10" s="544">
        <f t="shared" si="0"/>
        <v>37070</v>
      </c>
      <c r="E10" s="544">
        <f t="shared" si="0"/>
        <v>471049</v>
      </c>
      <c r="F10" s="544">
        <f t="shared" si="0"/>
        <v>0</v>
      </c>
      <c r="G10" s="545">
        <f t="shared" si="0"/>
        <v>616520</v>
      </c>
      <c r="H10" s="544">
        <f t="shared" si="0"/>
        <v>37070</v>
      </c>
      <c r="I10" s="544"/>
      <c r="J10" s="544">
        <f>SUM(J11:J35)</f>
        <v>550454</v>
      </c>
      <c r="K10" s="544">
        <f>SUM(K11:K35)</f>
        <v>37070</v>
      </c>
      <c r="L10" s="544"/>
      <c r="M10" s="546"/>
    </row>
    <row r="11" spans="1:15" ht="49.5" customHeight="1" x14ac:dyDescent="0.25">
      <c r="A11" s="547">
        <v>1</v>
      </c>
      <c r="B11" s="548" t="s">
        <v>1359</v>
      </c>
      <c r="C11" s="469">
        <v>14100</v>
      </c>
      <c r="D11" s="469"/>
      <c r="E11" s="549">
        <v>13900</v>
      </c>
      <c r="F11" s="549"/>
      <c r="G11" s="550">
        <v>14100</v>
      </c>
      <c r="H11" s="469"/>
      <c r="I11" s="551">
        <v>2279</v>
      </c>
      <c r="J11" s="469">
        <v>14100</v>
      </c>
      <c r="K11" s="469"/>
      <c r="L11" s="579" t="s">
        <v>1360</v>
      </c>
      <c r="M11" s="552" t="s">
        <v>1361</v>
      </c>
      <c r="O11" s="553"/>
    </row>
    <row r="12" spans="1:15" ht="13.5" customHeight="1" x14ac:dyDescent="0.25">
      <c r="A12" s="547">
        <v>2</v>
      </c>
      <c r="B12" s="548" t="s">
        <v>1362</v>
      </c>
      <c r="C12" s="469">
        <v>5000</v>
      </c>
      <c r="D12" s="469"/>
      <c r="E12" s="549">
        <v>5000</v>
      </c>
      <c r="F12" s="549"/>
      <c r="G12" s="550">
        <v>12700</v>
      </c>
      <c r="H12" s="469"/>
      <c r="I12" s="551">
        <v>2239</v>
      </c>
      <c r="J12" s="469">
        <v>12700</v>
      </c>
      <c r="K12" s="469"/>
      <c r="L12" s="579" t="s">
        <v>1363</v>
      </c>
      <c r="M12" s="552" t="s">
        <v>1364</v>
      </c>
    </row>
    <row r="13" spans="1:15" ht="12.75" customHeight="1" x14ac:dyDescent="0.25">
      <c r="A13" s="1832">
        <v>3</v>
      </c>
      <c r="B13" s="1925" t="s">
        <v>1365</v>
      </c>
      <c r="C13" s="469">
        <v>4700</v>
      </c>
      <c r="D13" s="469"/>
      <c r="E13" s="549">
        <v>4700</v>
      </c>
      <c r="F13" s="549"/>
      <c r="G13" s="550">
        <v>4700</v>
      </c>
      <c r="H13" s="549"/>
      <c r="I13" s="551">
        <v>2312</v>
      </c>
      <c r="J13" s="469">
        <v>4700</v>
      </c>
      <c r="K13" s="469"/>
      <c r="L13" s="1940" t="s">
        <v>1363</v>
      </c>
      <c r="M13" s="1925" t="s">
        <v>1366</v>
      </c>
    </row>
    <row r="14" spans="1:15" ht="12.75" customHeight="1" x14ac:dyDescent="0.25">
      <c r="A14" s="1834"/>
      <c r="B14" s="1939"/>
      <c r="C14" s="469">
        <v>2600</v>
      </c>
      <c r="D14" s="469"/>
      <c r="E14" s="549">
        <v>2600</v>
      </c>
      <c r="F14" s="549"/>
      <c r="G14" s="550">
        <v>2600</v>
      </c>
      <c r="H14" s="549"/>
      <c r="I14" s="551">
        <v>2279</v>
      </c>
      <c r="J14" s="469">
        <v>2600</v>
      </c>
      <c r="K14" s="469"/>
      <c r="L14" s="1941"/>
      <c r="M14" s="1927"/>
    </row>
    <row r="15" spans="1:15" ht="12.75" x14ac:dyDescent="0.25">
      <c r="A15" s="547">
        <v>4</v>
      </c>
      <c r="B15" s="548" t="s">
        <v>1367</v>
      </c>
      <c r="C15" s="469">
        <v>24121</v>
      </c>
      <c r="D15" s="469"/>
      <c r="E15" s="549">
        <v>24121</v>
      </c>
      <c r="F15" s="549"/>
      <c r="G15" s="550">
        <v>28826</v>
      </c>
      <c r="H15" s="469"/>
      <c r="I15" s="551">
        <v>2263</v>
      </c>
      <c r="J15" s="469">
        <v>28826</v>
      </c>
      <c r="K15" s="469"/>
      <c r="L15" s="579" t="s">
        <v>1360</v>
      </c>
      <c r="M15" s="554" t="s">
        <v>1368</v>
      </c>
    </row>
    <row r="16" spans="1:15" ht="12.75" x14ac:dyDescent="0.25">
      <c r="A16" s="547">
        <v>5</v>
      </c>
      <c r="B16" s="548" t="s">
        <v>1369</v>
      </c>
      <c r="C16" s="469">
        <v>3722</v>
      </c>
      <c r="D16" s="469"/>
      <c r="E16" s="549">
        <v>3722</v>
      </c>
      <c r="F16" s="549"/>
      <c r="G16" s="550">
        <v>3956</v>
      </c>
      <c r="H16" s="469"/>
      <c r="I16" s="551">
        <v>2269</v>
      </c>
      <c r="J16" s="469">
        <v>3956</v>
      </c>
      <c r="K16" s="469"/>
      <c r="L16" s="579" t="s">
        <v>1360</v>
      </c>
      <c r="M16" s="554" t="s">
        <v>1370</v>
      </c>
    </row>
    <row r="17" spans="1:14" ht="12.75" x14ac:dyDescent="0.25">
      <c r="A17" s="547">
        <v>6</v>
      </c>
      <c r="B17" s="548" t="s">
        <v>1371</v>
      </c>
      <c r="C17" s="550">
        <v>56846</v>
      </c>
      <c r="D17" s="550">
        <v>37070</v>
      </c>
      <c r="E17" s="550">
        <v>56846</v>
      </c>
      <c r="F17" s="549"/>
      <c r="G17" s="550">
        <v>56846</v>
      </c>
      <c r="H17" s="469">
        <v>37070</v>
      </c>
      <c r="I17" s="551">
        <v>2261</v>
      </c>
      <c r="J17" s="469">
        <v>56846</v>
      </c>
      <c r="K17" s="469">
        <v>37070</v>
      </c>
      <c r="L17" s="579" t="s">
        <v>1360</v>
      </c>
      <c r="M17" s="554" t="s">
        <v>1372</v>
      </c>
    </row>
    <row r="18" spans="1:14" x14ac:dyDescent="0.25">
      <c r="A18" s="1832">
        <v>7</v>
      </c>
      <c r="B18" s="1925" t="s">
        <v>1373</v>
      </c>
      <c r="C18" s="550">
        <v>10551</v>
      </c>
      <c r="D18" s="550"/>
      <c r="E18" s="550">
        <v>11307</v>
      </c>
      <c r="F18" s="549"/>
      <c r="G18" s="550">
        <v>13900</v>
      </c>
      <c r="H18" s="469"/>
      <c r="I18" s="551">
        <v>2221</v>
      </c>
      <c r="J18" s="469">
        <v>12000</v>
      </c>
      <c r="K18" s="550"/>
      <c r="L18" s="1928" t="s">
        <v>1360</v>
      </c>
      <c r="M18" s="1931" t="s">
        <v>1374</v>
      </c>
    </row>
    <row r="19" spans="1:14" x14ac:dyDescent="0.25">
      <c r="A19" s="1833"/>
      <c r="B19" s="1926"/>
      <c r="C19" s="555">
        <v>2006</v>
      </c>
      <c r="D19" s="555"/>
      <c r="E19" s="555">
        <v>2006</v>
      </c>
      <c r="F19" s="556"/>
      <c r="G19" s="555">
        <v>2400</v>
      </c>
      <c r="H19" s="557"/>
      <c r="I19" s="558">
        <v>2222</v>
      </c>
      <c r="J19" s="557">
        <v>2006</v>
      </c>
      <c r="K19" s="555"/>
      <c r="L19" s="1929"/>
      <c r="M19" s="1931"/>
    </row>
    <row r="20" spans="1:14" x14ac:dyDescent="0.25">
      <c r="A20" s="1833"/>
      <c r="B20" s="1926"/>
      <c r="C20" s="555">
        <f>10275+1597</f>
        <v>11872</v>
      </c>
      <c r="D20" s="555"/>
      <c r="E20" s="555">
        <v>11452</v>
      </c>
      <c r="F20" s="556"/>
      <c r="G20" s="555">
        <v>11728</v>
      </c>
      <c r="H20" s="557"/>
      <c r="I20" s="558">
        <v>2223</v>
      </c>
      <c r="J20" s="557">
        <v>13000</v>
      </c>
      <c r="K20" s="555"/>
      <c r="L20" s="1929"/>
      <c r="M20" s="1931"/>
    </row>
    <row r="21" spans="1:14" x14ac:dyDescent="0.25">
      <c r="A21" s="1833"/>
      <c r="B21" s="1926"/>
      <c r="C21" s="555">
        <v>700</v>
      </c>
      <c r="D21" s="555"/>
      <c r="E21" s="555">
        <v>572</v>
      </c>
      <c r="F21" s="556"/>
      <c r="G21" s="555">
        <v>500</v>
      </c>
      <c r="H21" s="557"/>
      <c r="I21" s="558">
        <v>2243</v>
      </c>
      <c r="J21" s="557">
        <v>500</v>
      </c>
      <c r="K21" s="555"/>
      <c r="L21" s="1929"/>
      <c r="M21" s="1931"/>
    </row>
    <row r="22" spans="1:14" hidden="1" x14ac:dyDescent="0.25">
      <c r="A22" s="1833"/>
      <c r="B22" s="1926"/>
      <c r="C22" s="555">
        <v>0</v>
      </c>
      <c r="D22" s="555"/>
      <c r="E22" s="555">
        <v>0</v>
      </c>
      <c r="F22" s="556"/>
      <c r="G22" s="555">
        <v>970</v>
      </c>
      <c r="H22" s="557"/>
      <c r="I22" s="558">
        <v>5239</v>
      </c>
      <c r="J22" s="557"/>
      <c r="K22" s="555"/>
      <c r="L22" s="1929"/>
      <c r="M22" s="1931"/>
    </row>
    <row r="23" spans="1:14" hidden="1" x14ac:dyDescent="0.25">
      <c r="A23" s="1833"/>
      <c r="B23" s="1926"/>
      <c r="C23" s="555">
        <v>0</v>
      </c>
      <c r="D23" s="555"/>
      <c r="E23" s="555">
        <v>0</v>
      </c>
      <c r="F23" s="556"/>
      <c r="G23" s="555">
        <v>10000</v>
      </c>
      <c r="H23" s="557"/>
      <c r="I23" s="558">
        <v>5250</v>
      </c>
      <c r="J23" s="557"/>
      <c r="K23" s="555"/>
      <c r="L23" s="1929"/>
      <c r="M23" s="1931"/>
    </row>
    <row r="24" spans="1:14" x14ac:dyDescent="0.25">
      <c r="A24" s="1833"/>
      <c r="B24" s="1926"/>
      <c r="C24" s="1933">
        <v>298789</v>
      </c>
      <c r="D24" s="555"/>
      <c r="E24" s="555">
        <v>255020</v>
      </c>
      <c r="F24" s="555"/>
      <c r="G24" s="555">
        <v>288586</v>
      </c>
      <c r="H24" s="555"/>
      <c r="I24" s="559">
        <v>2244</v>
      </c>
      <c r="J24" s="555">
        <v>265020</v>
      </c>
      <c r="K24" s="555"/>
      <c r="L24" s="1929"/>
      <c r="M24" s="1931"/>
      <c r="N24" s="560" t="s">
        <v>1375</v>
      </c>
    </row>
    <row r="25" spans="1:14" x14ac:dyDescent="0.25">
      <c r="A25" s="1834"/>
      <c r="B25" s="1927"/>
      <c r="C25" s="1934"/>
      <c r="D25" s="555"/>
      <c r="E25" s="555">
        <v>26853</v>
      </c>
      <c r="F25" s="555"/>
      <c r="G25" s="555">
        <f>63850-10000-970</f>
        <v>52880</v>
      </c>
      <c r="H25" s="555"/>
      <c r="I25" s="559">
        <v>2244</v>
      </c>
      <c r="J25" s="555">
        <v>28000</v>
      </c>
      <c r="K25" s="555"/>
      <c r="L25" s="1930"/>
      <c r="M25" s="1932"/>
      <c r="N25" s="560" t="s">
        <v>1376</v>
      </c>
    </row>
    <row r="26" spans="1:14" ht="12" customHeight="1" x14ac:dyDescent="0.25">
      <c r="A26" s="561">
        <v>8</v>
      </c>
      <c r="B26" s="562" t="s">
        <v>1377</v>
      </c>
      <c r="C26" s="563"/>
      <c r="D26" s="555"/>
      <c r="E26" s="555"/>
      <c r="F26" s="555"/>
      <c r="G26" s="555">
        <v>50000</v>
      </c>
      <c r="H26" s="555"/>
      <c r="I26" s="559">
        <v>2261</v>
      </c>
      <c r="J26" s="555">
        <v>50000</v>
      </c>
      <c r="K26" s="555"/>
      <c r="L26" s="1515" t="s">
        <v>792</v>
      </c>
      <c r="M26" s="564" t="s">
        <v>1378</v>
      </c>
      <c r="N26" s="560"/>
    </row>
    <row r="27" spans="1:14" ht="12" customHeight="1" x14ac:dyDescent="0.25">
      <c r="A27" s="565">
        <v>9</v>
      </c>
      <c r="B27" s="566" t="s">
        <v>1379</v>
      </c>
      <c r="C27" s="567">
        <f>12650-1000</f>
        <v>11650</v>
      </c>
      <c r="D27" s="567"/>
      <c r="E27" s="568">
        <v>11650</v>
      </c>
      <c r="F27" s="568"/>
      <c r="G27" s="569">
        <v>12600</v>
      </c>
      <c r="H27" s="567"/>
      <c r="I27" s="558">
        <v>2247</v>
      </c>
      <c r="J27" s="557">
        <v>12600</v>
      </c>
      <c r="K27" s="557"/>
      <c r="L27" s="1516" t="s">
        <v>1360</v>
      </c>
      <c r="M27" s="570" t="s">
        <v>1380</v>
      </c>
    </row>
    <row r="28" spans="1:14" ht="12" hidden="1" customHeight="1" x14ac:dyDescent="0.25">
      <c r="A28" s="565"/>
      <c r="B28" s="566"/>
      <c r="C28" s="567"/>
      <c r="D28" s="567"/>
      <c r="E28" s="568"/>
      <c r="F28" s="568"/>
      <c r="G28" s="569"/>
      <c r="H28" s="567"/>
      <c r="I28" s="558"/>
      <c r="J28" s="557"/>
      <c r="K28" s="557"/>
      <c r="L28" s="1516"/>
      <c r="M28" s="571" t="s">
        <v>1381</v>
      </c>
    </row>
    <row r="29" spans="1:14" ht="12" customHeight="1" x14ac:dyDescent="0.25">
      <c r="A29" s="572">
        <v>10</v>
      </c>
      <c r="B29" s="548" t="s">
        <v>1382</v>
      </c>
      <c r="C29" s="573">
        <v>16000</v>
      </c>
      <c r="D29" s="573"/>
      <c r="E29" s="574">
        <v>16000</v>
      </c>
      <c r="F29" s="574"/>
      <c r="G29" s="575">
        <v>18000</v>
      </c>
      <c r="H29" s="573"/>
      <c r="I29" s="576">
        <v>2279</v>
      </c>
      <c r="J29" s="469">
        <v>16000</v>
      </c>
      <c r="K29" s="469"/>
      <c r="L29" s="579" t="s">
        <v>1383</v>
      </c>
      <c r="M29" s="577" t="s">
        <v>1384</v>
      </c>
    </row>
    <row r="30" spans="1:14" ht="39" customHeight="1" x14ac:dyDescent="0.25">
      <c r="A30" s="572">
        <v>11</v>
      </c>
      <c r="B30" s="548" t="s">
        <v>1385</v>
      </c>
      <c r="C30" s="573">
        <v>17095</v>
      </c>
      <c r="D30" s="573"/>
      <c r="E30" s="574">
        <v>17095</v>
      </c>
      <c r="F30" s="574"/>
      <c r="G30" s="575">
        <v>20000</v>
      </c>
      <c r="H30" s="573"/>
      <c r="I30" s="551">
        <v>2279</v>
      </c>
      <c r="J30" s="469">
        <v>20000</v>
      </c>
      <c r="K30" s="469"/>
      <c r="L30" s="579" t="s">
        <v>1383</v>
      </c>
      <c r="M30" s="578" t="s">
        <v>1386</v>
      </c>
    </row>
    <row r="31" spans="1:14" ht="85.5" customHeight="1" x14ac:dyDescent="0.25">
      <c r="A31" s="572">
        <v>12</v>
      </c>
      <c r="B31" s="548" t="s">
        <v>1387</v>
      </c>
      <c r="C31" s="573">
        <v>5000</v>
      </c>
      <c r="D31" s="573"/>
      <c r="E31" s="575">
        <v>3500</v>
      </c>
      <c r="F31" s="574"/>
      <c r="G31" s="575">
        <v>7128</v>
      </c>
      <c r="H31" s="573"/>
      <c r="I31" s="576">
        <v>2279</v>
      </c>
      <c r="J31" s="469">
        <v>3500</v>
      </c>
      <c r="K31" s="469"/>
      <c r="L31" s="579" t="s">
        <v>1383</v>
      </c>
      <c r="M31" s="578" t="s">
        <v>1388</v>
      </c>
    </row>
    <row r="32" spans="1:14" ht="15.75" customHeight="1" x14ac:dyDescent="0.25">
      <c r="A32" s="547">
        <v>13</v>
      </c>
      <c r="B32" s="548" t="s">
        <v>1389</v>
      </c>
      <c r="C32" s="469">
        <v>2100</v>
      </c>
      <c r="D32" s="469"/>
      <c r="E32" s="549">
        <v>2100</v>
      </c>
      <c r="F32" s="549"/>
      <c r="G32" s="550">
        <v>2100</v>
      </c>
      <c r="H32" s="469"/>
      <c r="I32" s="551">
        <v>2519</v>
      </c>
      <c r="J32" s="469">
        <v>2100</v>
      </c>
      <c r="K32" s="469"/>
      <c r="L32" s="579" t="s">
        <v>1383</v>
      </c>
      <c r="M32" s="578" t="s">
        <v>1390</v>
      </c>
    </row>
    <row r="33" spans="1:13" ht="48" x14ac:dyDescent="0.25">
      <c r="A33" s="547">
        <v>14</v>
      </c>
      <c r="B33" s="548" t="s">
        <v>1391</v>
      </c>
      <c r="C33" s="469">
        <v>1000</v>
      </c>
      <c r="D33" s="469"/>
      <c r="E33" s="550">
        <v>1000</v>
      </c>
      <c r="F33" s="549"/>
      <c r="G33" s="550">
        <v>1000</v>
      </c>
      <c r="H33" s="469"/>
      <c r="I33" s="551">
        <v>2276</v>
      </c>
      <c r="J33" s="469">
        <v>1000</v>
      </c>
      <c r="K33" s="469"/>
      <c r="L33" s="579" t="s">
        <v>1383</v>
      </c>
      <c r="M33" s="578" t="s">
        <v>1392</v>
      </c>
    </row>
    <row r="34" spans="1:13" ht="15" customHeight="1" x14ac:dyDescent="0.25">
      <c r="A34" s="547">
        <v>15</v>
      </c>
      <c r="B34" s="548" t="s">
        <v>1393</v>
      </c>
      <c r="C34" s="469">
        <v>1000</v>
      </c>
      <c r="D34" s="469"/>
      <c r="E34" s="550">
        <v>1000</v>
      </c>
      <c r="F34" s="549"/>
      <c r="G34" s="550">
        <v>1000</v>
      </c>
      <c r="H34" s="469"/>
      <c r="I34" s="551">
        <v>2279</v>
      </c>
      <c r="J34" s="469">
        <v>1000</v>
      </c>
      <c r="K34" s="469"/>
      <c r="L34" s="579" t="s">
        <v>1383</v>
      </c>
      <c r="M34" s="578" t="s">
        <v>1394</v>
      </c>
    </row>
    <row r="35" spans="1:13" ht="15" hidden="1" customHeight="1" x14ac:dyDescent="0.25">
      <c r="A35" s="547">
        <v>16</v>
      </c>
      <c r="B35" s="578" t="s">
        <v>1395</v>
      </c>
      <c r="C35" s="469">
        <f>1202-597</f>
        <v>605</v>
      </c>
      <c r="D35" s="469"/>
      <c r="E35" s="550">
        <v>605</v>
      </c>
      <c r="F35" s="549"/>
      <c r="G35" s="550">
        <v>0</v>
      </c>
      <c r="H35" s="469"/>
      <c r="I35" s="551">
        <v>5240</v>
      </c>
      <c r="J35" s="469"/>
      <c r="K35" s="469"/>
      <c r="L35" s="579" t="s">
        <v>855</v>
      </c>
      <c r="M35" s="578" t="s">
        <v>1396</v>
      </c>
    </row>
    <row r="36" spans="1:13" x14ac:dyDescent="0.25">
      <c r="A36" s="580"/>
      <c r="B36" s="580"/>
      <c r="C36" s="581"/>
      <c r="D36" s="581"/>
      <c r="E36" s="582"/>
      <c r="F36" s="582"/>
      <c r="G36" s="583"/>
      <c r="H36" s="581"/>
      <c r="I36" s="584"/>
      <c r="J36" s="581"/>
      <c r="K36" s="581"/>
      <c r="L36" s="585"/>
      <c r="M36" s="586"/>
    </row>
    <row r="37" spans="1:13" s="589" customFormat="1" ht="14.25" hidden="1" x14ac:dyDescent="0.25">
      <c r="A37" s="1935" t="s">
        <v>1397</v>
      </c>
      <c r="B37" s="1935"/>
      <c r="C37" s="587"/>
      <c r="D37" s="587"/>
      <c r="E37" s="587"/>
      <c r="F37" s="587"/>
      <c r="G37" s="588"/>
      <c r="H37" s="587"/>
      <c r="I37" s="587"/>
      <c r="J37" s="587"/>
      <c r="K37" s="587"/>
      <c r="L37" s="587"/>
      <c r="M37" s="587"/>
    </row>
    <row r="38" spans="1:13" hidden="1" x14ac:dyDescent="0.25">
      <c r="A38" s="1916" t="s">
        <v>129</v>
      </c>
      <c r="B38" s="1916"/>
      <c r="C38" s="1916" t="s">
        <v>1358</v>
      </c>
      <c r="D38" s="1916"/>
      <c r="E38" s="1916"/>
      <c r="F38" s="1916"/>
      <c r="G38" s="1916"/>
      <c r="H38" s="1916"/>
      <c r="I38" s="1916"/>
      <c r="J38" s="1916"/>
      <c r="K38" s="1916"/>
      <c r="L38" s="1916"/>
      <c r="M38" s="1916"/>
    </row>
    <row r="39" spans="1:13" hidden="1" x14ac:dyDescent="0.25">
      <c r="A39" s="1916" t="s">
        <v>131</v>
      </c>
      <c r="B39" s="1916"/>
      <c r="C39" s="1936" t="s">
        <v>1398</v>
      </c>
      <c r="D39" s="1936"/>
      <c r="E39" s="1936"/>
      <c r="F39" s="1936"/>
      <c r="G39" s="1936"/>
      <c r="H39" s="1936"/>
      <c r="I39" s="1936"/>
      <c r="J39" s="1936"/>
      <c r="K39" s="1936"/>
      <c r="L39" s="590"/>
      <c r="M39" s="560"/>
    </row>
    <row r="40" spans="1:13" ht="84" hidden="1" x14ac:dyDescent="0.25">
      <c r="A40" s="542" t="s">
        <v>4</v>
      </c>
      <c r="B40" s="542" t="s">
        <v>133</v>
      </c>
      <c r="C40" s="542" t="s">
        <v>17</v>
      </c>
      <c r="D40" s="542" t="s">
        <v>15</v>
      </c>
      <c r="E40" s="542" t="s">
        <v>134</v>
      </c>
      <c r="F40" s="542" t="s">
        <v>135</v>
      </c>
      <c r="G40" s="543" t="s">
        <v>136</v>
      </c>
      <c r="H40" s="542" t="s">
        <v>14</v>
      </c>
      <c r="I40" s="1924" t="s">
        <v>137</v>
      </c>
      <c r="J40" s="1924"/>
      <c r="K40" s="1924"/>
      <c r="L40" s="591"/>
      <c r="M40" s="591"/>
    </row>
    <row r="41" spans="1:13" hidden="1" x14ac:dyDescent="0.25">
      <c r="A41" s="1917" t="s">
        <v>138</v>
      </c>
      <c r="B41" s="1917"/>
      <c r="C41" s="544">
        <f>SUM(C42:C47)</f>
        <v>1537030</v>
      </c>
      <c r="D41" s="544">
        <f>SUM(D42:D47)</f>
        <v>0</v>
      </c>
      <c r="E41" s="544">
        <f>SUM(E42:E47)</f>
        <v>1354459</v>
      </c>
      <c r="F41" s="544"/>
      <c r="G41" s="545"/>
      <c r="H41" s="544"/>
      <c r="I41" s="1881"/>
      <c r="J41" s="1881"/>
      <c r="K41" s="1881"/>
      <c r="L41" s="592"/>
      <c r="M41" s="586"/>
    </row>
    <row r="42" spans="1:13" ht="60" hidden="1" customHeight="1" x14ac:dyDescent="0.25">
      <c r="A42" s="1881">
        <v>1</v>
      </c>
      <c r="B42" s="1919" t="s">
        <v>1399</v>
      </c>
      <c r="C42" s="467">
        <v>1000000</v>
      </c>
      <c r="D42" s="467"/>
      <c r="E42" s="467">
        <v>898310</v>
      </c>
      <c r="F42" s="467"/>
      <c r="G42" s="593"/>
      <c r="H42" s="467"/>
      <c r="I42" s="1921" t="s">
        <v>1400</v>
      </c>
      <c r="J42" s="1921"/>
      <c r="K42" s="1921"/>
      <c r="L42" s="585"/>
      <c r="M42" s="586"/>
    </row>
    <row r="43" spans="1:13" ht="24.75" hidden="1" customHeight="1" x14ac:dyDescent="0.25">
      <c r="A43" s="1918"/>
      <c r="B43" s="1920"/>
      <c r="C43" s="467"/>
      <c r="D43" s="467"/>
      <c r="E43" s="467"/>
      <c r="F43" s="467"/>
      <c r="G43" s="593"/>
      <c r="H43" s="467"/>
      <c r="I43" s="1922" t="s">
        <v>1401</v>
      </c>
      <c r="J43" s="1923"/>
      <c r="K43" s="1923"/>
      <c r="L43" s="585"/>
      <c r="M43" s="586"/>
    </row>
    <row r="44" spans="1:13" ht="36.75" hidden="1" customHeight="1" x14ac:dyDescent="0.25">
      <c r="A44" s="594">
        <v>2</v>
      </c>
      <c r="B44" s="595" t="s">
        <v>1402</v>
      </c>
      <c r="C44" s="595">
        <v>204559</v>
      </c>
      <c r="D44" s="595"/>
      <c r="E44" s="595">
        <v>186574</v>
      </c>
      <c r="F44" s="595"/>
      <c r="G44" s="596"/>
      <c r="H44" s="595"/>
      <c r="I44" s="1911" t="s">
        <v>1403</v>
      </c>
      <c r="J44" s="1912"/>
      <c r="K44" s="1913"/>
    </row>
    <row r="45" spans="1:13" ht="51.75" hidden="1" customHeight="1" x14ac:dyDescent="0.25">
      <c r="A45" s="547">
        <v>3</v>
      </c>
      <c r="B45" s="578" t="s">
        <v>1404</v>
      </c>
      <c r="C45" s="467">
        <v>39929</v>
      </c>
      <c r="D45" s="467"/>
      <c r="E45" s="467">
        <v>23285</v>
      </c>
      <c r="F45" s="467"/>
      <c r="G45" s="593"/>
      <c r="H45" s="467"/>
      <c r="I45" s="597" t="s">
        <v>1405</v>
      </c>
      <c r="J45" s="1914" t="s">
        <v>1406</v>
      </c>
      <c r="K45" s="1915"/>
      <c r="L45" s="585"/>
      <c r="M45" s="586"/>
    </row>
    <row r="46" spans="1:13" ht="12.75" hidden="1" x14ac:dyDescent="0.25">
      <c r="A46" s="547">
        <v>4</v>
      </c>
      <c r="B46" s="578" t="s">
        <v>1371</v>
      </c>
      <c r="C46" s="467">
        <v>39470</v>
      </c>
      <c r="D46" s="467"/>
      <c r="E46" s="467">
        <v>39722</v>
      </c>
      <c r="F46" s="467"/>
      <c r="G46" s="593"/>
      <c r="H46" s="467"/>
      <c r="I46" s="598"/>
      <c r="J46" s="599"/>
      <c r="K46" s="599"/>
      <c r="L46" s="585"/>
      <c r="M46" s="586"/>
    </row>
    <row r="47" spans="1:13" ht="12.75" hidden="1" x14ac:dyDescent="0.25">
      <c r="A47" s="547">
        <v>5</v>
      </c>
      <c r="B47" s="578" t="s">
        <v>1367</v>
      </c>
      <c r="C47" s="467">
        <v>253072</v>
      </c>
      <c r="D47" s="467"/>
      <c r="E47" s="467">
        <v>206568</v>
      </c>
      <c r="F47" s="467"/>
      <c r="G47" s="593"/>
      <c r="H47" s="467"/>
      <c r="I47" s="598"/>
      <c r="J47" s="599"/>
      <c r="K47" s="599"/>
      <c r="L47" s="585"/>
      <c r="M47" s="586"/>
    </row>
    <row r="48" spans="1:13" hidden="1" x14ac:dyDescent="0.25">
      <c r="E48" s="553"/>
    </row>
    <row r="49" spans="1:6" x14ac:dyDescent="0.25">
      <c r="A49" s="1916" t="s">
        <v>455</v>
      </c>
      <c r="B49" s="1916"/>
    </row>
    <row r="50" spans="1:6" x14ac:dyDescent="0.25">
      <c r="A50" s="539" t="s">
        <v>505</v>
      </c>
      <c r="F50" s="589"/>
    </row>
    <row r="51" spans="1:6" x14ac:dyDescent="0.25">
      <c r="A51" s="589"/>
      <c r="B51" s="589"/>
      <c r="C51" s="589"/>
      <c r="D51" s="589"/>
      <c r="E51" s="589"/>
      <c r="F51" s="589"/>
    </row>
    <row r="52" spans="1:6" x14ac:dyDescent="0.25">
      <c r="A52" s="560" t="s">
        <v>117</v>
      </c>
    </row>
    <row r="53" spans="1:6" x14ac:dyDescent="0.25">
      <c r="A53" s="539" t="s">
        <v>1407</v>
      </c>
      <c r="B53" s="1517"/>
    </row>
    <row r="54" spans="1:6" x14ac:dyDescent="0.25">
      <c r="B54" s="1517" t="s">
        <v>1408</v>
      </c>
    </row>
    <row r="55" spans="1:6" x14ac:dyDescent="0.25">
      <c r="B55" s="1517" t="s">
        <v>1409</v>
      </c>
    </row>
    <row r="56" spans="1:6" x14ac:dyDescent="0.25">
      <c r="B56" s="1517" t="s">
        <v>732</v>
      </c>
    </row>
    <row r="57" spans="1:6" x14ac:dyDescent="0.25">
      <c r="B57" s="1517" t="s">
        <v>1342</v>
      </c>
    </row>
    <row r="58" spans="1:6" x14ac:dyDescent="0.25">
      <c r="A58" s="539" t="s">
        <v>3521</v>
      </c>
      <c r="B58" s="1517"/>
    </row>
    <row r="59" spans="1:6" x14ac:dyDescent="0.25">
      <c r="B59" s="1517" t="s">
        <v>3522</v>
      </c>
    </row>
    <row r="60" spans="1:6" x14ac:dyDescent="0.25">
      <c r="B60" s="1517" t="s">
        <v>3523</v>
      </c>
    </row>
    <row r="61" spans="1:6" x14ac:dyDescent="0.25">
      <c r="A61" s="539" t="s">
        <v>1410</v>
      </c>
      <c r="B61" s="1517"/>
    </row>
    <row r="62" spans="1:6" x14ac:dyDescent="0.25">
      <c r="B62" s="1517" t="s">
        <v>1411</v>
      </c>
    </row>
    <row r="63" spans="1:6" x14ac:dyDescent="0.25">
      <c r="B63" s="1517" t="s">
        <v>1412</v>
      </c>
    </row>
    <row r="67" spans="5:5" x14ac:dyDescent="0.25">
      <c r="E67" s="539" t="s">
        <v>768</v>
      </c>
    </row>
  </sheetData>
  <sheetProtection algorithmName="SHA-512" hashValue="X4evm3F6ZVTrcf89hX1DjgL/BupbE1H1Jc9iXw1RMLYSRsYKKhEUkhcMJftdVeY7uSqRPlyFMnfAZBDH1tRcww==" saltValue="OLOy/MMzwzk9VOA5djY9kA==" spinCount="100000" sheet="1" objects="1" scenarios="1"/>
  <mergeCells count="45">
    <mergeCell ref="A5:B5"/>
    <mergeCell ref="C5:M5"/>
    <mergeCell ref="A1:B1"/>
    <mergeCell ref="C1:M1"/>
    <mergeCell ref="A2:B2"/>
    <mergeCell ref="C2:M2"/>
    <mergeCell ref="A3:M3"/>
    <mergeCell ref="A6:B6"/>
    <mergeCell ref="C6:M6"/>
    <mergeCell ref="A7:B7"/>
    <mergeCell ref="C7:M7"/>
    <mergeCell ref="A8:A9"/>
    <mergeCell ref="B8:B9"/>
    <mergeCell ref="C8:D8"/>
    <mergeCell ref="E8:F8"/>
    <mergeCell ref="G8:H8"/>
    <mergeCell ref="I8:I9"/>
    <mergeCell ref="J8:K8"/>
    <mergeCell ref="L8:L9"/>
    <mergeCell ref="M8:M9"/>
    <mergeCell ref="A10:B10"/>
    <mergeCell ref="A13:A14"/>
    <mergeCell ref="B13:B14"/>
    <mergeCell ref="L13:L14"/>
    <mergeCell ref="M13:M14"/>
    <mergeCell ref="I40:K40"/>
    <mergeCell ref="A18:A25"/>
    <mergeCell ref="B18:B25"/>
    <mergeCell ref="L18:L25"/>
    <mergeCell ref="M18:M25"/>
    <mergeCell ref="C24:C25"/>
    <mergeCell ref="A37:B37"/>
    <mergeCell ref="A38:B38"/>
    <mergeCell ref="C38:M38"/>
    <mergeCell ref="A39:B39"/>
    <mergeCell ref="C39:K39"/>
    <mergeCell ref="I44:K44"/>
    <mergeCell ref="J45:K45"/>
    <mergeCell ref="A49:B49"/>
    <mergeCell ref="A41:B41"/>
    <mergeCell ref="I41:K41"/>
    <mergeCell ref="A42:A43"/>
    <mergeCell ref="B42:B43"/>
    <mergeCell ref="I42:K42"/>
    <mergeCell ref="I43:K43"/>
  </mergeCells>
  <hyperlinks>
    <hyperlink ref="M15" location="'Zemes noma'!A1" display="skatīt pielikumu Zemes noma"/>
    <hyperlink ref="M16" location="NIN_kompensacija!A1" display="skatīt pielikumu NĪN kompensācija"/>
    <hyperlink ref="M17" location="'Telpu noma'!A1" display="skatīt pielikumu Telpu noma"/>
    <hyperlink ref="I43:K43" location="'Atsavināmie ieņēmumi'!A1" display="skat.pielikumu: Atsavināmie ieņēmumi"/>
    <hyperlink ref="I44" location="Pludmales_ienemumi!A1" display="skat.pielikumu: Pludmales ieņēmumi"/>
    <hyperlink ref="M28" location="Apdrošināšana!A1" display="skat.pielikumu: Apdrošināšana"/>
    <hyperlink ref="M18:M25" location="Pārvaldīšana!A1" display="skatīt pielikumu: Pārvaldīšana"/>
  </hyperlink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12.pielikums Jūrmalas pilsētas domes
2018.gada 18.decembra saistošajiem noteikumiem Nr.44
(protokols Nr.17, 2.punkts)</oddHeader>
    <oddFooter xml:space="preserve">&amp;R&amp;"Times New Roman,Regular"&amp;8&amp;P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1"/>
  <sheetViews>
    <sheetView view="pageLayout" zoomScaleNormal="100" workbookViewId="0">
      <selection activeCell="O8" sqref="O8"/>
    </sheetView>
  </sheetViews>
  <sheetFormatPr defaultRowHeight="12" x14ac:dyDescent="0.25"/>
  <cols>
    <col min="1" max="1" width="6.140625" style="403" customWidth="1"/>
    <col min="2" max="2" width="17.28515625" style="403" customWidth="1"/>
    <col min="3" max="3" width="12.42578125" style="403" customWidth="1"/>
    <col min="4" max="4" width="11.85546875" style="403" hidden="1" customWidth="1"/>
    <col min="5" max="5" width="11.140625" style="403" hidden="1" customWidth="1"/>
    <col min="6" max="6" width="10.28515625" style="403" hidden="1" customWidth="1"/>
    <col min="7" max="7" width="10.5703125" style="403" customWidth="1"/>
    <col min="8" max="8" width="9.7109375" style="403" customWidth="1"/>
    <col min="9" max="9" width="17.85546875" style="403" customWidth="1"/>
    <col min="10" max="10" width="32.5703125" style="403" hidden="1" customWidth="1"/>
    <col min="11" max="16384" width="9.140625" style="403"/>
  </cols>
  <sheetData>
    <row r="1" spans="1:10" x14ac:dyDescent="0.25">
      <c r="A1" s="1962" t="s">
        <v>124</v>
      </c>
      <c r="B1" s="1962"/>
      <c r="C1" s="1962" t="s">
        <v>125</v>
      </c>
      <c r="D1" s="1962"/>
      <c r="E1" s="1962"/>
      <c r="F1" s="1962"/>
      <c r="G1" s="1962"/>
      <c r="H1" s="1962"/>
      <c r="I1" s="1962"/>
      <c r="J1" s="1962"/>
    </row>
    <row r="2" spans="1:10" x14ac:dyDescent="0.25">
      <c r="A2" s="1962" t="s">
        <v>126</v>
      </c>
      <c r="B2" s="1962"/>
      <c r="C2" s="1962">
        <v>90000056357</v>
      </c>
      <c r="D2" s="1962"/>
      <c r="E2" s="1962"/>
      <c r="F2" s="1962"/>
      <c r="G2" s="1962"/>
      <c r="H2" s="1962"/>
      <c r="I2" s="1962"/>
      <c r="J2" s="1962"/>
    </row>
    <row r="3" spans="1:10" ht="15.75" x14ac:dyDescent="0.25">
      <c r="A3" s="1964" t="s">
        <v>3640</v>
      </c>
      <c r="B3" s="1964"/>
      <c r="C3" s="1964"/>
      <c r="D3" s="1964"/>
      <c r="E3" s="1964"/>
      <c r="F3" s="1964"/>
      <c r="G3" s="1964"/>
      <c r="H3" s="1964"/>
      <c r="I3" s="1964"/>
      <c r="J3" s="1964"/>
    </row>
    <row r="4" spans="1:10" ht="15.75" x14ac:dyDescent="0.25">
      <c r="A4" s="601"/>
      <c r="B4" s="601"/>
      <c r="C4" s="601"/>
      <c r="D4" s="601"/>
      <c r="E4" s="601"/>
      <c r="F4" s="601"/>
      <c r="G4" s="601"/>
      <c r="H4" s="601"/>
      <c r="I4" s="601"/>
      <c r="J4" s="601"/>
    </row>
    <row r="5" spans="1:10" ht="15.75" x14ac:dyDescent="0.25">
      <c r="A5" s="1962" t="s">
        <v>440</v>
      </c>
      <c r="B5" s="1962"/>
      <c r="C5" s="1963" t="s">
        <v>1413</v>
      </c>
      <c r="D5" s="1963"/>
      <c r="E5" s="1963"/>
      <c r="F5" s="1963"/>
      <c r="G5" s="1963"/>
      <c r="H5" s="1963"/>
      <c r="I5" s="1963"/>
      <c r="J5" s="1963"/>
    </row>
    <row r="6" spans="1:10" x14ac:dyDescent="0.25">
      <c r="A6" s="1962" t="s">
        <v>129</v>
      </c>
      <c r="B6" s="1962"/>
      <c r="C6" s="1962" t="s">
        <v>1358</v>
      </c>
      <c r="D6" s="1962"/>
      <c r="E6" s="1962"/>
      <c r="F6" s="1962"/>
      <c r="G6" s="1962"/>
      <c r="H6" s="1962"/>
      <c r="I6" s="1962"/>
      <c r="J6" s="1962"/>
    </row>
    <row r="7" spans="1:10" x14ac:dyDescent="0.25">
      <c r="A7" s="1962" t="s">
        <v>131</v>
      </c>
      <c r="B7" s="1962"/>
      <c r="C7" s="602" t="s">
        <v>154</v>
      </c>
      <c r="D7" s="603"/>
      <c r="E7" s="603"/>
      <c r="F7" s="603"/>
      <c r="G7" s="603"/>
      <c r="H7" s="603"/>
      <c r="I7" s="603"/>
      <c r="J7" s="603"/>
    </row>
    <row r="8" spans="1:10" ht="48" x14ac:dyDescent="0.25">
      <c r="A8" s="426" t="s">
        <v>4</v>
      </c>
      <c r="B8" s="1953" t="s">
        <v>133</v>
      </c>
      <c r="C8" s="1954"/>
      <c r="D8" s="426" t="s">
        <v>17</v>
      </c>
      <c r="E8" s="426" t="s">
        <v>15</v>
      </c>
      <c r="F8" s="426" t="s">
        <v>134</v>
      </c>
      <c r="G8" s="426" t="s">
        <v>135</v>
      </c>
      <c r="H8" s="426" t="s">
        <v>3465</v>
      </c>
      <c r="I8" s="426" t="s">
        <v>14</v>
      </c>
      <c r="J8" s="426" t="s">
        <v>137</v>
      </c>
    </row>
    <row r="9" spans="1:10" ht="12.75" customHeight="1" x14ac:dyDescent="0.25">
      <c r="A9" s="1955" t="s">
        <v>138</v>
      </c>
      <c r="B9" s="1956"/>
      <c r="C9" s="1957"/>
      <c r="D9" s="427">
        <f>SUM(D10:D14)</f>
        <v>384040</v>
      </c>
      <c r="E9" s="427">
        <f>SUM(E10:E14)</f>
        <v>384040</v>
      </c>
      <c r="F9" s="427">
        <f>SUM(F10:F14)</f>
        <v>364770</v>
      </c>
      <c r="G9" s="427"/>
      <c r="H9" s="427">
        <f>SUM(H10:H14)</f>
        <v>314770</v>
      </c>
      <c r="I9" s="427"/>
      <c r="J9" s="455"/>
    </row>
    <row r="10" spans="1:10" ht="36.75" customHeight="1" x14ac:dyDescent="0.25">
      <c r="A10" s="470">
        <v>1</v>
      </c>
      <c r="B10" s="1757" t="s">
        <v>1414</v>
      </c>
      <c r="C10" s="1758"/>
      <c r="D10" s="604">
        <f>120000+10000</f>
        <v>130000</v>
      </c>
      <c r="E10" s="604">
        <v>130000</v>
      </c>
      <c r="F10" s="604">
        <v>130000</v>
      </c>
      <c r="G10" s="605">
        <v>2244</v>
      </c>
      <c r="H10" s="604">
        <f>130000-50000</f>
        <v>80000</v>
      </c>
      <c r="I10" s="1894" t="s">
        <v>819</v>
      </c>
      <c r="J10" s="607" t="s">
        <v>1415</v>
      </c>
    </row>
    <row r="11" spans="1:10" ht="75.75" customHeight="1" x14ac:dyDescent="0.25">
      <c r="A11" s="470">
        <v>2</v>
      </c>
      <c r="B11" s="1757" t="s">
        <v>3524</v>
      </c>
      <c r="C11" s="1758"/>
      <c r="D11" s="604">
        <f>326700-114000</f>
        <v>212700</v>
      </c>
      <c r="E11" s="604">
        <v>212700</v>
      </c>
      <c r="F11" s="604">
        <v>212700</v>
      </c>
      <c r="G11" s="605">
        <v>2244</v>
      </c>
      <c r="H11" s="604">
        <v>212700</v>
      </c>
      <c r="I11" s="1895"/>
      <c r="J11" s="608" t="s">
        <v>1416</v>
      </c>
    </row>
    <row r="12" spans="1:10" ht="49.5" customHeight="1" x14ac:dyDescent="0.25">
      <c r="A12" s="473">
        <v>3</v>
      </c>
      <c r="B12" s="1764" t="s">
        <v>1417</v>
      </c>
      <c r="C12" s="1765"/>
      <c r="D12" s="609">
        <f>53340-12000</f>
        <v>41340</v>
      </c>
      <c r="E12" s="609">
        <v>41340</v>
      </c>
      <c r="F12" s="609">
        <v>20000</v>
      </c>
      <c r="G12" s="610">
        <v>2244</v>
      </c>
      <c r="H12" s="609">
        <v>20000</v>
      </c>
      <c r="I12" s="1895"/>
      <c r="J12" s="611" t="s">
        <v>1418</v>
      </c>
    </row>
    <row r="13" spans="1:10" ht="18" customHeight="1" x14ac:dyDescent="0.25">
      <c r="A13" s="1762">
        <v>4</v>
      </c>
      <c r="B13" s="1764" t="s">
        <v>1419</v>
      </c>
      <c r="C13" s="1765"/>
      <c r="D13" s="604">
        <v>0</v>
      </c>
      <c r="E13" s="604">
        <v>0</v>
      </c>
      <c r="F13" s="604">
        <v>120</v>
      </c>
      <c r="G13" s="605">
        <v>2519</v>
      </c>
      <c r="H13" s="604">
        <v>120</v>
      </c>
      <c r="I13" s="1895"/>
      <c r="J13" s="1960" t="s">
        <v>1420</v>
      </c>
    </row>
    <row r="14" spans="1:10" ht="21" customHeight="1" x14ac:dyDescent="0.25">
      <c r="A14" s="1779"/>
      <c r="B14" s="1820"/>
      <c r="C14" s="1821"/>
      <c r="D14" s="604">
        <v>0</v>
      </c>
      <c r="E14" s="604">
        <v>0</v>
      </c>
      <c r="F14" s="604">
        <v>1950</v>
      </c>
      <c r="G14" s="605">
        <v>2276</v>
      </c>
      <c r="H14" s="604">
        <v>1950</v>
      </c>
      <c r="I14" s="1896"/>
      <c r="J14" s="1961"/>
    </row>
    <row r="15" spans="1:10" ht="12.75" customHeight="1" x14ac:dyDescent="0.25">
      <c r="A15" s="612"/>
      <c r="B15" s="442"/>
      <c r="C15" s="442"/>
      <c r="D15" s="613"/>
      <c r="E15" s="613"/>
      <c r="F15" s="613"/>
      <c r="G15" s="614"/>
      <c r="H15" s="613"/>
      <c r="I15" s="615"/>
      <c r="J15" s="442"/>
    </row>
    <row r="16" spans="1:10" ht="12.75" hidden="1" customHeight="1" x14ac:dyDescent="0.25">
      <c r="A16" s="1951" t="s">
        <v>1421</v>
      </c>
      <c r="B16" s="1952"/>
      <c r="C16" s="1952"/>
      <c r="D16" s="1952"/>
      <c r="E16" s="616"/>
      <c r="F16" s="616"/>
      <c r="G16" s="616"/>
      <c r="H16" s="617"/>
      <c r="I16" s="617"/>
      <c r="J16" s="616"/>
    </row>
    <row r="17" spans="1:10" ht="48" hidden="1" x14ac:dyDescent="0.25">
      <c r="A17" s="426" t="s">
        <v>4</v>
      </c>
      <c r="B17" s="1953" t="s">
        <v>133</v>
      </c>
      <c r="C17" s="1954"/>
      <c r="D17" s="426" t="s">
        <v>17</v>
      </c>
      <c r="E17" s="426" t="s">
        <v>15</v>
      </c>
      <c r="F17" s="618" t="s">
        <v>134</v>
      </c>
      <c r="G17" s="426" t="s">
        <v>135</v>
      </c>
      <c r="H17" s="426" t="s">
        <v>136</v>
      </c>
      <c r="I17" s="426" t="s">
        <v>14</v>
      </c>
      <c r="J17" s="426" t="s">
        <v>137</v>
      </c>
    </row>
    <row r="18" spans="1:10" hidden="1" x14ac:dyDescent="0.25">
      <c r="A18" s="1955" t="s">
        <v>138</v>
      </c>
      <c r="B18" s="1956"/>
      <c r="C18" s="1957"/>
      <c r="D18" s="494">
        <f>SUM(D19:D21)</f>
        <v>4530</v>
      </c>
      <c r="E18" s="494">
        <f>SUM(E19:E21)</f>
        <v>3450</v>
      </c>
      <c r="F18" s="494">
        <f>SUM(F19:F21)</f>
        <v>3930</v>
      </c>
      <c r="G18" s="494"/>
      <c r="H18" s="494">
        <f>SUM(H19:H21)</f>
        <v>0</v>
      </c>
      <c r="I18" s="427"/>
      <c r="J18" s="455"/>
    </row>
    <row r="19" spans="1:10" ht="21.75" hidden="1" customHeight="1" x14ac:dyDescent="0.25">
      <c r="A19" s="470">
        <v>1</v>
      </c>
      <c r="B19" s="1958" t="s">
        <v>1422</v>
      </c>
      <c r="C19" s="1959"/>
      <c r="D19" s="619">
        <v>4000</v>
      </c>
      <c r="E19" s="619">
        <v>3100</v>
      </c>
      <c r="F19" s="620">
        <v>3500</v>
      </c>
      <c r="G19" s="619"/>
      <c r="H19" s="619"/>
      <c r="I19" s="483"/>
      <c r="J19" s="455"/>
    </row>
    <row r="20" spans="1:10" ht="30" hidden="1" customHeight="1" x14ac:dyDescent="0.25">
      <c r="A20" s="470">
        <v>2</v>
      </c>
      <c r="B20" s="1958" t="s">
        <v>1423</v>
      </c>
      <c r="C20" s="1959"/>
      <c r="D20" s="619">
        <v>500</v>
      </c>
      <c r="E20" s="619">
        <v>350</v>
      </c>
      <c r="F20" s="619">
        <v>400</v>
      </c>
      <c r="G20" s="619"/>
      <c r="H20" s="619"/>
      <c r="I20" s="483"/>
      <c r="J20" s="455"/>
    </row>
    <row r="21" spans="1:10" ht="24.75" hidden="1" customHeight="1" x14ac:dyDescent="0.25">
      <c r="A21" s="470">
        <v>3</v>
      </c>
      <c r="B21" s="1958" t="s">
        <v>1424</v>
      </c>
      <c r="C21" s="1959"/>
      <c r="D21" s="619">
        <v>30</v>
      </c>
      <c r="E21" s="619">
        <v>0</v>
      </c>
      <c r="F21" s="619">
        <v>30</v>
      </c>
      <c r="G21" s="619"/>
      <c r="H21" s="619"/>
      <c r="I21" s="483"/>
      <c r="J21" s="455"/>
    </row>
    <row r="22" spans="1:10" hidden="1" x14ac:dyDescent="0.25"/>
    <row r="23" spans="1:10" x14ac:dyDescent="0.25">
      <c r="A23" s="403" t="s">
        <v>455</v>
      </c>
      <c r="C23" s="1950"/>
      <c r="D23" s="1950"/>
      <c r="E23" s="1950"/>
      <c r="F23" s="1950"/>
      <c r="G23" s="1950"/>
      <c r="H23" s="1950"/>
      <c r="I23" s="1950"/>
      <c r="J23" s="1950"/>
    </row>
    <row r="24" spans="1:10" x14ac:dyDescent="0.25">
      <c r="A24" s="403" t="s">
        <v>505</v>
      </c>
    </row>
    <row r="25" spans="1:10" ht="12" customHeight="1" x14ac:dyDescent="0.25"/>
    <row r="26" spans="1:10" ht="12" customHeight="1" x14ac:dyDescent="0.25">
      <c r="A26" s="804" t="s">
        <v>117</v>
      </c>
    </row>
    <row r="27" spans="1:10" x14ac:dyDescent="0.25">
      <c r="A27" s="403" t="s">
        <v>1425</v>
      </c>
    </row>
    <row r="28" spans="1:10" ht="12" customHeight="1" x14ac:dyDescent="0.25">
      <c r="A28" s="621" t="s">
        <v>1426</v>
      </c>
      <c r="B28" s="621"/>
      <c r="C28" s="621"/>
      <c r="D28" s="621"/>
      <c r="E28" s="621"/>
      <c r="F28" s="621"/>
      <c r="G28" s="621"/>
      <c r="H28" s="621"/>
      <c r="I28" s="621"/>
      <c r="J28" s="621"/>
    </row>
    <row r="29" spans="1:10" x14ac:dyDescent="0.25">
      <c r="A29" s="621" t="s">
        <v>1427</v>
      </c>
      <c r="B29" s="621"/>
      <c r="C29" s="621"/>
      <c r="D29" s="621"/>
      <c r="E29" s="621"/>
      <c r="F29" s="621"/>
      <c r="G29" s="621"/>
      <c r="H29" s="621"/>
      <c r="I29" s="621"/>
      <c r="J29" s="621"/>
    </row>
    <row r="30" spans="1:10" x14ac:dyDescent="0.25">
      <c r="A30" s="621"/>
      <c r="B30" s="621"/>
      <c r="C30" s="621"/>
      <c r="D30" s="621"/>
      <c r="E30" s="621"/>
      <c r="F30" s="621"/>
      <c r="G30" s="621"/>
      <c r="H30" s="621"/>
      <c r="I30" s="621"/>
      <c r="J30" s="621"/>
    </row>
    <row r="59" spans="11:11" x14ac:dyDescent="0.25">
      <c r="K59" s="621"/>
    </row>
    <row r="60" spans="11:11" x14ac:dyDescent="0.25">
      <c r="K60" s="621"/>
    </row>
    <row r="61" spans="11:11" x14ac:dyDescent="0.25">
      <c r="K61" s="621"/>
    </row>
  </sheetData>
  <sheetProtection algorithmName="SHA-512" hashValue="SqrQoogS50NKw8uqvbyVIzqN7kP46QqbV2ZeNBbiDZIIEo2EVPbJqfnxSsZl61BdVJSirZ3tAtO8zAiPThtlVQ==" saltValue="RaoHsrQEiwykR/6h7jbQdA==" spinCount="100000" sheet="1" objects="1" scenarios="1"/>
  <mergeCells count="26">
    <mergeCell ref="A5:B5"/>
    <mergeCell ref="C5:J5"/>
    <mergeCell ref="A1:B1"/>
    <mergeCell ref="C1:J1"/>
    <mergeCell ref="A2:B2"/>
    <mergeCell ref="C2:J2"/>
    <mergeCell ref="A3:J3"/>
    <mergeCell ref="J13:J14"/>
    <mergeCell ref="A6:B6"/>
    <mergeCell ref="C6:J6"/>
    <mergeCell ref="A7:B7"/>
    <mergeCell ref="B8:C8"/>
    <mergeCell ref="A9:C9"/>
    <mergeCell ref="B10:C10"/>
    <mergeCell ref="B11:C11"/>
    <mergeCell ref="B12:C12"/>
    <mergeCell ref="A13:A14"/>
    <mergeCell ref="B13:C14"/>
    <mergeCell ref="I10:I14"/>
    <mergeCell ref="C23:J23"/>
    <mergeCell ref="A16:D16"/>
    <mergeCell ref="B17:C17"/>
    <mergeCell ref="A18:C18"/>
    <mergeCell ref="B19:C19"/>
    <mergeCell ref="B20:C20"/>
    <mergeCell ref="B21:C21"/>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13.pielikums Jūrmalas pilsētas domes
2018.gada 18.decembra saistošajiem noteikumiem Nr.44
(protokols Nr.17, 2.punkts)</oddHeader>
    <oddFooter xml:space="preserve">&amp;R&amp;"Times New Roman,Regular"&amp;8&amp;P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view="pageLayout" zoomScaleNormal="100" workbookViewId="0">
      <selection activeCell="O7" sqref="O7"/>
    </sheetView>
  </sheetViews>
  <sheetFormatPr defaultRowHeight="12" x14ac:dyDescent="0.25"/>
  <cols>
    <col min="1" max="1" width="6.140625" style="349" customWidth="1"/>
    <col min="2" max="2" width="17.28515625" style="349" customWidth="1"/>
    <col min="3" max="3" width="15.28515625" style="349" customWidth="1"/>
    <col min="4" max="4" width="11.85546875" style="349" hidden="1" customWidth="1"/>
    <col min="5" max="5" width="11.140625" style="349" hidden="1" customWidth="1"/>
    <col min="6" max="6" width="10.28515625" style="349" hidden="1" customWidth="1"/>
    <col min="7" max="7" width="10.5703125" style="349" customWidth="1"/>
    <col min="8" max="8" width="9.7109375" style="349" customWidth="1"/>
    <col min="9" max="9" width="17.140625" style="349" customWidth="1"/>
    <col min="10" max="10" width="34" style="349" hidden="1" customWidth="1"/>
    <col min="11" max="16384" width="9.140625" style="349"/>
  </cols>
  <sheetData>
    <row r="1" spans="1:10" x14ac:dyDescent="0.25">
      <c r="A1" s="1750" t="s">
        <v>124</v>
      </c>
      <c r="B1" s="1750"/>
      <c r="C1" s="1750" t="s">
        <v>125</v>
      </c>
      <c r="D1" s="1750"/>
      <c r="E1" s="1750"/>
      <c r="F1" s="1750"/>
      <c r="G1" s="1750"/>
      <c r="H1" s="1750"/>
      <c r="I1" s="1750"/>
      <c r="J1" s="1750"/>
    </row>
    <row r="2" spans="1:10" x14ac:dyDescent="0.25">
      <c r="A2" s="1750" t="s">
        <v>126</v>
      </c>
      <c r="B2" s="1750"/>
      <c r="C2" s="1750">
        <v>90000056357</v>
      </c>
      <c r="D2" s="1750"/>
      <c r="E2" s="1750"/>
      <c r="F2" s="1750"/>
      <c r="G2" s="1750"/>
      <c r="H2" s="1750"/>
      <c r="I2" s="1750"/>
      <c r="J2" s="1750"/>
    </row>
    <row r="3" spans="1:10" ht="15.75" x14ac:dyDescent="0.25">
      <c r="A3" s="1973" t="s">
        <v>3640</v>
      </c>
      <c r="B3" s="1973"/>
      <c r="C3" s="1973"/>
      <c r="D3" s="1973"/>
      <c r="E3" s="1973"/>
      <c r="F3" s="1973"/>
      <c r="G3" s="1973"/>
      <c r="H3" s="1973"/>
      <c r="I3" s="1973"/>
      <c r="J3" s="1973"/>
    </row>
    <row r="4" spans="1:10" ht="15.75" x14ac:dyDescent="0.25">
      <c r="A4" s="308"/>
      <c r="B4" s="308"/>
      <c r="C4" s="308"/>
      <c r="D4" s="308"/>
      <c r="E4" s="308"/>
      <c r="F4" s="308"/>
      <c r="G4" s="308"/>
      <c r="H4" s="308"/>
      <c r="I4" s="308"/>
      <c r="J4" s="308"/>
    </row>
    <row r="5" spans="1:10" ht="15.75" x14ac:dyDescent="0.25">
      <c r="A5" s="1750" t="s">
        <v>440</v>
      </c>
      <c r="B5" s="1750"/>
      <c r="C5" s="622" t="s">
        <v>1428</v>
      </c>
      <c r="D5" s="622"/>
      <c r="E5" s="622"/>
      <c r="F5" s="622"/>
      <c r="G5" s="622"/>
      <c r="H5" s="622"/>
      <c r="I5" s="622"/>
      <c r="J5" s="622"/>
    </row>
    <row r="6" spans="1:10" x14ac:dyDescent="0.25">
      <c r="A6" s="1750" t="s">
        <v>129</v>
      </c>
      <c r="B6" s="1750"/>
      <c r="C6" s="349" t="s">
        <v>1429</v>
      </c>
    </row>
    <row r="7" spans="1:10" x14ac:dyDescent="0.25">
      <c r="A7" s="1750" t="s">
        <v>131</v>
      </c>
      <c r="B7" s="1750"/>
      <c r="C7" s="400" t="s">
        <v>1430</v>
      </c>
      <c r="D7" s="348"/>
      <c r="E7" s="348"/>
      <c r="F7" s="348"/>
      <c r="G7" s="348"/>
      <c r="H7" s="348"/>
      <c r="I7" s="348"/>
      <c r="J7" s="348"/>
    </row>
    <row r="8" spans="1:10" ht="48.75" customHeight="1" x14ac:dyDescent="0.25">
      <c r="A8" s="312" t="s">
        <v>4</v>
      </c>
      <c r="B8" s="1970" t="s">
        <v>133</v>
      </c>
      <c r="C8" s="1971"/>
      <c r="D8" s="312" t="s">
        <v>17</v>
      </c>
      <c r="E8" s="312" t="s">
        <v>15</v>
      </c>
      <c r="F8" s="312" t="s">
        <v>134</v>
      </c>
      <c r="G8" s="312" t="s">
        <v>135</v>
      </c>
      <c r="H8" s="312" t="s">
        <v>3465</v>
      </c>
      <c r="I8" s="312" t="s">
        <v>14</v>
      </c>
      <c r="J8" s="312" t="s">
        <v>137</v>
      </c>
    </row>
    <row r="9" spans="1:10" ht="12.75" customHeight="1" x14ac:dyDescent="0.25">
      <c r="A9" s="1748" t="s">
        <v>138</v>
      </c>
      <c r="B9" s="1749"/>
      <c r="C9" s="1972"/>
      <c r="D9" s="313">
        <f>SUM(D10:D17)</f>
        <v>108700</v>
      </c>
      <c r="E9" s="313">
        <f>SUM(E10:E17)</f>
        <v>108700</v>
      </c>
      <c r="F9" s="313">
        <f>SUM(F10:F17)</f>
        <v>114100</v>
      </c>
      <c r="G9" s="313"/>
      <c r="H9" s="313">
        <f>SUM(H10:H17)</f>
        <v>114100</v>
      </c>
      <c r="I9" s="313"/>
      <c r="J9" s="315"/>
    </row>
    <row r="10" spans="1:10" ht="25.5" customHeight="1" x14ac:dyDescent="0.25">
      <c r="A10" s="1432">
        <v>1</v>
      </c>
      <c r="B10" s="1966" t="s">
        <v>1431</v>
      </c>
      <c r="C10" s="1967"/>
      <c r="D10" s="322">
        <v>42000</v>
      </c>
      <c r="E10" s="322">
        <v>42000</v>
      </c>
      <c r="F10" s="322">
        <v>44000</v>
      </c>
      <c r="G10" s="414">
        <v>2244</v>
      </c>
      <c r="H10" s="322">
        <v>44000</v>
      </c>
      <c r="I10" s="1436" t="s">
        <v>3526</v>
      </c>
      <c r="J10" s="315" t="s">
        <v>1432</v>
      </c>
    </row>
    <row r="11" spans="1:10" ht="15.75" customHeight="1" x14ac:dyDescent="0.25">
      <c r="A11" s="1432">
        <v>2</v>
      </c>
      <c r="B11" s="1966" t="s">
        <v>1433</v>
      </c>
      <c r="C11" s="1967"/>
      <c r="D11" s="322">
        <v>17000</v>
      </c>
      <c r="E11" s="322">
        <v>17000</v>
      </c>
      <c r="F11" s="322">
        <v>17000</v>
      </c>
      <c r="G11" s="414">
        <v>2244</v>
      </c>
      <c r="H11" s="322">
        <v>17000</v>
      </c>
      <c r="I11" s="1436" t="s">
        <v>704</v>
      </c>
      <c r="J11" s="315" t="s">
        <v>1434</v>
      </c>
    </row>
    <row r="12" spans="1:10" ht="15.75" customHeight="1" x14ac:dyDescent="0.25">
      <c r="A12" s="1432">
        <v>3</v>
      </c>
      <c r="B12" s="1966" t="s">
        <v>1435</v>
      </c>
      <c r="C12" s="1967"/>
      <c r="D12" s="322">
        <v>20000</v>
      </c>
      <c r="E12" s="322">
        <v>20000</v>
      </c>
      <c r="F12" s="322">
        <v>21000</v>
      </c>
      <c r="G12" s="414">
        <v>2244</v>
      </c>
      <c r="H12" s="322">
        <v>21000</v>
      </c>
      <c r="I12" s="1436" t="s">
        <v>704</v>
      </c>
      <c r="J12" s="315" t="s">
        <v>1436</v>
      </c>
    </row>
    <row r="13" spans="1:10" ht="15.75" customHeight="1" x14ac:dyDescent="0.25">
      <c r="A13" s="1432">
        <v>4</v>
      </c>
      <c r="B13" s="1966" t="s">
        <v>1437</v>
      </c>
      <c r="C13" s="1967"/>
      <c r="D13" s="322">
        <v>17000</v>
      </c>
      <c r="E13" s="322">
        <v>17000</v>
      </c>
      <c r="F13" s="322">
        <v>17000</v>
      </c>
      <c r="G13" s="414">
        <v>2244</v>
      </c>
      <c r="H13" s="322">
        <v>17000</v>
      </c>
      <c r="I13" s="1436" t="s">
        <v>3527</v>
      </c>
      <c r="J13" s="315" t="s">
        <v>1438</v>
      </c>
    </row>
    <row r="14" spans="1:10" ht="14.25" customHeight="1" x14ac:dyDescent="0.25">
      <c r="A14" s="1432">
        <v>5</v>
      </c>
      <c r="B14" s="1966" t="s">
        <v>1439</v>
      </c>
      <c r="C14" s="1967"/>
      <c r="D14" s="322">
        <v>9000</v>
      </c>
      <c r="E14" s="322">
        <v>9000</v>
      </c>
      <c r="F14" s="322">
        <v>10000</v>
      </c>
      <c r="G14" s="414">
        <v>2244</v>
      </c>
      <c r="H14" s="322">
        <v>10000</v>
      </c>
      <c r="I14" s="1436" t="s">
        <v>704</v>
      </c>
      <c r="J14" s="315" t="s">
        <v>1440</v>
      </c>
    </row>
    <row r="15" spans="1:10" ht="14.25" customHeight="1" x14ac:dyDescent="0.25">
      <c r="A15" s="1432">
        <v>6</v>
      </c>
      <c r="B15" s="1966" t="s">
        <v>1441</v>
      </c>
      <c r="C15" s="1967"/>
      <c r="D15" s="322">
        <v>600</v>
      </c>
      <c r="E15" s="322">
        <v>600</v>
      </c>
      <c r="F15" s="322">
        <v>1000</v>
      </c>
      <c r="G15" s="414">
        <v>2279</v>
      </c>
      <c r="H15" s="322">
        <v>1000</v>
      </c>
      <c r="I15" s="1436" t="s">
        <v>3528</v>
      </c>
      <c r="J15" s="321" t="s">
        <v>1442</v>
      </c>
    </row>
    <row r="16" spans="1:10" ht="14.25" customHeight="1" x14ac:dyDescent="0.25">
      <c r="A16" s="1432">
        <v>7</v>
      </c>
      <c r="B16" s="1966" t="s">
        <v>1443</v>
      </c>
      <c r="C16" s="1967"/>
      <c r="D16" s="361">
        <v>100</v>
      </c>
      <c r="E16" s="361">
        <v>100</v>
      </c>
      <c r="F16" s="361">
        <v>100</v>
      </c>
      <c r="G16" s="414">
        <v>5269</v>
      </c>
      <c r="H16" s="322">
        <v>100</v>
      </c>
      <c r="I16" s="1436" t="s">
        <v>3529</v>
      </c>
      <c r="J16" s="321" t="s">
        <v>1444</v>
      </c>
    </row>
    <row r="17" spans="1:10" ht="24" x14ac:dyDescent="0.25">
      <c r="A17" s="1432">
        <v>8</v>
      </c>
      <c r="B17" s="1966" t="s">
        <v>1445</v>
      </c>
      <c r="C17" s="1967"/>
      <c r="D17" s="342">
        <v>3000</v>
      </c>
      <c r="E17" s="342">
        <v>3000</v>
      </c>
      <c r="F17" s="342">
        <v>4000</v>
      </c>
      <c r="G17" s="414">
        <v>2244</v>
      </c>
      <c r="H17" s="322">
        <v>4000</v>
      </c>
      <c r="I17" s="1436" t="s">
        <v>3530</v>
      </c>
      <c r="J17" s="321" t="s">
        <v>1446</v>
      </c>
    </row>
    <row r="19" spans="1:10" s="306" customFormat="1" ht="12.75" hidden="1" x14ac:dyDescent="0.2">
      <c r="A19" s="1968" t="s">
        <v>1421</v>
      </c>
      <c r="B19" s="1968"/>
      <c r="C19" s="1968"/>
      <c r="D19" s="1969"/>
      <c r="E19" s="1969"/>
      <c r="F19" s="623"/>
      <c r="G19" s="623"/>
      <c r="H19" s="623"/>
      <c r="I19" s="623"/>
      <c r="J19" s="624"/>
    </row>
    <row r="20" spans="1:10" s="306" customFormat="1" ht="90" hidden="1" customHeight="1" x14ac:dyDescent="0.2">
      <c r="A20" s="312" t="s">
        <v>4</v>
      </c>
      <c r="B20" s="1970" t="s">
        <v>133</v>
      </c>
      <c r="C20" s="1971"/>
      <c r="D20" s="312" t="s">
        <v>17</v>
      </c>
      <c r="E20" s="312" t="s">
        <v>15</v>
      </c>
      <c r="F20" s="312" t="s">
        <v>134</v>
      </c>
      <c r="G20" s="312" t="s">
        <v>135</v>
      </c>
      <c r="H20" s="312" t="s">
        <v>136</v>
      </c>
      <c r="I20" s="312" t="s">
        <v>14</v>
      </c>
      <c r="J20" s="312" t="s">
        <v>137</v>
      </c>
    </row>
    <row r="21" spans="1:10" s="306" customFormat="1" hidden="1" x14ac:dyDescent="0.2">
      <c r="A21" s="1748" t="s">
        <v>138</v>
      </c>
      <c r="B21" s="1749"/>
      <c r="C21" s="1972"/>
      <c r="D21" s="313">
        <f>SUM(D22:D22)</f>
        <v>35750</v>
      </c>
      <c r="E21" s="313">
        <f>SUM(E22:E22)</f>
        <v>30000</v>
      </c>
      <c r="F21" s="313">
        <f>SUM(F22:F22)</f>
        <v>30000</v>
      </c>
      <c r="G21" s="313"/>
      <c r="H21" s="313">
        <f>SUM(H22:H22)</f>
        <v>0</v>
      </c>
      <c r="I21" s="313"/>
      <c r="J21" s="315"/>
    </row>
    <row r="22" spans="1:10" s="306" customFormat="1" hidden="1" x14ac:dyDescent="0.2">
      <c r="A22" s="320">
        <v>1</v>
      </c>
      <c r="B22" s="1966" t="s">
        <v>1447</v>
      </c>
      <c r="C22" s="1967"/>
      <c r="D22" s="322">
        <v>35750</v>
      </c>
      <c r="E22" s="322">
        <v>30000</v>
      </c>
      <c r="F22" s="322">
        <v>30000</v>
      </c>
      <c r="G22" s="322"/>
      <c r="H22" s="322"/>
      <c r="I22" s="1116" t="s">
        <v>1448</v>
      </c>
      <c r="J22" s="315"/>
    </row>
    <row r="23" spans="1:10" s="306" customFormat="1" hidden="1" x14ac:dyDescent="0.2">
      <c r="A23" s="349"/>
      <c r="B23" s="349"/>
      <c r="C23" s="349"/>
      <c r="D23" s="417"/>
      <c r="E23" s="417"/>
      <c r="F23" s="417"/>
      <c r="G23" s="349"/>
      <c r="H23" s="417"/>
      <c r="I23" s="417"/>
      <c r="J23" s="349"/>
    </row>
    <row r="24" spans="1:10" x14ac:dyDescent="0.25">
      <c r="A24" s="349" t="s">
        <v>455</v>
      </c>
    </row>
    <row r="25" spans="1:10" x14ac:dyDescent="0.25">
      <c r="A25" s="349" t="s">
        <v>505</v>
      </c>
    </row>
    <row r="26" spans="1:10" s="403" customFormat="1" x14ac:dyDescent="0.2">
      <c r="A26" s="347" t="s">
        <v>3525</v>
      </c>
      <c r="B26" s="306"/>
      <c r="C26" s="306"/>
      <c r="D26" s="306"/>
      <c r="E26" s="306"/>
      <c r="F26" s="306"/>
      <c r="G26" s="306"/>
      <c r="H26" s="306"/>
      <c r="I26" s="306"/>
      <c r="J26" s="306"/>
    </row>
    <row r="27" spans="1:10" ht="6.75" customHeight="1" x14ac:dyDescent="0.25"/>
    <row r="28" spans="1:10" s="403" customFormat="1" ht="37.5" customHeight="1" x14ac:dyDescent="0.2">
      <c r="A28" s="1965" t="s">
        <v>1449</v>
      </c>
      <c r="B28" s="1965"/>
      <c r="C28" s="1965"/>
      <c r="D28" s="1965"/>
      <c r="E28" s="1965"/>
      <c r="F28" s="1965"/>
      <c r="G28" s="1965"/>
      <c r="H28" s="1965"/>
      <c r="I28" s="1965"/>
      <c r="J28" s="1965"/>
    </row>
    <row r="29" spans="1:10" s="403" customFormat="1" x14ac:dyDescent="0.2">
      <c r="A29" s="306" t="s">
        <v>1456</v>
      </c>
      <c r="B29" s="1444"/>
      <c r="C29" s="1444"/>
      <c r="D29" s="1444"/>
      <c r="E29" s="1444"/>
      <c r="F29" s="1444"/>
      <c r="G29" s="1444"/>
      <c r="H29" s="1444"/>
      <c r="I29" s="1444"/>
      <c r="J29" s="1444"/>
    </row>
    <row r="30" spans="1:10" s="403" customFormat="1" x14ac:dyDescent="0.2">
      <c r="A30" s="306" t="s">
        <v>1455</v>
      </c>
      <c r="B30" s="1444"/>
      <c r="C30" s="1444"/>
      <c r="D30" s="1444"/>
      <c r="E30" s="1444"/>
      <c r="F30" s="1444"/>
      <c r="G30" s="1444"/>
      <c r="H30" s="1444"/>
      <c r="I30" s="1444"/>
      <c r="J30" s="1444"/>
    </row>
    <row r="31" spans="1:10" s="403" customFormat="1" x14ac:dyDescent="0.2">
      <c r="A31" s="306" t="s">
        <v>1453</v>
      </c>
      <c r="B31" s="1444"/>
      <c r="C31" s="1444"/>
      <c r="D31" s="1444"/>
      <c r="E31" s="1444"/>
      <c r="F31" s="1444"/>
      <c r="G31" s="1444"/>
      <c r="H31" s="1444"/>
      <c r="I31" s="1444"/>
      <c r="J31" s="1444"/>
    </row>
    <row r="32" spans="1:10" s="403" customFormat="1" x14ac:dyDescent="0.2">
      <c r="A32" s="306" t="s">
        <v>1450</v>
      </c>
      <c r="B32" s="306"/>
      <c r="C32" s="306"/>
      <c r="D32" s="306"/>
      <c r="E32" s="306"/>
      <c r="F32" s="306"/>
      <c r="G32" s="306"/>
      <c r="H32" s="306"/>
      <c r="I32" s="306"/>
      <c r="J32" s="306"/>
    </row>
    <row r="33" spans="1:10" s="403" customFormat="1" x14ac:dyDescent="0.2">
      <c r="A33" s="306" t="s">
        <v>1451</v>
      </c>
      <c r="B33" s="306"/>
      <c r="C33" s="306"/>
      <c r="D33" s="306"/>
      <c r="E33" s="306"/>
      <c r="F33" s="306"/>
      <c r="G33" s="306"/>
      <c r="H33" s="306"/>
      <c r="I33" s="306"/>
      <c r="J33" s="306"/>
    </row>
    <row r="34" spans="1:10" s="403" customFormat="1" x14ac:dyDescent="0.2">
      <c r="A34" s="306" t="s">
        <v>1452</v>
      </c>
      <c r="B34" s="306"/>
      <c r="C34" s="306"/>
      <c r="D34" s="306"/>
      <c r="E34" s="306"/>
      <c r="F34" s="306"/>
      <c r="G34" s="306"/>
      <c r="H34" s="306"/>
      <c r="I34" s="306"/>
      <c r="J34" s="306"/>
    </row>
    <row r="35" spans="1:10" s="403" customFormat="1" x14ac:dyDescent="0.2">
      <c r="A35" s="306" t="s">
        <v>1454</v>
      </c>
      <c r="B35" s="306"/>
      <c r="C35" s="306"/>
      <c r="D35" s="306"/>
      <c r="E35" s="306"/>
      <c r="F35" s="306"/>
      <c r="G35" s="306"/>
      <c r="H35" s="306"/>
      <c r="I35" s="306"/>
      <c r="J35" s="306"/>
    </row>
    <row r="36" spans="1:10" s="403" customFormat="1" x14ac:dyDescent="0.2">
      <c r="B36" s="306"/>
      <c r="C36" s="306"/>
      <c r="D36" s="306"/>
      <c r="E36" s="306"/>
      <c r="F36" s="306"/>
      <c r="G36" s="306"/>
      <c r="H36" s="306"/>
      <c r="I36" s="306"/>
      <c r="J36" s="306"/>
    </row>
    <row r="37" spans="1:10" s="403" customFormat="1" x14ac:dyDescent="0.2">
      <c r="B37" s="306"/>
      <c r="C37" s="306"/>
      <c r="D37" s="306"/>
      <c r="E37" s="306"/>
      <c r="F37" s="306"/>
      <c r="G37" s="306"/>
      <c r="H37" s="306"/>
      <c r="I37" s="306"/>
      <c r="J37" s="306"/>
    </row>
    <row r="41" spans="1:10" x14ac:dyDescent="0.25">
      <c r="A41" s="625"/>
      <c r="B41" s="625"/>
      <c r="C41" s="625"/>
      <c r="D41" s="625"/>
      <c r="E41" s="625"/>
      <c r="F41" s="625"/>
      <c r="G41" s="625"/>
      <c r="H41" s="625"/>
      <c r="I41" s="625"/>
      <c r="J41" s="625"/>
    </row>
    <row r="42" spans="1:10" x14ac:dyDescent="0.25">
      <c r="A42" s="625"/>
      <c r="B42" s="625"/>
      <c r="C42" s="625"/>
      <c r="D42" s="625"/>
      <c r="E42" s="625"/>
      <c r="F42" s="625"/>
      <c r="G42" s="625"/>
      <c r="H42" s="625"/>
      <c r="I42" s="625"/>
      <c r="J42" s="625"/>
    </row>
    <row r="43" spans="1:10" x14ac:dyDescent="0.25">
      <c r="A43" s="625"/>
      <c r="B43" s="625"/>
      <c r="C43" s="625"/>
      <c r="D43" s="625"/>
      <c r="E43" s="625"/>
      <c r="F43" s="625"/>
      <c r="G43" s="625"/>
      <c r="H43" s="625"/>
      <c r="I43" s="625"/>
      <c r="J43" s="625"/>
    </row>
    <row r="51" ht="89.25" customHeight="1" x14ac:dyDescent="0.25"/>
    <row r="71" spans="11:11" x14ac:dyDescent="0.25">
      <c r="K71" s="625"/>
    </row>
    <row r="72" spans="11:11" x14ac:dyDescent="0.25">
      <c r="K72" s="625"/>
    </row>
    <row r="73" spans="11:11" x14ac:dyDescent="0.25">
      <c r="K73" s="625"/>
    </row>
  </sheetData>
  <sheetProtection algorithmName="SHA-512" hashValue="Cun/unXcJ4hQsPuBoCvNkBAXawZ7AN+dcMNkzcgYHX39O3+M8ZdVbCKoULFt9qmf1hoMoOLh7zFKMU0RcdkhCA==" saltValue="SB0lxEZIZQ8V3p+qTdLzFA==" spinCount="100000" sheet="1" objects="1" scenarios="1"/>
  <mergeCells count="24">
    <mergeCell ref="A5:B5"/>
    <mergeCell ref="A1:B1"/>
    <mergeCell ref="C1:J1"/>
    <mergeCell ref="A2:B2"/>
    <mergeCell ref="C2:J2"/>
    <mergeCell ref="A3:J3"/>
    <mergeCell ref="B16:C16"/>
    <mergeCell ref="A6:B6"/>
    <mergeCell ref="A7:B7"/>
    <mergeCell ref="B8:C8"/>
    <mergeCell ref="A9:C9"/>
    <mergeCell ref="B10:C10"/>
    <mergeCell ref="B11:C11"/>
    <mergeCell ref="B12:C12"/>
    <mergeCell ref="B13:C13"/>
    <mergeCell ref="B14:C14"/>
    <mergeCell ref="B15:C15"/>
    <mergeCell ref="A28:J28"/>
    <mergeCell ref="B17:C17"/>
    <mergeCell ref="A19:C19"/>
    <mergeCell ref="D19:E19"/>
    <mergeCell ref="B20:C20"/>
    <mergeCell ref="A21:C21"/>
    <mergeCell ref="B22:C22"/>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14.pielikums Jūrmalas pilsētas domes
2018.gada 18.decembra saistošajiem noteikumiem Nr.44
(protokols Nr.17, 2.punkts)</oddHeader>
    <oddFooter xml:space="preserve">&amp;R&amp;"Times New Roman,Regular"&amp;8&amp;P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70"/>
  <sheetViews>
    <sheetView view="pageLayout" zoomScaleNormal="100" workbookViewId="0">
      <selection activeCell="R5" sqref="R5"/>
    </sheetView>
  </sheetViews>
  <sheetFormatPr defaultRowHeight="12" x14ac:dyDescent="0.2"/>
  <cols>
    <col min="1" max="1" width="4.85546875" style="628" customWidth="1"/>
    <col min="2" max="2" width="28.28515625" style="628" customWidth="1"/>
    <col min="3" max="3" width="10.7109375" style="628" hidden="1" customWidth="1"/>
    <col min="4" max="4" width="9.5703125" style="628" hidden="1" customWidth="1"/>
    <col min="5" max="5" width="10.7109375" style="628" hidden="1" customWidth="1"/>
    <col min="6" max="6" width="9.5703125" style="628" hidden="1" customWidth="1"/>
    <col min="7" max="7" width="10.7109375" style="628" hidden="1" customWidth="1"/>
    <col min="8" max="8" width="9.5703125" style="628" hidden="1" customWidth="1"/>
    <col min="9" max="9" width="11.140625" style="628" customWidth="1"/>
    <col min="10" max="10" width="10.7109375" style="628" bestFit="1" customWidth="1"/>
    <col min="11" max="11" width="9.5703125" style="628" bestFit="1" customWidth="1"/>
    <col min="12" max="12" width="21.42578125" style="628" customWidth="1"/>
    <col min="13" max="13" width="32.85546875" style="628" hidden="1" customWidth="1"/>
    <col min="14" max="16384" width="9.140625" style="628"/>
  </cols>
  <sheetData>
    <row r="1" spans="1:15" ht="12.75" customHeight="1" x14ac:dyDescent="0.2">
      <c r="A1" s="626" t="s">
        <v>438</v>
      </c>
      <c r="B1" s="627"/>
      <c r="C1" s="1987" t="s">
        <v>125</v>
      </c>
      <c r="D1" s="1987"/>
      <c r="E1" s="1987"/>
      <c r="F1" s="1987"/>
      <c r="G1" s="1987"/>
      <c r="H1" s="1987"/>
      <c r="I1" s="1987"/>
      <c r="J1" s="1987"/>
      <c r="K1" s="1987"/>
      <c r="L1" s="1987"/>
      <c r="M1" s="1987"/>
    </row>
    <row r="2" spans="1:15" ht="12.75" customHeight="1" x14ac:dyDescent="0.2">
      <c r="A2" s="626" t="s">
        <v>524</v>
      </c>
      <c r="B2" s="627"/>
      <c r="C2" s="1993">
        <v>90000056357</v>
      </c>
      <c r="D2" s="1993"/>
      <c r="E2" s="1993"/>
      <c r="F2" s="1993"/>
      <c r="G2" s="1993"/>
      <c r="H2" s="1993"/>
      <c r="I2" s="1993"/>
      <c r="J2" s="1993"/>
      <c r="K2" s="1993"/>
      <c r="L2" s="1993"/>
      <c r="M2" s="1993"/>
    </row>
    <row r="3" spans="1:15" ht="15.75" x14ac:dyDescent="0.25">
      <c r="A3" s="1994" t="s">
        <v>3641</v>
      </c>
      <c r="B3" s="1994"/>
      <c r="C3" s="1994"/>
      <c r="D3" s="1994"/>
      <c r="E3" s="1994"/>
      <c r="F3" s="1994"/>
      <c r="G3" s="1994"/>
      <c r="H3" s="1994"/>
      <c r="I3" s="1994"/>
      <c r="J3" s="1994"/>
      <c r="K3" s="1994"/>
      <c r="L3" s="1994"/>
      <c r="M3" s="1994"/>
      <c r="N3" s="629"/>
      <c r="O3" s="629"/>
    </row>
    <row r="4" spans="1:15" ht="15.75" x14ac:dyDescent="0.25">
      <c r="A4" s="630"/>
      <c r="B4" s="630"/>
      <c r="C4" s="630"/>
      <c r="D4" s="630"/>
      <c r="E4" s="630"/>
      <c r="F4" s="630"/>
      <c r="G4" s="630"/>
      <c r="H4" s="630"/>
      <c r="I4" s="630"/>
      <c r="J4" s="630"/>
      <c r="K4" s="630"/>
      <c r="L4" s="630"/>
      <c r="M4" s="630"/>
      <c r="N4" s="629"/>
      <c r="O4" s="629"/>
    </row>
    <row r="5" spans="1:15" ht="12.75" customHeight="1" x14ac:dyDescent="0.25">
      <c r="A5" s="1992" t="s">
        <v>440</v>
      </c>
      <c r="B5" s="1992"/>
      <c r="C5" s="1995" t="s">
        <v>1457</v>
      </c>
      <c r="D5" s="1995"/>
      <c r="E5" s="1995"/>
      <c r="F5" s="1995"/>
      <c r="G5" s="1995"/>
      <c r="H5" s="1995"/>
      <c r="I5" s="1995"/>
      <c r="J5" s="1995"/>
      <c r="K5" s="1995"/>
      <c r="L5" s="1995"/>
      <c r="M5" s="1995"/>
    </row>
    <row r="6" spans="1:15" ht="12.75" customHeight="1" x14ac:dyDescent="0.2">
      <c r="A6" s="626" t="s">
        <v>129</v>
      </c>
      <c r="B6" s="626"/>
      <c r="C6" s="1987" t="s">
        <v>1458</v>
      </c>
      <c r="D6" s="1987"/>
      <c r="E6" s="1987"/>
      <c r="F6" s="1987"/>
      <c r="G6" s="1987"/>
      <c r="H6" s="1987"/>
      <c r="I6" s="1987"/>
      <c r="J6" s="1987"/>
      <c r="K6" s="1987"/>
      <c r="L6" s="1987"/>
      <c r="M6" s="1987"/>
    </row>
    <row r="7" spans="1:15" ht="12.75" customHeight="1" x14ac:dyDescent="0.2">
      <c r="A7" s="631" t="s">
        <v>131</v>
      </c>
      <c r="B7" s="631"/>
      <c r="C7" s="1978" t="s">
        <v>143</v>
      </c>
      <c r="D7" s="1978"/>
      <c r="E7" s="1978"/>
      <c r="F7" s="1978"/>
      <c r="G7" s="1978"/>
      <c r="H7" s="1978"/>
      <c r="I7" s="1978"/>
      <c r="J7" s="1978"/>
      <c r="K7" s="1978"/>
      <c r="L7" s="1978"/>
      <c r="M7" s="1978"/>
    </row>
    <row r="8" spans="1:15" ht="22.5" customHeight="1" x14ac:dyDescent="0.2">
      <c r="A8" s="1979" t="s">
        <v>4</v>
      </c>
      <c r="B8" s="1979" t="s">
        <v>133</v>
      </c>
      <c r="C8" s="1981" t="s">
        <v>528</v>
      </c>
      <c r="D8" s="1982"/>
      <c r="E8" s="1981" t="s">
        <v>529</v>
      </c>
      <c r="F8" s="1982"/>
      <c r="G8" s="1983" t="s">
        <v>530</v>
      </c>
      <c r="H8" s="1984"/>
      <c r="I8" s="1979" t="s">
        <v>135</v>
      </c>
      <c r="J8" s="1985" t="s">
        <v>3472</v>
      </c>
      <c r="K8" s="1986"/>
      <c r="L8" s="1979" t="s">
        <v>14</v>
      </c>
      <c r="M8" s="1979" t="s">
        <v>137</v>
      </c>
    </row>
    <row r="9" spans="1:15" ht="24" x14ac:dyDescent="0.2">
      <c r="A9" s="1988"/>
      <c r="B9" s="1988"/>
      <c r="C9" s="632" t="s">
        <v>531</v>
      </c>
      <c r="D9" s="632" t="s">
        <v>532</v>
      </c>
      <c r="E9" s="632" t="s">
        <v>531</v>
      </c>
      <c r="F9" s="632" t="s">
        <v>532</v>
      </c>
      <c r="G9" s="633" t="s">
        <v>531</v>
      </c>
      <c r="H9" s="633" t="s">
        <v>532</v>
      </c>
      <c r="I9" s="1988"/>
      <c r="J9" s="632" t="s">
        <v>531</v>
      </c>
      <c r="K9" s="632" t="s">
        <v>532</v>
      </c>
      <c r="L9" s="1988"/>
      <c r="M9" s="1988"/>
    </row>
    <row r="10" spans="1:15" x14ac:dyDescent="0.2">
      <c r="A10" s="1989" t="s">
        <v>533</v>
      </c>
      <c r="B10" s="1989"/>
      <c r="C10" s="634">
        <f t="shared" ref="C10:H10" si="0">SUM(C11:C30)</f>
        <v>387980</v>
      </c>
      <c r="D10" s="635">
        <f t="shared" si="0"/>
        <v>23215</v>
      </c>
      <c r="E10" s="635">
        <f t="shared" si="0"/>
        <v>257011</v>
      </c>
      <c r="F10" s="635">
        <f t="shared" si="0"/>
        <v>21710</v>
      </c>
      <c r="G10" s="636">
        <f>SUM(G11:G30)</f>
        <v>172532</v>
      </c>
      <c r="H10" s="636">
        <f t="shared" si="0"/>
        <v>23500</v>
      </c>
      <c r="I10" s="635"/>
      <c r="J10" s="634">
        <f>SUM(J11:J30)</f>
        <v>165344</v>
      </c>
      <c r="K10" s="634">
        <f>SUM(K11:K30)</f>
        <v>17520</v>
      </c>
      <c r="L10" s="634"/>
      <c r="M10" s="634"/>
    </row>
    <row r="11" spans="1:15" x14ac:dyDescent="0.2">
      <c r="A11" s="637">
        <v>1</v>
      </c>
      <c r="B11" s="638" t="s">
        <v>1459</v>
      </c>
      <c r="C11" s="639">
        <f>6300-5403</f>
        <v>897</v>
      </c>
      <c r="D11" s="639"/>
      <c r="E11" s="640">
        <v>300</v>
      </c>
      <c r="F11" s="640"/>
      <c r="G11" s="641">
        <v>500</v>
      </c>
      <c r="H11" s="641"/>
      <c r="I11" s="642">
        <v>2212</v>
      </c>
      <c r="J11" s="670">
        <v>300</v>
      </c>
      <c r="K11" s="1374">
        <v>200</v>
      </c>
      <c r="L11" s="644" t="s">
        <v>1460</v>
      </c>
      <c r="M11" s="643"/>
    </row>
    <row r="12" spans="1:15" ht="48" x14ac:dyDescent="0.2">
      <c r="A12" s="637">
        <v>2</v>
      </c>
      <c r="B12" s="640" t="s">
        <v>1461</v>
      </c>
      <c r="C12" s="639">
        <v>5000</v>
      </c>
      <c r="D12" s="639"/>
      <c r="E12" s="640">
        <v>3600</v>
      </c>
      <c r="F12" s="640"/>
      <c r="G12" s="641">
        <v>5000</v>
      </c>
      <c r="H12" s="645"/>
      <c r="I12" s="642">
        <v>2223</v>
      </c>
      <c r="J12" s="670">
        <v>5000</v>
      </c>
      <c r="K12" s="1374"/>
      <c r="L12" s="646" t="s">
        <v>1462</v>
      </c>
      <c r="M12" s="647" t="s">
        <v>1463</v>
      </c>
    </row>
    <row r="13" spans="1:15" ht="36.75" customHeight="1" x14ac:dyDescent="0.2">
      <c r="A13" s="637">
        <v>3</v>
      </c>
      <c r="B13" s="640" t="s">
        <v>1464</v>
      </c>
      <c r="C13" s="639">
        <v>4348</v>
      </c>
      <c r="D13" s="639"/>
      <c r="E13" s="640"/>
      <c r="F13" s="640"/>
      <c r="G13" s="641">
        <v>4500</v>
      </c>
      <c r="H13" s="645"/>
      <c r="I13" s="642">
        <v>2243</v>
      </c>
      <c r="J13" s="670">
        <f>2250-360</f>
        <v>1890</v>
      </c>
      <c r="K13" s="1374">
        <f>4500-2250+360</f>
        <v>2610</v>
      </c>
      <c r="L13" s="646" t="s">
        <v>1465</v>
      </c>
      <c r="M13" s="647" t="s">
        <v>1466</v>
      </c>
    </row>
    <row r="14" spans="1:15" ht="39" customHeight="1" x14ac:dyDescent="0.2">
      <c r="A14" s="637">
        <v>4</v>
      </c>
      <c r="B14" s="640" t="s">
        <v>1467</v>
      </c>
      <c r="C14" s="639">
        <v>2500</v>
      </c>
      <c r="D14" s="639"/>
      <c r="E14" s="640">
        <v>1000</v>
      </c>
      <c r="F14" s="640"/>
      <c r="G14" s="641">
        <v>3000</v>
      </c>
      <c r="H14" s="645"/>
      <c r="I14" s="642">
        <v>2244</v>
      </c>
      <c r="J14" s="670">
        <f>500+1000</f>
        <v>1500</v>
      </c>
      <c r="K14" s="1374"/>
      <c r="L14" s="646" t="s">
        <v>1465</v>
      </c>
      <c r="M14" s="647" t="s">
        <v>1468</v>
      </c>
    </row>
    <row r="15" spans="1:15" ht="24" x14ac:dyDescent="0.2">
      <c r="A15" s="637">
        <v>5</v>
      </c>
      <c r="B15" s="640" t="s">
        <v>1469</v>
      </c>
      <c r="C15" s="639">
        <v>2400</v>
      </c>
      <c r="D15" s="639"/>
      <c r="E15" s="639">
        <v>2400</v>
      </c>
      <c r="F15" s="639"/>
      <c r="G15" s="641">
        <v>1900</v>
      </c>
      <c r="H15" s="645"/>
      <c r="I15" s="642">
        <v>2251</v>
      </c>
      <c r="J15" s="670">
        <v>1900</v>
      </c>
      <c r="K15" s="1374"/>
      <c r="L15" s="646" t="s">
        <v>1470</v>
      </c>
      <c r="M15" s="648" t="s">
        <v>1471</v>
      </c>
    </row>
    <row r="16" spans="1:15" ht="24" x14ac:dyDescent="0.2">
      <c r="A16" s="637">
        <v>6</v>
      </c>
      <c r="B16" s="640" t="s">
        <v>1472</v>
      </c>
      <c r="C16" s="639">
        <v>730</v>
      </c>
      <c r="D16" s="639"/>
      <c r="E16" s="639">
        <v>726</v>
      </c>
      <c r="F16" s="639"/>
      <c r="G16" s="641">
        <v>730</v>
      </c>
      <c r="H16" s="641"/>
      <c r="I16" s="642">
        <v>2259</v>
      </c>
      <c r="J16" s="670">
        <v>730</v>
      </c>
      <c r="K16" s="1374"/>
      <c r="L16" s="646" t="s">
        <v>1470</v>
      </c>
      <c r="M16" s="647" t="s">
        <v>1473</v>
      </c>
    </row>
    <row r="17" spans="1:13" ht="26.25" customHeight="1" x14ac:dyDescent="0.2">
      <c r="A17" s="637">
        <v>7</v>
      </c>
      <c r="B17" s="640" t="s">
        <v>1474</v>
      </c>
      <c r="C17" s="640">
        <v>2500</v>
      </c>
      <c r="D17" s="639"/>
      <c r="E17" s="639">
        <v>2300</v>
      </c>
      <c r="F17" s="639"/>
      <c r="G17" s="641">
        <v>2500</v>
      </c>
      <c r="H17" s="641"/>
      <c r="I17" s="642">
        <v>2264</v>
      </c>
      <c r="J17" s="670">
        <v>2500</v>
      </c>
      <c r="K17" s="1374"/>
      <c r="L17" s="646" t="s">
        <v>1470</v>
      </c>
      <c r="M17" s="647" t="s">
        <v>1475</v>
      </c>
    </row>
    <row r="18" spans="1:13" ht="36" x14ac:dyDescent="0.2">
      <c r="A18" s="637">
        <v>8</v>
      </c>
      <c r="B18" s="640" t="s">
        <v>1476</v>
      </c>
      <c r="C18" s="640">
        <f>500+5403</f>
        <v>5903</v>
      </c>
      <c r="D18" s="640">
        <v>3500</v>
      </c>
      <c r="E18" s="639">
        <v>5903</v>
      </c>
      <c r="F18" s="639">
        <v>3500</v>
      </c>
      <c r="G18" s="641">
        <v>2000</v>
      </c>
      <c r="H18" s="641">
        <v>4000</v>
      </c>
      <c r="I18" s="642">
        <v>2311</v>
      </c>
      <c r="J18" s="670">
        <v>5000</v>
      </c>
      <c r="K18" s="1374">
        <f>6000-5000</f>
        <v>1000</v>
      </c>
      <c r="L18" s="646" t="s">
        <v>1465</v>
      </c>
      <c r="M18" s="647" t="s">
        <v>1477</v>
      </c>
    </row>
    <row r="19" spans="1:13" ht="24" x14ac:dyDescent="0.2">
      <c r="A19" s="637">
        <v>9</v>
      </c>
      <c r="B19" s="640" t="s">
        <v>1478</v>
      </c>
      <c r="C19" s="640">
        <v>150</v>
      </c>
      <c r="D19" s="640"/>
      <c r="E19" s="639">
        <v>30</v>
      </c>
      <c r="F19" s="639"/>
      <c r="G19" s="641">
        <v>150</v>
      </c>
      <c r="H19" s="645"/>
      <c r="I19" s="642">
        <v>2311</v>
      </c>
      <c r="J19" s="670"/>
      <c r="K19" s="1374">
        <v>30</v>
      </c>
      <c r="L19" s="646" t="s">
        <v>1470</v>
      </c>
      <c r="M19" s="647" t="s">
        <v>1479</v>
      </c>
    </row>
    <row r="20" spans="1:13" ht="24" x14ac:dyDescent="0.2">
      <c r="A20" s="637">
        <v>10</v>
      </c>
      <c r="B20" s="640" t="s">
        <v>1480</v>
      </c>
      <c r="C20" s="640">
        <v>752</v>
      </c>
      <c r="D20" s="639"/>
      <c r="E20" s="639">
        <v>752</v>
      </c>
      <c r="F20" s="639"/>
      <c r="G20" s="641">
        <v>752</v>
      </c>
      <c r="H20" s="645"/>
      <c r="I20" s="642">
        <v>2312</v>
      </c>
      <c r="J20" s="670"/>
      <c r="K20" s="1374">
        <v>752</v>
      </c>
      <c r="L20" s="646" t="s">
        <v>1470</v>
      </c>
      <c r="M20" s="647" t="s">
        <v>1481</v>
      </c>
    </row>
    <row r="21" spans="1:13" ht="36" x14ac:dyDescent="0.2">
      <c r="A21" s="637">
        <v>11</v>
      </c>
      <c r="B21" s="640" t="s">
        <v>1482</v>
      </c>
      <c r="C21" s="640"/>
      <c r="D21" s="640">
        <f>3370-470+825</f>
        <v>3725</v>
      </c>
      <c r="E21" s="640"/>
      <c r="F21" s="640">
        <v>3500</v>
      </c>
      <c r="G21" s="641"/>
      <c r="H21" s="645">
        <v>3500</v>
      </c>
      <c r="I21" s="642">
        <v>2512</v>
      </c>
      <c r="J21" s="670"/>
      <c r="K21" s="649">
        <v>3679</v>
      </c>
      <c r="L21" s="646" t="s">
        <v>1465</v>
      </c>
      <c r="M21" s="647"/>
    </row>
    <row r="22" spans="1:13" ht="38.25" customHeight="1" x14ac:dyDescent="0.2">
      <c r="A22" s="1990">
        <v>12</v>
      </c>
      <c r="B22" s="1991" t="s">
        <v>1483</v>
      </c>
      <c r="C22" s="640">
        <v>80500</v>
      </c>
      <c r="D22" s="640"/>
      <c r="E22" s="639">
        <v>75000</v>
      </c>
      <c r="F22" s="639"/>
      <c r="G22" s="641">
        <f>55000</f>
        <v>55000</v>
      </c>
      <c r="H22" s="641"/>
      <c r="I22" s="642">
        <v>5121</v>
      </c>
      <c r="J22" s="670">
        <f>56000+6600</f>
        <v>62600</v>
      </c>
      <c r="K22" s="1374"/>
      <c r="L22" s="1974" t="s">
        <v>1484</v>
      </c>
      <c r="M22" s="647" t="s">
        <v>1485</v>
      </c>
    </row>
    <row r="23" spans="1:13" ht="18.75" hidden="1" customHeight="1" x14ac:dyDescent="0.2">
      <c r="A23" s="1990"/>
      <c r="B23" s="1991"/>
      <c r="C23" s="640"/>
      <c r="D23" s="640"/>
      <c r="E23" s="650"/>
      <c r="F23" s="650"/>
      <c r="G23" s="641">
        <v>5500</v>
      </c>
      <c r="H23" s="641"/>
      <c r="I23" s="642">
        <v>5121</v>
      </c>
      <c r="J23" s="670"/>
      <c r="K23" s="1374"/>
      <c r="L23" s="1975"/>
      <c r="M23" s="647" t="s">
        <v>1486</v>
      </c>
    </row>
    <row r="24" spans="1:13" ht="26.25" customHeight="1" x14ac:dyDescent="0.2">
      <c r="A24" s="637">
        <v>13</v>
      </c>
      <c r="B24" s="640" t="s">
        <v>1487</v>
      </c>
      <c r="C24" s="640">
        <v>34500</v>
      </c>
      <c r="D24" s="639"/>
      <c r="E24" s="639">
        <v>30000</v>
      </c>
      <c r="F24" s="650"/>
      <c r="G24" s="641">
        <v>20000</v>
      </c>
      <c r="H24" s="641"/>
      <c r="I24" s="642">
        <v>5238</v>
      </c>
      <c r="J24" s="670">
        <v>16000</v>
      </c>
      <c r="K24" s="1374"/>
      <c r="L24" s="646" t="s">
        <v>1470</v>
      </c>
      <c r="M24" s="647" t="s">
        <v>1488</v>
      </c>
    </row>
    <row r="25" spans="1:13" ht="28.5" customHeight="1" x14ac:dyDescent="0.2">
      <c r="A25" s="637">
        <v>14</v>
      </c>
      <c r="B25" s="640" t="s">
        <v>1489</v>
      </c>
      <c r="C25" s="640">
        <f>210000-12200-96400</f>
        <v>101400</v>
      </c>
      <c r="D25" s="639"/>
      <c r="E25" s="639">
        <v>98000</v>
      </c>
      <c r="F25" s="650"/>
      <c r="G25" s="641">
        <v>20000</v>
      </c>
      <c r="H25" s="641"/>
      <c r="I25" s="642">
        <v>5239</v>
      </c>
      <c r="J25" s="670">
        <f>9200+4320</f>
        <v>13520</v>
      </c>
      <c r="K25" s="1374"/>
      <c r="L25" s="646" t="s">
        <v>1470</v>
      </c>
      <c r="M25" s="647" t="s">
        <v>1490</v>
      </c>
    </row>
    <row r="26" spans="1:13" ht="27" customHeight="1" x14ac:dyDescent="0.2">
      <c r="A26" s="637">
        <v>15</v>
      </c>
      <c r="B26" s="640" t="s">
        <v>1491</v>
      </c>
      <c r="C26" s="640">
        <v>1000</v>
      </c>
      <c r="D26" s="640"/>
      <c r="E26" s="640">
        <v>1000</v>
      </c>
      <c r="F26" s="651"/>
      <c r="G26" s="641">
        <v>1000</v>
      </c>
      <c r="H26" s="641"/>
      <c r="I26" s="642">
        <v>5239</v>
      </c>
      <c r="J26" s="670"/>
      <c r="K26" s="1374">
        <f>640</f>
        <v>640</v>
      </c>
      <c r="L26" s="646" t="s">
        <v>1470</v>
      </c>
      <c r="M26" s="647" t="s">
        <v>1492</v>
      </c>
    </row>
    <row r="27" spans="1:13" ht="29.25" customHeight="1" x14ac:dyDescent="0.2">
      <c r="A27" s="637">
        <v>16</v>
      </c>
      <c r="B27" s="640" t="s">
        <v>1493</v>
      </c>
      <c r="C27" s="640">
        <f>49000+96400</f>
        <v>145400</v>
      </c>
      <c r="D27" s="640"/>
      <c r="E27" s="639">
        <f>11000+5000+20000</f>
        <v>36000</v>
      </c>
      <c r="F27" s="650"/>
      <c r="G27" s="641">
        <v>50000</v>
      </c>
      <c r="H27" s="641"/>
      <c r="I27" s="642">
        <v>5240</v>
      </c>
      <c r="J27" s="652">
        <f>14000+34874</f>
        <v>48874</v>
      </c>
      <c r="K27" s="1374"/>
      <c r="L27" s="646" t="s">
        <v>1470</v>
      </c>
      <c r="M27" s="647" t="s">
        <v>1494</v>
      </c>
    </row>
    <row r="28" spans="1:13" ht="24" x14ac:dyDescent="0.2">
      <c r="A28" s="637">
        <v>17</v>
      </c>
      <c r="B28" s="640" t="s">
        <v>1495</v>
      </c>
      <c r="C28" s="640"/>
      <c r="D28" s="640">
        <f>3500+2200</f>
        <v>5700</v>
      </c>
      <c r="E28" s="651"/>
      <c r="F28" s="640">
        <v>5360</v>
      </c>
      <c r="G28" s="641"/>
      <c r="H28" s="641">
        <v>5700</v>
      </c>
      <c r="I28" s="642">
        <v>1142</v>
      </c>
      <c r="J28" s="670">
        <v>3000</v>
      </c>
      <c r="K28" s="1374">
        <f>5700-3000</f>
        <v>2700</v>
      </c>
      <c r="L28" s="646" t="s">
        <v>1470</v>
      </c>
      <c r="M28" s="653"/>
    </row>
    <row r="29" spans="1:13" ht="24" x14ac:dyDescent="0.2">
      <c r="A29" s="637">
        <v>18</v>
      </c>
      <c r="B29" s="640" t="s">
        <v>1496</v>
      </c>
      <c r="C29" s="640"/>
      <c r="D29" s="640">
        <f>4500+2300</f>
        <v>6800</v>
      </c>
      <c r="E29" s="651"/>
      <c r="F29" s="640">
        <v>6218</v>
      </c>
      <c r="G29" s="641"/>
      <c r="H29" s="641">
        <v>6800</v>
      </c>
      <c r="I29" s="642">
        <v>1150</v>
      </c>
      <c r="J29" s="670">
        <v>2530</v>
      </c>
      <c r="K29" s="1374">
        <f>6800-2530</f>
        <v>4270</v>
      </c>
      <c r="L29" s="646" t="s">
        <v>1470</v>
      </c>
      <c r="M29" s="653"/>
    </row>
    <row r="30" spans="1:13" ht="24" x14ac:dyDescent="0.2">
      <c r="A30" s="637">
        <v>19</v>
      </c>
      <c r="B30" s="640" t="s">
        <v>1497</v>
      </c>
      <c r="C30" s="640"/>
      <c r="D30" s="640">
        <f>2460+1030</f>
        <v>3490</v>
      </c>
      <c r="E30" s="651"/>
      <c r="F30" s="640">
        <v>3132</v>
      </c>
      <c r="G30" s="641"/>
      <c r="H30" s="641">
        <v>3500</v>
      </c>
      <c r="I30" s="642">
        <v>1210</v>
      </c>
      <c r="J30" s="670"/>
      <c r="K30" s="1374">
        <v>1639</v>
      </c>
      <c r="L30" s="646" t="s">
        <v>1470</v>
      </c>
      <c r="M30" s="653"/>
    </row>
    <row r="31" spans="1:13" ht="12.75" customHeight="1" x14ac:dyDescent="0.2">
      <c r="A31" s="1992"/>
      <c r="B31" s="1992"/>
      <c r="C31" s="1987"/>
      <c r="D31" s="1987"/>
      <c r="E31" s="1987"/>
      <c r="F31" s="1987"/>
      <c r="G31" s="1987"/>
      <c r="H31" s="1987"/>
      <c r="I31" s="1987"/>
      <c r="J31" s="1987"/>
      <c r="K31" s="1987"/>
      <c r="L31" s="654"/>
      <c r="M31" s="654"/>
    </row>
    <row r="32" spans="1:13" ht="12.75" customHeight="1" x14ac:dyDescent="0.2">
      <c r="A32" s="626" t="s">
        <v>129</v>
      </c>
      <c r="B32" s="626"/>
      <c r="C32" s="1987" t="s">
        <v>1498</v>
      </c>
      <c r="D32" s="1987"/>
      <c r="E32" s="1987"/>
      <c r="F32" s="1987"/>
      <c r="G32" s="1987"/>
      <c r="H32" s="1987"/>
      <c r="I32" s="1987"/>
      <c r="J32" s="1987"/>
      <c r="K32" s="1987"/>
      <c r="L32" s="1987"/>
      <c r="M32" s="1987"/>
    </row>
    <row r="33" spans="1:13" ht="12.75" customHeight="1" x14ac:dyDescent="0.2">
      <c r="A33" s="631" t="s">
        <v>131</v>
      </c>
      <c r="B33" s="631"/>
      <c r="C33" s="1978" t="s">
        <v>425</v>
      </c>
      <c r="D33" s="1978"/>
      <c r="E33" s="1978"/>
      <c r="F33" s="1978"/>
      <c r="G33" s="1978"/>
      <c r="H33" s="1978"/>
      <c r="I33" s="1978"/>
      <c r="J33" s="1978"/>
      <c r="K33" s="1978"/>
      <c r="L33" s="1978"/>
      <c r="M33" s="1978"/>
    </row>
    <row r="34" spans="1:13" ht="23.25" customHeight="1" x14ac:dyDescent="0.2">
      <c r="A34" s="1979" t="s">
        <v>4</v>
      </c>
      <c r="B34" s="1979" t="s">
        <v>133</v>
      </c>
      <c r="C34" s="1981" t="s">
        <v>528</v>
      </c>
      <c r="D34" s="1982"/>
      <c r="E34" s="1981" t="s">
        <v>529</v>
      </c>
      <c r="F34" s="1982"/>
      <c r="G34" s="1983" t="s">
        <v>530</v>
      </c>
      <c r="H34" s="1984"/>
      <c r="I34" s="1979" t="s">
        <v>135</v>
      </c>
      <c r="J34" s="1985" t="s">
        <v>3472</v>
      </c>
      <c r="K34" s="1986"/>
      <c r="L34" s="1979" t="s">
        <v>14</v>
      </c>
      <c r="M34" s="1979" t="s">
        <v>137</v>
      </c>
    </row>
    <row r="35" spans="1:13" ht="24" x14ac:dyDescent="0.2">
      <c r="A35" s="1980"/>
      <c r="B35" s="1980"/>
      <c r="C35" s="655" t="s">
        <v>531</v>
      </c>
      <c r="D35" s="655" t="s">
        <v>532</v>
      </c>
      <c r="E35" s="655" t="s">
        <v>531</v>
      </c>
      <c r="F35" s="655" t="s">
        <v>532</v>
      </c>
      <c r="G35" s="656" t="s">
        <v>531</v>
      </c>
      <c r="H35" s="656" t="s">
        <v>532</v>
      </c>
      <c r="I35" s="1980"/>
      <c r="J35" s="655" t="s">
        <v>531</v>
      </c>
      <c r="K35" s="655" t="s">
        <v>532</v>
      </c>
      <c r="L35" s="1980"/>
      <c r="M35" s="1980"/>
    </row>
    <row r="36" spans="1:13" x14ac:dyDescent="0.2">
      <c r="A36" s="1976" t="s">
        <v>533</v>
      </c>
      <c r="B36" s="1977"/>
      <c r="C36" s="657">
        <f>SUM(C37:C75)</f>
        <v>531127</v>
      </c>
      <c r="D36" s="657">
        <f>SUM(D37:D74)</f>
        <v>2944</v>
      </c>
      <c r="E36" s="658">
        <f>SUM(E37:E75)</f>
        <v>265137</v>
      </c>
      <c r="F36" s="657">
        <f>SUM(F37:F74)</f>
        <v>0</v>
      </c>
      <c r="G36" s="659">
        <f>SUM(G37,G38,G39,G40,G46,G49,G59,G60,G61,G73,G75)</f>
        <v>639310</v>
      </c>
      <c r="H36" s="659">
        <f>SUM(H37,H38,H39,H40,H46,H49,H59,H60,H61,H73,H75)</f>
        <v>0</v>
      </c>
      <c r="I36" s="657"/>
      <c r="J36" s="660">
        <f>SUM(J37,J38,J39,J40,J46,J49,J59,J60,J61,J73,J75)</f>
        <v>584436</v>
      </c>
      <c r="K36" s="659">
        <f>SUM(K37,K38,K39,K40,K46,K49,K59,K60,K61,K73,K75)</f>
        <v>0</v>
      </c>
      <c r="L36" s="661"/>
      <c r="M36" s="662"/>
    </row>
    <row r="37" spans="1:13" ht="24" x14ac:dyDescent="0.2">
      <c r="A37" s="663">
        <v>1</v>
      </c>
      <c r="B37" s="664" t="s">
        <v>1499</v>
      </c>
      <c r="C37" s="665">
        <v>47000</v>
      </c>
      <c r="D37" s="666"/>
      <c r="E37" s="666">
        <v>44944</v>
      </c>
      <c r="F37" s="667"/>
      <c r="G37" s="641">
        <v>40000</v>
      </c>
      <c r="H37" s="668"/>
      <c r="I37" s="642">
        <v>2212</v>
      </c>
      <c r="J37" s="670">
        <v>40000</v>
      </c>
      <c r="K37" s="1374"/>
      <c r="L37" s="646" t="s">
        <v>1500</v>
      </c>
      <c r="M37" s="647" t="s">
        <v>1501</v>
      </c>
    </row>
    <row r="38" spans="1:13" ht="36" x14ac:dyDescent="0.2">
      <c r="A38" s="663">
        <v>2</v>
      </c>
      <c r="B38" s="664" t="s">
        <v>1502</v>
      </c>
      <c r="C38" s="665">
        <f>1000-800</f>
        <v>200</v>
      </c>
      <c r="D38" s="665"/>
      <c r="E38" s="666">
        <v>62</v>
      </c>
      <c r="F38" s="667"/>
      <c r="G38" s="641">
        <v>1000</v>
      </c>
      <c r="H38" s="668"/>
      <c r="I38" s="642">
        <v>2223</v>
      </c>
      <c r="J38" s="670">
        <v>250</v>
      </c>
      <c r="K38" s="1374"/>
      <c r="L38" s="646" t="s">
        <v>1503</v>
      </c>
      <c r="M38" s="647" t="s">
        <v>1504</v>
      </c>
    </row>
    <row r="39" spans="1:13" ht="48" x14ac:dyDescent="0.2">
      <c r="A39" s="663">
        <v>3</v>
      </c>
      <c r="B39" s="664" t="s">
        <v>1505</v>
      </c>
      <c r="C39" s="665">
        <v>1200</v>
      </c>
      <c r="D39" s="665"/>
      <c r="E39" s="666"/>
      <c r="F39" s="667"/>
      <c r="G39" s="641">
        <v>1200</v>
      </c>
      <c r="H39" s="668"/>
      <c r="I39" s="642">
        <v>2243</v>
      </c>
      <c r="J39" s="652">
        <v>1200</v>
      </c>
      <c r="K39" s="1374"/>
      <c r="L39" s="646" t="s">
        <v>1506</v>
      </c>
      <c r="M39" s="647"/>
    </row>
    <row r="40" spans="1:13" ht="120" x14ac:dyDescent="0.2">
      <c r="A40" s="663">
        <v>4</v>
      </c>
      <c r="B40" s="664" t="s">
        <v>1469</v>
      </c>
      <c r="C40" s="665">
        <v>108646</v>
      </c>
      <c r="D40" s="665"/>
      <c r="E40" s="666">
        <v>101259</v>
      </c>
      <c r="F40" s="667">
        <f>SUM(F41:F45)</f>
        <v>0</v>
      </c>
      <c r="G40" s="641">
        <f>SUM(G41:G45)</f>
        <v>121584</v>
      </c>
      <c r="H40" s="668"/>
      <c r="I40" s="642">
        <v>2251</v>
      </c>
      <c r="J40" s="670">
        <f>SUM(J41:J45)</f>
        <v>118179</v>
      </c>
      <c r="K40" s="670"/>
      <c r="L40" s="673" t="s">
        <v>3531</v>
      </c>
      <c r="M40" s="647"/>
    </row>
    <row r="41" spans="1:13" ht="96" hidden="1" x14ac:dyDescent="0.2">
      <c r="A41" s="663"/>
      <c r="B41" s="669" t="s">
        <v>1507</v>
      </c>
      <c r="C41" s="665"/>
      <c r="D41" s="665"/>
      <c r="E41" s="666"/>
      <c r="F41" s="667"/>
      <c r="G41" s="641">
        <v>49400</v>
      </c>
      <c r="H41" s="668"/>
      <c r="I41" s="642"/>
      <c r="J41" s="670">
        <f>ROUNDUP(3739*6+3739*6*1.05,0)</f>
        <v>45990</v>
      </c>
      <c r="K41" s="1374"/>
      <c r="L41" s="646" t="s">
        <v>1508</v>
      </c>
      <c r="M41" s="671" t="s">
        <v>1509</v>
      </c>
    </row>
    <row r="42" spans="1:13" ht="24" hidden="1" x14ac:dyDescent="0.2">
      <c r="A42" s="663"/>
      <c r="B42" s="664" t="s">
        <v>1510</v>
      </c>
      <c r="C42" s="665"/>
      <c r="D42" s="665"/>
      <c r="E42" s="666"/>
      <c r="F42" s="667"/>
      <c r="G42" s="641">
        <f>8*36.3+368*54.45</f>
        <v>20328.000000000004</v>
      </c>
      <c r="H42" s="668"/>
      <c r="I42" s="642"/>
      <c r="J42" s="670">
        <f>295+20038</f>
        <v>20333</v>
      </c>
      <c r="K42" s="1374"/>
      <c r="L42" s="646" t="s">
        <v>1511</v>
      </c>
      <c r="M42" s="671" t="s">
        <v>1512</v>
      </c>
    </row>
    <row r="43" spans="1:13" ht="60" hidden="1" x14ac:dyDescent="0.2">
      <c r="A43" s="663"/>
      <c r="B43" s="664" t="s">
        <v>1513</v>
      </c>
      <c r="C43" s="665"/>
      <c r="D43" s="665"/>
      <c r="E43" s="666"/>
      <c r="F43" s="665"/>
      <c r="G43" s="641">
        <f>3000*12*1.21</f>
        <v>43560</v>
      </c>
      <c r="H43" s="668"/>
      <c r="I43" s="642"/>
      <c r="J43" s="670">
        <v>43560</v>
      </c>
      <c r="K43" s="1374"/>
      <c r="L43" s="646" t="s">
        <v>1514</v>
      </c>
      <c r="M43" s="647" t="s">
        <v>1515</v>
      </c>
    </row>
    <row r="44" spans="1:13" ht="25.5" hidden="1" customHeight="1" x14ac:dyDescent="0.2">
      <c r="A44" s="663"/>
      <c r="B44" s="664" t="s">
        <v>1516</v>
      </c>
      <c r="C44" s="665"/>
      <c r="D44" s="665"/>
      <c r="E44" s="666"/>
      <c r="F44" s="665"/>
      <c r="G44" s="641">
        <v>4296</v>
      </c>
      <c r="H44" s="668"/>
      <c r="I44" s="642"/>
      <c r="J44" s="670">
        <v>4296</v>
      </c>
      <c r="K44" s="1374"/>
      <c r="L44" s="646" t="s">
        <v>1511</v>
      </c>
      <c r="M44" s="671" t="s">
        <v>1517</v>
      </c>
    </row>
    <row r="45" spans="1:13" ht="48" hidden="1" x14ac:dyDescent="0.2">
      <c r="A45" s="663"/>
      <c r="B45" s="664" t="s">
        <v>1518</v>
      </c>
      <c r="C45" s="665"/>
      <c r="D45" s="665"/>
      <c r="E45" s="666"/>
      <c r="F45" s="665"/>
      <c r="G45" s="641">
        <v>4000</v>
      </c>
      <c r="H45" s="668"/>
      <c r="I45" s="642"/>
      <c r="J45" s="670">
        <v>4000</v>
      </c>
      <c r="K45" s="1374"/>
      <c r="L45" s="646" t="s">
        <v>1511</v>
      </c>
      <c r="M45" s="672" t="s">
        <v>1519</v>
      </c>
    </row>
    <row r="46" spans="1:13" ht="72" x14ac:dyDescent="0.2">
      <c r="A46" s="663">
        <v>5</v>
      </c>
      <c r="B46" s="664" t="s">
        <v>1520</v>
      </c>
      <c r="C46" s="665">
        <v>100630</v>
      </c>
      <c r="D46" s="665"/>
      <c r="E46" s="666">
        <v>10299</v>
      </c>
      <c r="F46" s="667">
        <f>SUM(F47:F48)</f>
        <v>0</v>
      </c>
      <c r="G46" s="641">
        <f>SUM(G47:G48)</f>
        <v>160811</v>
      </c>
      <c r="H46" s="668"/>
      <c r="I46" s="642">
        <v>2252</v>
      </c>
      <c r="J46" s="652">
        <f>SUM(J47:J48)</f>
        <v>134380</v>
      </c>
      <c r="K46" s="670"/>
      <c r="L46" s="673" t="s">
        <v>3532</v>
      </c>
      <c r="M46" s="647"/>
    </row>
    <row r="47" spans="1:13" ht="54.75" hidden="1" customHeight="1" x14ac:dyDescent="0.2">
      <c r="A47" s="663"/>
      <c r="B47" s="665" t="s">
        <v>1521</v>
      </c>
      <c r="C47" s="665"/>
      <c r="D47" s="665"/>
      <c r="E47" s="666"/>
      <c r="F47" s="665"/>
      <c r="G47" s="641">
        <v>4811</v>
      </c>
      <c r="H47" s="668"/>
      <c r="I47" s="642"/>
      <c r="J47" s="652">
        <v>4811</v>
      </c>
      <c r="K47" s="1374"/>
      <c r="L47" s="646" t="s">
        <v>1508</v>
      </c>
      <c r="M47" s="647" t="s">
        <v>1522</v>
      </c>
    </row>
    <row r="48" spans="1:13" ht="48.75" hidden="1" customHeight="1" x14ac:dyDescent="0.2">
      <c r="A48" s="663"/>
      <c r="B48" s="665" t="s">
        <v>1523</v>
      </c>
      <c r="C48" s="665"/>
      <c r="D48" s="665"/>
      <c r="E48" s="666"/>
      <c r="F48" s="665"/>
      <c r="G48" s="641">
        <v>156000</v>
      </c>
      <c r="H48" s="668"/>
      <c r="I48" s="642"/>
      <c r="J48" s="652">
        <v>129569</v>
      </c>
      <c r="K48" s="1374"/>
      <c r="L48" s="646" t="s">
        <v>1524</v>
      </c>
      <c r="M48" s="647" t="s">
        <v>1525</v>
      </c>
    </row>
    <row r="49" spans="1:13" ht="108" x14ac:dyDescent="0.2">
      <c r="A49" s="663">
        <v>6</v>
      </c>
      <c r="B49" s="664" t="s">
        <v>1526</v>
      </c>
      <c r="C49" s="665">
        <v>12295</v>
      </c>
      <c r="D49" s="665"/>
      <c r="E49" s="666">
        <v>9456</v>
      </c>
      <c r="F49" s="667">
        <f>SUM(F50:F58)</f>
        <v>0</v>
      </c>
      <c r="G49" s="641">
        <f>SUM(G50:G58)</f>
        <v>11366</v>
      </c>
      <c r="H49" s="668"/>
      <c r="I49" s="642">
        <v>2259</v>
      </c>
      <c r="J49" s="652">
        <v>9456</v>
      </c>
      <c r="K49" s="670"/>
      <c r="L49" s="646" t="s">
        <v>3533</v>
      </c>
      <c r="M49" s="647"/>
    </row>
    <row r="50" spans="1:13" ht="24" hidden="1" x14ac:dyDescent="0.2">
      <c r="A50" s="663"/>
      <c r="B50" s="664" t="s">
        <v>1527</v>
      </c>
      <c r="C50" s="665"/>
      <c r="D50" s="666"/>
      <c r="E50" s="667"/>
      <c r="F50" s="667"/>
      <c r="G50" s="641">
        <v>900</v>
      </c>
      <c r="H50" s="668"/>
      <c r="I50" s="642"/>
      <c r="J50" s="652"/>
      <c r="K50" s="1374"/>
      <c r="L50" s="646" t="s">
        <v>1528</v>
      </c>
      <c r="M50" s="647"/>
    </row>
    <row r="51" spans="1:13" ht="24" hidden="1" x14ac:dyDescent="0.2">
      <c r="A51" s="663"/>
      <c r="B51" s="674" t="s">
        <v>1529</v>
      </c>
      <c r="C51" s="665"/>
      <c r="D51" s="665"/>
      <c r="E51" s="667"/>
      <c r="F51" s="667"/>
      <c r="G51" s="641">
        <v>500</v>
      </c>
      <c r="H51" s="668"/>
      <c r="I51" s="642"/>
      <c r="J51" s="652"/>
      <c r="K51" s="1374"/>
      <c r="L51" s="646" t="s">
        <v>1524</v>
      </c>
      <c r="M51" s="647"/>
    </row>
    <row r="52" spans="1:13" ht="12.75" hidden="1" x14ac:dyDescent="0.2">
      <c r="A52" s="663"/>
      <c r="B52" s="675" t="s">
        <v>1530</v>
      </c>
      <c r="C52" s="665"/>
      <c r="D52" s="665"/>
      <c r="E52" s="667"/>
      <c r="F52" s="667"/>
      <c r="G52" s="641">
        <v>425</v>
      </c>
      <c r="H52" s="668"/>
      <c r="I52" s="642"/>
      <c r="J52" s="652"/>
      <c r="K52" s="1374"/>
      <c r="L52" s="676" t="s">
        <v>1531</v>
      </c>
      <c r="M52" s="647"/>
    </row>
    <row r="53" spans="1:13" ht="24" hidden="1" x14ac:dyDescent="0.2">
      <c r="A53" s="663"/>
      <c r="B53" s="675" t="s">
        <v>1532</v>
      </c>
      <c r="C53" s="665"/>
      <c r="D53" s="665"/>
      <c r="E53" s="667"/>
      <c r="F53" s="667"/>
      <c r="G53" s="641">
        <v>1500</v>
      </c>
      <c r="H53" s="668"/>
      <c r="I53" s="642"/>
      <c r="J53" s="652"/>
      <c r="K53" s="1374"/>
      <c r="L53" s="646" t="s">
        <v>1524</v>
      </c>
      <c r="M53" s="647"/>
    </row>
    <row r="54" spans="1:13" ht="24" hidden="1" x14ac:dyDescent="0.2">
      <c r="A54" s="663"/>
      <c r="B54" s="675" t="s">
        <v>1533</v>
      </c>
      <c r="C54" s="665"/>
      <c r="D54" s="665"/>
      <c r="E54" s="667"/>
      <c r="F54" s="667"/>
      <c r="G54" s="641">
        <v>120</v>
      </c>
      <c r="H54" s="668"/>
      <c r="I54" s="642"/>
      <c r="J54" s="652"/>
      <c r="K54" s="1374"/>
      <c r="L54" s="676" t="s">
        <v>1531</v>
      </c>
      <c r="M54" s="647"/>
    </row>
    <row r="55" spans="1:13" ht="36" hidden="1" x14ac:dyDescent="0.2">
      <c r="A55" s="663"/>
      <c r="B55" s="675" t="s">
        <v>1534</v>
      </c>
      <c r="C55" s="665"/>
      <c r="D55" s="665"/>
      <c r="E55" s="667"/>
      <c r="F55" s="667"/>
      <c r="G55" s="641">
        <v>45</v>
      </c>
      <c r="H55" s="668"/>
      <c r="I55" s="642"/>
      <c r="J55" s="652"/>
      <c r="K55" s="1374"/>
      <c r="L55" s="676" t="s">
        <v>1531</v>
      </c>
      <c r="M55" s="647"/>
    </row>
    <row r="56" spans="1:13" ht="48" hidden="1" x14ac:dyDescent="0.2">
      <c r="A56" s="663"/>
      <c r="B56" s="675" t="s">
        <v>1535</v>
      </c>
      <c r="C56" s="665"/>
      <c r="D56" s="665"/>
      <c r="E56" s="667"/>
      <c r="F56" s="667"/>
      <c r="G56" s="641">
        <v>500</v>
      </c>
      <c r="H56" s="668"/>
      <c r="I56" s="642"/>
      <c r="J56" s="652"/>
      <c r="K56" s="1374"/>
      <c r="L56" s="646" t="s">
        <v>1536</v>
      </c>
      <c r="M56" s="647"/>
    </row>
    <row r="57" spans="1:13" ht="24" hidden="1" x14ac:dyDescent="0.2">
      <c r="A57" s="663"/>
      <c r="B57" s="675" t="s">
        <v>1537</v>
      </c>
      <c r="C57" s="665"/>
      <c r="D57" s="665"/>
      <c r="E57" s="667"/>
      <c r="F57" s="667"/>
      <c r="G57" s="641">
        <v>1800</v>
      </c>
      <c r="H57" s="668"/>
      <c r="I57" s="642"/>
      <c r="J57" s="652"/>
      <c r="K57" s="1374"/>
      <c r="L57" s="646" t="s">
        <v>1528</v>
      </c>
      <c r="M57" s="647"/>
    </row>
    <row r="58" spans="1:13" ht="28.5" hidden="1" customHeight="1" x14ac:dyDescent="0.2">
      <c r="A58" s="663"/>
      <c r="B58" s="675" t="s">
        <v>1538</v>
      </c>
      <c r="C58" s="665"/>
      <c r="D58" s="665"/>
      <c r="E58" s="667"/>
      <c r="F58" s="667"/>
      <c r="G58" s="641">
        <v>5576</v>
      </c>
      <c r="H58" s="668"/>
      <c r="I58" s="642"/>
      <c r="J58" s="652"/>
      <c r="K58" s="1374"/>
      <c r="L58" s="646" t="s">
        <v>1524</v>
      </c>
      <c r="M58" s="671" t="s">
        <v>1539</v>
      </c>
    </row>
    <row r="59" spans="1:13" ht="24.75" customHeight="1" x14ac:dyDescent="0.2">
      <c r="A59" s="663">
        <v>7</v>
      </c>
      <c r="B59" s="664" t="s">
        <v>1540</v>
      </c>
      <c r="C59" s="665">
        <f>13970+3040</f>
        <v>17010</v>
      </c>
      <c r="D59" s="665">
        <v>2460</v>
      </c>
      <c r="E59" s="666">
        <v>12000</v>
      </c>
      <c r="F59" s="667">
        <v>0</v>
      </c>
      <c r="G59" s="641">
        <v>7000</v>
      </c>
      <c r="H59" s="668"/>
      <c r="I59" s="642">
        <v>2311</v>
      </c>
      <c r="J59" s="652">
        <v>7000</v>
      </c>
      <c r="K59" s="1374"/>
      <c r="L59" s="646" t="s">
        <v>1541</v>
      </c>
      <c r="M59" s="647" t="s">
        <v>1542</v>
      </c>
    </row>
    <row r="60" spans="1:13" ht="22.5" customHeight="1" x14ac:dyDescent="0.2">
      <c r="A60" s="663">
        <v>8</v>
      </c>
      <c r="B60" s="664" t="s">
        <v>1543</v>
      </c>
      <c r="C60" s="665">
        <f>13768+1028</f>
        <v>14796</v>
      </c>
      <c r="D60" s="665">
        <v>484</v>
      </c>
      <c r="E60" s="666">
        <v>1002</v>
      </c>
      <c r="F60" s="667">
        <v>0</v>
      </c>
      <c r="G60" s="641">
        <v>2300</v>
      </c>
      <c r="H60" s="668"/>
      <c r="I60" s="642">
        <v>2355</v>
      </c>
      <c r="J60" s="652">
        <v>1002</v>
      </c>
      <c r="K60" s="1374"/>
      <c r="L60" s="646" t="s">
        <v>1541</v>
      </c>
      <c r="M60" s="647" t="s">
        <v>1544</v>
      </c>
    </row>
    <row r="61" spans="1:13" ht="264" x14ac:dyDescent="0.2">
      <c r="A61" s="663">
        <v>9</v>
      </c>
      <c r="B61" s="664" t="s">
        <v>1483</v>
      </c>
      <c r="C61" s="665">
        <v>127100</v>
      </c>
      <c r="D61" s="665"/>
      <c r="E61" s="666">
        <v>51170</v>
      </c>
      <c r="F61" s="667">
        <f>SUM(F62:F70)</f>
        <v>0</v>
      </c>
      <c r="G61" s="641">
        <f>SUM(G62:G72)</f>
        <v>123949</v>
      </c>
      <c r="H61" s="668"/>
      <c r="I61" s="642">
        <v>5121</v>
      </c>
      <c r="J61" s="652">
        <f>SUM(J62:J72)</f>
        <v>101349</v>
      </c>
      <c r="K61" s="670"/>
      <c r="L61" s="646" t="s">
        <v>3534</v>
      </c>
      <c r="M61" s="647"/>
    </row>
    <row r="62" spans="1:13" ht="48" hidden="1" x14ac:dyDescent="0.2">
      <c r="A62" s="663"/>
      <c r="B62" s="675" t="s">
        <v>1545</v>
      </c>
      <c r="C62" s="665"/>
      <c r="D62" s="665"/>
      <c r="E62" s="665"/>
      <c r="F62" s="665"/>
      <c r="G62" s="641">
        <v>5000</v>
      </c>
      <c r="H62" s="668"/>
      <c r="I62" s="642"/>
      <c r="J62" s="652">
        <v>5000</v>
      </c>
      <c r="K62" s="1374"/>
      <c r="L62" s="646" t="s">
        <v>1508</v>
      </c>
      <c r="M62" s="671" t="s">
        <v>1546</v>
      </c>
    </row>
    <row r="63" spans="1:13" ht="24" hidden="1" x14ac:dyDescent="0.2">
      <c r="A63" s="663"/>
      <c r="B63" s="677" t="s">
        <v>1547</v>
      </c>
      <c r="C63" s="665"/>
      <c r="D63" s="665"/>
      <c r="E63" s="667"/>
      <c r="F63" s="665"/>
      <c r="G63" s="641">
        <v>10500</v>
      </c>
      <c r="H63" s="668"/>
      <c r="I63" s="642"/>
      <c r="J63" s="652">
        <v>10500</v>
      </c>
      <c r="K63" s="1374"/>
      <c r="L63" s="646" t="s">
        <v>1548</v>
      </c>
      <c r="M63" s="647" t="s">
        <v>1549</v>
      </c>
    </row>
    <row r="64" spans="1:13" ht="24" hidden="1" x14ac:dyDescent="0.2">
      <c r="A64" s="663"/>
      <c r="B64" s="664" t="s">
        <v>1550</v>
      </c>
      <c r="C64" s="665"/>
      <c r="D64" s="665"/>
      <c r="E64" s="667"/>
      <c r="F64" s="665"/>
      <c r="G64" s="641">
        <v>8349</v>
      </c>
      <c r="H64" s="668"/>
      <c r="I64" s="642"/>
      <c r="J64" s="652">
        <v>8349</v>
      </c>
      <c r="K64" s="1374"/>
      <c r="L64" s="646" t="s">
        <v>1511</v>
      </c>
      <c r="M64" s="647" t="s">
        <v>1551</v>
      </c>
    </row>
    <row r="65" spans="1:13" ht="48" hidden="1" x14ac:dyDescent="0.2">
      <c r="A65" s="663"/>
      <c r="B65" s="664" t="s">
        <v>1552</v>
      </c>
      <c r="C65" s="665"/>
      <c r="D65" s="665"/>
      <c r="E65" s="667"/>
      <c r="F65" s="665"/>
      <c r="G65" s="641">
        <v>4000</v>
      </c>
      <c r="H65" s="668"/>
      <c r="I65" s="642"/>
      <c r="J65" s="652">
        <v>4000</v>
      </c>
      <c r="K65" s="1374"/>
      <c r="L65" s="646" t="s">
        <v>1514</v>
      </c>
      <c r="M65" s="647"/>
    </row>
    <row r="66" spans="1:13" ht="24" hidden="1" x14ac:dyDescent="0.2">
      <c r="A66" s="663"/>
      <c r="B66" s="664" t="s">
        <v>1553</v>
      </c>
      <c r="C66" s="665"/>
      <c r="D66" s="665"/>
      <c r="E66" s="667"/>
      <c r="F66" s="665"/>
      <c r="G66" s="641">
        <v>7500</v>
      </c>
      <c r="H66" s="668"/>
      <c r="I66" s="642"/>
      <c r="J66" s="652">
        <v>7500</v>
      </c>
      <c r="K66" s="1374"/>
      <c r="L66" s="646" t="s">
        <v>1554</v>
      </c>
      <c r="M66" s="647"/>
    </row>
    <row r="67" spans="1:13" ht="51" hidden="1" customHeight="1" x14ac:dyDescent="0.2">
      <c r="A67" s="663"/>
      <c r="B67" s="664" t="s">
        <v>1555</v>
      </c>
      <c r="C67" s="665"/>
      <c r="D67" s="665"/>
      <c r="E67" s="667"/>
      <c r="F67" s="665"/>
      <c r="G67" s="641">
        <v>9000</v>
      </c>
      <c r="H67" s="668"/>
      <c r="I67" s="642"/>
      <c r="J67" s="652">
        <v>9000</v>
      </c>
      <c r="K67" s="1374"/>
      <c r="L67" s="646" t="s">
        <v>1556</v>
      </c>
      <c r="M67" s="647" t="s">
        <v>1557</v>
      </c>
    </row>
    <row r="68" spans="1:13" ht="84" hidden="1" x14ac:dyDescent="0.2">
      <c r="A68" s="663"/>
      <c r="B68" s="664" t="s">
        <v>1558</v>
      </c>
      <c r="C68" s="665"/>
      <c r="D68" s="665"/>
      <c r="E68" s="667"/>
      <c r="F68" s="665"/>
      <c r="G68" s="641">
        <v>10000</v>
      </c>
      <c r="H68" s="668"/>
      <c r="I68" s="642"/>
      <c r="J68" s="652">
        <v>10000</v>
      </c>
      <c r="K68" s="1374"/>
      <c r="L68" s="646" t="s">
        <v>1559</v>
      </c>
      <c r="M68" s="671" t="s">
        <v>1560</v>
      </c>
    </row>
    <row r="69" spans="1:13" ht="24" hidden="1" x14ac:dyDescent="0.2">
      <c r="A69" s="663"/>
      <c r="B69" s="675" t="s">
        <v>1561</v>
      </c>
      <c r="C69" s="665"/>
      <c r="D69" s="665"/>
      <c r="E69" s="667"/>
      <c r="F69" s="667"/>
      <c r="G69" s="641">
        <v>12000</v>
      </c>
      <c r="H69" s="668"/>
      <c r="I69" s="642"/>
      <c r="J69" s="652">
        <v>12000</v>
      </c>
      <c r="K69" s="1374"/>
      <c r="L69" s="644" t="s">
        <v>1562</v>
      </c>
      <c r="M69" s="647"/>
    </row>
    <row r="70" spans="1:13" ht="84" hidden="1" x14ac:dyDescent="0.2">
      <c r="A70" s="663"/>
      <c r="B70" s="675" t="s">
        <v>1563</v>
      </c>
      <c r="C70" s="665"/>
      <c r="D70" s="665"/>
      <c r="E70" s="667"/>
      <c r="F70" s="667"/>
      <c r="G70" s="641">
        <v>10000</v>
      </c>
      <c r="H70" s="668"/>
      <c r="I70" s="642"/>
      <c r="J70" s="652"/>
      <c r="K70" s="1374"/>
      <c r="L70" s="646" t="s">
        <v>1559</v>
      </c>
      <c r="M70" s="671" t="s">
        <v>1564</v>
      </c>
    </row>
    <row r="71" spans="1:13" ht="36" hidden="1" x14ac:dyDescent="0.2">
      <c r="A71" s="663"/>
      <c r="B71" s="664" t="s">
        <v>1565</v>
      </c>
      <c r="C71" s="665"/>
      <c r="D71" s="665"/>
      <c r="E71" s="665"/>
      <c r="F71" s="665"/>
      <c r="G71" s="641">
        <v>35000</v>
      </c>
      <c r="H71" s="668"/>
      <c r="I71" s="642"/>
      <c r="J71" s="652">
        <v>35000</v>
      </c>
      <c r="K71" s="1374"/>
      <c r="L71" s="646" t="s">
        <v>1566</v>
      </c>
      <c r="M71" s="671" t="s">
        <v>1567</v>
      </c>
    </row>
    <row r="72" spans="1:13" ht="96" hidden="1" x14ac:dyDescent="0.2">
      <c r="A72" s="663"/>
      <c r="B72" s="664" t="s">
        <v>1568</v>
      </c>
      <c r="C72" s="665"/>
      <c r="D72" s="665"/>
      <c r="E72" s="665"/>
      <c r="F72" s="665"/>
      <c r="G72" s="641">
        <v>12600</v>
      </c>
      <c r="H72" s="668"/>
      <c r="I72" s="642"/>
      <c r="J72" s="652"/>
      <c r="K72" s="1374"/>
      <c r="L72" s="646" t="s">
        <v>1569</v>
      </c>
      <c r="M72" s="671" t="s">
        <v>1570</v>
      </c>
    </row>
    <row r="73" spans="1:13" s="626" customFormat="1" ht="36" x14ac:dyDescent="0.2">
      <c r="A73" s="663">
        <v>10</v>
      </c>
      <c r="B73" s="664" t="s">
        <v>1489</v>
      </c>
      <c r="C73" s="678">
        <f>70900-58800</f>
        <v>12100</v>
      </c>
      <c r="D73" s="678"/>
      <c r="E73" s="666">
        <v>12099</v>
      </c>
      <c r="F73" s="667">
        <f>SUM(F74:F74)</f>
        <v>0</v>
      </c>
      <c r="G73" s="641">
        <f>SUM(G74:G74)</f>
        <v>10000</v>
      </c>
      <c r="H73" s="668"/>
      <c r="I73" s="642">
        <v>5239</v>
      </c>
      <c r="J73" s="652">
        <f>SUM(J74:J74)</f>
        <v>11520</v>
      </c>
      <c r="K73" s="670"/>
      <c r="L73" s="646" t="s">
        <v>1503</v>
      </c>
      <c r="M73" s="647"/>
    </row>
    <row r="74" spans="1:13" s="626" customFormat="1" ht="36" hidden="1" x14ac:dyDescent="0.2">
      <c r="A74" s="663"/>
      <c r="B74" s="677" t="s">
        <v>1571</v>
      </c>
      <c r="C74" s="665"/>
      <c r="D74" s="679"/>
      <c r="E74" s="666"/>
      <c r="F74" s="665"/>
      <c r="G74" s="641">
        <v>10000</v>
      </c>
      <c r="H74" s="668"/>
      <c r="I74" s="642"/>
      <c r="J74" s="652">
        <f>720*16</f>
        <v>11520</v>
      </c>
      <c r="K74" s="1374"/>
      <c r="L74" s="646" t="s">
        <v>1503</v>
      </c>
      <c r="M74" s="671" t="s">
        <v>1572</v>
      </c>
    </row>
    <row r="75" spans="1:13" s="626" customFormat="1" ht="180" customHeight="1" x14ac:dyDescent="0.2">
      <c r="A75" s="161">
        <v>11</v>
      </c>
      <c r="B75" s="680" t="s">
        <v>1493</v>
      </c>
      <c r="C75" s="678">
        <f>10000+58400+9750+12000</f>
        <v>90150</v>
      </c>
      <c r="D75" s="252"/>
      <c r="E75" s="666">
        <v>22846</v>
      </c>
      <c r="F75" s="667">
        <v>0</v>
      </c>
      <c r="G75" s="681">
        <v>160100</v>
      </c>
      <c r="H75" s="682"/>
      <c r="I75" s="683">
        <v>5240</v>
      </c>
      <c r="J75" s="684">
        <f>50000+50000+10000+26000+9300+14800</f>
        <v>160100</v>
      </c>
      <c r="K75" s="1375"/>
      <c r="L75" s="655" t="s">
        <v>1573</v>
      </c>
      <c r="M75" s="685" t="s">
        <v>1574</v>
      </c>
    </row>
    <row r="76" spans="1:13" s="626" customFormat="1" ht="12.75" x14ac:dyDescent="0.2">
      <c r="A76" s="686"/>
      <c r="B76" s="687"/>
      <c r="C76" s="688"/>
      <c r="D76" s="689"/>
      <c r="E76" s="690"/>
      <c r="F76" s="691"/>
      <c r="G76" s="692"/>
      <c r="H76" s="693"/>
      <c r="I76" s="694"/>
      <c r="J76" s="695"/>
      <c r="L76" s="695"/>
      <c r="M76" s="695"/>
    </row>
    <row r="77" spans="1:13" s="626" customFormat="1" x14ac:dyDescent="0.2">
      <c r="A77" s="628" t="s">
        <v>455</v>
      </c>
      <c r="B77" s="695"/>
      <c r="C77" s="695"/>
      <c r="D77" s="695"/>
      <c r="E77" s="695"/>
      <c r="F77" s="695"/>
      <c r="G77" s="695"/>
      <c r="H77" s="695"/>
      <c r="I77" s="695"/>
      <c r="J77" s="695"/>
    </row>
    <row r="78" spans="1:13" x14ac:dyDescent="0.2">
      <c r="A78" s="628" t="s">
        <v>505</v>
      </c>
      <c r="B78" s="696"/>
      <c r="C78" s="696"/>
      <c r="D78" s="696"/>
      <c r="E78" s="696"/>
      <c r="F78" s="696"/>
      <c r="G78" s="696"/>
      <c r="H78" s="696"/>
      <c r="I78" s="696"/>
      <c r="J78" s="696"/>
      <c r="K78" s="696"/>
      <c r="L78" s="696"/>
      <c r="M78" s="696"/>
    </row>
    <row r="79" spans="1:13" ht="12.75" x14ac:dyDescent="0.2">
      <c r="B79" s="697"/>
      <c r="C79" s="698"/>
      <c r="D79" s="699"/>
      <c r="E79" s="700"/>
      <c r="F79" s="700"/>
      <c r="G79" s="696"/>
      <c r="H79" s="696"/>
      <c r="I79" s="696"/>
      <c r="J79" s="696"/>
      <c r="K79" s="696"/>
      <c r="L79" s="696"/>
      <c r="M79" s="696"/>
    </row>
    <row r="80" spans="1:13" ht="12.75" x14ac:dyDescent="0.2">
      <c r="A80" s="1518" t="s">
        <v>326</v>
      </c>
      <c r="B80" s="697"/>
      <c r="C80" s="698"/>
      <c r="D80" s="699"/>
      <c r="E80" s="700"/>
      <c r="F80" s="700"/>
      <c r="G80" s="696"/>
      <c r="H80" s="696"/>
      <c r="I80" s="696"/>
      <c r="J80" s="696"/>
      <c r="K80" s="696"/>
      <c r="L80" s="696"/>
      <c r="M80" s="696"/>
    </row>
    <row r="81" spans="1:13" ht="12.75" x14ac:dyDescent="0.2">
      <c r="A81" s="628" t="s">
        <v>464</v>
      </c>
      <c r="B81" s="697"/>
      <c r="C81" s="698"/>
      <c r="D81" s="699"/>
      <c r="E81" s="700"/>
      <c r="F81" s="700"/>
      <c r="G81" s="696"/>
      <c r="H81" s="696"/>
      <c r="I81" s="696"/>
      <c r="J81" s="696"/>
      <c r="K81" s="696"/>
      <c r="L81" s="696"/>
      <c r="M81" s="696"/>
    </row>
    <row r="82" spans="1:13" ht="12.75" x14ac:dyDescent="0.2">
      <c r="A82" s="1519" t="s">
        <v>1575</v>
      </c>
      <c r="B82" s="697"/>
      <c r="C82" s="698"/>
      <c r="D82" s="699"/>
      <c r="E82" s="700"/>
      <c r="F82" s="700"/>
      <c r="G82" s="696"/>
      <c r="H82" s="696"/>
      <c r="I82" s="696"/>
      <c r="J82" s="696"/>
      <c r="K82" s="696"/>
      <c r="L82" s="696"/>
      <c r="M82" s="696"/>
    </row>
    <row r="83" spans="1:13" ht="12.75" x14ac:dyDescent="0.2">
      <c r="A83" s="1519" t="s">
        <v>1576</v>
      </c>
      <c r="B83" s="697"/>
      <c r="C83" s="698"/>
      <c r="D83" s="699"/>
      <c r="E83" s="700"/>
      <c r="F83" s="700"/>
      <c r="G83" s="696"/>
      <c r="H83" s="696"/>
      <c r="I83" s="696"/>
      <c r="J83" s="696"/>
      <c r="K83" s="696"/>
      <c r="L83" s="696"/>
      <c r="M83" s="696"/>
    </row>
    <row r="84" spans="1:13" ht="12.75" x14ac:dyDescent="0.2">
      <c r="A84" s="1519" t="s">
        <v>331</v>
      </c>
      <c r="B84" s="697"/>
      <c r="C84" s="698"/>
      <c r="D84" s="699"/>
      <c r="E84" s="700"/>
      <c r="F84" s="700"/>
      <c r="G84" s="696"/>
      <c r="H84" s="696"/>
      <c r="I84" s="696"/>
      <c r="J84" s="696"/>
      <c r="K84" s="696"/>
      <c r="L84" s="696"/>
      <c r="M84" s="696"/>
    </row>
    <row r="85" spans="1:13" ht="12.75" x14ac:dyDescent="0.2">
      <c r="A85" s="1519" t="s">
        <v>1577</v>
      </c>
      <c r="B85" s="697"/>
      <c r="C85" s="698"/>
      <c r="D85" s="699"/>
      <c r="E85" s="700"/>
      <c r="F85" s="700"/>
      <c r="G85" s="696"/>
      <c r="H85" s="696"/>
      <c r="I85" s="696"/>
      <c r="J85" s="696"/>
      <c r="K85" s="696"/>
      <c r="L85" s="696"/>
      <c r="M85" s="696"/>
    </row>
    <row r="86" spans="1:13" ht="12.75" x14ac:dyDescent="0.2">
      <c r="A86" s="1519" t="s">
        <v>3535</v>
      </c>
      <c r="B86" s="697"/>
      <c r="C86" s="698"/>
      <c r="D86" s="699"/>
      <c r="E86" s="700"/>
      <c r="F86" s="700"/>
      <c r="G86" s="696"/>
      <c r="H86" s="696"/>
      <c r="I86" s="696"/>
      <c r="J86" s="696"/>
      <c r="K86" s="696"/>
      <c r="L86" s="696"/>
      <c r="M86" s="696"/>
    </row>
    <row r="87" spans="1:13" ht="12.75" x14ac:dyDescent="0.2">
      <c r="A87" s="1519" t="s">
        <v>1578</v>
      </c>
      <c r="B87" s="697"/>
      <c r="C87" s="698"/>
      <c r="D87" s="699"/>
      <c r="E87" s="700"/>
      <c r="F87" s="700"/>
      <c r="G87" s="696"/>
      <c r="H87" s="696"/>
      <c r="I87" s="696"/>
      <c r="J87" s="696"/>
      <c r="K87" s="696"/>
      <c r="L87" s="696"/>
      <c r="M87" s="696"/>
    </row>
    <row r="88" spans="1:13" ht="12.75" x14ac:dyDescent="0.2">
      <c r="A88" s="1519" t="s">
        <v>1579</v>
      </c>
      <c r="B88" s="697"/>
      <c r="C88" s="698"/>
      <c r="D88" s="699"/>
      <c r="E88" s="700"/>
      <c r="F88" s="700"/>
      <c r="G88" s="696"/>
      <c r="H88" s="696"/>
      <c r="I88" s="696"/>
      <c r="J88" s="696"/>
      <c r="K88" s="696"/>
      <c r="L88" s="696"/>
      <c r="M88" s="696"/>
    </row>
    <row r="89" spans="1:13" ht="12.75" x14ac:dyDescent="0.2">
      <c r="A89" s="1519" t="s">
        <v>1580</v>
      </c>
      <c r="B89" s="697"/>
      <c r="C89" s="698"/>
      <c r="D89" s="699"/>
      <c r="E89" s="700"/>
      <c r="F89" s="700"/>
      <c r="G89" s="696"/>
      <c r="H89" s="696"/>
      <c r="I89" s="696"/>
      <c r="J89" s="696"/>
      <c r="K89" s="696"/>
      <c r="L89" s="696"/>
      <c r="M89" s="696"/>
    </row>
    <row r="90" spans="1:13" ht="12.75" x14ac:dyDescent="0.2">
      <c r="A90" s="1519" t="s">
        <v>1581</v>
      </c>
      <c r="B90" s="697"/>
      <c r="C90" s="698"/>
      <c r="D90" s="699"/>
      <c r="E90" s="700"/>
      <c r="F90" s="700"/>
      <c r="G90" s="696"/>
      <c r="H90" s="696"/>
      <c r="I90" s="696"/>
      <c r="J90" s="696"/>
      <c r="K90" s="696"/>
      <c r="L90" s="696"/>
      <c r="M90" s="696"/>
    </row>
    <row r="91" spans="1:13" ht="12.75" x14ac:dyDescent="0.2">
      <c r="A91" s="1519" t="s">
        <v>333</v>
      </c>
      <c r="B91" s="697"/>
      <c r="C91" s="698"/>
      <c r="D91" s="699"/>
      <c r="E91" s="700"/>
      <c r="F91" s="700"/>
      <c r="G91" s="696"/>
      <c r="H91" s="696"/>
      <c r="I91" s="696"/>
      <c r="J91" s="696"/>
      <c r="K91" s="696"/>
      <c r="L91" s="696"/>
      <c r="M91" s="696"/>
    </row>
    <row r="92" spans="1:13" ht="12.75" x14ac:dyDescent="0.2">
      <c r="A92" s="1519" t="s">
        <v>1582</v>
      </c>
      <c r="B92" s="697"/>
      <c r="C92" s="698"/>
      <c r="D92" s="699"/>
      <c r="E92" s="700"/>
      <c r="F92" s="700"/>
      <c r="G92" s="696"/>
      <c r="H92" s="696"/>
      <c r="I92" s="696"/>
      <c r="J92" s="696"/>
      <c r="K92" s="696"/>
      <c r="L92" s="696"/>
      <c r="M92" s="696"/>
    </row>
    <row r="93" spans="1:13" ht="12.75" x14ac:dyDescent="0.2">
      <c r="A93" s="1519" t="s">
        <v>1583</v>
      </c>
      <c r="B93" s="697"/>
      <c r="C93" s="698"/>
      <c r="D93" s="699"/>
      <c r="E93" s="700"/>
      <c r="F93" s="700"/>
      <c r="G93" s="696"/>
      <c r="H93" s="696"/>
      <c r="I93" s="696"/>
      <c r="J93" s="696"/>
      <c r="K93" s="696"/>
      <c r="L93" s="696"/>
      <c r="M93" s="696"/>
    </row>
    <row r="94" spans="1:13" ht="12.75" x14ac:dyDescent="0.2">
      <c r="A94" s="1519" t="s">
        <v>1584</v>
      </c>
      <c r="B94" s="697"/>
      <c r="C94" s="698"/>
      <c r="D94" s="699"/>
      <c r="E94" s="700"/>
      <c r="F94" s="700"/>
      <c r="G94" s="696"/>
      <c r="H94" s="696"/>
      <c r="I94" s="696"/>
      <c r="J94" s="696"/>
      <c r="K94" s="696"/>
      <c r="L94" s="696"/>
      <c r="M94" s="696"/>
    </row>
    <row r="95" spans="1:13" ht="12.75" x14ac:dyDescent="0.2">
      <c r="A95" s="1519" t="s">
        <v>1585</v>
      </c>
      <c r="B95" s="697"/>
      <c r="C95" s="698"/>
      <c r="D95" s="699"/>
      <c r="E95" s="700"/>
      <c r="F95" s="700"/>
      <c r="G95" s="696"/>
      <c r="H95" s="696"/>
      <c r="I95" s="696"/>
      <c r="J95" s="696"/>
      <c r="K95" s="696"/>
      <c r="L95" s="696"/>
      <c r="M95" s="696"/>
    </row>
    <row r="96" spans="1:13" ht="12.75" x14ac:dyDescent="0.2">
      <c r="A96" s="1519" t="s">
        <v>334</v>
      </c>
      <c r="B96" s="697"/>
      <c r="C96" s="698"/>
      <c r="D96" s="699"/>
      <c r="E96" s="700"/>
      <c r="F96" s="700"/>
      <c r="G96" s="696"/>
      <c r="H96" s="696"/>
      <c r="I96" s="696"/>
      <c r="J96" s="696"/>
      <c r="K96" s="696"/>
      <c r="L96" s="696"/>
      <c r="M96" s="696"/>
    </row>
    <row r="97" spans="1:13" ht="12.75" x14ac:dyDescent="0.2">
      <c r="A97" s="1519" t="s">
        <v>1586</v>
      </c>
      <c r="B97" s="697"/>
      <c r="C97" s="698"/>
      <c r="D97" s="699"/>
      <c r="E97" s="700"/>
      <c r="F97" s="700"/>
      <c r="G97" s="696"/>
      <c r="H97" s="696"/>
      <c r="I97" s="696"/>
      <c r="J97" s="696"/>
      <c r="K97" s="696"/>
      <c r="L97" s="696"/>
      <c r="M97" s="696"/>
    </row>
    <row r="98" spans="1:13" ht="12.75" x14ac:dyDescent="0.2">
      <c r="A98" s="1519" t="s">
        <v>1587</v>
      </c>
      <c r="B98" s="697"/>
      <c r="C98" s="698"/>
      <c r="D98" s="699"/>
      <c r="E98" s="700"/>
      <c r="F98" s="700"/>
      <c r="G98" s="696"/>
      <c r="H98" s="696"/>
      <c r="I98" s="696"/>
      <c r="J98" s="696"/>
      <c r="K98" s="696"/>
      <c r="L98" s="696"/>
      <c r="M98" s="696"/>
    </row>
    <row r="99" spans="1:13" ht="12.75" x14ac:dyDescent="0.2">
      <c r="A99" s="1519" t="s">
        <v>1588</v>
      </c>
      <c r="B99" s="697"/>
      <c r="C99" s="698"/>
      <c r="D99" s="699"/>
      <c r="E99" s="700"/>
      <c r="F99" s="700"/>
      <c r="G99" s="696"/>
      <c r="H99" s="696"/>
      <c r="I99" s="696"/>
      <c r="J99" s="696"/>
      <c r="K99" s="696"/>
      <c r="L99" s="696"/>
      <c r="M99" s="696"/>
    </row>
    <row r="100" spans="1:13" ht="12.75" x14ac:dyDescent="0.2">
      <c r="A100" s="1519" t="s">
        <v>1589</v>
      </c>
      <c r="B100" s="697"/>
      <c r="C100" s="698"/>
      <c r="D100" s="699"/>
      <c r="E100" s="700"/>
      <c r="F100" s="700"/>
      <c r="G100" s="696"/>
      <c r="H100" s="696"/>
      <c r="I100" s="696"/>
      <c r="J100" s="696"/>
      <c r="K100" s="696"/>
      <c r="L100" s="696"/>
      <c r="M100" s="696"/>
    </row>
    <row r="101" spans="1:13" ht="12.75" x14ac:dyDescent="0.2">
      <c r="A101" s="1519" t="s">
        <v>1590</v>
      </c>
      <c r="B101" s="697"/>
      <c r="C101" s="698"/>
      <c r="D101" s="699"/>
      <c r="E101" s="700"/>
      <c r="F101" s="700"/>
      <c r="G101" s="696"/>
      <c r="H101" s="696"/>
      <c r="I101" s="696"/>
      <c r="J101" s="696"/>
      <c r="K101" s="696"/>
      <c r="L101" s="696"/>
      <c r="M101" s="696"/>
    </row>
    <row r="102" spans="1:13" ht="12.75" x14ac:dyDescent="0.2">
      <c r="A102" s="1519" t="s">
        <v>1591</v>
      </c>
      <c r="B102" s="697"/>
      <c r="C102" s="698"/>
      <c r="D102" s="699"/>
      <c r="E102" s="700"/>
      <c r="F102" s="700"/>
      <c r="G102" s="696"/>
      <c r="H102" s="696"/>
      <c r="I102" s="696"/>
      <c r="J102" s="696"/>
      <c r="K102" s="696"/>
      <c r="L102" s="696"/>
      <c r="M102" s="696"/>
    </row>
    <row r="103" spans="1:13" ht="12.75" x14ac:dyDescent="0.2">
      <c r="A103" s="1519" t="s">
        <v>1592</v>
      </c>
      <c r="B103" s="697"/>
      <c r="C103" s="698"/>
      <c r="D103" s="699"/>
      <c r="E103" s="700"/>
      <c r="F103" s="700"/>
      <c r="G103" s="696"/>
      <c r="H103" s="696"/>
      <c r="I103" s="696"/>
      <c r="J103" s="696"/>
      <c r="K103" s="696"/>
      <c r="L103" s="696"/>
      <c r="M103" s="696"/>
    </row>
    <row r="104" spans="1:13" ht="12.75" x14ac:dyDescent="0.2">
      <c r="A104" s="1519" t="s">
        <v>1593</v>
      </c>
      <c r="B104" s="697"/>
      <c r="C104" s="698"/>
      <c r="D104" s="699"/>
      <c r="E104" s="700"/>
      <c r="F104" s="700"/>
      <c r="G104" s="696"/>
      <c r="H104" s="696"/>
      <c r="I104" s="696"/>
      <c r="J104" s="696"/>
      <c r="K104" s="696"/>
      <c r="L104" s="696"/>
      <c r="M104" s="696"/>
    </row>
    <row r="105" spans="1:13" ht="12.75" x14ac:dyDescent="0.2">
      <c r="A105" s="1519" t="s">
        <v>1594</v>
      </c>
      <c r="B105" s="697"/>
      <c r="C105" s="698"/>
      <c r="D105" s="699"/>
      <c r="E105" s="700"/>
      <c r="F105" s="700"/>
      <c r="G105" s="696"/>
      <c r="H105" s="696"/>
      <c r="I105" s="696"/>
      <c r="J105" s="696"/>
      <c r="K105" s="696"/>
      <c r="L105" s="696"/>
      <c r="M105" s="696"/>
    </row>
    <row r="106" spans="1:13" ht="12.75" x14ac:dyDescent="0.2">
      <c r="A106" s="1519" t="s">
        <v>1595</v>
      </c>
      <c r="B106" s="697"/>
      <c r="C106" s="698"/>
      <c r="D106" s="699"/>
      <c r="E106" s="700"/>
      <c r="F106" s="700"/>
      <c r="G106" s="696"/>
      <c r="H106" s="696"/>
      <c r="I106" s="696"/>
      <c r="J106" s="696"/>
      <c r="K106" s="696"/>
      <c r="L106" s="696"/>
      <c r="M106" s="696"/>
    </row>
    <row r="107" spans="1:13" ht="12.75" x14ac:dyDescent="0.2">
      <c r="A107" s="1519" t="s">
        <v>1596</v>
      </c>
      <c r="B107" s="697"/>
      <c r="C107" s="698"/>
      <c r="D107" s="699"/>
      <c r="E107" s="700"/>
      <c r="F107" s="700"/>
      <c r="G107" s="696"/>
      <c r="H107" s="696"/>
      <c r="I107" s="696"/>
      <c r="J107" s="696"/>
      <c r="K107" s="696"/>
      <c r="L107" s="696"/>
      <c r="M107" s="696"/>
    </row>
    <row r="108" spans="1:13" ht="12.75" x14ac:dyDescent="0.2">
      <c r="A108" s="1519" t="s">
        <v>1597</v>
      </c>
      <c r="B108" s="697"/>
      <c r="C108" s="698"/>
      <c r="D108" s="699"/>
      <c r="E108" s="700"/>
      <c r="F108" s="700"/>
      <c r="G108" s="696"/>
      <c r="H108" s="696"/>
      <c r="I108" s="696"/>
      <c r="J108" s="696"/>
      <c r="K108" s="696"/>
      <c r="L108" s="696"/>
      <c r="M108" s="696"/>
    </row>
    <row r="109" spans="1:13" ht="12.75" x14ac:dyDescent="0.2">
      <c r="A109" s="1519" t="s">
        <v>1598</v>
      </c>
      <c r="B109" s="697"/>
      <c r="C109" s="698"/>
      <c r="D109" s="699"/>
      <c r="E109" s="700"/>
      <c r="F109" s="700"/>
      <c r="G109" s="696"/>
      <c r="H109" s="696"/>
      <c r="I109" s="696"/>
      <c r="J109" s="696"/>
      <c r="K109" s="696"/>
      <c r="L109" s="696"/>
      <c r="M109" s="696"/>
    </row>
    <row r="110" spans="1:13" ht="12.75" x14ac:dyDescent="0.2">
      <c r="A110" s="1519" t="s">
        <v>1599</v>
      </c>
      <c r="B110" s="697"/>
      <c r="C110" s="698"/>
      <c r="D110" s="699"/>
      <c r="E110" s="700"/>
      <c r="F110" s="700"/>
      <c r="G110" s="696"/>
      <c r="H110" s="696"/>
      <c r="I110" s="696"/>
      <c r="J110" s="696"/>
      <c r="K110" s="696"/>
      <c r="L110" s="696"/>
      <c r="M110" s="696"/>
    </row>
    <row r="111" spans="1:13" ht="12.75" x14ac:dyDescent="0.2">
      <c r="A111" s="1519" t="s">
        <v>1600</v>
      </c>
      <c r="B111" s="697"/>
      <c r="C111" s="698"/>
      <c r="D111" s="699"/>
      <c r="E111" s="700"/>
      <c r="F111" s="700"/>
      <c r="G111" s="696"/>
      <c r="H111" s="696"/>
      <c r="I111" s="696"/>
      <c r="J111" s="696"/>
      <c r="K111" s="696"/>
      <c r="L111" s="696"/>
      <c r="M111" s="696"/>
    </row>
    <row r="112" spans="1:13" ht="12.75" x14ac:dyDescent="0.2">
      <c r="A112" s="1519" t="s">
        <v>1601</v>
      </c>
      <c r="B112" s="697"/>
      <c r="C112" s="698"/>
      <c r="D112" s="699"/>
      <c r="E112" s="700"/>
      <c r="F112" s="700"/>
      <c r="G112" s="696"/>
      <c r="H112" s="696"/>
      <c r="I112" s="696"/>
      <c r="J112" s="696"/>
      <c r="K112" s="696"/>
      <c r="L112" s="696"/>
      <c r="M112" s="696"/>
    </row>
    <row r="113" spans="1:13" ht="12.75" x14ac:dyDescent="0.2">
      <c r="A113" s="1519" t="s">
        <v>1602</v>
      </c>
      <c r="B113" s="697"/>
      <c r="C113" s="698"/>
      <c r="D113" s="699"/>
      <c r="E113" s="700"/>
      <c r="F113" s="700"/>
      <c r="G113" s="696"/>
      <c r="H113" s="696"/>
      <c r="I113" s="696"/>
      <c r="J113" s="696"/>
      <c r="K113" s="696"/>
      <c r="L113" s="696"/>
      <c r="M113" s="696"/>
    </row>
    <row r="114" spans="1:13" ht="12.75" x14ac:dyDescent="0.2">
      <c r="A114" s="1519" t="s">
        <v>1603</v>
      </c>
      <c r="B114" s="697"/>
      <c r="C114" s="698"/>
      <c r="D114" s="699"/>
      <c r="E114" s="700"/>
      <c r="F114" s="700"/>
      <c r="G114" s="696"/>
      <c r="H114" s="696"/>
      <c r="I114" s="696"/>
      <c r="J114" s="696"/>
      <c r="K114" s="696"/>
      <c r="L114" s="696"/>
      <c r="M114" s="696"/>
    </row>
    <row r="115" spans="1:13" ht="12.75" x14ac:dyDescent="0.2">
      <c r="A115" s="1519" t="s">
        <v>1604</v>
      </c>
      <c r="B115" s="697"/>
      <c r="C115" s="698"/>
      <c r="D115" s="699"/>
      <c r="E115" s="700"/>
      <c r="F115" s="700"/>
      <c r="G115" s="696"/>
      <c r="H115" s="696"/>
      <c r="I115" s="696"/>
      <c r="J115" s="696"/>
      <c r="K115" s="696"/>
      <c r="L115" s="696"/>
      <c r="M115" s="696"/>
    </row>
    <row r="116" spans="1:13" ht="12.75" x14ac:dyDescent="0.2">
      <c r="A116" s="1519" t="s">
        <v>1605</v>
      </c>
      <c r="B116" s="697"/>
      <c r="C116" s="698"/>
      <c r="D116" s="699"/>
      <c r="E116" s="700"/>
      <c r="F116" s="700"/>
      <c r="G116" s="696"/>
      <c r="H116" s="696"/>
      <c r="I116" s="696"/>
      <c r="J116" s="696"/>
      <c r="K116" s="696"/>
      <c r="L116" s="696"/>
      <c r="M116" s="696"/>
    </row>
    <row r="117" spans="1:13" ht="12.75" x14ac:dyDescent="0.2">
      <c r="A117" s="1519" t="s">
        <v>1606</v>
      </c>
      <c r="B117" s="697"/>
      <c r="C117" s="698"/>
      <c r="D117" s="699"/>
      <c r="E117" s="700"/>
      <c r="F117" s="700"/>
      <c r="G117" s="696"/>
      <c r="H117" s="696"/>
      <c r="I117" s="696"/>
      <c r="J117" s="696"/>
      <c r="K117" s="696"/>
      <c r="L117" s="696"/>
      <c r="M117" s="696"/>
    </row>
    <row r="118" spans="1:13" ht="12.75" x14ac:dyDescent="0.2">
      <c r="A118" s="1519" t="s">
        <v>1607</v>
      </c>
      <c r="B118" s="697"/>
      <c r="C118" s="698"/>
      <c r="D118" s="699"/>
      <c r="E118" s="700"/>
      <c r="F118" s="700"/>
      <c r="G118" s="696"/>
      <c r="H118" s="696"/>
      <c r="I118" s="696"/>
      <c r="J118" s="696"/>
      <c r="K118" s="696"/>
      <c r="L118" s="696"/>
      <c r="M118" s="696"/>
    </row>
    <row r="119" spans="1:13" ht="12.75" x14ac:dyDescent="0.2">
      <c r="A119" s="1519" t="s">
        <v>1608</v>
      </c>
      <c r="B119" s="697"/>
      <c r="C119" s="698"/>
      <c r="D119" s="699"/>
      <c r="E119" s="700"/>
      <c r="F119" s="700"/>
      <c r="G119" s="696"/>
      <c r="H119" s="696"/>
      <c r="I119" s="696"/>
      <c r="J119" s="696"/>
      <c r="K119" s="696"/>
      <c r="L119" s="696"/>
      <c r="M119" s="696"/>
    </row>
    <row r="120" spans="1:13" ht="12.75" x14ac:dyDescent="0.2">
      <c r="A120" s="1519" t="s">
        <v>1609</v>
      </c>
      <c r="B120" s="697"/>
      <c r="C120" s="698"/>
      <c r="D120" s="699"/>
      <c r="E120" s="700"/>
      <c r="F120" s="700"/>
      <c r="G120" s="696"/>
      <c r="H120" s="696"/>
      <c r="I120" s="696"/>
      <c r="J120" s="696"/>
      <c r="K120" s="696"/>
      <c r="L120" s="696"/>
      <c r="M120" s="696"/>
    </row>
    <row r="121" spans="1:13" ht="12.75" x14ac:dyDescent="0.2">
      <c r="A121" s="1519" t="s">
        <v>338</v>
      </c>
      <c r="B121" s="697"/>
      <c r="C121" s="698"/>
      <c r="D121" s="699"/>
      <c r="E121" s="700"/>
      <c r="F121" s="700"/>
      <c r="G121" s="696"/>
      <c r="H121" s="696"/>
      <c r="I121" s="696"/>
      <c r="J121" s="696"/>
      <c r="K121" s="696"/>
      <c r="L121" s="696"/>
      <c r="M121" s="696"/>
    </row>
    <row r="122" spans="1:13" ht="12.75" x14ac:dyDescent="0.2">
      <c r="A122" s="1519" t="s">
        <v>1610</v>
      </c>
      <c r="B122" s="697"/>
      <c r="C122" s="698"/>
      <c r="D122" s="699"/>
      <c r="E122" s="700"/>
      <c r="F122" s="700"/>
      <c r="G122" s="696"/>
      <c r="H122" s="696"/>
      <c r="I122" s="696"/>
      <c r="J122" s="696"/>
      <c r="K122" s="696"/>
      <c r="L122" s="696"/>
      <c r="M122" s="696"/>
    </row>
    <row r="123" spans="1:13" ht="12.75" x14ac:dyDescent="0.2">
      <c r="A123" s="1519" t="s">
        <v>1611</v>
      </c>
      <c r="B123" s="697"/>
      <c r="C123" s="698"/>
      <c r="D123" s="699"/>
      <c r="E123" s="700"/>
      <c r="F123" s="700"/>
      <c r="G123" s="696"/>
      <c r="H123" s="696"/>
      <c r="I123" s="696"/>
      <c r="J123" s="696"/>
      <c r="K123" s="696"/>
      <c r="L123" s="696"/>
      <c r="M123" s="696"/>
    </row>
    <row r="124" spans="1:13" ht="12.75" x14ac:dyDescent="0.2">
      <c r="A124" s="1519"/>
      <c r="B124" s="697"/>
      <c r="C124" s="698"/>
      <c r="D124" s="699"/>
      <c r="E124" s="700"/>
      <c r="F124" s="700"/>
      <c r="G124" s="696"/>
      <c r="H124" s="696"/>
      <c r="I124" s="696"/>
      <c r="J124" s="696"/>
      <c r="K124" s="696"/>
      <c r="L124" s="696"/>
      <c r="M124" s="696"/>
    </row>
    <row r="125" spans="1:13" ht="12.75" x14ac:dyDescent="0.2">
      <c r="A125" s="1520" t="s">
        <v>1985</v>
      </c>
      <c r="B125" s="697"/>
      <c r="C125" s="698"/>
      <c r="D125" s="699"/>
      <c r="E125" s="700"/>
      <c r="F125" s="700"/>
      <c r="G125" s="696"/>
      <c r="H125" s="696"/>
      <c r="I125" s="696"/>
      <c r="J125" s="696"/>
      <c r="K125" s="696"/>
      <c r="L125" s="696"/>
      <c r="M125" s="696"/>
    </row>
    <row r="126" spans="1:13" ht="12.75" x14ac:dyDescent="0.2">
      <c r="A126" s="1519" t="s">
        <v>1612</v>
      </c>
      <c r="B126" s="697"/>
      <c r="C126" s="698"/>
      <c r="D126" s="699"/>
      <c r="E126" s="700"/>
      <c r="F126" s="700"/>
      <c r="G126" s="696"/>
      <c r="H126" s="696"/>
      <c r="I126" s="696"/>
      <c r="J126" s="696"/>
      <c r="K126" s="696"/>
      <c r="L126" s="696"/>
      <c r="M126" s="696"/>
    </row>
    <row r="127" spans="1:13" ht="12.75" x14ac:dyDescent="0.2">
      <c r="A127" s="1519" t="s">
        <v>1613</v>
      </c>
      <c r="B127" s="697"/>
      <c r="C127" s="698"/>
      <c r="D127" s="699"/>
      <c r="E127" s="700"/>
      <c r="F127" s="700"/>
      <c r="G127" s="696"/>
      <c r="H127" s="696"/>
      <c r="I127" s="696"/>
      <c r="J127" s="696"/>
      <c r="K127" s="696"/>
      <c r="L127" s="696"/>
      <c r="M127" s="696"/>
    </row>
    <row r="128" spans="1:13" ht="12.75" x14ac:dyDescent="0.2">
      <c r="A128" s="1519" t="s">
        <v>1614</v>
      </c>
      <c r="B128" s="697"/>
      <c r="C128" s="698"/>
      <c r="D128" s="699"/>
      <c r="E128" s="700"/>
      <c r="F128" s="700"/>
      <c r="G128" s="696"/>
      <c r="H128" s="696"/>
      <c r="I128" s="696"/>
      <c r="J128" s="696"/>
      <c r="K128" s="696"/>
      <c r="L128" s="696"/>
      <c r="M128" s="696"/>
    </row>
    <row r="129" spans="1:13" ht="12.75" x14ac:dyDescent="0.2">
      <c r="A129" s="1519" t="s">
        <v>1615</v>
      </c>
      <c r="B129" s="697"/>
      <c r="C129" s="698"/>
      <c r="D129" s="699"/>
      <c r="E129" s="700"/>
      <c r="F129" s="700"/>
      <c r="G129" s="696"/>
      <c r="H129" s="696"/>
      <c r="I129" s="696"/>
      <c r="J129" s="696"/>
      <c r="K129" s="696"/>
      <c r="L129" s="696"/>
      <c r="M129" s="696"/>
    </row>
    <row r="130" spans="1:13" ht="12.75" x14ac:dyDescent="0.2">
      <c r="A130" s="1519" t="s">
        <v>1616</v>
      </c>
      <c r="B130" s="697"/>
      <c r="C130" s="698"/>
      <c r="D130" s="699"/>
      <c r="E130" s="700"/>
      <c r="F130" s="700"/>
      <c r="G130" s="696"/>
      <c r="H130" s="696"/>
      <c r="I130" s="696"/>
      <c r="J130" s="696"/>
      <c r="K130" s="696"/>
      <c r="L130" s="696"/>
      <c r="M130" s="696"/>
    </row>
    <row r="131" spans="1:13" ht="12.75" x14ac:dyDescent="0.2">
      <c r="A131" s="1519" t="s">
        <v>522</v>
      </c>
      <c r="B131" s="697"/>
      <c r="C131" s="698"/>
      <c r="D131" s="699"/>
      <c r="E131" s="700"/>
      <c r="F131" s="700"/>
      <c r="G131" s="696"/>
      <c r="H131" s="696"/>
      <c r="I131" s="696"/>
      <c r="J131" s="696"/>
      <c r="K131" s="696"/>
      <c r="L131" s="696"/>
      <c r="M131" s="696"/>
    </row>
    <row r="132" spans="1:13" ht="12.75" x14ac:dyDescent="0.2">
      <c r="A132" s="1519" t="s">
        <v>1617</v>
      </c>
      <c r="B132" s="697"/>
      <c r="C132" s="698"/>
      <c r="D132" s="699"/>
      <c r="E132" s="700"/>
      <c r="F132" s="700"/>
      <c r="G132" s="696"/>
      <c r="H132" s="696"/>
      <c r="I132" s="696"/>
      <c r="J132" s="696"/>
      <c r="K132" s="696"/>
      <c r="L132" s="696"/>
      <c r="M132" s="696"/>
    </row>
    <row r="133" spans="1:13" ht="12.75" x14ac:dyDescent="0.2">
      <c r="A133" s="1519" t="s">
        <v>1618</v>
      </c>
      <c r="B133" s="697"/>
      <c r="C133" s="698"/>
      <c r="D133" s="699"/>
      <c r="E133" s="700"/>
      <c r="F133" s="700"/>
      <c r="G133" s="696"/>
      <c r="H133" s="696"/>
      <c r="I133" s="696"/>
      <c r="J133" s="696"/>
      <c r="K133" s="696"/>
      <c r="L133" s="696"/>
      <c r="M133" s="696"/>
    </row>
    <row r="134" spans="1:13" ht="12.75" x14ac:dyDescent="0.2">
      <c r="A134" s="1519" t="s">
        <v>1619</v>
      </c>
      <c r="B134" s="697"/>
      <c r="C134" s="698"/>
      <c r="D134" s="699"/>
      <c r="E134" s="700"/>
      <c r="F134" s="700"/>
      <c r="G134" s="696"/>
      <c r="H134" s="696"/>
      <c r="I134" s="696"/>
      <c r="J134" s="696"/>
      <c r="K134" s="696"/>
      <c r="L134" s="696"/>
      <c r="M134" s="696"/>
    </row>
    <row r="135" spans="1:13" ht="12.75" x14ac:dyDescent="0.2">
      <c r="A135" s="1519" t="s">
        <v>1620</v>
      </c>
      <c r="B135" s="697"/>
      <c r="C135" s="698"/>
      <c r="D135" s="699"/>
      <c r="E135" s="700"/>
      <c r="F135" s="700"/>
      <c r="G135" s="696"/>
      <c r="H135" s="696"/>
      <c r="I135" s="696"/>
      <c r="J135" s="696"/>
      <c r="K135" s="696"/>
      <c r="L135" s="696"/>
      <c r="M135" s="696"/>
    </row>
    <row r="136" spans="1:13" ht="12.75" x14ac:dyDescent="0.2">
      <c r="A136" s="1519" t="s">
        <v>1621</v>
      </c>
      <c r="B136" s="697"/>
      <c r="C136" s="698"/>
      <c r="D136" s="699"/>
      <c r="E136" s="700"/>
      <c r="F136" s="700"/>
      <c r="G136" s="696"/>
      <c r="H136" s="696"/>
      <c r="I136" s="696"/>
      <c r="J136" s="696"/>
      <c r="K136" s="696"/>
      <c r="L136" s="696"/>
      <c r="M136" s="696"/>
    </row>
    <row r="137" spans="1:13" ht="12.75" x14ac:dyDescent="0.2">
      <c r="A137" s="1519" t="s">
        <v>1622</v>
      </c>
      <c r="B137" s="697"/>
      <c r="C137" s="698"/>
      <c r="D137" s="699"/>
      <c r="E137" s="700"/>
      <c r="F137" s="700"/>
      <c r="G137" s="696"/>
      <c r="H137" s="696"/>
      <c r="I137" s="696"/>
      <c r="J137" s="696"/>
      <c r="K137" s="696"/>
      <c r="L137" s="696"/>
      <c r="M137" s="696"/>
    </row>
    <row r="138" spans="1:13" ht="12.75" x14ac:dyDescent="0.2">
      <c r="A138" s="1519" t="s">
        <v>1623</v>
      </c>
      <c r="B138" s="697"/>
      <c r="C138" s="698"/>
      <c r="D138" s="699"/>
      <c r="E138" s="700"/>
      <c r="F138" s="700"/>
      <c r="G138" s="696"/>
      <c r="H138" s="696"/>
      <c r="I138" s="696"/>
      <c r="J138" s="696"/>
      <c r="K138" s="696"/>
      <c r="L138" s="696"/>
      <c r="M138" s="696"/>
    </row>
    <row r="139" spans="1:13" ht="12.75" x14ac:dyDescent="0.2">
      <c r="A139" s="1519" t="s">
        <v>1624</v>
      </c>
      <c r="B139" s="697"/>
      <c r="C139" s="698"/>
      <c r="D139" s="699"/>
      <c r="E139" s="700"/>
      <c r="F139" s="700"/>
      <c r="G139" s="696"/>
      <c r="H139" s="696"/>
      <c r="I139" s="696"/>
      <c r="J139" s="696"/>
      <c r="K139" s="696"/>
      <c r="L139" s="696"/>
      <c r="M139" s="696"/>
    </row>
    <row r="140" spans="1:13" ht="12.75" x14ac:dyDescent="0.2">
      <c r="A140" s="1519" t="s">
        <v>1625</v>
      </c>
      <c r="B140" s="697"/>
      <c r="C140" s="698"/>
      <c r="D140" s="699"/>
      <c r="E140" s="700"/>
      <c r="F140" s="700"/>
      <c r="G140" s="696"/>
      <c r="H140" s="696"/>
      <c r="I140" s="696"/>
      <c r="J140" s="696"/>
      <c r="K140" s="696"/>
      <c r="L140" s="696"/>
      <c r="M140" s="696"/>
    </row>
    <row r="141" spans="1:13" ht="12.75" x14ac:dyDescent="0.2">
      <c r="A141" s="1519" t="s">
        <v>1626</v>
      </c>
      <c r="B141" s="697"/>
      <c r="C141" s="698"/>
      <c r="D141" s="699"/>
      <c r="E141" s="700"/>
      <c r="F141" s="700"/>
      <c r="G141" s="696"/>
      <c r="H141" s="696"/>
      <c r="I141" s="696"/>
      <c r="J141" s="696"/>
      <c r="K141" s="696"/>
      <c r="L141" s="696"/>
      <c r="M141" s="696"/>
    </row>
    <row r="142" spans="1:13" ht="12.75" x14ac:dyDescent="0.2">
      <c r="A142" s="1519" t="s">
        <v>1627</v>
      </c>
      <c r="B142" s="697"/>
      <c r="C142" s="698"/>
      <c r="D142" s="699"/>
      <c r="E142" s="700"/>
      <c r="F142" s="700"/>
      <c r="G142" s="696"/>
      <c r="H142" s="696"/>
      <c r="I142" s="696"/>
      <c r="J142" s="696"/>
      <c r="K142" s="696"/>
      <c r="L142" s="696"/>
      <c r="M142" s="696"/>
    </row>
    <row r="143" spans="1:13" ht="12.75" x14ac:dyDescent="0.2">
      <c r="A143" s="1519" t="s">
        <v>1628</v>
      </c>
      <c r="B143" s="697"/>
      <c r="C143" s="698"/>
      <c r="D143" s="699"/>
      <c r="E143" s="700"/>
      <c r="F143" s="700"/>
      <c r="G143" s="696"/>
      <c r="H143" s="696"/>
      <c r="I143" s="696"/>
      <c r="J143" s="696"/>
      <c r="K143" s="696"/>
      <c r="L143" s="696"/>
      <c r="M143" s="696"/>
    </row>
    <row r="144" spans="1:13" ht="12.75" x14ac:dyDescent="0.2">
      <c r="A144" s="1519" t="s">
        <v>1629</v>
      </c>
      <c r="B144" s="697"/>
      <c r="C144" s="698"/>
      <c r="D144" s="699"/>
      <c r="E144" s="700"/>
      <c r="F144" s="700"/>
      <c r="G144" s="696"/>
      <c r="H144" s="696"/>
      <c r="I144" s="696"/>
      <c r="J144" s="696"/>
      <c r="K144" s="696"/>
      <c r="L144" s="696"/>
      <c r="M144" s="696"/>
    </row>
    <row r="145" spans="1:13" ht="12.75" x14ac:dyDescent="0.2">
      <c r="A145" s="1519" t="s">
        <v>1630</v>
      </c>
      <c r="B145" s="697"/>
      <c r="C145" s="698"/>
      <c r="D145" s="699"/>
      <c r="E145" s="700"/>
      <c r="F145" s="700"/>
      <c r="G145" s="696"/>
      <c r="H145" s="696"/>
      <c r="I145" s="696"/>
      <c r="J145" s="696"/>
      <c r="K145" s="696"/>
      <c r="L145" s="696"/>
      <c r="M145" s="696"/>
    </row>
    <row r="146" spans="1:13" ht="12.75" x14ac:dyDescent="0.2">
      <c r="A146" s="1519" t="s">
        <v>1631</v>
      </c>
      <c r="B146" s="697"/>
      <c r="C146" s="698"/>
      <c r="D146" s="699"/>
      <c r="E146" s="700"/>
      <c r="F146" s="700"/>
      <c r="G146" s="696"/>
      <c r="H146" s="696"/>
      <c r="I146" s="696"/>
      <c r="J146" s="696"/>
      <c r="K146" s="696"/>
      <c r="L146" s="696"/>
      <c r="M146" s="696"/>
    </row>
    <row r="147" spans="1:13" ht="12.75" x14ac:dyDescent="0.2">
      <c r="A147" s="1519" t="s">
        <v>1632</v>
      </c>
      <c r="B147" s="697"/>
      <c r="C147" s="698"/>
      <c r="D147" s="699"/>
      <c r="E147" s="700"/>
      <c r="F147" s="700"/>
      <c r="G147" s="696"/>
      <c r="H147" s="696"/>
      <c r="I147" s="696"/>
      <c r="J147" s="696"/>
      <c r="K147" s="696"/>
      <c r="L147" s="696"/>
      <c r="M147" s="696"/>
    </row>
    <row r="148" spans="1:13" ht="12.75" x14ac:dyDescent="0.2">
      <c r="A148" s="1519" t="s">
        <v>1633</v>
      </c>
      <c r="B148" s="697"/>
      <c r="C148" s="698"/>
      <c r="D148" s="699"/>
      <c r="E148" s="700"/>
      <c r="F148" s="700"/>
      <c r="G148" s="696"/>
      <c r="H148" s="696"/>
      <c r="I148" s="696"/>
      <c r="J148" s="696"/>
      <c r="K148" s="696"/>
      <c r="L148" s="696"/>
      <c r="M148" s="696"/>
    </row>
    <row r="149" spans="1:13" ht="12.75" x14ac:dyDescent="0.2">
      <c r="A149" s="1519" t="s">
        <v>1599</v>
      </c>
      <c r="B149" s="697"/>
      <c r="C149" s="698"/>
      <c r="D149" s="699"/>
      <c r="E149" s="700"/>
      <c r="F149" s="700"/>
      <c r="G149" s="696"/>
      <c r="H149" s="696"/>
      <c r="I149" s="696"/>
      <c r="J149" s="696"/>
      <c r="K149" s="696"/>
      <c r="L149" s="696"/>
      <c r="M149" s="696"/>
    </row>
    <row r="150" spans="1:13" ht="12.75" x14ac:dyDescent="0.2">
      <c r="A150" s="1519" t="s">
        <v>1634</v>
      </c>
      <c r="B150" s="697"/>
      <c r="C150" s="698"/>
      <c r="D150" s="699"/>
      <c r="E150" s="700"/>
      <c r="F150" s="700"/>
      <c r="G150" s="696"/>
      <c r="H150" s="696"/>
      <c r="I150" s="696"/>
      <c r="J150" s="696"/>
      <c r="K150" s="696"/>
      <c r="L150" s="696"/>
      <c r="M150" s="696"/>
    </row>
    <row r="151" spans="1:13" ht="12.75" x14ac:dyDescent="0.2">
      <c r="A151" s="1519" t="s">
        <v>1635</v>
      </c>
      <c r="B151" s="697"/>
      <c r="C151" s="698"/>
      <c r="D151" s="699"/>
      <c r="E151" s="700"/>
      <c r="F151" s="700"/>
      <c r="G151" s="696"/>
      <c r="H151" s="696"/>
      <c r="I151" s="696"/>
      <c r="J151" s="696"/>
      <c r="K151" s="696"/>
      <c r="L151" s="696"/>
      <c r="M151" s="696"/>
    </row>
    <row r="152" spans="1:13" ht="12.75" x14ac:dyDescent="0.2">
      <c r="A152" s="1519" t="s">
        <v>1636</v>
      </c>
      <c r="B152" s="697"/>
      <c r="C152" s="698"/>
      <c r="D152" s="699"/>
      <c r="E152" s="700"/>
      <c r="F152" s="700"/>
      <c r="G152" s="696"/>
      <c r="H152" s="696"/>
      <c r="I152" s="696"/>
      <c r="J152" s="696"/>
      <c r="K152" s="696"/>
      <c r="L152" s="696"/>
      <c r="M152" s="696"/>
    </row>
    <row r="153" spans="1:13" ht="12.75" x14ac:dyDescent="0.2">
      <c r="A153" s="1519" t="s">
        <v>1637</v>
      </c>
      <c r="B153" s="697"/>
      <c r="C153" s="698"/>
      <c r="D153" s="699"/>
      <c r="E153" s="700"/>
      <c r="F153" s="700"/>
      <c r="G153" s="696"/>
      <c r="H153" s="696"/>
      <c r="I153" s="696"/>
      <c r="J153" s="696"/>
      <c r="K153" s="696"/>
      <c r="L153" s="696"/>
      <c r="M153" s="696"/>
    </row>
    <row r="154" spans="1:13" ht="12.75" x14ac:dyDescent="0.2">
      <c r="A154" s="1519" t="s">
        <v>1638</v>
      </c>
      <c r="B154" s="697"/>
      <c r="C154" s="698"/>
      <c r="D154" s="699"/>
      <c r="E154" s="700"/>
      <c r="F154" s="700"/>
      <c r="G154" s="696"/>
      <c r="H154" s="696"/>
      <c r="I154" s="696"/>
      <c r="J154" s="696"/>
      <c r="K154" s="696"/>
      <c r="L154" s="696"/>
      <c r="M154" s="696"/>
    </row>
    <row r="155" spans="1:13" ht="12.75" x14ac:dyDescent="0.2">
      <c r="A155" s="1519" t="s">
        <v>1639</v>
      </c>
      <c r="B155" s="697"/>
      <c r="C155" s="698"/>
      <c r="D155" s="699"/>
      <c r="E155" s="700"/>
      <c r="F155" s="700"/>
      <c r="G155" s="696"/>
      <c r="H155" s="696"/>
      <c r="I155" s="696"/>
      <c r="J155" s="696"/>
      <c r="K155" s="696"/>
      <c r="L155" s="696"/>
      <c r="M155" s="696"/>
    </row>
    <row r="156" spans="1:13" ht="12.75" x14ac:dyDescent="0.2">
      <c r="A156" s="1519" t="s">
        <v>1640</v>
      </c>
      <c r="B156" s="697"/>
      <c r="C156" s="698"/>
      <c r="D156" s="699"/>
      <c r="E156" s="700"/>
      <c r="F156" s="700"/>
      <c r="G156" s="696"/>
      <c r="H156" s="696"/>
      <c r="I156" s="696"/>
      <c r="J156" s="696"/>
      <c r="K156" s="696"/>
      <c r="L156" s="696"/>
      <c r="M156" s="696"/>
    </row>
    <row r="157" spans="1:13" ht="12.75" x14ac:dyDescent="0.2">
      <c r="A157" s="1519" t="s">
        <v>1641</v>
      </c>
      <c r="B157" s="697"/>
      <c r="C157" s="698"/>
      <c r="D157" s="699"/>
      <c r="E157" s="700"/>
      <c r="F157" s="700"/>
      <c r="G157" s="696"/>
      <c r="H157" s="696"/>
      <c r="I157" s="696"/>
      <c r="J157" s="696"/>
      <c r="K157" s="696"/>
      <c r="L157" s="696"/>
      <c r="M157" s="696"/>
    </row>
    <row r="158" spans="1:13" ht="12.75" x14ac:dyDescent="0.2">
      <c r="A158" s="1519" t="s">
        <v>1642</v>
      </c>
      <c r="B158" s="697"/>
      <c r="C158" s="698"/>
      <c r="D158" s="699"/>
      <c r="E158" s="700"/>
      <c r="F158" s="700"/>
      <c r="G158" s="696"/>
      <c r="H158" s="696"/>
      <c r="I158" s="696"/>
      <c r="J158" s="696"/>
      <c r="K158" s="696"/>
      <c r="L158" s="696"/>
      <c r="M158" s="696"/>
    </row>
    <row r="159" spans="1:13" ht="12.75" x14ac:dyDescent="0.2">
      <c r="A159" s="1519" t="s">
        <v>1643</v>
      </c>
      <c r="B159" s="697"/>
      <c r="C159" s="698"/>
      <c r="D159" s="699"/>
      <c r="E159" s="700"/>
      <c r="F159" s="700"/>
      <c r="G159" s="696"/>
      <c r="H159" s="696"/>
      <c r="I159" s="696"/>
      <c r="J159" s="696"/>
      <c r="K159" s="696"/>
      <c r="L159" s="696"/>
      <c r="M159" s="696"/>
    </row>
    <row r="160" spans="1:13" ht="12.75" x14ac:dyDescent="0.2">
      <c r="A160" s="1519" t="s">
        <v>1644</v>
      </c>
      <c r="B160" s="697"/>
      <c r="C160" s="698"/>
      <c r="D160" s="699"/>
      <c r="E160" s="700"/>
      <c r="F160" s="700"/>
      <c r="G160" s="696"/>
      <c r="H160" s="696"/>
      <c r="I160" s="696"/>
      <c r="J160" s="696"/>
      <c r="K160" s="696"/>
      <c r="L160" s="696"/>
      <c r="M160" s="696"/>
    </row>
    <row r="161" spans="1:13" ht="12.75" x14ac:dyDescent="0.2">
      <c r="A161" s="1519" t="s">
        <v>1645</v>
      </c>
      <c r="B161" s="697"/>
      <c r="C161" s="698"/>
      <c r="D161" s="699"/>
      <c r="E161" s="700"/>
      <c r="F161" s="700"/>
      <c r="G161" s="696"/>
      <c r="H161" s="696"/>
      <c r="I161" s="696"/>
      <c r="J161" s="696"/>
      <c r="K161" s="696"/>
      <c r="L161" s="696"/>
      <c r="M161" s="696"/>
    </row>
    <row r="162" spans="1:13" ht="12.75" x14ac:dyDescent="0.2">
      <c r="A162" s="1519" t="s">
        <v>1646</v>
      </c>
      <c r="B162" s="697"/>
      <c r="C162" s="698"/>
      <c r="D162" s="699"/>
      <c r="E162" s="700"/>
      <c r="F162" s="700"/>
      <c r="G162" s="696"/>
      <c r="H162" s="696"/>
      <c r="I162" s="696"/>
      <c r="J162" s="696"/>
      <c r="K162" s="696"/>
      <c r="L162" s="696"/>
      <c r="M162" s="696"/>
    </row>
    <row r="163" spans="1:13" ht="12.75" x14ac:dyDescent="0.2">
      <c r="A163" s="1519" t="s">
        <v>1647</v>
      </c>
      <c r="B163" s="697"/>
      <c r="C163" s="698"/>
      <c r="D163" s="699"/>
      <c r="E163" s="700"/>
      <c r="F163" s="700"/>
      <c r="G163" s="696"/>
      <c r="H163" s="696"/>
      <c r="I163" s="696"/>
      <c r="J163" s="696"/>
      <c r="K163" s="696"/>
      <c r="L163" s="696"/>
      <c r="M163" s="696"/>
    </row>
    <row r="164" spans="1:13" x14ac:dyDescent="0.2">
      <c r="A164" s="696"/>
      <c r="B164" s="696"/>
      <c r="C164" s="696"/>
      <c r="D164" s="696"/>
      <c r="E164" s="696"/>
      <c r="F164" s="696"/>
      <c r="G164" s="696"/>
      <c r="H164" s="696"/>
      <c r="I164" s="696"/>
      <c r="J164" s="696"/>
      <c r="K164" s="696"/>
      <c r="L164" s="696"/>
      <c r="M164" s="696"/>
    </row>
    <row r="165" spans="1:13" x14ac:dyDescent="0.2">
      <c r="A165" s="696"/>
      <c r="B165" s="696"/>
      <c r="C165" s="696"/>
      <c r="D165" s="696"/>
      <c r="E165" s="696"/>
      <c r="F165" s="696"/>
      <c r="G165" s="696"/>
      <c r="H165" s="696"/>
      <c r="I165" s="696"/>
      <c r="J165" s="696"/>
      <c r="K165" s="696"/>
      <c r="L165" s="696"/>
      <c r="M165" s="696"/>
    </row>
    <row r="166" spans="1:13" x14ac:dyDescent="0.2">
      <c r="A166" s="696"/>
      <c r="B166" s="696"/>
      <c r="C166" s="696"/>
      <c r="D166" s="696"/>
      <c r="E166" s="696"/>
      <c r="F166" s="696"/>
      <c r="G166" s="696"/>
      <c r="H166" s="696"/>
      <c r="I166" s="696"/>
      <c r="J166" s="696"/>
      <c r="K166" s="696"/>
      <c r="L166" s="696"/>
      <c r="M166" s="696"/>
    </row>
    <row r="167" spans="1:13" x14ac:dyDescent="0.2">
      <c r="A167" s="696"/>
      <c r="B167" s="696"/>
      <c r="C167" s="696"/>
      <c r="D167" s="696"/>
      <c r="E167" s="696"/>
      <c r="F167" s="696"/>
      <c r="G167" s="696"/>
      <c r="H167" s="696"/>
      <c r="I167" s="696"/>
      <c r="J167" s="696"/>
      <c r="K167" s="696"/>
      <c r="L167" s="696"/>
      <c r="M167" s="696"/>
    </row>
    <row r="168" spans="1:13" x14ac:dyDescent="0.2">
      <c r="A168" s="696"/>
      <c r="B168" s="696"/>
      <c r="C168" s="696"/>
      <c r="D168" s="696"/>
      <c r="E168" s="696"/>
      <c r="F168" s="696"/>
      <c r="G168" s="696"/>
      <c r="H168" s="696"/>
      <c r="I168" s="696"/>
      <c r="J168" s="696"/>
      <c r="K168" s="696"/>
      <c r="L168" s="696"/>
      <c r="M168" s="696"/>
    </row>
    <row r="169" spans="1:13" x14ac:dyDescent="0.2">
      <c r="A169" s="696"/>
      <c r="B169" s="696"/>
      <c r="C169" s="696"/>
      <c r="D169" s="696"/>
      <c r="E169" s="696"/>
      <c r="F169" s="696"/>
      <c r="G169" s="696"/>
      <c r="H169" s="696"/>
      <c r="I169" s="696"/>
      <c r="J169" s="696"/>
      <c r="K169" s="696"/>
      <c r="L169" s="696"/>
      <c r="M169" s="696"/>
    </row>
    <row r="170" spans="1:13" x14ac:dyDescent="0.2">
      <c r="A170" s="696"/>
      <c r="B170" s="696"/>
      <c r="C170" s="696"/>
      <c r="D170" s="696"/>
      <c r="E170" s="696"/>
      <c r="F170" s="696"/>
      <c r="G170" s="696"/>
      <c r="H170" s="696"/>
      <c r="I170" s="696"/>
      <c r="J170" s="696"/>
      <c r="K170" s="696"/>
      <c r="L170" s="696"/>
      <c r="M170" s="696"/>
    </row>
  </sheetData>
  <sheetProtection algorithmName="SHA-512" hashValue="8eUpQ0SSKIp/s0gsE5LRWdW9GCUGQOViSICksYOH8uoU5PCTFctys6e1nhRd7nHZ1cy3UtuiIPxo4BZTbdFIUw==" saltValue="/wNj2MFjIQgsH7jRm24llQ==" spinCount="100000" sheet="1" objects="1" scenarios="1"/>
  <mergeCells count="34">
    <mergeCell ref="C6:M6"/>
    <mergeCell ref="C1:M1"/>
    <mergeCell ref="C2:M2"/>
    <mergeCell ref="A3:M3"/>
    <mergeCell ref="A5:B5"/>
    <mergeCell ref="C5:M5"/>
    <mergeCell ref="A10:B10"/>
    <mergeCell ref="A22:A23"/>
    <mergeCell ref="B22:B23"/>
    <mergeCell ref="A31:B31"/>
    <mergeCell ref="C31:K31"/>
    <mergeCell ref="C7:M7"/>
    <mergeCell ref="A8:A9"/>
    <mergeCell ref="B8:B9"/>
    <mergeCell ref="C8:D8"/>
    <mergeCell ref="E8:F8"/>
    <mergeCell ref="G8:H8"/>
    <mergeCell ref="I8:I9"/>
    <mergeCell ref="J8:K8"/>
    <mergeCell ref="L8:L9"/>
    <mergeCell ref="M8:M9"/>
    <mergeCell ref="L22:L23"/>
    <mergeCell ref="A36:B36"/>
    <mergeCell ref="C33:M33"/>
    <mergeCell ref="A34:A35"/>
    <mergeCell ref="B34:B35"/>
    <mergeCell ref="C34:D34"/>
    <mergeCell ref="E34:F34"/>
    <mergeCell ref="G34:H34"/>
    <mergeCell ref="I34:I35"/>
    <mergeCell ref="J34:K34"/>
    <mergeCell ref="L34:L35"/>
    <mergeCell ref="M34:M35"/>
    <mergeCell ref="C32:M32"/>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15.pielikums Jūrmalas pilsētas domes
2018.gada 18.decembra saistošajiem noteikumiem Nr.44
(protokols Nr.17, 2.punkts)</oddHeader>
    <oddFooter xml:space="preserve">&amp;R&amp;"Times New Roman,Regular"&amp;8&amp;P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24"/>
  <sheetViews>
    <sheetView view="pageLayout" zoomScaleNormal="100" workbookViewId="0">
      <selection activeCell="N97" sqref="N97"/>
    </sheetView>
  </sheetViews>
  <sheetFormatPr defaultRowHeight="12" x14ac:dyDescent="0.2"/>
  <cols>
    <col min="1" max="1" width="6.140625" style="349" customWidth="1"/>
    <col min="2" max="2" width="33.42578125" style="349" customWidth="1"/>
    <col min="3" max="3" width="11.85546875" style="787" hidden="1" customWidth="1"/>
    <col min="4" max="4" width="11.140625" style="787" hidden="1" customWidth="1"/>
    <col min="5" max="5" width="10.28515625" style="787" hidden="1" customWidth="1"/>
    <col min="6" max="6" width="10.5703125" style="787" customWidth="1"/>
    <col min="7" max="7" width="9.7109375" style="306" customWidth="1"/>
    <col min="8" max="8" width="22.42578125" style="326" customWidth="1"/>
    <col min="9" max="9" width="25.5703125" style="741" hidden="1" customWidth="1"/>
    <col min="10" max="10" width="5.85546875" style="306" customWidth="1"/>
    <col min="11" max="11" width="6" style="306" customWidth="1"/>
    <col min="12" max="12" width="6.5703125" style="306" customWidth="1"/>
    <col min="13" max="13" width="5.5703125" style="306" customWidth="1"/>
    <col min="14" max="14" width="5.42578125" style="306" customWidth="1"/>
    <col min="15" max="16" width="5.85546875" style="306" customWidth="1"/>
    <col min="17" max="19" width="5.42578125" style="306" customWidth="1"/>
    <col min="20" max="20" width="6.28515625" style="306" customWidth="1"/>
    <col min="21" max="21" width="6.140625" style="306" customWidth="1"/>
    <col min="22" max="22" width="5" style="306" customWidth="1"/>
    <col min="23" max="23" width="5.28515625" style="306" customWidth="1"/>
    <col min="24" max="24" width="4.85546875" style="306" customWidth="1"/>
    <col min="25" max="25" width="5" style="306" customWidth="1"/>
    <col min="26" max="26" width="5.28515625" style="306" customWidth="1"/>
    <col min="27" max="27" width="5.140625" style="306" customWidth="1"/>
    <col min="28" max="28" width="5.28515625" style="306" customWidth="1"/>
    <col min="29" max="29" width="5.85546875" style="306" customWidth="1"/>
    <col min="30" max="30" width="4.85546875" style="306" customWidth="1"/>
    <col min="31" max="31" width="5" style="306" customWidth="1"/>
    <col min="32" max="16384" width="9.140625" style="306"/>
  </cols>
  <sheetData>
    <row r="1" spans="1:9" x14ac:dyDescent="0.2">
      <c r="A1" s="1692" t="s">
        <v>124</v>
      </c>
      <c r="B1" s="1692"/>
      <c r="C1" s="1692" t="s">
        <v>125</v>
      </c>
      <c r="D1" s="1692"/>
      <c r="E1" s="1692"/>
      <c r="F1" s="1692"/>
      <c r="G1" s="1692"/>
      <c r="H1" s="1692"/>
      <c r="I1" s="1692"/>
    </row>
    <row r="2" spans="1:9" x14ac:dyDescent="0.2">
      <c r="A2" s="1692" t="s">
        <v>126</v>
      </c>
      <c r="B2" s="1692"/>
      <c r="C2" s="2054" t="s">
        <v>1648</v>
      </c>
      <c r="D2" s="2054"/>
      <c r="E2" s="2054"/>
      <c r="F2" s="2054"/>
      <c r="G2" s="2054"/>
      <c r="H2" s="2054"/>
      <c r="I2" s="2054"/>
    </row>
    <row r="3" spans="1:9" ht="15.75" x14ac:dyDescent="0.25">
      <c r="A3" s="1693" t="s">
        <v>3640</v>
      </c>
      <c r="B3" s="1693"/>
      <c r="C3" s="1693"/>
      <c r="D3" s="1693"/>
      <c r="E3" s="1693"/>
      <c r="F3" s="1693"/>
      <c r="G3" s="1693"/>
      <c r="H3" s="1693"/>
      <c r="I3" s="1693"/>
    </row>
    <row r="4" spans="1:9" ht="15.75" x14ac:dyDescent="0.25">
      <c r="A4" s="308"/>
      <c r="B4" s="308"/>
      <c r="C4" s="701"/>
      <c r="D4" s="701"/>
      <c r="E4" s="701"/>
      <c r="F4" s="701"/>
      <c r="G4" s="307"/>
      <c r="H4" s="308"/>
      <c r="I4" s="702"/>
    </row>
    <row r="5" spans="1:9" ht="15.75" x14ac:dyDescent="0.25">
      <c r="A5" s="1692" t="s">
        <v>440</v>
      </c>
      <c r="B5" s="1692"/>
      <c r="C5" s="1698" t="s">
        <v>1649</v>
      </c>
      <c r="D5" s="1698"/>
      <c r="E5" s="1698"/>
      <c r="F5" s="1698"/>
      <c r="G5" s="1698"/>
      <c r="H5" s="1698"/>
      <c r="I5" s="1698"/>
    </row>
    <row r="6" spans="1:9" x14ac:dyDescent="0.2">
      <c r="A6" s="1692" t="s">
        <v>129</v>
      </c>
      <c r="B6" s="1692"/>
      <c r="C6" s="1692" t="s">
        <v>1650</v>
      </c>
      <c r="D6" s="1692"/>
      <c r="E6" s="1692"/>
      <c r="F6" s="1692"/>
      <c r="G6" s="1692"/>
      <c r="H6" s="1692"/>
      <c r="I6" s="1692"/>
    </row>
    <row r="7" spans="1:9" ht="12.75" customHeight="1" x14ac:dyDescent="0.2">
      <c r="A7" s="1692" t="s">
        <v>131</v>
      </c>
      <c r="B7" s="1692"/>
      <c r="C7" s="1699" t="s">
        <v>1208</v>
      </c>
      <c r="D7" s="1699"/>
      <c r="E7" s="1699"/>
      <c r="F7" s="1699"/>
      <c r="G7" s="1699"/>
      <c r="H7" s="1699"/>
      <c r="I7" s="1699"/>
    </row>
    <row r="8" spans="1:9" ht="48" x14ac:dyDescent="0.2">
      <c r="A8" s="312" t="s">
        <v>4</v>
      </c>
      <c r="B8" s="410" t="s">
        <v>133</v>
      </c>
      <c r="C8" s="312" t="s">
        <v>17</v>
      </c>
      <c r="D8" s="312" t="s">
        <v>15</v>
      </c>
      <c r="E8" s="312" t="s">
        <v>134</v>
      </c>
      <c r="F8" s="312" t="s">
        <v>135</v>
      </c>
      <c r="G8" s="312" t="s">
        <v>3465</v>
      </c>
      <c r="H8" s="312" t="s">
        <v>14</v>
      </c>
      <c r="I8" s="312" t="s">
        <v>137</v>
      </c>
    </row>
    <row r="9" spans="1:9" x14ac:dyDescent="0.2">
      <c r="A9" s="2012" t="s">
        <v>138</v>
      </c>
      <c r="B9" s="2013"/>
      <c r="C9" s="703">
        <f>C10+C119+C188</f>
        <v>37681</v>
      </c>
      <c r="D9" s="703">
        <f>D10+D119+D188</f>
        <v>29198.440000000002</v>
      </c>
      <c r="E9" s="703">
        <f>E10+E119+E188</f>
        <v>73543</v>
      </c>
      <c r="F9" s="703"/>
      <c r="G9" s="704">
        <f>G10+G119+H188</f>
        <v>38543</v>
      </c>
      <c r="H9" s="317"/>
      <c r="I9" s="705"/>
    </row>
    <row r="10" spans="1:9" ht="12.75" customHeight="1" x14ac:dyDescent="0.2">
      <c r="A10" s="706" t="s">
        <v>1651</v>
      </c>
      <c r="B10" s="707" t="s">
        <v>1652</v>
      </c>
      <c r="C10" s="708">
        <f>SUM(C11:C118)</f>
        <v>17694</v>
      </c>
      <c r="D10" s="708">
        <f>SUM(D11:D118)</f>
        <v>12008.44</v>
      </c>
      <c r="E10" s="708">
        <f>SUM(E11:E118)</f>
        <v>19170</v>
      </c>
      <c r="F10" s="207"/>
      <c r="G10" s="709">
        <f>SUM(G11:G118)</f>
        <v>19170</v>
      </c>
      <c r="H10" s="207"/>
      <c r="I10" s="705"/>
    </row>
    <row r="11" spans="1:9" ht="12" hidden="1" customHeight="1" x14ac:dyDescent="0.2">
      <c r="A11" s="1684">
        <v>1</v>
      </c>
      <c r="B11" s="2017" t="s">
        <v>1653</v>
      </c>
      <c r="C11" s="342">
        <v>214</v>
      </c>
      <c r="D11" s="342">
        <v>213.03</v>
      </c>
      <c r="E11" s="342"/>
      <c r="F11" s="323">
        <v>2314</v>
      </c>
      <c r="G11" s="711"/>
      <c r="H11" s="1702" t="s">
        <v>1654</v>
      </c>
      <c r="I11" s="712"/>
    </row>
    <row r="12" spans="1:9" ht="12.75" hidden="1" customHeight="1" x14ac:dyDescent="0.2">
      <c r="A12" s="1720"/>
      <c r="B12" s="2019"/>
      <c r="C12" s="342">
        <v>430</v>
      </c>
      <c r="D12" s="342">
        <v>429.97</v>
      </c>
      <c r="E12" s="342"/>
      <c r="F12" s="323">
        <v>2363</v>
      </c>
      <c r="G12" s="711"/>
      <c r="H12" s="1735"/>
      <c r="I12" s="712"/>
    </row>
    <row r="13" spans="1:9" ht="12.75" hidden="1" customHeight="1" x14ac:dyDescent="0.2">
      <c r="A13" s="1720"/>
      <c r="B13" s="2019"/>
      <c r="C13" s="342">
        <v>1100</v>
      </c>
      <c r="D13" s="342">
        <v>1100</v>
      </c>
      <c r="E13" s="342"/>
      <c r="F13" s="323">
        <v>2264</v>
      </c>
      <c r="G13" s="711"/>
      <c r="H13" s="1735"/>
      <c r="I13" s="712"/>
    </row>
    <row r="14" spans="1:9" ht="12.75" hidden="1" customHeight="1" x14ac:dyDescent="0.2">
      <c r="A14" s="1720"/>
      <c r="B14" s="2019"/>
      <c r="C14" s="342">
        <v>236</v>
      </c>
      <c r="D14" s="342">
        <v>236</v>
      </c>
      <c r="E14" s="342"/>
      <c r="F14" s="323">
        <v>1150</v>
      </c>
      <c r="G14" s="711"/>
      <c r="H14" s="1735"/>
      <c r="I14" s="713"/>
    </row>
    <row r="15" spans="1:9" ht="12.75" hidden="1" customHeight="1" x14ac:dyDescent="0.2">
      <c r="A15" s="1685"/>
      <c r="B15" s="2018"/>
      <c r="C15" s="342">
        <v>57</v>
      </c>
      <c r="D15" s="342">
        <v>56.85</v>
      </c>
      <c r="E15" s="342"/>
      <c r="F15" s="323">
        <v>1210</v>
      </c>
      <c r="G15" s="711"/>
      <c r="H15" s="1703"/>
      <c r="I15" s="705"/>
    </row>
    <row r="16" spans="1:9" ht="24" hidden="1" customHeight="1" x14ac:dyDescent="0.2">
      <c r="A16" s="320">
        <v>2</v>
      </c>
      <c r="B16" s="714" t="s">
        <v>1655</v>
      </c>
      <c r="C16" s="342">
        <v>50</v>
      </c>
      <c r="D16" s="342">
        <v>0</v>
      </c>
      <c r="E16" s="342"/>
      <c r="F16" s="323">
        <v>2314</v>
      </c>
      <c r="G16" s="711"/>
      <c r="H16" s="209" t="s">
        <v>1656</v>
      </c>
      <c r="I16" s="715"/>
    </row>
    <row r="17" spans="1:9" ht="12" hidden="1" customHeight="1" x14ac:dyDescent="0.2">
      <c r="A17" s="2036">
        <v>3</v>
      </c>
      <c r="B17" s="2017" t="s">
        <v>1657</v>
      </c>
      <c r="C17" s="361">
        <v>250</v>
      </c>
      <c r="D17" s="361">
        <v>250</v>
      </c>
      <c r="E17" s="342"/>
      <c r="F17" s="414">
        <v>2314</v>
      </c>
      <c r="G17" s="711"/>
      <c r="H17" s="1702" t="s">
        <v>1658</v>
      </c>
      <c r="I17" s="716"/>
    </row>
    <row r="18" spans="1:9" ht="12.75" hidden="1" customHeight="1" x14ac:dyDescent="0.2">
      <c r="A18" s="2038"/>
      <c r="B18" s="2018"/>
      <c r="C18" s="361">
        <v>200</v>
      </c>
      <c r="D18" s="361">
        <v>200</v>
      </c>
      <c r="E18" s="361"/>
      <c r="F18" s="414">
        <v>2363</v>
      </c>
      <c r="G18" s="711"/>
      <c r="H18" s="1703"/>
      <c r="I18" s="716"/>
    </row>
    <row r="19" spans="1:9" ht="12" hidden="1" customHeight="1" x14ac:dyDescent="0.2">
      <c r="A19" s="2036">
        <v>4</v>
      </c>
      <c r="B19" s="2017" t="s">
        <v>1659</v>
      </c>
      <c r="C19" s="361">
        <v>420</v>
      </c>
      <c r="D19" s="361">
        <v>210</v>
      </c>
      <c r="E19" s="361"/>
      <c r="F19" s="414">
        <v>1150</v>
      </c>
      <c r="G19" s="711"/>
      <c r="H19" s="1702" t="s">
        <v>1658</v>
      </c>
      <c r="I19" s="716"/>
    </row>
    <row r="20" spans="1:9" ht="12.75" hidden="1" customHeight="1" x14ac:dyDescent="0.2">
      <c r="A20" s="2037"/>
      <c r="B20" s="2019"/>
      <c r="C20" s="361">
        <v>102</v>
      </c>
      <c r="D20" s="361">
        <v>50.59</v>
      </c>
      <c r="E20" s="361"/>
      <c r="F20" s="414">
        <v>1210</v>
      </c>
      <c r="G20" s="711"/>
      <c r="H20" s="1735"/>
      <c r="I20" s="716"/>
    </row>
    <row r="21" spans="1:9" ht="12.75" hidden="1" customHeight="1" x14ac:dyDescent="0.2">
      <c r="A21" s="2037"/>
      <c r="B21" s="2018"/>
      <c r="C21" s="361">
        <v>275</v>
      </c>
      <c r="D21" s="361">
        <v>275</v>
      </c>
      <c r="E21" s="361"/>
      <c r="F21" s="414">
        <v>2314</v>
      </c>
      <c r="G21" s="711"/>
      <c r="H21" s="1735"/>
      <c r="I21" s="716"/>
    </row>
    <row r="22" spans="1:9" ht="12.75" hidden="1" customHeight="1" x14ac:dyDescent="0.2">
      <c r="A22" s="2036">
        <v>5</v>
      </c>
      <c r="B22" s="2017" t="s">
        <v>1660</v>
      </c>
      <c r="C22" s="361">
        <v>190</v>
      </c>
      <c r="D22" s="361">
        <v>190</v>
      </c>
      <c r="E22" s="361"/>
      <c r="F22" s="414">
        <v>1150</v>
      </c>
      <c r="G22" s="711"/>
      <c r="H22" s="1702" t="s">
        <v>1658</v>
      </c>
      <c r="I22" s="716"/>
    </row>
    <row r="23" spans="1:9" ht="12.75" hidden="1" customHeight="1" x14ac:dyDescent="0.2">
      <c r="A23" s="2037"/>
      <c r="B23" s="2019"/>
      <c r="C23" s="361">
        <v>46</v>
      </c>
      <c r="D23" s="361">
        <v>44</v>
      </c>
      <c r="E23" s="361"/>
      <c r="F23" s="414">
        <v>1210</v>
      </c>
      <c r="G23" s="711"/>
      <c r="H23" s="1735"/>
      <c r="I23" s="716"/>
    </row>
    <row r="24" spans="1:9" ht="12.75" hidden="1" customHeight="1" x14ac:dyDescent="0.2">
      <c r="A24" s="2037"/>
      <c r="B24" s="2019"/>
      <c r="C24" s="361">
        <v>80</v>
      </c>
      <c r="D24" s="361">
        <v>80</v>
      </c>
      <c r="E24" s="361"/>
      <c r="F24" s="414">
        <v>2363</v>
      </c>
      <c r="G24" s="711"/>
      <c r="H24" s="1735"/>
      <c r="I24" s="716"/>
    </row>
    <row r="25" spans="1:9" ht="12.75" hidden="1" customHeight="1" x14ac:dyDescent="0.2">
      <c r="A25" s="2038"/>
      <c r="B25" s="2018"/>
      <c r="C25" s="361">
        <v>150</v>
      </c>
      <c r="D25" s="361">
        <v>150</v>
      </c>
      <c r="E25" s="361"/>
      <c r="F25" s="414">
        <v>2314</v>
      </c>
      <c r="G25" s="711"/>
      <c r="H25" s="1703"/>
      <c r="I25" s="716"/>
    </row>
    <row r="26" spans="1:9" ht="12.75" hidden="1" customHeight="1" x14ac:dyDescent="0.2">
      <c r="A26" s="2036">
        <v>6</v>
      </c>
      <c r="B26" s="2017" t="s">
        <v>1661</v>
      </c>
      <c r="C26" s="361">
        <v>140</v>
      </c>
      <c r="D26" s="361">
        <v>140</v>
      </c>
      <c r="E26" s="361"/>
      <c r="F26" s="414">
        <v>1150</v>
      </c>
      <c r="G26" s="711"/>
      <c r="H26" s="1702" t="s">
        <v>1658</v>
      </c>
      <c r="I26" s="716"/>
    </row>
    <row r="27" spans="1:9" ht="12.75" hidden="1" customHeight="1" x14ac:dyDescent="0.2">
      <c r="A27" s="2037"/>
      <c r="B27" s="2019"/>
      <c r="C27" s="361">
        <v>34</v>
      </c>
      <c r="D27" s="361">
        <v>34</v>
      </c>
      <c r="E27" s="361"/>
      <c r="F27" s="414">
        <v>1210</v>
      </c>
      <c r="G27" s="711"/>
      <c r="H27" s="1735"/>
      <c r="I27" s="716"/>
    </row>
    <row r="28" spans="1:9" ht="12.75" hidden="1" customHeight="1" x14ac:dyDescent="0.2">
      <c r="A28" s="2038"/>
      <c r="B28" s="2018"/>
      <c r="C28" s="361">
        <v>100</v>
      </c>
      <c r="D28" s="361">
        <v>100</v>
      </c>
      <c r="E28" s="361"/>
      <c r="F28" s="414">
        <v>2314</v>
      </c>
      <c r="G28" s="711"/>
      <c r="H28" s="1703"/>
      <c r="I28" s="716"/>
    </row>
    <row r="29" spans="1:9" ht="12.75" hidden="1" customHeight="1" x14ac:dyDescent="0.2">
      <c r="A29" s="2036">
        <v>7</v>
      </c>
      <c r="B29" s="2017" t="s">
        <v>1662</v>
      </c>
      <c r="C29" s="361">
        <v>200</v>
      </c>
      <c r="D29" s="361">
        <v>200</v>
      </c>
      <c r="E29" s="361"/>
      <c r="F29" s="414">
        <v>2314</v>
      </c>
      <c r="G29" s="711"/>
      <c r="H29" s="1702" t="s">
        <v>1658</v>
      </c>
      <c r="I29" s="716"/>
    </row>
    <row r="30" spans="1:9" ht="12.75" hidden="1" customHeight="1" x14ac:dyDescent="0.2">
      <c r="A30" s="2038"/>
      <c r="B30" s="2018"/>
      <c r="C30" s="361">
        <v>150</v>
      </c>
      <c r="D30" s="361">
        <v>150</v>
      </c>
      <c r="E30" s="361"/>
      <c r="F30" s="414">
        <v>2264</v>
      </c>
      <c r="G30" s="711"/>
      <c r="H30" s="1703"/>
      <c r="I30" s="716"/>
    </row>
    <row r="31" spans="1:9" ht="12.75" hidden="1" customHeight="1" x14ac:dyDescent="0.2">
      <c r="A31" s="2036">
        <v>8</v>
      </c>
      <c r="B31" s="2017" t="s">
        <v>1663</v>
      </c>
      <c r="C31" s="361">
        <v>150</v>
      </c>
      <c r="D31" s="361">
        <v>150</v>
      </c>
      <c r="E31" s="361"/>
      <c r="F31" s="414">
        <v>2264</v>
      </c>
      <c r="G31" s="711"/>
      <c r="H31" s="1702" t="s">
        <v>1658</v>
      </c>
      <c r="I31" s="716"/>
    </row>
    <row r="32" spans="1:9" ht="12.75" hidden="1" customHeight="1" x14ac:dyDescent="0.2">
      <c r="A32" s="2038"/>
      <c r="B32" s="2018"/>
      <c r="C32" s="361">
        <v>150</v>
      </c>
      <c r="D32" s="361">
        <v>150</v>
      </c>
      <c r="E32" s="361"/>
      <c r="F32" s="414">
        <v>2314</v>
      </c>
      <c r="G32" s="711"/>
      <c r="H32" s="1703"/>
      <c r="I32" s="716"/>
    </row>
    <row r="33" spans="1:9" ht="12.75" hidden="1" customHeight="1" x14ac:dyDescent="0.2">
      <c r="A33" s="2036">
        <v>9</v>
      </c>
      <c r="B33" s="2017" t="s">
        <v>1664</v>
      </c>
      <c r="C33" s="361">
        <v>150</v>
      </c>
      <c r="D33" s="361">
        <v>144</v>
      </c>
      <c r="E33" s="361"/>
      <c r="F33" s="414">
        <v>2314</v>
      </c>
      <c r="G33" s="711"/>
      <c r="H33" s="1702" t="s">
        <v>1658</v>
      </c>
      <c r="I33" s="716"/>
    </row>
    <row r="34" spans="1:9" ht="12.75" hidden="1" customHeight="1" x14ac:dyDescent="0.2">
      <c r="A34" s="2037"/>
      <c r="B34" s="2019"/>
      <c r="C34" s="361">
        <v>140</v>
      </c>
      <c r="D34" s="361">
        <v>140</v>
      </c>
      <c r="E34" s="361"/>
      <c r="F34" s="414">
        <v>1150</v>
      </c>
      <c r="G34" s="711"/>
      <c r="H34" s="1735"/>
      <c r="I34" s="716"/>
    </row>
    <row r="35" spans="1:9" ht="12.75" hidden="1" customHeight="1" x14ac:dyDescent="0.2">
      <c r="A35" s="2038"/>
      <c r="B35" s="2018"/>
      <c r="C35" s="361">
        <v>34</v>
      </c>
      <c r="D35" s="361">
        <v>34</v>
      </c>
      <c r="E35" s="361"/>
      <c r="F35" s="414">
        <v>1210</v>
      </c>
      <c r="G35" s="711"/>
      <c r="H35" s="1703"/>
      <c r="I35" s="716"/>
    </row>
    <row r="36" spans="1:9" ht="12.75" hidden="1" customHeight="1" x14ac:dyDescent="0.2">
      <c r="A36" s="2036">
        <v>10</v>
      </c>
      <c r="B36" s="2017" t="s">
        <v>1665</v>
      </c>
      <c r="C36" s="361">
        <v>150</v>
      </c>
      <c r="D36" s="361">
        <v>150</v>
      </c>
      <c r="E36" s="361"/>
      <c r="F36" s="414">
        <v>2264</v>
      </c>
      <c r="G36" s="711"/>
      <c r="H36" s="1702" t="s">
        <v>1658</v>
      </c>
      <c r="I36" s="716"/>
    </row>
    <row r="37" spans="1:9" ht="12.75" hidden="1" customHeight="1" x14ac:dyDescent="0.2">
      <c r="A37" s="2038"/>
      <c r="B37" s="2018"/>
      <c r="C37" s="361">
        <v>210</v>
      </c>
      <c r="D37" s="361">
        <v>209</v>
      </c>
      <c r="E37" s="361"/>
      <c r="F37" s="414">
        <v>2314</v>
      </c>
      <c r="G37" s="711"/>
      <c r="H37" s="1703"/>
      <c r="I37" s="716"/>
    </row>
    <row r="38" spans="1:9" ht="13.5" hidden="1" customHeight="1" x14ac:dyDescent="0.2">
      <c r="A38" s="2036">
        <v>11</v>
      </c>
      <c r="B38" s="2017" t="s">
        <v>1666</v>
      </c>
      <c r="C38" s="361">
        <v>160</v>
      </c>
      <c r="D38" s="361">
        <v>160</v>
      </c>
      <c r="E38" s="361"/>
      <c r="F38" s="414">
        <v>2314</v>
      </c>
      <c r="G38" s="711"/>
      <c r="H38" s="1702" t="s">
        <v>1658</v>
      </c>
      <c r="I38" s="716"/>
    </row>
    <row r="39" spans="1:9" ht="12.75" hidden="1" customHeight="1" x14ac:dyDescent="0.2">
      <c r="A39" s="2037"/>
      <c r="B39" s="2019"/>
      <c r="C39" s="361">
        <v>150</v>
      </c>
      <c r="D39" s="361">
        <v>150</v>
      </c>
      <c r="E39" s="361"/>
      <c r="F39" s="414">
        <v>1150</v>
      </c>
      <c r="G39" s="711"/>
      <c r="H39" s="1735"/>
      <c r="I39" s="716"/>
    </row>
    <row r="40" spans="1:9" ht="12.75" hidden="1" customHeight="1" x14ac:dyDescent="0.2">
      <c r="A40" s="2037"/>
      <c r="B40" s="2019"/>
      <c r="C40" s="361">
        <v>37</v>
      </c>
      <c r="D40" s="361">
        <v>37</v>
      </c>
      <c r="E40" s="361"/>
      <c r="F40" s="414">
        <v>1210</v>
      </c>
      <c r="G40" s="711"/>
      <c r="H40" s="1735"/>
      <c r="I40" s="716"/>
    </row>
    <row r="41" spans="1:9" ht="13.5" hidden="1" customHeight="1" x14ac:dyDescent="0.2">
      <c r="A41" s="2038"/>
      <c r="B41" s="2018"/>
      <c r="C41" s="361">
        <v>40</v>
      </c>
      <c r="D41" s="361">
        <v>40</v>
      </c>
      <c r="E41" s="361"/>
      <c r="F41" s="414">
        <v>2363</v>
      </c>
      <c r="G41" s="711"/>
      <c r="H41" s="1703"/>
      <c r="I41" s="716"/>
    </row>
    <row r="42" spans="1:9" ht="25.5" hidden="1" customHeight="1" x14ac:dyDescent="0.2">
      <c r="A42" s="390">
        <v>12</v>
      </c>
      <c r="B42" s="717" t="s">
        <v>1667</v>
      </c>
      <c r="C42" s="361">
        <v>150</v>
      </c>
      <c r="D42" s="361">
        <v>149</v>
      </c>
      <c r="E42" s="361"/>
      <c r="F42" s="414">
        <v>2314</v>
      </c>
      <c r="G42" s="711"/>
      <c r="H42" s="379" t="s">
        <v>1668</v>
      </c>
      <c r="I42" s="716" t="s">
        <v>1669</v>
      </c>
    </row>
    <row r="43" spans="1:9" ht="23.25" hidden="1" customHeight="1" x14ac:dyDescent="0.2">
      <c r="A43" s="390">
        <v>13</v>
      </c>
      <c r="B43" s="717" t="s">
        <v>1670</v>
      </c>
      <c r="C43" s="361">
        <v>150</v>
      </c>
      <c r="D43" s="361">
        <v>138</v>
      </c>
      <c r="E43" s="361"/>
      <c r="F43" s="414">
        <v>2314</v>
      </c>
      <c r="G43" s="711"/>
      <c r="H43" s="209" t="s">
        <v>1671</v>
      </c>
      <c r="I43" s="716" t="s">
        <v>1669</v>
      </c>
    </row>
    <row r="44" spans="1:9" ht="24.75" hidden="1" customHeight="1" x14ac:dyDescent="0.2">
      <c r="A44" s="390">
        <v>14</v>
      </c>
      <c r="B44" s="411" t="s">
        <v>1672</v>
      </c>
      <c r="C44" s="361">
        <v>70</v>
      </c>
      <c r="D44" s="361">
        <v>70</v>
      </c>
      <c r="E44" s="361"/>
      <c r="F44" s="414">
        <v>2314</v>
      </c>
      <c r="G44" s="711"/>
      <c r="H44" s="379" t="s">
        <v>1668</v>
      </c>
      <c r="I44" s="716" t="s">
        <v>1669</v>
      </c>
    </row>
    <row r="45" spans="1:9" ht="12.75" hidden="1" customHeight="1" x14ac:dyDescent="0.2">
      <c r="A45" s="390">
        <v>15</v>
      </c>
      <c r="B45" s="411" t="s">
        <v>1673</v>
      </c>
      <c r="C45" s="361">
        <v>60</v>
      </c>
      <c r="D45" s="361">
        <v>0</v>
      </c>
      <c r="E45" s="361"/>
      <c r="F45" s="414">
        <v>2314</v>
      </c>
      <c r="G45" s="711"/>
      <c r="H45" s="379" t="s">
        <v>1668</v>
      </c>
      <c r="I45" s="716"/>
    </row>
    <row r="46" spans="1:9" ht="12.75" hidden="1" customHeight="1" x14ac:dyDescent="0.2">
      <c r="A46" s="390">
        <v>16</v>
      </c>
      <c r="B46" s="717" t="s">
        <v>1674</v>
      </c>
      <c r="C46" s="361">
        <v>50</v>
      </c>
      <c r="D46" s="361">
        <v>0</v>
      </c>
      <c r="E46" s="361"/>
      <c r="F46" s="414">
        <v>2314</v>
      </c>
      <c r="G46" s="711"/>
      <c r="H46" s="379" t="s">
        <v>1668</v>
      </c>
      <c r="I46" s="716"/>
    </row>
    <row r="47" spans="1:9" ht="12.75" hidden="1" customHeight="1" x14ac:dyDescent="0.2">
      <c r="A47" s="390">
        <v>17</v>
      </c>
      <c r="B47" s="717" t="s">
        <v>1675</v>
      </c>
      <c r="C47" s="361">
        <v>60</v>
      </c>
      <c r="D47" s="361">
        <v>60</v>
      </c>
      <c r="E47" s="361"/>
      <c r="F47" s="414">
        <v>2314</v>
      </c>
      <c r="G47" s="711"/>
      <c r="H47" s="379" t="s">
        <v>1668</v>
      </c>
      <c r="I47" s="716" t="s">
        <v>1669</v>
      </c>
    </row>
    <row r="48" spans="1:9" ht="12.75" hidden="1" customHeight="1" x14ac:dyDescent="0.2">
      <c r="A48" s="390">
        <v>18</v>
      </c>
      <c r="B48" s="717" t="s">
        <v>1676</v>
      </c>
      <c r="C48" s="361">
        <v>100</v>
      </c>
      <c r="D48" s="361">
        <v>100</v>
      </c>
      <c r="E48" s="361"/>
      <c r="F48" s="414">
        <v>2314</v>
      </c>
      <c r="G48" s="711"/>
      <c r="H48" s="379" t="s">
        <v>1668</v>
      </c>
      <c r="I48" s="716"/>
    </row>
    <row r="49" spans="1:9" ht="12.75" hidden="1" customHeight="1" x14ac:dyDescent="0.2">
      <c r="A49" s="390">
        <v>19</v>
      </c>
      <c r="B49" s="717" t="s">
        <v>1677</v>
      </c>
      <c r="C49" s="361">
        <v>60</v>
      </c>
      <c r="D49" s="361">
        <v>0</v>
      </c>
      <c r="E49" s="361"/>
      <c r="F49" s="414">
        <v>2314</v>
      </c>
      <c r="G49" s="711"/>
      <c r="H49" s="379" t="s">
        <v>1668</v>
      </c>
      <c r="I49" s="716"/>
    </row>
    <row r="50" spans="1:9" ht="12.75" hidden="1" customHeight="1" x14ac:dyDescent="0.2">
      <c r="A50" s="390">
        <v>20</v>
      </c>
      <c r="B50" s="717" t="s">
        <v>1678</v>
      </c>
      <c r="C50" s="361">
        <v>80</v>
      </c>
      <c r="D50" s="361">
        <v>80</v>
      </c>
      <c r="E50" s="361"/>
      <c r="F50" s="414">
        <v>2314</v>
      </c>
      <c r="G50" s="711"/>
      <c r="H50" s="379" t="s">
        <v>1668</v>
      </c>
      <c r="I50" s="716" t="s">
        <v>1669</v>
      </c>
    </row>
    <row r="51" spans="1:9" ht="13.5" hidden="1" customHeight="1" x14ac:dyDescent="0.2">
      <c r="A51" s="2036">
        <v>21</v>
      </c>
      <c r="B51" s="2017" t="s">
        <v>1679</v>
      </c>
      <c r="C51" s="361">
        <v>300</v>
      </c>
      <c r="D51" s="361">
        <v>300</v>
      </c>
      <c r="E51" s="361"/>
      <c r="F51" s="414">
        <v>2363</v>
      </c>
      <c r="G51" s="711"/>
      <c r="H51" s="1702" t="s">
        <v>1668</v>
      </c>
      <c r="I51" s="716"/>
    </row>
    <row r="52" spans="1:9" ht="13.5" hidden="1" customHeight="1" x14ac:dyDescent="0.2">
      <c r="A52" s="2038"/>
      <c r="B52" s="2018"/>
      <c r="C52" s="361">
        <v>200</v>
      </c>
      <c r="D52" s="361">
        <v>200</v>
      </c>
      <c r="E52" s="361"/>
      <c r="F52" s="414">
        <v>2314</v>
      </c>
      <c r="G52" s="711"/>
      <c r="H52" s="1703"/>
      <c r="I52" s="716"/>
    </row>
    <row r="53" spans="1:9" ht="12.75" hidden="1" customHeight="1" x14ac:dyDescent="0.2">
      <c r="A53" s="390">
        <v>22</v>
      </c>
      <c r="B53" s="717" t="s">
        <v>1680</v>
      </c>
      <c r="C53" s="361">
        <v>50</v>
      </c>
      <c r="D53" s="361">
        <v>50</v>
      </c>
      <c r="E53" s="361"/>
      <c r="F53" s="414">
        <v>2314</v>
      </c>
      <c r="G53" s="711"/>
      <c r="H53" s="379" t="s">
        <v>1668</v>
      </c>
      <c r="I53" s="716"/>
    </row>
    <row r="54" spans="1:9" ht="12" hidden="1" customHeight="1" x14ac:dyDescent="0.2">
      <c r="A54" s="718">
        <v>23</v>
      </c>
      <c r="B54" s="719" t="s">
        <v>1681</v>
      </c>
      <c r="C54" s="361">
        <v>120</v>
      </c>
      <c r="D54" s="361">
        <v>120</v>
      </c>
      <c r="E54" s="361"/>
      <c r="F54" s="414">
        <v>2314</v>
      </c>
      <c r="G54" s="711"/>
      <c r="H54" s="379" t="s">
        <v>1668</v>
      </c>
      <c r="I54" s="705"/>
    </row>
    <row r="55" spans="1:9" ht="9.75" hidden="1" customHeight="1" x14ac:dyDescent="0.2">
      <c r="A55" s="2036">
        <v>24</v>
      </c>
      <c r="B55" s="1686" t="s">
        <v>1682</v>
      </c>
      <c r="C55" s="720">
        <v>1500</v>
      </c>
      <c r="D55" s="361">
        <v>1105</v>
      </c>
      <c r="E55" s="361"/>
      <c r="F55" s="414">
        <v>1150</v>
      </c>
      <c r="G55" s="721"/>
      <c r="H55" s="1735" t="s">
        <v>1683</v>
      </c>
      <c r="I55" s="716"/>
    </row>
    <row r="56" spans="1:9" ht="12.75" hidden="1" customHeight="1" x14ac:dyDescent="0.2">
      <c r="A56" s="2037"/>
      <c r="B56" s="1721"/>
      <c r="C56" s="720">
        <v>75</v>
      </c>
      <c r="D56" s="361">
        <v>56</v>
      </c>
      <c r="E56" s="361"/>
      <c r="F56" s="414">
        <v>1210</v>
      </c>
      <c r="G56" s="721"/>
      <c r="H56" s="1735"/>
      <c r="I56" s="716"/>
    </row>
    <row r="57" spans="1:9" ht="12.75" hidden="1" customHeight="1" x14ac:dyDescent="0.2">
      <c r="A57" s="2037"/>
      <c r="B57" s="1721"/>
      <c r="C57" s="722">
        <v>100</v>
      </c>
      <c r="D57" s="366">
        <v>100</v>
      </c>
      <c r="E57" s="366"/>
      <c r="F57" s="392">
        <v>2279</v>
      </c>
      <c r="G57" s="721"/>
      <c r="H57" s="1735"/>
      <c r="I57" s="723"/>
    </row>
    <row r="58" spans="1:9" ht="12" hidden="1" customHeight="1" x14ac:dyDescent="0.2">
      <c r="A58" s="2037"/>
      <c r="B58" s="1721"/>
      <c r="C58" s="720">
        <v>2000</v>
      </c>
      <c r="D58" s="361">
        <v>0</v>
      </c>
      <c r="E58" s="361"/>
      <c r="F58" s="414">
        <v>2264</v>
      </c>
      <c r="G58" s="721"/>
      <c r="H58" s="1735"/>
      <c r="I58" s="705"/>
    </row>
    <row r="59" spans="1:9" ht="12.75" hidden="1" customHeight="1" x14ac:dyDescent="0.2">
      <c r="A59" s="2037"/>
      <c r="B59" s="1721"/>
      <c r="C59" s="720">
        <v>625</v>
      </c>
      <c r="D59" s="361">
        <v>24</v>
      </c>
      <c r="E59" s="361"/>
      <c r="F59" s="414">
        <v>2370</v>
      </c>
      <c r="G59" s="721"/>
      <c r="H59" s="1735"/>
      <c r="I59" s="716"/>
    </row>
    <row r="60" spans="1:9" ht="12.75" hidden="1" customHeight="1" x14ac:dyDescent="0.2">
      <c r="A60" s="2037"/>
      <c r="B60" s="1721"/>
      <c r="C60" s="720">
        <v>120</v>
      </c>
      <c r="D60" s="361">
        <v>80</v>
      </c>
      <c r="E60" s="361"/>
      <c r="F60" s="414">
        <v>2223</v>
      </c>
      <c r="G60" s="721"/>
      <c r="H60" s="1735"/>
      <c r="I60" s="705"/>
    </row>
    <row r="61" spans="1:9" ht="14.25" hidden="1" customHeight="1" x14ac:dyDescent="0.2">
      <c r="A61" s="2037"/>
      <c r="B61" s="1721"/>
      <c r="C61" s="720">
        <v>80</v>
      </c>
      <c r="D61" s="361">
        <v>80</v>
      </c>
      <c r="E61" s="361"/>
      <c r="F61" s="414">
        <v>2314</v>
      </c>
      <c r="G61" s="721"/>
      <c r="H61" s="1735"/>
      <c r="I61" s="716"/>
    </row>
    <row r="62" spans="1:9" ht="15.75" hidden="1" customHeight="1" x14ac:dyDescent="0.2">
      <c r="A62" s="2038"/>
      <c r="B62" s="1687"/>
      <c r="C62" s="720">
        <v>120</v>
      </c>
      <c r="D62" s="361">
        <v>0</v>
      </c>
      <c r="E62" s="361"/>
      <c r="F62" s="414">
        <v>2239</v>
      </c>
      <c r="G62" s="724"/>
      <c r="H62" s="1703"/>
      <c r="I62" s="716"/>
    </row>
    <row r="63" spans="1:9" ht="16.5" hidden="1" customHeight="1" x14ac:dyDescent="0.2">
      <c r="A63" s="2037">
        <v>25</v>
      </c>
      <c r="B63" s="1686" t="s">
        <v>1684</v>
      </c>
      <c r="C63" s="361">
        <v>150</v>
      </c>
      <c r="D63" s="361">
        <v>150</v>
      </c>
      <c r="E63" s="361"/>
      <c r="F63" s="414">
        <v>2314</v>
      </c>
      <c r="G63" s="711"/>
      <c r="H63" s="1702" t="s">
        <v>1685</v>
      </c>
      <c r="I63" s="716"/>
    </row>
    <row r="64" spans="1:9" ht="16.5" hidden="1" customHeight="1" x14ac:dyDescent="0.2">
      <c r="A64" s="2038"/>
      <c r="B64" s="1687"/>
      <c r="C64" s="361">
        <v>350</v>
      </c>
      <c r="D64" s="361">
        <v>350</v>
      </c>
      <c r="E64" s="361"/>
      <c r="F64" s="414">
        <v>2370</v>
      </c>
      <c r="G64" s="711"/>
      <c r="H64" s="1735"/>
      <c r="I64" s="705"/>
    </row>
    <row r="65" spans="1:9" ht="24" hidden="1" x14ac:dyDescent="0.2">
      <c r="A65" s="390">
        <v>26</v>
      </c>
      <c r="B65" s="717" t="s">
        <v>1686</v>
      </c>
      <c r="C65" s="361">
        <v>200</v>
      </c>
      <c r="D65" s="361">
        <v>200</v>
      </c>
      <c r="E65" s="361"/>
      <c r="F65" s="414">
        <v>2370</v>
      </c>
      <c r="G65" s="711"/>
      <c r="H65" s="725" t="s">
        <v>1685</v>
      </c>
      <c r="I65" s="705"/>
    </row>
    <row r="66" spans="1:9" ht="14.25" hidden="1" customHeight="1" x14ac:dyDescent="0.2">
      <c r="A66" s="2036">
        <v>27</v>
      </c>
      <c r="B66" s="2017" t="s">
        <v>1687</v>
      </c>
      <c r="C66" s="361">
        <v>285</v>
      </c>
      <c r="D66" s="361">
        <v>75</v>
      </c>
      <c r="E66" s="361"/>
      <c r="F66" s="414">
        <v>1150</v>
      </c>
      <c r="G66" s="711"/>
      <c r="H66" s="1702" t="s">
        <v>1685</v>
      </c>
      <c r="I66" s="716"/>
    </row>
    <row r="67" spans="1:9" ht="14.25" hidden="1" customHeight="1" x14ac:dyDescent="0.2">
      <c r="A67" s="2038"/>
      <c r="B67" s="2018"/>
      <c r="C67" s="361">
        <v>15</v>
      </c>
      <c r="D67" s="361">
        <v>4</v>
      </c>
      <c r="E67" s="361"/>
      <c r="F67" s="414">
        <v>1210</v>
      </c>
      <c r="G67" s="711"/>
      <c r="H67" s="1703"/>
      <c r="I67" s="716"/>
    </row>
    <row r="68" spans="1:9" ht="15" hidden="1" customHeight="1" x14ac:dyDescent="0.2">
      <c r="A68" s="2036">
        <v>28</v>
      </c>
      <c r="B68" s="2017" t="s">
        <v>1688</v>
      </c>
      <c r="C68" s="361">
        <v>700</v>
      </c>
      <c r="D68" s="361">
        <v>0</v>
      </c>
      <c r="E68" s="361"/>
      <c r="F68" s="414">
        <v>2370</v>
      </c>
      <c r="G68" s="711"/>
      <c r="H68" s="1702" t="s">
        <v>1685</v>
      </c>
      <c r="I68" s="705"/>
    </row>
    <row r="69" spans="1:9" ht="15" hidden="1" customHeight="1" x14ac:dyDescent="0.2">
      <c r="A69" s="2037"/>
      <c r="B69" s="2019"/>
      <c r="C69" s="361">
        <v>350</v>
      </c>
      <c r="D69" s="361">
        <v>0</v>
      </c>
      <c r="E69" s="361"/>
      <c r="F69" s="414">
        <v>2314</v>
      </c>
      <c r="G69" s="711"/>
      <c r="H69" s="1735"/>
      <c r="I69" s="716"/>
    </row>
    <row r="70" spans="1:9" ht="15" hidden="1" customHeight="1" x14ac:dyDescent="0.2">
      <c r="A70" s="2037"/>
      <c r="B70" s="2019"/>
      <c r="C70" s="361">
        <v>100</v>
      </c>
      <c r="D70" s="361">
        <v>0</v>
      </c>
      <c r="E70" s="361"/>
      <c r="F70" s="414">
        <v>1150</v>
      </c>
      <c r="G70" s="711"/>
      <c r="H70" s="1735"/>
      <c r="I70" s="716"/>
    </row>
    <row r="71" spans="1:9" ht="15" hidden="1" customHeight="1" x14ac:dyDescent="0.2">
      <c r="A71" s="2038"/>
      <c r="B71" s="2018"/>
      <c r="C71" s="361">
        <v>25</v>
      </c>
      <c r="D71" s="361">
        <v>0</v>
      </c>
      <c r="E71" s="361"/>
      <c r="F71" s="414">
        <v>1210</v>
      </c>
      <c r="G71" s="711"/>
      <c r="H71" s="1703"/>
      <c r="I71" s="716"/>
    </row>
    <row r="72" spans="1:9" ht="19.5" hidden="1" customHeight="1" x14ac:dyDescent="0.2">
      <c r="A72" s="2036">
        <v>29</v>
      </c>
      <c r="B72" s="2017" t="s">
        <v>1689</v>
      </c>
      <c r="C72" s="361">
        <v>200</v>
      </c>
      <c r="D72" s="361">
        <v>200</v>
      </c>
      <c r="E72" s="361"/>
      <c r="F72" s="414">
        <v>2314</v>
      </c>
      <c r="G72" s="711"/>
      <c r="H72" s="1702" t="s">
        <v>1690</v>
      </c>
      <c r="I72" s="716"/>
    </row>
    <row r="73" spans="1:9" ht="19.5" hidden="1" customHeight="1" x14ac:dyDescent="0.2">
      <c r="A73" s="2038"/>
      <c r="B73" s="2018"/>
      <c r="C73" s="361">
        <v>150</v>
      </c>
      <c r="D73" s="361">
        <v>150</v>
      </c>
      <c r="E73" s="361"/>
      <c r="F73" s="414">
        <v>2370</v>
      </c>
      <c r="G73" s="711"/>
      <c r="H73" s="1703"/>
      <c r="I73" s="716"/>
    </row>
    <row r="74" spans="1:9" ht="12" hidden="1" customHeight="1" x14ac:dyDescent="0.2">
      <c r="A74" s="2036">
        <v>30</v>
      </c>
      <c r="B74" s="2017" t="s">
        <v>1691</v>
      </c>
      <c r="C74" s="361">
        <v>172</v>
      </c>
      <c r="D74" s="361">
        <v>172</v>
      </c>
      <c r="E74" s="361"/>
      <c r="F74" s="414">
        <v>1150</v>
      </c>
      <c r="G74" s="711"/>
      <c r="H74" s="1702" t="s">
        <v>1692</v>
      </c>
      <c r="I74" s="716"/>
    </row>
    <row r="75" spans="1:9" ht="12.75" hidden="1" customHeight="1" x14ac:dyDescent="0.2">
      <c r="A75" s="2037"/>
      <c r="B75" s="2019"/>
      <c r="C75" s="361">
        <v>42</v>
      </c>
      <c r="D75" s="361">
        <v>42</v>
      </c>
      <c r="E75" s="361"/>
      <c r="F75" s="414">
        <v>1210</v>
      </c>
      <c r="G75" s="711"/>
      <c r="H75" s="1735"/>
      <c r="I75" s="716"/>
    </row>
    <row r="76" spans="1:9" ht="12.75" hidden="1" customHeight="1" x14ac:dyDescent="0.2">
      <c r="A76" s="2037"/>
      <c r="B76" s="2019"/>
      <c r="C76" s="361">
        <v>250</v>
      </c>
      <c r="D76" s="361">
        <v>250</v>
      </c>
      <c r="E76" s="361"/>
      <c r="F76" s="414">
        <v>2264</v>
      </c>
      <c r="G76" s="711"/>
      <c r="H76" s="1735"/>
      <c r="I76" s="716"/>
    </row>
    <row r="77" spans="1:9" ht="12.75" hidden="1" customHeight="1" x14ac:dyDescent="0.2">
      <c r="A77" s="2037"/>
      <c r="B77" s="2019"/>
      <c r="C77" s="361">
        <v>150</v>
      </c>
      <c r="D77" s="361">
        <v>150</v>
      </c>
      <c r="E77" s="361"/>
      <c r="F77" s="414">
        <v>2314</v>
      </c>
      <c r="G77" s="711"/>
      <c r="H77" s="1735"/>
      <c r="I77" s="716"/>
    </row>
    <row r="78" spans="1:9" ht="12.75" hidden="1" customHeight="1" x14ac:dyDescent="0.2">
      <c r="A78" s="2038"/>
      <c r="B78" s="2018"/>
      <c r="C78" s="726">
        <v>50</v>
      </c>
      <c r="D78" s="726">
        <v>50</v>
      </c>
      <c r="E78" s="361"/>
      <c r="F78" s="414">
        <v>2311</v>
      </c>
      <c r="G78" s="711"/>
      <c r="H78" s="1703"/>
      <c r="I78" s="716"/>
    </row>
    <row r="79" spans="1:9" ht="17.25" hidden="1" customHeight="1" x14ac:dyDescent="0.2">
      <c r="A79" s="2036">
        <v>31</v>
      </c>
      <c r="B79" s="2017" t="s">
        <v>1693</v>
      </c>
      <c r="C79" s="361">
        <v>110</v>
      </c>
      <c r="D79" s="361">
        <v>110</v>
      </c>
      <c r="E79" s="361"/>
      <c r="F79" s="414">
        <v>2279</v>
      </c>
      <c r="G79" s="711"/>
      <c r="H79" s="1702" t="s">
        <v>1694</v>
      </c>
      <c r="I79" s="716"/>
    </row>
    <row r="80" spans="1:9" ht="17.25" hidden="1" customHeight="1" x14ac:dyDescent="0.2">
      <c r="A80" s="2038"/>
      <c r="B80" s="2018"/>
      <c r="C80" s="361">
        <v>150</v>
      </c>
      <c r="D80" s="361">
        <v>150</v>
      </c>
      <c r="E80" s="361"/>
      <c r="F80" s="414">
        <v>2314</v>
      </c>
      <c r="G80" s="711"/>
      <c r="H80" s="1703"/>
      <c r="I80" s="716"/>
    </row>
    <row r="81" spans="1:9" ht="16.5" hidden="1" customHeight="1" x14ac:dyDescent="0.2">
      <c r="A81" s="2036">
        <v>32</v>
      </c>
      <c r="B81" s="2017" t="s">
        <v>1695</v>
      </c>
      <c r="C81" s="361">
        <v>110</v>
      </c>
      <c r="D81" s="361">
        <v>110</v>
      </c>
      <c r="E81" s="361"/>
      <c r="F81" s="414">
        <v>2279</v>
      </c>
      <c r="G81" s="711"/>
      <c r="H81" s="1702" t="s">
        <v>1694</v>
      </c>
      <c r="I81" s="716"/>
    </row>
    <row r="82" spans="1:9" ht="33" hidden="1" customHeight="1" x14ac:dyDescent="0.2">
      <c r="A82" s="2038"/>
      <c r="B82" s="2018"/>
      <c r="C82" s="361">
        <v>150</v>
      </c>
      <c r="D82" s="361">
        <v>150</v>
      </c>
      <c r="E82" s="361"/>
      <c r="F82" s="414">
        <v>2314</v>
      </c>
      <c r="G82" s="711"/>
      <c r="H82" s="1703"/>
      <c r="I82" s="716"/>
    </row>
    <row r="83" spans="1:9" ht="12" hidden="1" customHeight="1" x14ac:dyDescent="0.2">
      <c r="A83" s="2036">
        <v>33</v>
      </c>
      <c r="B83" s="2017" t="s">
        <v>1696</v>
      </c>
      <c r="C83" s="361">
        <v>110</v>
      </c>
      <c r="D83" s="361">
        <v>110</v>
      </c>
      <c r="E83" s="361"/>
      <c r="F83" s="414">
        <v>2311</v>
      </c>
      <c r="G83" s="711"/>
      <c r="H83" s="1702" t="s">
        <v>1694</v>
      </c>
      <c r="I83" s="716"/>
    </row>
    <row r="84" spans="1:9" ht="12" hidden="1" customHeight="1" x14ac:dyDescent="0.2">
      <c r="A84" s="2038"/>
      <c r="B84" s="2018"/>
      <c r="C84" s="361">
        <v>150</v>
      </c>
      <c r="D84" s="361">
        <v>150</v>
      </c>
      <c r="E84" s="361"/>
      <c r="F84" s="414">
        <v>2314</v>
      </c>
      <c r="G84" s="711"/>
      <c r="H84" s="1703"/>
      <c r="I84" s="716"/>
    </row>
    <row r="85" spans="1:9" ht="13.5" hidden="1" customHeight="1" x14ac:dyDescent="0.2">
      <c r="A85" s="390">
        <v>34</v>
      </c>
      <c r="B85" s="717" t="s">
        <v>1697</v>
      </c>
      <c r="C85" s="361">
        <v>80</v>
      </c>
      <c r="D85" s="361">
        <v>80</v>
      </c>
      <c r="E85" s="361"/>
      <c r="F85" s="414">
        <v>2314</v>
      </c>
      <c r="G85" s="711"/>
      <c r="H85" s="379" t="s">
        <v>1658</v>
      </c>
      <c r="I85" s="716"/>
    </row>
    <row r="86" spans="1:9" ht="12.75" hidden="1" customHeight="1" x14ac:dyDescent="0.2">
      <c r="A86" s="390">
        <v>35</v>
      </c>
      <c r="B86" s="717" t="s">
        <v>1698</v>
      </c>
      <c r="C86" s="361">
        <v>80</v>
      </c>
      <c r="D86" s="361">
        <v>80</v>
      </c>
      <c r="E86" s="361"/>
      <c r="F86" s="414">
        <v>2314</v>
      </c>
      <c r="G86" s="711"/>
      <c r="H86" s="379" t="s">
        <v>1658</v>
      </c>
      <c r="I86" s="716"/>
    </row>
    <row r="87" spans="1:9" ht="12.75" hidden="1" customHeight="1" x14ac:dyDescent="0.2">
      <c r="A87" s="390">
        <v>36</v>
      </c>
      <c r="B87" s="717" t="s">
        <v>1699</v>
      </c>
      <c r="C87" s="361">
        <v>110</v>
      </c>
      <c r="D87" s="361">
        <v>110</v>
      </c>
      <c r="E87" s="361"/>
      <c r="F87" s="414">
        <v>2314</v>
      </c>
      <c r="G87" s="711"/>
      <c r="H87" s="379" t="s">
        <v>1658</v>
      </c>
      <c r="I87" s="716"/>
    </row>
    <row r="88" spans="1:9" ht="12.75" hidden="1" customHeight="1" x14ac:dyDescent="0.2">
      <c r="A88" s="2037">
        <v>37</v>
      </c>
      <c r="B88" s="2019" t="s">
        <v>1700</v>
      </c>
      <c r="C88" s="361">
        <v>300</v>
      </c>
      <c r="D88" s="361">
        <v>0</v>
      </c>
      <c r="E88" s="366"/>
      <c r="F88" s="414">
        <v>2262</v>
      </c>
      <c r="G88" s="711"/>
      <c r="H88" s="1735"/>
      <c r="I88" s="716"/>
    </row>
    <row r="89" spans="1:9" ht="12.75" hidden="1" customHeight="1" x14ac:dyDescent="0.2">
      <c r="A89" s="2037"/>
      <c r="B89" s="2019"/>
      <c r="C89" s="361">
        <v>120</v>
      </c>
      <c r="D89" s="361"/>
      <c r="E89" s="361"/>
      <c r="F89" s="414">
        <v>2363</v>
      </c>
      <c r="G89" s="711"/>
      <c r="H89" s="1735"/>
      <c r="I89" s="716"/>
    </row>
    <row r="90" spans="1:9" ht="12.75" hidden="1" customHeight="1" x14ac:dyDescent="0.2">
      <c r="A90" s="2038"/>
      <c r="B90" s="2018"/>
      <c r="C90" s="361">
        <v>190</v>
      </c>
      <c r="D90" s="361"/>
      <c r="E90" s="361"/>
      <c r="F90" s="414">
        <v>2314</v>
      </c>
      <c r="G90" s="711"/>
      <c r="H90" s="1703"/>
      <c r="I90" s="705"/>
    </row>
    <row r="91" spans="1:9" ht="12.75" hidden="1" customHeight="1" x14ac:dyDescent="0.2">
      <c r="A91" s="727">
        <v>38</v>
      </c>
      <c r="B91" s="717" t="s">
        <v>1701</v>
      </c>
      <c r="C91" s="361">
        <v>180</v>
      </c>
      <c r="D91" s="361">
        <v>180</v>
      </c>
      <c r="E91" s="361"/>
      <c r="F91" s="414">
        <v>2314</v>
      </c>
      <c r="G91" s="711"/>
      <c r="H91" s="379" t="s">
        <v>1702</v>
      </c>
      <c r="I91" s="705"/>
    </row>
    <row r="92" spans="1:9" ht="12.75" hidden="1" customHeight="1" x14ac:dyDescent="0.2">
      <c r="A92" s="2036">
        <v>39</v>
      </c>
      <c r="B92" s="2017" t="s">
        <v>1703</v>
      </c>
      <c r="C92" s="361">
        <v>87</v>
      </c>
      <c r="D92" s="361">
        <v>87</v>
      </c>
      <c r="E92" s="361"/>
      <c r="F92" s="414">
        <v>2311</v>
      </c>
      <c r="G92" s="711"/>
      <c r="H92" s="1702" t="s">
        <v>1704</v>
      </c>
      <c r="I92" s="2047"/>
    </row>
    <row r="93" spans="1:9" ht="12.75" hidden="1" customHeight="1" x14ac:dyDescent="0.2">
      <c r="A93" s="2037"/>
      <c r="B93" s="2019"/>
      <c r="C93" s="361">
        <v>300</v>
      </c>
      <c r="D93" s="361">
        <v>300</v>
      </c>
      <c r="E93" s="361"/>
      <c r="F93" s="414">
        <v>2231</v>
      </c>
      <c r="G93" s="711"/>
      <c r="H93" s="1735"/>
      <c r="I93" s="2048"/>
    </row>
    <row r="94" spans="1:9" ht="12.75" hidden="1" customHeight="1" x14ac:dyDescent="0.2">
      <c r="A94" s="2037"/>
      <c r="B94" s="2019"/>
      <c r="C94" s="361">
        <v>13</v>
      </c>
      <c r="D94" s="361">
        <v>13</v>
      </c>
      <c r="E94" s="361"/>
      <c r="F94" s="414">
        <v>1210</v>
      </c>
      <c r="G94" s="711"/>
      <c r="H94" s="1735"/>
      <c r="I94" s="2048"/>
    </row>
    <row r="95" spans="1:9" ht="12.75" hidden="1" customHeight="1" x14ac:dyDescent="0.2">
      <c r="A95" s="2037"/>
      <c r="B95" s="2019"/>
      <c r="C95" s="361">
        <v>150</v>
      </c>
      <c r="D95" s="361">
        <v>150</v>
      </c>
      <c r="E95" s="361"/>
      <c r="F95" s="414">
        <v>2314</v>
      </c>
      <c r="G95" s="711"/>
      <c r="H95" s="1735"/>
      <c r="I95" s="2048"/>
    </row>
    <row r="96" spans="1:9" ht="12.75" hidden="1" customHeight="1" x14ac:dyDescent="0.2">
      <c r="A96" s="2038"/>
      <c r="B96" s="2018"/>
      <c r="C96" s="361">
        <v>250</v>
      </c>
      <c r="D96" s="361">
        <v>250</v>
      </c>
      <c r="E96" s="361"/>
      <c r="F96" s="414">
        <v>1150</v>
      </c>
      <c r="G96" s="711"/>
      <c r="H96" s="1703"/>
      <c r="I96" s="2049"/>
    </row>
    <row r="97" spans="1:9" x14ac:dyDescent="0.2">
      <c r="A97" s="2037" t="s">
        <v>1271</v>
      </c>
      <c r="B97" s="2017" t="s">
        <v>1705</v>
      </c>
      <c r="C97" s="361"/>
      <c r="D97" s="361"/>
      <c r="E97" s="361">
        <v>160</v>
      </c>
      <c r="F97" s="414">
        <v>2262</v>
      </c>
      <c r="G97" s="711">
        <v>160</v>
      </c>
      <c r="H97" s="2050" t="s">
        <v>1706</v>
      </c>
      <c r="I97" s="2022"/>
    </row>
    <row r="98" spans="1:9" x14ac:dyDescent="0.2">
      <c r="A98" s="2037"/>
      <c r="B98" s="2019"/>
      <c r="C98" s="361"/>
      <c r="D98" s="361"/>
      <c r="E98" s="361">
        <v>2094</v>
      </c>
      <c r="F98" s="414">
        <v>2314</v>
      </c>
      <c r="G98" s="711">
        <v>2094</v>
      </c>
      <c r="H98" s="2051"/>
      <c r="I98" s="2052"/>
    </row>
    <row r="99" spans="1:9" x14ac:dyDescent="0.2">
      <c r="A99" s="2037"/>
      <c r="B99" s="2019"/>
      <c r="C99" s="361"/>
      <c r="D99" s="361"/>
      <c r="E99" s="361">
        <v>1215</v>
      </c>
      <c r="F99" s="414">
        <v>2363</v>
      </c>
      <c r="G99" s="711">
        <v>1215</v>
      </c>
      <c r="H99" s="2051"/>
      <c r="I99" s="2052"/>
    </row>
    <row r="100" spans="1:9" x14ac:dyDescent="0.2">
      <c r="A100" s="2037"/>
      <c r="B100" s="2019"/>
      <c r="C100" s="361"/>
      <c r="D100" s="361"/>
      <c r="E100" s="361">
        <v>2700</v>
      </c>
      <c r="F100" s="414">
        <v>2264</v>
      </c>
      <c r="G100" s="711">
        <v>2700</v>
      </c>
      <c r="H100" s="2051"/>
      <c r="I100" s="2052"/>
    </row>
    <row r="101" spans="1:9" x14ac:dyDescent="0.2">
      <c r="A101" s="2037"/>
      <c r="B101" s="2019"/>
      <c r="C101" s="361"/>
      <c r="D101" s="361"/>
      <c r="E101" s="361">
        <v>3136</v>
      </c>
      <c r="F101" s="414">
        <v>1150</v>
      </c>
      <c r="G101" s="711">
        <v>3136</v>
      </c>
      <c r="H101" s="2051"/>
      <c r="I101" s="2052"/>
    </row>
    <row r="102" spans="1:9" x14ac:dyDescent="0.2">
      <c r="A102" s="2037"/>
      <c r="B102" s="2019"/>
      <c r="C102" s="361"/>
      <c r="D102" s="361"/>
      <c r="E102" s="361">
        <v>278</v>
      </c>
      <c r="F102" s="414">
        <v>1210</v>
      </c>
      <c r="G102" s="711">
        <v>278</v>
      </c>
      <c r="H102" s="2051"/>
      <c r="I102" s="2052"/>
    </row>
    <row r="103" spans="1:9" x14ac:dyDescent="0.2">
      <c r="A103" s="2037"/>
      <c r="B103" s="2019"/>
      <c r="C103" s="361"/>
      <c r="D103" s="361"/>
      <c r="E103" s="361">
        <v>730</v>
      </c>
      <c r="F103" s="414">
        <v>2279</v>
      </c>
      <c r="G103" s="711">
        <v>730</v>
      </c>
      <c r="H103" s="2051"/>
      <c r="I103" s="2052"/>
    </row>
    <row r="104" spans="1:9" x14ac:dyDescent="0.2">
      <c r="A104" s="2037"/>
      <c r="B104" s="2019"/>
      <c r="C104" s="361"/>
      <c r="D104" s="361"/>
      <c r="E104" s="361">
        <v>1400</v>
      </c>
      <c r="F104" s="414">
        <v>2370</v>
      </c>
      <c r="G104" s="711">
        <v>1400</v>
      </c>
      <c r="H104" s="2051"/>
      <c r="I104" s="2052"/>
    </row>
    <row r="105" spans="1:9" x14ac:dyDescent="0.2">
      <c r="A105" s="2037"/>
      <c r="B105" s="2019"/>
      <c r="C105" s="361"/>
      <c r="D105" s="361"/>
      <c r="E105" s="361">
        <v>80</v>
      </c>
      <c r="F105" s="414">
        <v>2239</v>
      </c>
      <c r="G105" s="711">
        <v>80</v>
      </c>
      <c r="H105" s="2051"/>
      <c r="I105" s="2053"/>
    </row>
    <row r="106" spans="1:9" x14ac:dyDescent="0.2">
      <c r="A106" s="2036" t="s">
        <v>1274</v>
      </c>
      <c r="B106" s="1686" t="s">
        <v>1707</v>
      </c>
      <c r="C106" s="361"/>
      <c r="D106" s="361"/>
      <c r="E106" s="361">
        <v>770</v>
      </c>
      <c r="F106" s="414">
        <v>1150</v>
      </c>
      <c r="G106" s="711">
        <v>770</v>
      </c>
      <c r="H106" s="1696" t="s">
        <v>1708</v>
      </c>
      <c r="I106" s="2025"/>
    </row>
    <row r="107" spans="1:9" x14ac:dyDescent="0.2">
      <c r="A107" s="2037"/>
      <c r="B107" s="1721"/>
      <c r="C107" s="361"/>
      <c r="D107" s="361"/>
      <c r="E107" s="361">
        <v>173</v>
      </c>
      <c r="F107" s="414">
        <v>1210</v>
      </c>
      <c r="G107" s="711">
        <v>173</v>
      </c>
      <c r="H107" s="1696"/>
      <c r="I107" s="2026"/>
    </row>
    <row r="108" spans="1:9" x14ac:dyDescent="0.2">
      <c r="A108" s="2037"/>
      <c r="B108" s="1721"/>
      <c r="C108" s="361"/>
      <c r="D108" s="361"/>
      <c r="E108" s="361">
        <v>2405</v>
      </c>
      <c r="F108" s="414">
        <v>2314</v>
      </c>
      <c r="G108" s="711">
        <v>2405</v>
      </c>
      <c r="H108" s="1696"/>
      <c r="I108" s="2026"/>
    </row>
    <row r="109" spans="1:9" x14ac:dyDescent="0.2">
      <c r="A109" s="2037"/>
      <c r="B109" s="1721"/>
      <c r="C109" s="361"/>
      <c r="D109" s="361"/>
      <c r="E109" s="361">
        <v>300</v>
      </c>
      <c r="F109" s="414">
        <v>2264</v>
      </c>
      <c r="G109" s="711">
        <v>300</v>
      </c>
      <c r="H109" s="1696"/>
      <c r="I109" s="2026"/>
    </row>
    <row r="110" spans="1:9" x14ac:dyDescent="0.2">
      <c r="A110" s="2037"/>
      <c r="B110" s="1721"/>
      <c r="C110" s="361"/>
      <c r="D110" s="361"/>
      <c r="E110" s="361">
        <v>180</v>
      </c>
      <c r="F110" s="414">
        <v>2363</v>
      </c>
      <c r="G110" s="711">
        <v>180</v>
      </c>
      <c r="H110" s="1696"/>
      <c r="I110" s="2026"/>
    </row>
    <row r="111" spans="1:9" x14ac:dyDescent="0.2">
      <c r="A111" s="2038"/>
      <c r="B111" s="1687"/>
      <c r="C111" s="361"/>
      <c r="D111" s="361"/>
      <c r="E111" s="361">
        <v>300</v>
      </c>
      <c r="F111" s="414">
        <v>2262</v>
      </c>
      <c r="G111" s="711">
        <v>300</v>
      </c>
      <c r="H111" s="1696"/>
      <c r="I111" s="2027"/>
    </row>
    <row r="112" spans="1:9" x14ac:dyDescent="0.2">
      <c r="A112" s="2037" t="s">
        <v>1709</v>
      </c>
      <c r="B112" s="2019" t="s">
        <v>1710</v>
      </c>
      <c r="C112" s="361"/>
      <c r="D112" s="361"/>
      <c r="E112" s="361">
        <v>1616</v>
      </c>
      <c r="F112" s="414">
        <v>1150</v>
      </c>
      <c r="G112" s="711">
        <v>1616</v>
      </c>
      <c r="H112" s="1696" t="s">
        <v>1711</v>
      </c>
      <c r="I112" s="2044"/>
    </row>
    <row r="113" spans="1:9" x14ac:dyDescent="0.2">
      <c r="A113" s="2037"/>
      <c r="B113" s="2019"/>
      <c r="C113" s="361"/>
      <c r="D113" s="361"/>
      <c r="E113" s="361">
        <v>233</v>
      </c>
      <c r="F113" s="414">
        <v>1210</v>
      </c>
      <c r="G113" s="711">
        <v>233</v>
      </c>
      <c r="H113" s="1696"/>
      <c r="I113" s="2045"/>
    </row>
    <row r="114" spans="1:9" x14ac:dyDescent="0.2">
      <c r="A114" s="2037"/>
      <c r="B114" s="2019"/>
      <c r="C114" s="361"/>
      <c r="D114" s="361"/>
      <c r="E114" s="361">
        <v>80</v>
      </c>
      <c r="F114" s="414">
        <v>2363</v>
      </c>
      <c r="G114" s="711">
        <v>80</v>
      </c>
      <c r="H114" s="1696"/>
      <c r="I114" s="2045"/>
    </row>
    <row r="115" spans="1:9" x14ac:dyDescent="0.2">
      <c r="A115" s="2037"/>
      <c r="B115" s="2019"/>
      <c r="C115" s="361"/>
      <c r="D115" s="361"/>
      <c r="E115" s="361">
        <v>830</v>
      </c>
      <c r="F115" s="414">
        <v>2314</v>
      </c>
      <c r="G115" s="711">
        <v>830</v>
      </c>
      <c r="H115" s="1696"/>
      <c r="I115" s="2045"/>
    </row>
    <row r="116" spans="1:9" x14ac:dyDescent="0.2">
      <c r="A116" s="2037"/>
      <c r="B116" s="2019"/>
      <c r="C116" s="361"/>
      <c r="D116" s="361"/>
      <c r="E116" s="361">
        <v>150</v>
      </c>
      <c r="F116" s="414">
        <v>2264</v>
      </c>
      <c r="G116" s="711">
        <v>150</v>
      </c>
      <c r="H116" s="1696"/>
      <c r="I116" s="2045"/>
    </row>
    <row r="117" spans="1:9" x14ac:dyDescent="0.2">
      <c r="A117" s="2037"/>
      <c r="B117" s="2019"/>
      <c r="C117" s="361"/>
      <c r="D117" s="361"/>
      <c r="E117" s="361">
        <v>300</v>
      </c>
      <c r="F117" s="414">
        <v>2231</v>
      </c>
      <c r="G117" s="711">
        <v>300</v>
      </c>
      <c r="H117" s="1696"/>
      <c r="I117" s="2045"/>
    </row>
    <row r="118" spans="1:9" x14ac:dyDescent="0.2">
      <c r="A118" s="2038"/>
      <c r="B118" s="2018"/>
      <c r="C118" s="361"/>
      <c r="D118" s="361"/>
      <c r="E118" s="361">
        <v>40</v>
      </c>
      <c r="F118" s="414">
        <v>2311</v>
      </c>
      <c r="G118" s="711">
        <v>40</v>
      </c>
      <c r="H118" s="1696"/>
      <c r="I118" s="2046"/>
    </row>
    <row r="119" spans="1:9" ht="25.5" customHeight="1" x14ac:dyDescent="0.2">
      <c r="A119" s="728" t="s">
        <v>1712</v>
      </c>
      <c r="B119" s="707" t="s">
        <v>1713</v>
      </c>
      <c r="C119" s="729">
        <f>SUM(C120:C187)</f>
        <v>19387</v>
      </c>
      <c r="D119" s="729">
        <f>SUM(D120:D187)</f>
        <v>16640</v>
      </c>
      <c r="E119" s="729">
        <f>SUM(E120:E187)</f>
        <v>54373</v>
      </c>
      <c r="F119" s="392"/>
      <c r="G119" s="730">
        <f>SUM(G120:G187)</f>
        <v>19373</v>
      </c>
      <c r="H119" s="207"/>
      <c r="I119" s="705"/>
    </row>
    <row r="120" spans="1:9" ht="12.75" hidden="1" customHeight="1" x14ac:dyDescent="0.2">
      <c r="A120" s="2036">
        <v>40</v>
      </c>
      <c r="B120" s="2017" t="s">
        <v>1714</v>
      </c>
      <c r="C120" s="361">
        <v>80</v>
      </c>
      <c r="D120" s="720">
        <v>80</v>
      </c>
      <c r="E120" s="361"/>
      <c r="F120" s="414">
        <v>2363</v>
      </c>
      <c r="G120" s="711"/>
      <c r="H120" s="1731" t="s">
        <v>1658</v>
      </c>
      <c r="I120" s="716"/>
    </row>
    <row r="121" spans="1:9" ht="12.75" hidden="1" customHeight="1" x14ac:dyDescent="0.2">
      <c r="A121" s="2038"/>
      <c r="B121" s="2018"/>
      <c r="C121" s="361">
        <v>180</v>
      </c>
      <c r="D121" s="720">
        <v>180</v>
      </c>
      <c r="E121" s="361"/>
      <c r="F121" s="414">
        <v>2314</v>
      </c>
      <c r="G121" s="711"/>
      <c r="H121" s="1731"/>
      <c r="I121" s="716"/>
    </row>
    <row r="122" spans="1:9" ht="15.75" hidden="1" customHeight="1" x14ac:dyDescent="0.2">
      <c r="A122" s="2036">
        <v>41</v>
      </c>
      <c r="B122" s="2017" t="s">
        <v>1715</v>
      </c>
      <c r="C122" s="361">
        <v>40</v>
      </c>
      <c r="D122" s="720">
        <v>25</v>
      </c>
      <c r="E122" s="366"/>
      <c r="F122" s="414">
        <v>2322</v>
      </c>
      <c r="G122" s="711"/>
      <c r="H122" s="1731" t="s">
        <v>1685</v>
      </c>
      <c r="I122" s="716"/>
    </row>
    <row r="123" spans="1:9" ht="15.75" hidden="1" customHeight="1" x14ac:dyDescent="0.2">
      <c r="A123" s="2037"/>
      <c r="B123" s="2019"/>
      <c r="C123" s="361">
        <v>150</v>
      </c>
      <c r="D123" s="720">
        <v>150</v>
      </c>
      <c r="E123" s="361"/>
      <c r="F123" s="414">
        <v>2370</v>
      </c>
      <c r="G123" s="711"/>
      <c r="H123" s="1731"/>
      <c r="I123" s="716"/>
    </row>
    <row r="124" spans="1:9" ht="15.75" hidden="1" customHeight="1" x14ac:dyDescent="0.2">
      <c r="A124" s="2038"/>
      <c r="B124" s="2018"/>
      <c r="C124" s="361">
        <v>125</v>
      </c>
      <c r="D124" s="720">
        <v>114</v>
      </c>
      <c r="E124" s="361"/>
      <c r="F124" s="414">
        <v>2279</v>
      </c>
      <c r="G124" s="711"/>
      <c r="H124" s="1731"/>
      <c r="I124" s="716"/>
    </row>
    <row r="125" spans="1:9" ht="12.75" hidden="1" customHeight="1" x14ac:dyDescent="0.2">
      <c r="A125" s="2036">
        <v>42</v>
      </c>
      <c r="B125" s="2017" t="s">
        <v>1716</v>
      </c>
      <c r="C125" s="361">
        <v>10</v>
      </c>
      <c r="D125" s="720">
        <v>10</v>
      </c>
      <c r="E125" s="361"/>
      <c r="F125" s="414">
        <v>2279</v>
      </c>
      <c r="G125" s="711"/>
      <c r="H125" s="1731" t="s">
        <v>1658</v>
      </c>
      <c r="I125" s="716"/>
    </row>
    <row r="126" spans="1:9" ht="12.75" hidden="1" customHeight="1" x14ac:dyDescent="0.2">
      <c r="A126" s="2038"/>
      <c r="B126" s="2018"/>
      <c r="C126" s="361">
        <v>200</v>
      </c>
      <c r="D126" s="720">
        <v>190</v>
      </c>
      <c r="E126" s="361"/>
      <c r="F126" s="414">
        <v>2262</v>
      </c>
      <c r="G126" s="711"/>
      <c r="H126" s="1731"/>
      <c r="I126" s="716"/>
    </row>
    <row r="127" spans="1:9" ht="26.25" hidden="1" customHeight="1" x14ac:dyDescent="0.2">
      <c r="A127" s="390">
        <v>43</v>
      </c>
      <c r="B127" s="717" t="s">
        <v>1717</v>
      </c>
      <c r="C127" s="361">
        <v>200</v>
      </c>
      <c r="D127" s="720">
        <v>0</v>
      </c>
      <c r="E127" s="361"/>
      <c r="F127" s="414">
        <v>2262</v>
      </c>
      <c r="G127" s="711"/>
      <c r="H127" s="1436" t="s">
        <v>1718</v>
      </c>
      <c r="I127" s="716"/>
    </row>
    <row r="128" spans="1:9" ht="12.75" hidden="1" customHeight="1" x14ac:dyDescent="0.2">
      <c r="A128" s="2036">
        <v>44</v>
      </c>
      <c r="B128" s="2017" t="s">
        <v>1719</v>
      </c>
      <c r="C128" s="361">
        <v>200</v>
      </c>
      <c r="D128" s="720">
        <v>182</v>
      </c>
      <c r="E128" s="361"/>
      <c r="F128" s="414">
        <v>2262</v>
      </c>
      <c r="G128" s="711"/>
      <c r="H128" s="1731" t="s">
        <v>1658</v>
      </c>
      <c r="I128" s="716"/>
    </row>
    <row r="129" spans="1:9" ht="12.75" hidden="1" customHeight="1" x14ac:dyDescent="0.2">
      <c r="A129" s="2038"/>
      <c r="B129" s="2018"/>
      <c r="C129" s="361">
        <v>0</v>
      </c>
      <c r="D129" s="720">
        <v>0</v>
      </c>
      <c r="E129" s="361"/>
      <c r="F129" s="414">
        <v>2279</v>
      </c>
      <c r="G129" s="711"/>
      <c r="H129" s="1731"/>
      <c r="I129" s="716"/>
    </row>
    <row r="130" spans="1:9" ht="12.75" hidden="1" customHeight="1" x14ac:dyDescent="0.2">
      <c r="A130" s="2036">
        <v>45</v>
      </c>
      <c r="B130" s="2017" t="s">
        <v>1720</v>
      </c>
      <c r="C130" s="361">
        <v>400</v>
      </c>
      <c r="D130" s="720">
        <v>400</v>
      </c>
      <c r="E130" s="361"/>
      <c r="F130" s="414">
        <v>2262</v>
      </c>
      <c r="G130" s="711"/>
      <c r="H130" s="1731" t="s">
        <v>1658</v>
      </c>
      <c r="I130" s="716"/>
    </row>
    <row r="131" spans="1:9" ht="12.75" hidden="1" customHeight="1" x14ac:dyDescent="0.2">
      <c r="A131" s="2038"/>
      <c r="B131" s="2018"/>
      <c r="C131" s="361">
        <v>0</v>
      </c>
      <c r="D131" s="720">
        <v>0</v>
      </c>
      <c r="E131" s="361"/>
      <c r="F131" s="414">
        <v>2279</v>
      </c>
      <c r="G131" s="711"/>
      <c r="H131" s="1731"/>
      <c r="I131" s="716"/>
    </row>
    <row r="132" spans="1:9" ht="12.75" hidden="1" customHeight="1" x14ac:dyDescent="0.2">
      <c r="A132" s="2036">
        <v>46</v>
      </c>
      <c r="B132" s="2017" t="s">
        <v>1721</v>
      </c>
      <c r="C132" s="361">
        <v>1000</v>
      </c>
      <c r="D132" s="720">
        <v>664</v>
      </c>
      <c r="E132" s="361"/>
      <c r="F132" s="414">
        <v>2262</v>
      </c>
      <c r="G132" s="711"/>
      <c r="H132" s="1731" t="s">
        <v>1718</v>
      </c>
      <c r="I132" s="716"/>
    </row>
    <row r="133" spans="1:9" ht="12.75" hidden="1" customHeight="1" x14ac:dyDescent="0.2">
      <c r="A133" s="2037"/>
      <c r="B133" s="2019"/>
      <c r="C133" s="361">
        <v>0</v>
      </c>
      <c r="D133" s="720">
        <v>0</v>
      </c>
      <c r="E133" s="361"/>
      <c r="F133" s="414">
        <v>2322</v>
      </c>
      <c r="G133" s="711"/>
      <c r="H133" s="1731"/>
      <c r="I133" s="716"/>
    </row>
    <row r="134" spans="1:9" ht="12.75" hidden="1" customHeight="1" x14ac:dyDescent="0.2">
      <c r="A134" s="2037"/>
      <c r="B134" s="2019"/>
      <c r="C134" s="361">
        <v>120</v>
      </c>
      <c r="D134" s="720">
        <v>30</v>
      </c>
      <c r="E134" s="361"/>
      <c r="F134" s="414">
        <v>2279</v>
      </c>
      <c r="G134" s="711"/>
      <c r="H134" s="1731"/>
      <c r="I134" s="716"/>
    </row>
    <row r="135" spans="1:9" ht="12.75" hidden="1" customHeight="1" x14ac:dyDescent="0.2">
      <c r="A135" s="2038"/>
      <c r="B135" s="2018"/>
      <c r="C135" s="361">
        <v>500</v>
      </c>
      <c r="D135" s="720">
        <v>233</v>
      </c>
      <c r="E135" s="361"/>
      <c r="F135" s="414">
        <v>2363</v>
      </c>
      <c r="G135" s="711"/>
      <c r="H135" s="1731"/>
      <c r="I135" s="716"/>
    </row>
    <row r="136" spans="1:9" ht="12.75" hidden="1" customHeight="1" x14ac:dyDescent="0.2">
      <c r="A136" s="2036">
        <v>47</v>
      </c>
      <c r="B136" s="2017" t="s">
        <v>1722</v>
      </c>
      <c r="C136" s="361">
        <v>250</v>
      </c>
      <c r="D136" s="720">
        <v>250</v>
      </c>
      <c r="E136" s="361"/>
      <c r="F136" s="414">
        <v>2363</v>
      </c>
      <c r="G136" s="711"/>
      <c r="H136" s="1731" t="s">
        <v>1658</v>
      </c>
      <c r="I136" s="716"/>
    </row>
    <row r="137" spans="1:9" ht="12.75" hidden="1" customHeight="1" x14ac:dyDescent="0.2">
      <c r="A137" s="2037"/>
      <c r="B137" s="2019"/>
      <c r="C137" s="361">
        <v>350</v>
      </c>
      <c r="D137" s="720">
        <v>350</v>
      </c>
      <c r="E137" s="361"/>
      <c r="F137" s="414">
        <v>2314</v>
      </c>
      <c r="G137" s="711"/>
      <c r="H137" s="1731"/>
      <c r="I137" s="731"/>
    </row>
    <row r="138" spans="1:9" ht="12.75" hidden="1" customHeight="1" x14ac:dyDescent="0.2">
      <c r="A138" s="2037"/>
      <c r="B138" s="2019"/>
      <c r="C138" s="361">
        <v>420</v>
      </c>
      <c r="D138" s="720">
        <v>420</v>
      </c>
      <c r="E138" s="361"/>
      <c r="F138" s="414">
        <v>1150</v>
      </c>
      <c r="G138" s="711"/>
      <c r="H138" s="1731"/>
      <c r="I138" s="731"/>
    </row>
    <row r="139" spans="1:9" ht="12.75" hidden="1" customHeight="1" x14ac:dyDescent="0.2">
      <c r="A139" s="2038"/>
      <c r="B139" s="2018"/>
      <c r="C139" s="361">
        <v>102</v>
      </c>
      <c r="D139" s="720">
        <v>102</v>
      </c>
      <c r="E139" s="361"/>
      <c r="F139" s="414">
        <v>1210</v>
      </c>
      <c r="G139" s="711"/>
      <c r="H139" s="1731"/>
      <c r="I139" s="731"/>
    </row>
    <row r="140" spans="1:9" ht="12.75" hidden="1" customHeight="1" x14ac:dyDescent="0.2">
      <c r="A140" s="2036">
        <v>48</v>
      </c>
      <c r="B140" s="2017" t="s">
        <v>1723</v>
      </c>
      <c r="C140" s="361">
        <v>900</v>
      </c>
      <c r="D140" s="720">
        <v>900</v>
      </c>
      <c r="E140" s="361"/>
      <c r="F140" s="414">
        <v>2262</v>
      </c>
      <c r="G140" s="711"/>
      <c r="H140" s="1731" t="s">
        <v>1724</v>
      </c>
      <c r="I140" s="731"/>
    </row>
    <row r="141" spans="1:9" ht="12.75" hidden="1" customHeight="1" x14ac:dyDescent="0.2">
      <c r="A141" s="2037"/>
      <c r="B141" s="2019"/>
      <c r="C141" s="360">
        <v>875</v>
      </c>
      <c r="D141" s="732">
        <v>432</v>
      </c>
      <c r="E141" s="361"/>
      <c r="F141" s="414">
        <v>2363</v>
      </c>
      <c r="G141" s="733"/>
      <c r="H141" s="1731"/>
      <c r="I141" s="731"/>
    </row>
    <row r="142" spans="1:9" ht="10.5" hidden="1" customHeight="1" x14ac:dyDescent="0.2">
      <c r="A142" s="2037"/>
      <c r="B142" s="2019"/>
      <c r="C142" s="360">
        <v>160</v>
      </c>
      <c r="D142" s="732">
        <v>0</v>
      </c>
      <c r="E142" s="361"/>
      <c r="F142" s="414">
        <v>2231</v>
      </c>
      <c r="G142" s="733"/>
      <c r="H142" s="1731"/>
      <c r="I142" s="731"/>
    </row>
    <row r="143" spans="1:9" ht="12.75" hidden="1" customHeight="1" x14ac:dyDescent="0.2">
      <c r="A143" s="2038"/>
      <c r="B143" s="2018"/>
      <c r="C143" s="360">
        <v>60</v>
      </c>
      <c r="D143" s="732">
        <v>0</v>
      </c>
      <c r="E143" s="361"/>
      <c r="F143" s="414">
        <v>2279</v>
      </c>
      <c r="G143" s="733"/>
      <c r="H143" s="1731"/>
      <c r="I143" s="731"/>
    </row>
    <row r="144" spans="1:9" ht="15" hidden="1" customHeight="1" x14ac:dyDescent="0.2">
      <c r="A144" s="2036">
        <v>49</v>
      </c>
      <c r="B144" s="2017" t="s">
        <v>1725</v>
      </c>
      <c r="C144" s="360">
        <v>900</v>
      </c>
      <c r="D144" s="732">
        <v>898</v>
      </c>
      <c r="E144" s="361"/>
      <c r="F144" s="414">
        <v>2262</v>
      </c>
      <c r="G144" s="733"/>
      <c r="H144" s="1731" t="s">
        <v>1726</v>
      </c>
      <c r="I144" s="731"/>
    </row>
    <row r="145" spans="1:9" ht="12.75" hidden="1" customHeight="1" x14ac:dyDescent="0.2">
      <c r="A145" s="2037"/>
      <c r="B145" s="2019"/>
      <c r="C145" s="360">
        <v>680</v>
      </c>
      <c r="D145" s="732">
        <v>200</v>
      </c>
      <c r="E145" s="361"/>
      <c r="F145" s="414">
        <v>2363</v>
      </c>
      <c r="G145" s="733"/>
      <c r="H145" s="1731"/>
      <c r="I145" s="731"/>
    </row>
    <row r="146" spans="1:9" ht="12.75" hidden="1" customHeight="1" x14ac:dyDescent="0.2">
      <c r="A146" s="2037"/>
      <c r="B146" s="2019"/>
      <c r="C146" s="360">
        <v>80</v>
      </c>
      <c r="D146" s="732">
        <v>40</v>
      </c>
      <c r="E146" s="361"/>
      <c r="F146" s="414">
        <v>2279</v>
      </c>
      <c r="G146" s="733"/>
      <c r="H146" s="1731"/>
      <c r="I146" s="731"/>
    </row>
    <row r="147" spans="1:9" ht="13.5" hidden="1" customHeight="1" x14ac:dyDescent="0.2">
      <c r="A147" s="2038"/>
      <c r="B147" s="2018"/>
      <c r="C147" s="360">
        <v>120</v>
      </c>
      <c r="D147" s="732">
        <v>0</v>
      </c>
      <c r="E147" s="361"/>
      <c r="F147" s="414">
        <v>2231</v>
      </c>
      <c r="G147" s="733"/>
      <c r="H147" s="1731"/>
      <c r="I147" s="731"/>
    </row>
    <row r="148" spans="1:9" ht="12.75" hidden="1" customHeight="1" x14ac:dyDescent="0.2">
      <c r="A148" s="2036">
        <v>50</v>
      </c>
      <c r="B148" s="2017" t="s">
        <v>1727</v>
      </c>
      <c r="C148" s="360">
        <v>761</v>
      </c>
      <c r="D148" s="732">
        <v>760</v>
      </c>
      <c r="E148" s="361"/>
      <c r="F148" s="414">
        <v>1150</v>
      </c>
      <c r="G148" s="733"/>
      <c r="H148" s="1731" t="s">
        <v>1728</v>
      </c>
      <c r="I148" s="731"/>
    </row>
    <row r="149" spans="1:9" ht="12.75" hidden="1" customHeight="1" x14ac:dyDescent="0.2">
      <c r="A149" s="2037"/>
      <c r="B149" s="2019"/>
      <c r="C149" s="360">
        <v>39</v>
      </c>
      <c r="D149" s="732">
        <v>21</v>
      </c>
      <c r="E149" s="361"/>
      <c r="F149" s="414">
        <v>1210</v>
      </c>
      <c r="G149" s="733"/>
      <c r="H149" s="1731"/>
      <c r="I149" s="731"/>
    </row>
    <row r="150" spans="1:9" ht="15" hidden="1" customHeight="1" x14ac:dyDescent="0.2">
      <c r="A150" s="2037"/>
      <c r="B150" s="2019"/>
      <c r="C150" s="360">
        <v>160</v>
      </c>
      <c r="D150" s="732">
        <v>160</v>
      </c>
      <c r="E150" s="361"/>
      <c r="F150" s="414">
        <v>2219</v>
      </c>
      <c r="G150" s="733"/>
      <c r="H150" s="1731"/>
      <c r="I150" s="731"/>
    </row>
    <row r="151" spans="1:9" ht="12.75" hidden="1" customHeight="1" x14ac:dyDescent="0.2">
      <c r="A151" s="2037"/>
      <c r="B151" s="2019"/>
      <c r="C151" s="360">
        <v>100</v>
      </c>
      <c r="D151" s="732">
        <v>100</v>
      </c>
      <c r="E151" s="361"/>
      <c r="F151" s="414">
        <v>2279</v>
      </c>
      <c r="G151" s="733"/>
      <c r="H151" s="1731"/>
      <c r="I151" s="731"/>
    </row>
    <row r="152" spans="1:9" ht="12.75" hidden="1" customHeight="1" x14ac:dyDescent="0.2">
      <c r="A152" s="2037"/>
      <c r="B152" s="2019"/>
      <c r="C152" s="360">
        <v>100</v>
      </c>
      <c r="D152" s="732">
        <v>100</v>
      </c>
      <c r="E152" s="361"/>
      <c r="F152" s="414">
        <v>2311</v>
      </c>
      <c r="G152" s="733"/>
      <c r="H152" s="1731"/>
      <c r="I152" s="731"/>
    </row>
    <row r="153" spans="1:9" ht="14.25" hidden="1" customHeight="1" x14ac:dyDescent="0.2">
      <c r="A153" s="2037"/>
      <c r="B153" s="2019"/>
      <c r="C153" s="360">
        <v>1100</v>
      </c>
      <c r="D153" s="732">
        <v>1100</v>
      </c>
      <c r="E153" s="361"/>
      <c r="F153" s="414">
        <v>2314</v>
      </c>
      <c r="G153" s="733"/>
      <c r="H153" s="1731"/>
      <c r="I153" s="731"/>
    </row>
    <row r="154" spans="1:9" ht="11.25" hidden="1" customHeight="1" x14ac:dyDescent="0.2">
      <c r="A154" s="2037"/>
      <c r="B154" s="2019"/>
      <c r="C154" s="360">
        <v>300</v>
      </c>
      <c r="D154" s="732">
        <v>300</v>
      </c>
      <c r="E154" s="361"/>
      <c r="F154" s="414">
        <v>2231</v>
      </c>
      <c r="G154" s="733"/>
      <c r="H154" s="1731"/>
      <c r="I154" s="731"/>
    </row>
    <row r="155" spans="1:9" ht="12.75" hidden="1" customHeight="1" x14ac:dyDescent="0.2">
      <c r="A155" s="2038"/>
      <c r="B155" s="2018"/>
      <c r="C155" s="360">
        <v>1000</v>
      </c>
      <c r="D155" s="732">
        <v>1000</v>
      </c>
      <c r="E155" s="361"/>
      <c r="F155" s="414">
        <v>2314</v>
      </c>
      <c r="G155" s="733"/>
      <c r="H155" s="1731"/>
      <c r="I155" s="731"/>
    </row>
    <row r="156" spans="1:9" ht="12" hidden="1" customHeight="1" x14ac:dyDescent="0.2">
      <c r="A156" s="2036">
        <v>51</v>
      </c>
      <c r="B156" s="2041" t="s">
        <v>1729</v>
      </c>
      <c r="C156" s="360">
        <v>2942</v>
      </c>
      <c r="D156" s="732">
        <v>2942</v>
      </c>
      <c r="E156" s="361"/>
      <c r="F156" s="414">
        <v>1150</v>
      </c>
      <c r="G156" s="733"/>
      <c r="H156" s="1731" t="s">
        <v>1728</v>
      </c>
      <c r="I156" s="731"/>
    </row>
    <row r="157" spans="1:9" ht="12.75" hidden="1" customHeight="1" x14ac:dyDescent="0.2">
      <c r="A157" s="2037"/>
      <c r="B157" s="2042"/>
      <c r="C157" s="360">
        <v>148</v>
      </c>
      <c r="D157" s="732">
        <v>89</v>
      </c>
      <c r="E157" s="361"/>
      <c r="F157" s="414">
        <v>1210</v>
      </c>
      <c r="G157" s="733"/>
      <c r="H157" s="1731"/>
      <c r="I157" s="731"/>
    </row>
    <row r="158" spans="1:9" ht="14.25" hidden="1" customHeight="1" x14ac:dyDescent="0.2">
      <c r="A158" s="2037"/>
      <c r="B158" s="2042"/>
      <c r="C158" s="360">
        <v>375</v>
      </c>
      <c r="D158" s="732">
        <v>375</v>
      </c>
      <c r="E158" s="361"/>
      <c r="F158" s="414">
        <v>2314</v>
      </c>
      <c r="G158" s="733"/>
      <c r="H158" s="1731"/>
      <c r="I158" s="731"/>
    </row>
    <row r="159" spans="1:9" ht="12.75" hidden="1" customHeight="1" x14ac:dyDescent="0.2">
      <c r="A159" s="2037"/>
      <c r="B159" s="2042"/>
      <c r="C159" s="360">
        <v>2000</v>
      </c>
      <c r="D159" s="732">
        <v>2000</v>
      </c>
      <c r="E159" s="361"/>
      <c r="F159" s="414">
        <v>6422</v>
      </c>
      <c r="G159" s="733"/>
      <c r="H159" s="1731"/>
      <c r="I159" s="731"/>
    </row>
    <row r="160" spans="1:9" ht="15" hidden="1" customHeight="1" x14ac:dyDescent="0.2">
      <c r="A160" s="2038"/>
      <c r="B160" s="2043"/>
      <c r="C160" s="734">
        <v>625</v>
      </c>
      <c r="D160" s="735">
        <v>600</v>
      </c>
      <c r="E160" s="361"/>
      <c r="F160" s="414">
        <v>2231</v>
      </c>
      <c r="G160" s="733"/>
      <c r="H160" s="1731"/>
      <c r="I160" s="731"/>
    </row>
    <row r="161" spans="1:9" ht="60" hidden="1" x14ac:dyDescent="0.2">
      <c r="A161" s="390">
        <v>52</v>
      </c>
      <c r="B161" s="717" t="s">
        <v>1730</v>
      </c>
      <c r="C161" s="736">
        <v>150</v>
      </c>
      <c r="D161" s="737">
        <v>150</v>
      </c>
      <c r="E161" s="361"/>
      <c r="F161" s="414">
        <v>2314</v>
      </c>
      <c r="G161" s="733"/>
      <c r="H161" s="1436" t="s">
        <v>1685</v>
      </c>
      <c r="I161" s="731"/>
    </row>
    <row r="162" spans="1:9" ht="13.5" hidden="1" customHeight="1" x14ac:dyDescent="0.2">
      <c r="A162" s="2036">
        <v>53</v>
      </c>
      <c r="B162" s="2017" t="s">
        <v>1731</v>
      </c>
      <c r="C162" s="360">
        <v>236</v>
      </c>
      <c r="D162" s="732">
        <v>0</v>
      </c>
      <c r="E162" s="361"/>
      <c r="F162" s="414">
        <v>1150</v>
      </c>
      <c r="G162" s="733"/>
      <c r="H162" s="1731" t="s">
        <v>1685</v>
      </c>
      <c r="I162" s="731"/>
    </row>
    <row r="163" spans="1:9" ht="13.5" hidden="1" customHeight="1" x14ac:dyDescent="0.2">
      <c r="A163" s="2037"/>
      <c r="B163" s="2019"/>
      <c r="C163" s="360">
        <v>56</v>
      </c>
      <c r="D163" s="732">
        <v>0</v>
      </c>
      <c r="E163" s="361"/>
      <c r="F163" s="414">
        <v>1210</v>
      </c>
      <c r="G163" s="733"/>
      <c r="H163" s="1731"/>
      <c r="I163" s="731"/>
    </row>
    <row r="164" spans="1:9" ht="13.5" hidden="1" customHeight="1" x14ac:dyDescent="0.2">
      <c r="A164" s="2038"/>
      <c r="B164" s="2018"/>
      <c r="C164" s="360">
        <v>100</v>
      </c>
      <c r="D164" s="732">
        <v>0</v>
      </c>
      <c r="E164" s="361"/>
      <c r="F164" s="414">
        <v>2314</v>
      </c>
      <c r="G164" s="733"/>
      <c r="H164" s="1731"/>
      <c r="I164" s="731"/>
    </row>
    <row r="165" spans="1:9" ht="12.75" hidden="1" customHeight="1" x14ac:dyDescent="0.2">
      <c r="A165" s="2036">
        <v>54</v>
      </c>
      <c r="B165" s="2017" t="s">
        <v>1732</v>
      </c>
      <c r="C165" s="360">
        <v>236</v>
      </c>
      <c r="D165" s="732">
        <v>236</v>
      </c>
      <c r="E165" s="361"/>
      <c r="F165" s="414">
        <v>1150</v>
      </c>
      <c r="G165" s="733"/>
      <c r="H165" s="1731" t="s">
        <v>1685</v>
      </c>
      <c r="I165" s="731"/>
    </row>
    <row r="166" spans="1:9" ht="12.75" hidden="1" customHeight="1" x14ac:dyDescent="0.2">
      <c r="A166" s="2037"/>
      <c r="B166" s="2018"/>
      <c r="C166" s="360">
        <v>57</v>
      </c>
      <c r="D166" s="732">
        <v>57</v>
      </c>
      <c r="E166" s="361"/>
      <c r="F166" s="414">
        <v>1210</v>
      </c>
      <c r="G166" s="733"/>
      <c r="H166" s="1731"/>
      <c r="I166" s="731"/>
    </row>
    <row r="167" spans="1:9" ht="30" hidden="1" customHeight="1" x14ac:dyDescent="0.2">
      <c r="A167" s="718">
        <v>55</v>
      </c>
      <c r="B167" s="717" t="s">
        <v>1733</v>
      </c>
      <c r="C167" s="360">
        <v>400</v>
      </c>
      <c r="D167" s="732">
        <v>400</v>
      </c>
      <c r="E167" s="361"/>
      <c r="F167" s="414">
        <v>2314</v>
      </c>
      <c r="G167" s="733"/>
      <c r="H167" s="1433"/>
      <c r="I167" s="739"/>
    </row>
    <row r="168" spans="1:9" ht="12.75" hidden="1" customHeight="1" x14ac:dyDescent="0.2">
      <c r="A168" s="2036">
        <v>56</v>
      </c>
      <c r="B168" s="2039" t="s">
        <v>1734</v>
      </c>
      <c r="C168" s="360">
        <v>200</v>
      </c>
      <c r="D168" s="732">
        <v>200</v>
      </c>
      <c r="E168" s="361"/>
      <c r="F168" s="414">
        <v>2279</v>
      </c>
      <c r="G168" s="733"/>
      <c r="H168" s="1731" t="s">
        <v>1685</v>
      </c>
      <c r="I168" s="740"/>
    </row>
    <row r="169" spans="1:9" ht="12.75" hidden="1" customHeight="1" x14ac:dyDescent="0.2">
      <c r="A169" s="2038"/>
      <c r="B169" s="2040"/>
      <c r="C169" s="360">
        <v>200</v>
      </c>
      <c r="D169" s="732">
        <v>200</v>
      </c>
      <c r="E169" s="361"/>
      <c r="F169" s="414">
        <v>2314</v>
      </c>
      <c r="G169" s="733"/>
      <c r="H169" s="1731"/>
    </row>
    <row r="170" spans="1:9" x14ac:dyDescent="0.2">
      <c r="A170" s="2028" t="s">
        <v>1735</v>
      </c>
      <c r="B170" s="2029" t="s">
        <v>1736</v>
      </c>
      <c r="C170" s="742"/>
      <c r="D170" s="743"/>
      <c r="E170" s="366">
        <v>160</v>
      </c>
      <c r="F170" s="392">
        <v>2363</v>
      </c>
      <c r="G170" s="1186">
        <v>160</v>
      </c>
      <c r="H170" s="1696" t="s">
        <v>1737</v>
      </c>
      <c r="I170" s="2030"/>
    </row>
    <row r="171" spans="1:9" x14ac:dyDescent="0.2">
      <c r="A171" s="2028"/>
      <c r="B171" s="2029"/>
      <c r="C171" s="742"/>
      <c r="D171" s="743"/>
      <c r="E171" s="366">
        <v>4055</v>
      </c>
      <c r="F171" s="392">
        <v>2314</v>
      </c>
      <c r="G171" s="1186">
        <v>4055</v>
      </c>
      <c r="H171" s="1696"/>
      <c r="I171" s="2031"/>
    </row>
    <row r="172" spans="1:9" x14ac:dyDescent="0.2">
      <c r="A172" s="2028"/>
      <c r="B172" s="2029"/>
      <c r="C172" s="742"/>
      <c r="D172" s="743"/>
      <c r="E172" s="366">
        <v>60</v>
      </c>
      <c r="F172" s="392">
        <v>2322</v>
      </c>
      <c r="G172" s="1186">
        <v>60</v>
      </c>
      <c r="H172" s="1696"/>
      <c r="I172" s="2031"/>
    </row>
    <row r="173" spans="1:9" x14ac:dyDescent="0.2">
      <c r="A173" s="2028"/>
      <c r="B173" s="2029"/>
      <c r="C173" s="742"/>
      <c r="D173" s="743"/>
      <c r="E173" s="366">
        <v>150</v>
      </c>
      <c r="F173" s="392">
        <v>2370</v>
      </c>
      <c r="G173" s="1186">
        <v>150</v>
      </c>
      <c r="H173" s="1696"/>
      <c r="I173" s="2031"/>
    </row>
    <row r="174" spans="1:9" x14ac:dyDescent="0.2">
      <c r="A174" s="2028"/>
      <c r="B174" s="2029"/>
      <c r="C174" s="742"/>
      <c r="D174" s="743"/>
      <c r="E174" s="366">
        <v>360</v>
      </c>
      <c r="F174" s="392">
        <v>2279</v>
      </c>
      <c r="G174" s="1186">
        <v>360</v>
      </c>
      <c r="H174" s="1696"/>
      <c r="I174" s="2031"/>
    </row>
    <row r="175" spans="1:9" x14ac:dyDescent="0.2">
      <c r="A175" s="2028"/>
      <c r="B175" s="2029"/>
      <c r="C175" s="742"/>
      <c r="D175" s="743"/>
      <c r="E175" s="366">
        <v>2425</v>
      </c>
      <c r="F175" s="392">
        <v>2262</v>
      </c>
      <c r="G175" s="1186">
        <v>2425</v>
      </c>
      <c r="H175" s="1696"/>
      <c r="I175" s="2031"/>
    </row>
    <row r="176" spans="1:9" x14ac:dyDescent="0.2">
      <c r="A176" s="2028"/>
      <c r="B176" s="2029"/>
      <c r="C176" s="742"/>
      <c r="D176" s="743"/>
      <c r="E176" s="366">
        <v>3942</v>
      </c>
      <c r="F176" s="392">
        <v>1150</v>
      </c>
      <c r="G176" s="1186">
        <v>3942</v>
      </c>
      <c r="H176" s="1696"/>
      <c r="I176" s="2031"/>
    </row>
    <row r="177" spans="1:9" x14ac:dyDescent="0.2">
      <c r="A177" s="2028"/>
      <c r="B177" s="2029"/>
      <c r="C177" s="742"/>
      <c r="D177" s="743"/>
      <c r="E177" s="366">
        <v>236</v>
      </c>
      <c r="F177" s="392">
        <v>1210</v>
      </c>
      <c r="G177" s="1186">
        <v>236</v>
      </c>
      <c r="H177" s="1696"/>
      <c r="I177" s="2031"/>
    </row>
    <row r="178" spans="1:9" x14ac:dyDescent="0.2">
      <c r="A178" s="2028"/>
      <c r="B178" s="2029"/>
      <c r="C178" s="742"/>
      <c r="D178" s="743"/>
      <c r="E178" s="366">
        <v>250</v>
      </c>
      <c r="F178" s="392">
        <v>2219</v>
      </c>
      <c r="G178" s="1186">
        <v>250</v>
      </c>
      <c r="H178" s="1696"/>
      <c r="I178" s="2031"/>
    </row>
    <row r="179" spans="1:9" x14ac:dyDescent="0.2">
      <c r="A179" s="2028"/>
      <c r="B179" s="2029"/>
      <c r="C179" s="742"/>
      <c r="D179" s="743"/>
      <c r="E179" s="366">
        <v>100</v>
      </c>
      <c r="F179" s="392">
        <v>2311</v>
      </c>
      <c r="G179" s="1186">
        <v>100</v>
      </c>
      <c r="H179" s="1696"/>
      <c r="I179" s="2031"/>
    </row>
    <row r="180" spans="1:9" x14ac:dyDescent="0.2">
      <c r="A180" s="2028"/>
      <c r="B180" s="2029"/>
      <c r="C180" s="742"/>
      <c r="D180" s="743"/>
      <c r="E180" s="366">
        <v>925</v>
      </c>
      <c r="F180" s="392">
        <v>2231</v>
      </c>
      <c r="G180" s="1186">
        <v>925</v>
      </c>
      <c r="H180" s="1696"/>
      <c r="I180" s="2031"/>
    </row>
    <row r="181" spans="1:9" x14ac:dyDescent="0.2">
      <c r="A181" s="2028"/>
      <c r="B181" s="2029"/>
      <c r="C181" s="742"/>
      <c r="D181" s="743"/>
      <c r="E181" s="366">
        <v>2000</v>
      </c>
      <c r="F181" s="392">
        <v>6422</v>
      </c>
      <c r="G181" s="1186">
        <v>2000</v>
      </c>
      <c r="H181" s="1696"/>
      <c r="I181" s="2032"/>
    </row>
    <row r="182" spans="1:9" x14ac:dyDescent="0.2">
      <c r="A182" s="2028" t="s">
        <v>1738</v>
      </c>
      <c r="B182" s="2029" t="s">
        <v>1705</v>
      </c>
      <c r="C182" s="742"/>
      <c r="D182" s="743"/>
      <c r="E182" s="366">
        <v>2600</v>
      </c>
      <c r="F182" s="392">
        <v>2262</v>
      </c>
      <c r="G182" s="1186">
        <v>2600</v>
      </c>
      <c r="H182" s="1696" t="s">
        <v>1739</v>
      </c>
      <c r="I182" s="2033"/>
    </row>
    <row r="183" spans="1:9" x14ac:dyDescent="0.2">
      <c r="A183" s="2028"/>
      <c r="B183" s="2029"/>
      <c r="C183" s="742"/>
      <c r="D183" s="743"/>
      <c r="E183" s="366">
        <v>1260</v>
      </c>
      <c r="F183" s="392">
        <v>2363</v>
      </c>
      <c r="G183" s="1186">
        <v>1260</v>
      </c>
      <c r="H183" s="1696"/>
      <c r="I183" s="2034"/>
    </row>
    <row r="184" spans="1:9" x14ac:dyDescent="0.2">
      <c r="A184" s="2028"/>
      <c r="B184" s="2029"/>
      <c r="C184" s="742"/>
      <c r="D184" s="743"/>
      <c r="E184" s="366">
        <v>35490</v>
      </c>
      <c r="F184" s="392">
        <v>2279</v>
      </c>
      <c r="G184" s="1186">
        <v>490</v>
      </c>
      <c r="H184" s="1696"/>
      <c r="I184" s="2034"/>
    </row>
    <row r="185" spans="1:9" x14ac:dyDescent="0.2">
      <c r="A185" s="2028"/>
      <c r="B185" s="2029"/>
      <c r="C185" s="742"/>
      <c r="D185" s="743"/>
      <c r="E185" s="366">
        <v>300</v>
      </c>
      <c r="F185" s="392">
        <v>2314</v>
      </c>
      <c r="G185" s="1186">
        <v>300</v>
      </c>
      <c r="H185" s="1696"/>
      <c r="I185" s="2034"/>
    </row>
    <row r="186" spans="1:9" x14ac:dyDescent="0.2">
      <c r="A186" s="2028"/>
      <c r="B186" s="2029"/>
      <c r="C186" s="742"/>
      <c r="D186" s="743"/>
      <c r="E186" s="366">
        <v>60</v>
      </c>
      <c r="F186" s="392">
        <v>2231</v>
      </c>
      <c r="G186" s="1186">
        <v>60</v>
      </c>
      <c r="H186" s="1696"/>
      <c r="I186" s="2035"/>
    </row>
    <row r="187" spans="1:9" ht="12.75" hidden="1" customHeight="1" x14ac:dyDescent="0.2">
      <c r="A187" s="745"/>
      <c r="B187" s="746"/>
      <c r="C187" s="742"/>
      <c r="D187" s="743"/>
      <c r="E187" s="366"/>
      <c r="F187" s="392"/>
      <c r="G187" s="744"/>
      <c r="H187" s="738"/>
      <c r="I187" s="332"/>
    </row>
    <row r="188" spans="1:9" ht="15" hidden="1" customHeight="1" x14ac:dyDescent="0.2">
      <c r="A188" s="728">
        <v>3</v>
      </c>
      <c r="B188" s="747" t="s">
        <v>1740</v>
      </c>
      <c r="C188" s="729">
        <f>SUM(C189)</f>
        <v>600</v>
      </c>
      <c r="D188" s="748">
        <f>SUM(D189)</f>
        <v>550</v>
      </c>
      <c r="E188" s="729">
        <f>SUM(E189)</f>
        <v>0</v>
      </c>
      <c r="F188" s="392"/>
      <c r="G188" s="749">
        <f>SUM(G189)</f>
        <v>0</v>
      </c>
      <c r="H188" s="750"/>
      <c r="I188" s="751"/>
    </row>
    <row r="189" spans="1:9" ht="30" hidden="1" customHeight="1" x14ac:dyDescent="0.2">
      <c r="A189" s="390">
        <v>57</v>
      </c>
      <c r="B189" s="717" t="s">
        <v>1741</v>
      </c>
      <c r="C189" s="360">
        <v>600</v>
      </c>
      <c r="D189" s="732">
        <v>550</v>
      </c>
      <c r="E189" s="361"/>
      <c r="F189" s="414">
        <v>2262</v>
      </c>
      <c r="G189" s="733"/>
      <c r="H189" s="379" t="s">
        <v>1724</v>
      </c>
      <c r="I189" s="752"/>
    </row>
    <row r="190" spans="1:9" x14ac:dyDescent="0.2">
      <c r="A190" s="395"/>
      <c r="B190" s="395"/>
      <c r="C190" s="395"/>
      <c r="D190" s="753"/>
      <c r="E190" s="753"/>
      <c r="F190" s="753"/>
      <c r="G190" s="753"/>
      <c r="H190" s="324"/>
      <c r="I190" s="325"/>
    </row>
    <row r="191" spans="1:9" x14ac:dyDescent="0.2">
      <c r="A191" s="1692" t="s">
        <v>129</v>
      </c>
      <c r="B191" s="1692"/>
      <c r="C191" s="1750" t="s">
        <v>1742</v>
      </c>
      <c r="D191" s="1750"/>
      <c r="E191" s="1750"/>
      <c r="F191" s="1750"/>
      <c r="G191" s="1750"/>
      <c r="H191" s="1750"/>
      <c r="I191" s="1750"/>
    </row>
    <row r="192" spans="1:9" x14ac:dyDescent="0.2">
      <c r="A192" s="2020" t="s">
        <v>131</v>
      </c>
      <c r="B192" s="2020"/>
      <c r="C192" s="1736" t="s">
        <v>1208</v>
      </c>
      <c r="D192" s="1736"/>
      <c r="E192" s="1736"/>
      <c r="F192" s="1736"/>
      <c r="G192" s="1736"/>
      <c r="H192" s="1736"/>
      <c r="I192" s="1736"/>
    </row>
    <row r="193" spans="1:9" ht="39.75" customHeight="1" x14ac:dyDescent="0.2">
      <c r="A193" s="312" t="s">
        <v>4</v>
      </c>
      <c r="B193" s="410" t="s">
        <v>133</v>
      </c>
      <c r="C193" s="312" t="s">
        <v>17</v>
      </c>
      <c r="D193" s="312" t="s">
        <v>15</v>
      </c>
      <c r="E193" s="312" t="s">
        <v>134</v>
      </c>
      <c r="F193" s="312" t="s">
        <v>135</v>
      </c>
      <c r="G193" s="1435" t="s">
        <v>3465</v>
      </c>
      <c r="H193" s="312" t="s">
        <v>14</v>
      </c>
      <c r="I193" s="705"/>
    </row>
    <row r="194" spans="1:9" x14ac:dyDescent="0.2">
      <c r="A194" s="2012" t="s">
        <v>138</v>
      </c>
      <c r="B194" s="2013"/>
      <c r="C194" s="703">
        <f>SUM(C195:C274)</f>
        <v>15920</v>
      </c>
      <c r="D194" s="703">
        <f>SUM(D195:D274)</f>
        <v>14058</v>
      </c>
      <c r="E194" s="703">
        <f>SUM(E195:E285)</f>
        <v>15520</v>
      </c>
      <c r="F194" s="703"/>
      <c r="G194" s="703">
        <f>SUM(G195:G285)</f>
        <v>15520</v>
      </c>
      <c r="H194" s="317"/>
      <c r="I194" s="705"/>
    </row>
    <row r="195" spans="1:9" ht="30" hidden="1" customHeight="1" x14ac:dyDescent="0.2">
      <c r="A195" s="320">
        <v>1</v>
      </c>
      <c r="B195" s="717" t="s">
        <v>1743</v>
      </c>
      <c r="C195" s="342">
        <v>85</v>
      </c>
      <c r="D195" s="342">
        <v>85</v>
      </c>
      <c r="E195" s="342"/>
      <c r="F195" s="323">
        <v>2314</v>
      </c>
      <c r="G195" s="711"/>
      <c r="H195" s="379" t="s">
        <v>1744</v>
      </c>
      <c r="I195" s="754"/>
    </row>
    <row r="196" spans="1:9" ht="16.5" hidden="1" customHeight="1" x14ac:dyDescent="0.2">
      <c r="A196" s="1720">
        <v>2</v>
      </c>
      <c r="B196" s="2017" t="s">
        <v>1745</v>
      </c>
      <c r="C196" s="342">
        <v>15</v>
      </c>
      <c r="D196" s="342">
        <v>15</v>
      </c>
      <c r="E196" s="342"/>
      <c r="F196" s="323">
        <v>2279</v>
      </c>
      <c r="G196" s="711"/>
      <c r="H196" s="1735" t="s">
        <v>1744</v>
      </c>
      <c r="I196" s="723"/>
    </row>
    <row r="197" spans="1:9" ht="12.75" hidden="1" customHeight="1" x14ac:dyDescent="0.2">
      <c r="A197" s="1685"/>
      <c r="B197" s="2018"/>
      <c r="C197" s="342">
        <v>210</v>
      </c>
      <c r="D197" s="342">
        <v>210</v>
      </c>
      <c r="E197" s="342"/>
      <c r="F197" s="323">
        <v>2262</v>
      </c>
      <c r="G197" s="711"/>
      <c r="H197" s="1703"/>
      <c r="I197" s="713"/>
    </row>
    <row r="198" spans="1:9" ht="12.75" hidden="1" customHeight="1" x14ac:dyDescent="0.2">
      <c r="A198" s="1684">
        <v>3</v>
      </c>
      <c r="B198" s="2017" t="s">
        <v>1746</v>
      </c>
      <c r="C198" s="342">
        <v>110</v>
      </c>
      <c r="D198" s="342">
        <v>110</v>
      </c>
      <c r="E198" s="342"/>
      <c r="F198" s="323">
        <v>2314</v>
      </c>
      <c r="G198" s="711"/>
      <c r="H198" s="1702" t="s">
        <v>1744</v>
      </c>
      <c r="I198" s="705"/>
    </row>
    <row r="199" spans="1:9" ht="12.75" hidden="1" customHeight="1" x14ac:dyDescent="0.2">
      <c r="A199" s="1720"/>
      <c r="B199" s="2019"/>
      <c r="C199" s="342">
        <v>86</v>
      </c>
      <c r="D199" s="342">
        <v>86</v>
      </c>
      <c r="E199" s="342"/>
      <c r="F199" s="323">
        <v>1150</v>
      </c>
      <c r="G199" s="711"/>
      <c r="H199" s="1735"/>
      <c r="I199" s="705"/>
    </row>
    <row r="200" spans="1:9" ht="12.75" hidden="1" customHeight="1" x14ac:dyDescent="0.2">
      <c r="A200" s="1685"/>
      <c r="B200" s="2018"/>
      <c r="C200" s="342">
        <v>21</v>
      </c>
      <c r="D200" s="342">
        <v>21</v>
      </c>
      <c r="E200" s="342"/>
      <c r="F200" s="323">
        <v>1210</v>
      </c>
      <c r="G200" s="711"/>
      <c r="H200" s="1703"/>
      <c r="I200" s="705"/>
    </row>
    <row r="201" spans="1:9" ht="12.75" hidden="1" customHeight="1" x14ac:dyDescent="0.2">
      <c r="A201" s="1720">
        <v>4</v>
      </c>
      <c r="B201" s="2017" t="s">
        <v>1747</v>
      </c>
      <c r="C201" s="342">
        <v>15</v>
      </c>
      <c r="D201" s="342">
        <v>15</v>
      </c>
      <c r="E201" s="342"/>
      <c r="F201" s="323">
        <v>2279</v>
      </c>
      <c r="G201" s="711"/>
      <c r="H201" s="1735" t="s">
        <v>1744</v>
      </c>
      <c r="I201" s="705"/>
    </row>
    <row r="202" spans="1:9" ht="12.75" hidden="1" customHeight="1" x14ac:dyDescent="0.2">
      <c r="A202" s="1720"/>
      <c r="B202" s="2018"/>
      <c r="C202" s="342">
        <v>0</v>
      </c>
      <c r="D202" s="342">
        <v>0</v>
      </c>
      <c r="E202" s="342"/>
      <c r="F202" s="323">
        <v>2262</v>
      </c>
      <c r="G202" s="711"/>
      <c r="H202" s="1735"/>
      <c r="I202" s="705"/>
    </row>
    <row r="203" spans="1:9" ht="12.75" hidden="1" customHeight="1" x14ac:dyDescent="0.2">
      <c r="A203" s="1684">
        <v>5</v>
      </c>
      <c r="B203" s="2017" t="s">
        <v>1748</v>
      </c>
      <c r="C203" s="342">
        <v>140</v>
      </c>
      <c r="D203" s="342">
        <v>140</v>
      </c>
      <c r="E203" s="342"/>
      <c r="F203" s="323">
        <v>2314</v>
      </c>
      <c r="G203" s="711"/>
      <c r="H203" s="1702" t="s">
        <v>1744</v>
      </c>
      <c r="I203" s="705"/>
    </row>
    <row r="204" spans="1:9" ht="12.75" hidden="1" customHeight="1" x14ac:dyDescent="0.2">
      <c r="A204" s="1720"/>
      <c r="B204" s="2019"/>
      <c r="C204" s="342">
        <v>21</v>
      </c>
      <c r="D204" s="342">
        <v>21</v>
      </c>
      <c r="E204" s="342"/>
      <c r="F204" s="323">
        <v>1210</v>
      </c>
      <c r="G204" s="711"/>
      <c r="H204" s="1735"/>
      <c r="I204" s="705"/>
    </row>
    <row r="205" spans="1:9" ht="12.75" hidden="1" customHeight="1" x14ac:dyDescent="0.2">
      <c r="A205" s="1720"/>
      <c r="B205" s="2018"/>
      <c r="C205" s="342">
        <v>86</v>
      </c>
      <c r="D205" s="342">
        <v>86</v>
      </c>
      <c r="E205" s="342"/>
      <c r="F205" s="323">
        <v>1150</v>
      </c>
      <c r="G205" s="711"/>
      <c r="H205" s="1735"/>
      <c r="I205" s="705"/>
    </row>
    <row r="206" spans="1:9" ht="24.75" hidden="1" customHeight="1" x14ac:dyDescent="0.2">
      <c r="A206" s="320">
        <v>6</v>
      </c>
      <c r="B206" s="717" t="s">
        <v>1749</v>
      </c>
      <c r="C206" s="342">
        <v>300</v>
      </c>
      <c r="D206" s="342">
        <v>300</v>
      </c>
      <c r="E206" s="342"/>
      <c r="F206" s="323">
        <v>2262</v>
      </c>
      <c r="G206" s="711"/>
      <c r="H206" s="379" t="s">
        <v>1744</v>
      </c>
      <c r="I206" s="705"/>
    </row>
    <row r="207" spans="1:9" ht="12.75" hidden="1" customHeight="1" x14ac:dyDescent="0.2">
      <c r="A207" s="1684">
        <v>7</v>
      </c>
      <c r="B207" s="2017" t="s">
        <v>1750</v>
      </c>
      <c r="C207" s="342">
        <v>84</v>
      </c>
      <c r="D207" s="342">
        <v>84</v>
      </c>
      <c r="E207" s="342"/>
      <c r="F207" s="323">
        <v>1150</v>
      </c>
      <c r="G207" s="711"/>
      <c r="H207" s="1702" t="s">
        <v>1744</v>
      </c>
      <c r="I207" s="705"/>
    </row>
    <row r="208" spans="1:9" ht="12.75" hidden="1" customHeight="1" x14ac:dyDescent="0.2">
      <c r="A208" s="1720"/>
      <c r="B208" s="2019"/>
      <c r="C208" s="342">
        <v>21</v>
      </c>
      <c r="D208" s="342">
        <v>21</v>
      </c>
      <c r="E208" s="342"/>
      <c r="F208" s="323">
        <v>1210</v>
      </c>
      <c r="G208" s="711"/>
      <c r="H208" s="1735"/>
      <c r="I208" s="705"/>
    </row>
    <row r="209" spans="1:9" ht="12.75" hidden="1" customHeight="1" x14ac:dyDescent="0.2">
      <c r="A209" s="1685"/>
      <c r="B209" s="2018"/>
      <c r="C209" s="342">
        <v>260</v>
      </c>
      <c r="D209" s="342">
        <v>259</v>
      </c>
      <c r="E209" s="342"/>
      <c r="F209" s="323">
        <v>2314</v>
      </c>
      <c r="G209" s="711"/>
      <c r="H209" s="1703"/>
      <c r="I209" s="705"/>
    </row>
    <row r="210" spans="1:9" ht="12.75" hidden="1" customHeight="1" x14ac:dyDescent="0.2">
      <c r="A210" s="1684">
        <v>8</v>
      </c>
      <c r="B210" s="2017" t="s">
        <v>1751</v>
      </c>
      <c r="C210" s="342">
        <v>84</v>
      </c>
      <c r="D210" s="342">
        <v>84</v>
      </c>
      <c r="E210" s="342"/>
      <c r="F210" s="323">
        <v>1150</v>
      </c>
      <c r="G210" s="711"/>
      <c r="H210" s="1702" t="s">
        <v>1744</v>
      </c>
      <c r="I210" s="705"/>
    </row>
    <row r="211" spans="1:9" ht="12.75" hidden="1" customHeight="1" x14ac:dyDescent="0.2">
      <c r="A211" s="1720"/>
      <c r="B211" s="2019"/>
      <c r="C211" s="342">
        <v>21</v>
      </c>
      <c r="D211" s="342">
        <v>21</v>
      </c>
      <c r="E211" s="342"/>
      <c r="F211" s="323">
        <v>1210</v>
      </c>
      <c r="G211" s="711"/>
      <c r="H211" s="1735"/>
      <c r="I211" s="705"/>
    </row>
    <row r="212" spans="1:9" ht="12.75" hidden="1" customHeight="1" x14ac:dyDescent="0.2">
      <c r="A212" s="1685"/>
      <c r="B212" s="2018"/>
      <c r="C212" s="342">
        <v>110</v>
      </c>
      <c r="D212" s="342">
        <v>110</v>
      </c>
      <c r="E212" s="342"/>
      <c r="F212" s="323">
        <v>2314</v>
      </c>
      <c r="G212" s="711"/>
      <c r="H212" s="1703"/>
      <c r="I212" s="705"/>
    </row>
    <row r="213" spans="1:9" ht="27" hidden="1" customHeight="1" x14ac:dyDescent="0.2">
      <c r="A213" s="755">
        <v>9</v>
      </c>
      <c r="B213" s="756" t="s">
        <v>1752</v>
      </c>
      <c r="C213" s="342">
        <v>140</v>
      </c>
      <c r="D213" s="342"/>
      <c r="E213" s="342"/>
      <c r="F213" s="323">
        <v>2314</v>
      </c>
      <c r="G213" s="711"/>
      <c r="H213" s="379" t="s">
        <v>1744</v>
      </c>
      <c r="I213" s="705"/>
    </row>
    <row r="214" spans="1:9" hidden="1" x14ac:dyDescent="0.2">
      <c r="A214" s="1684">
        <v>10</v>
      </c>
      <c r="B214" s="2017" t="s">
        <v>1753</v>
      </c>
      <c r="C214" s="342">
        <v>140</v>
      </c>
      <c r="D214" s="342">
        <v>140</v>
      </c>
      <c r="E214" s="342"/>
      <c r="F214" s="323">
        <v>2314</v>
      </c>
      <c r="G214" s="711"/>
      <c r="H214" s="1702" t="s">
        <v>1744</v>
      </c>
      <c r="I214" s="705"/>
    </row>
    <row r="215" spans="1:9" hidden="1" x14ac:dyDescent="0.2">
      <c r="A215" s="1720"/>
      <c r="B215" s="2019"/>
      <c r="C215" s="342">
        <v>86</v>
      </c>
      <c r="D215" s="342">
        <v>86</v>
      </c>
      <c r="E215" s="342"/>
      <c r="F215" s="323">
        <v>1150</v>
      </c>
      <c r="G215" s="711"/>
      <c r="H215" s="1735"/>
      <c r="I215" s="705"/>
    </row>
    <row r="216" spans="1:9" hidden="1" x14ac:dyDescent="0.2">
      <c r="A216" s="1685"/>
      <c r="B216" s="2018"/>
      <c r="C216" s="342">
        <v>21</v>
      </c>
      <c r="D216" s="342">
        <v>21</v>
      </c>
      <c r="E216" s="342"/>
      <c r="F216" s="323">
        <v>1210</v>
      </c>
      <c r="G216" s="711"/>
      <c r="H216" s="1703"/>
      <c r="I216" s="705"/>
    </row>
    <row r="217" spans="1:9" hidden="1" x14ac:dyDescent="0.2">
      <c r="A217" s="1684">
        <v>11</v>
      </c>
      <c r="B217" s="2017" t="s">
        <v>1754</v>
      </c>
      <c r="C217" s="342">
        <v>1154</v>
      </c>
      <c r="D217" s="342">
        <v>1154</v>
      </c>
      <c r="E217" s="342"/>
      <c r="F217" s="323">
        <v>1150</v>
      </c>
      <c r="G217" s="711"/>
      <c r="H217" s="1702" t="s">
        <v>1744</v>
      </c>
      <c r="I217" s="705"/>
    </row>
    <row r="218" spans="1:9" hidden="1" x14ac:dyDescent="0.2">
      <c r="A218" s="1720"/>
      <c r="B218" s="2019"/>
      <c r="C218" s="342">
        <v>279</v>
      </c>
      <c r="D218" s="342">
        <v>277</v>
      </c>
      <c r="E218" s="342"/>
      <c r="F218" s="323">
        <v>1210</v>
      </c>
      <c r="G218" s="711"/>
      <c r="H218" s="1735"/>
      <c r="I218" s="705"/>
    </row>
    <row r="219" spans="1:9" hidden="1" x14ac:dyDescent="0.2">
      <c r="A219" s="1720"/>
      <c r="B219" s="2019"/>
      <c r="C219" s="342">
        <v>0</v>
      </c>
      <c r="D219" s="342">
        <v>0</v>
      </c>
      <c r="E219" s="342"/>
      <c r="F219" s="323">
        <v>2262</v>
      </c>
      <c r="G219" s="711"/>
      <c r="H219" s="1735"/>
      <c r="I219" s="705"/>
    </row>
    <row r="220" spans="1:9" hidden="1" x14ac:dyDescent="0.2">
      <c r="A220" s="1685"/>
      <c r="B220" s="2018"/>
      <c r="C220" s="342">
        <v>385</v>
      </c>
      <c r="D220" s="342">
        <v>0</v>
      </c>
      <c r="E220" s="342"/>
      <c r="F220" s="323">
        <v>2314</v>
      </c>
      <c r="G220" s="711"/>
      <c r="H220" s="1703"/>
      <c r="I220" s="705"/>
    </row>
    <row r="221" spans="1:9" hidden="1" x14ac:dyDescent="0.2">
      <c r="A221" s="1684">
        <v>12</v>
      </c>
      <c r="B221" s="2017" t="s">
        <v>1755</v>
      </c>
      <c r="C221" s="342">
        <v>177</v>
      </c>
      <c r="D221" s="342">
        <v>177</v>
      </c>
      <c r="E221" s="342"/>
      <c r="F221" s="323">
        <v>1150</v>
      </c>
      <c r="G221" s="711"/>
      <c r="H221" s="1702" t="s">
        <v>1744</v>
      </c>
      <c r="I221" s="705"/>
    </row>
    <row r="222" spans="1:9" hidden="1" x14ac:dyDescent="0.2">
      <c r="A222" s="1720"/>
      <c r="B222" s="2019"/>
      <c r="C222" s="342">
        <v>43</v>
      </c>
      <c r="D222" s="342">
        <v>43</v>
      </c>
      <c r="E222" s="342"/>
      <c r="F222" s="323">
        <v>1210</v>
      </c>
      <c r="G222" s="711"/>
      <c r="H222" s="1735"/>
      <c r="I222" s="705"/>
    </row>
    <row r="223" spans="1:9" hidden="1" x14ac:dyDescent="0.2">
      <c r="A223" s="1685"/>
      <c r="B223" s="2018"/>
      <c r="C223" s="342">
        <v>160</v>
      </c>
      <c r="D223" s="342">
        <v>160</v>
      </c>
      <c r="E223" s="342"/>
      <c r="F223" s="323">
        <v>2314</v>
      </c>
      <c r="G223" s="711"/>
      <c r="H223" s="1703"/>
      <c r="I223" s="705"/>
    </row>
    <row r="224" spans="1:9" hidden="1" x14ac:dyDescent="0.2">
      <c r="A224" s="1684">
        <v>13</v>
      </c>
      <c r="B224" s="2017" t="s">
        <v>1756</v>
      </c>
      <c r="C224" s="342">
        <v>1154</v>
      </c>
      <c r="D224" s="342">
        <v>1154</v>
      </c>
      <c r="E224" s="342"/>
      <c r="F224" s="323">
        <v>1150</v>
      </c>
      <c r="G224" s="711"/>
      <c r="H224" s="1702" t="s">
        <v>1744</v>
      </c>
      <c r="I224" s="705"/>
    </row>
    <row r="225" spans="1:9" hidden="1" x14ac:dyDescent="0.2">
      <c r="A225" s="1720"/>
      <c r="B225" s="2019"/>
      <c r="C225" s="342">
        <v>279</v>
      </c>
      <c r="D225" s="342">
        <v>279</v>
      </c>
      <c r="E225" s="342"/>
      <c r="F225" s="323">
        <v>1210</v>
      </c>
      <c r="G225" s="711"/>
      <c r="H225" s="1735"/>
      <c r="I225" s="705"/>
    </row>
    <row r="226" spans="1:9" hidden="1" x14ac:dyDescent="0.2">
      <c r="A226" s="1685"/>
      <c r="B226" s="2018"/>
      <c r="C226" s="342">
        <v>500</v>
      </c>
      <c r="D226" s="342">
        <v>500</v>
      </c>
      <c r="E226" s="342"/>
      <c r="F226" s="323">
        <v>2314</v>
      </c>
      <c r="G226" s="711"/>
      <c r="H226" s="1703"/>
      <c r="I226" s="705"/>
    </row>
    <row r="227" spans="1:9" hidden="1" x14ac:dyDescent="0.2">
      <c r="A227" s="1684">
        <v>14</v>
      </c>
      <c r="B227" s="2017" t="s">
        <v>1757</v>
      </c>
      <c r="C227" s="342">
        <v>143</v>
      </c>
      <c r="D227" s="342">
        <v>143</v>
      </c>
      <c r="E227" s="342"/>
      <c r="F227" s="323">
        <v>1150</v>
      </c>
      <c r="G227" s="711"/>
      <c r="H227" s="1702" t="s">
        <v>1744</v>
      </c>
      <c r="I227" s="705"/>
    </row>
    <row r="228" spans="1:9" hidden="1" x14ac:dyDescent="0.2">
      <c r="A228" s="1720"/>
      <c r="B228" s="2019"/>
      <c r="C228" s="342">
        <v>35</v>
      </c>
      <c r="D228" s="342">
        <v>35</v>
      </c>
      <c r="E228" s="342"/>
      <c r="F228" s="323">
        <v>1210</v>
      </c>
      <c r="G228" s="711"/>
      <c r="H228" s="1735"/>
      <c r="I228" s="705"/>
    </row>
    <row r="229" spans="1:9" hidden="1" x14ac:dyDescent="0.2">
      <c r="A229" s="1685"/>
      <c r="B229" s="2018"/>
      <c r="C229" s="342">
        <v>140</v>
      </c>
      <c r="D229" s="342">
        <v>140</v>
      </c>
      <c r="E229" s="342"/>
      <c r="F229" s="323">
        <v>2314</v>
      </c>
      <c r="G229" s="711"/>
      <c r="H229" s="1703"/>
      <c r="I229" s="705"/>
    </row>
    <row r="230" spans="1:9" hidden="1" x14ac:dyDescent="0.2">
      <c r="A230" s="1684">
        <v>15</v>
      </c>
      <c r="B230" s="2017" t="s">
        <v>1758</v>
      </c>
      <c r="C230" s="342">
        <v>177</v>
      </c>
      <c r="D230" s="342">
        <v>177</v>
      </c>
      <c r="E230" s="342"/>
      <c r="F230" s="323">
        <v>1150</v>
      </c>
      <c r="G230" s="711"/>
      <c r="H230" s="1702" t="s">
        <v>1744</v>
      </c>
      <c r="I230" s="705"/>
    </row>
    <row r="231" spans="1:9" hidden="1" x14ac:dyDescent="0.2">
      <c r="A231" s="1720"/>
      <c r="B231" s="2019"/>
      <c r="C231" s="342">
        <v>43</v>
      </c>
      <c r="D231" s="342">
        <v>43</v>
      </c>
      <c r="E231" s="342"/>
      <c r="F231" s="323">
        <v>1210</v>
      </c>
      <c r="G231" s="711"/>
      <c r="H231" s="1735"/>
      <c r="I231" s="705"/>
    </row>
    <row r="232" spans="1:9" hidden="1" x14ac:dyDescent="0.2">
      <c r="A232" s="1685"/>
      <c r="B232" s="2018"/>
      <c r="C232" s="342">
        <v>140</v>
      </c>
      <c r="D232" s="342">
        <v>140</v>
      </c>
      <c r="E232" s="342"/>
      <c r="F232" s="323">
        <v>2314</v>
      </c>
      <c r="G232" s="711"/>
      <c r="H232" s="1703"/>
      <c r="I232" s="705"/>
    </row>
    <row r="233" spans="1:9" hidden="1" x14ac:dyDescent="0.2">
      <c r="A233" s="1684">
        <v>16</v>
      </c>
      <c r="B233" s="2017" t="s">
        <v>1759</v>
      </c>
      <c r="C233" s="342">
        <v>430</v>
      </c>
      <c r="D233" s="342">
        <v>430</v>
      </c>
      <c r="E233" s="342"/>
      <c r="F233" s="323">
        <v>1150</v>
      </c>
      <c r="G233" s="711"/>
      <c r="H233" s="1702" t="s">
        <v>1744</v>
      </c>
      <c r="I233" s="705"/>
    </row>
    <row r="234" spans="1:9" hidden="1" x14ac:dyDescent="0.2">
      <c r="A234" s="1720"/>
      <c r="B234" s="2019"/>
      <c r="C234" s="342">
        <v>104</v>
      </c>
      <c r="D234" s="342">
        <v>104</v>
      </c>
      <c r="E234" s="342"/>
      <c r="F234" s="323">
        <v>1210</v>
      </c>
      <c r="G234" s="711"/>
      <c r="H234" s="1735"/>
      <c r="I234" s="705"/>
    </row>
    <row r="235" spans="1:9" hidden="1" x14ac:dyDescent="0.2">
      <c r="A235" s="1685"/>
      <c r="B235" s="2018"/>
      <c r="C235" s="342">
        <v>200</v>
      </c>
      <c r="D235" s="342">
        <v>200</v>
      </c>
      <c r="E235" s="342"/>
      <c r="F235" s="323">
        <v>2314</v>
      </c>
      <c r="G235" s="711"/>
      <c r="H235" s="1703"/>
      <c r="I235" s="705"/>
    </row>
    <row r="236" spans="1:9" hidden="1" x14ac:dyDescent="0.2">
      <c r="A236" s="1684">
        <v>17</v>
      </c>
      <c r="B236" s="2017" t="s">
        <v>1760</v>
      </c>
      <c r="C236" s="342">
        <v>120</v>
      </c>
      <c r="D236" s="342">
        <v>120</v>
      </c>
      <c r="E236" s="342"/>
      <c r="F236" s="323">
        <v>2314</v>
      </c>
      <c r="G236" s="711"/>
      <c r="H236" s="1702" t="s">
        <v>1744</v>
      </c>
      <c r="I236" s="705"/>
    </row>
    <row r="237" spans="1:9" hidden="1" x14ac:dyDescent="0.2">
      <c r="A237" s="1720"/>
      <c r="B237" s="2019"/>
      <c r="C237" s="342">
        <v>86</v>
      </c>
      <c r="D237" s="342">
        <v>86</v>
      </c>
      <c r="E237" s="342"/>
      <c r="F237" s="323">
        <v>1150</v>
      </c>
      <c r="G237" s="711"/>
      <c r="H237" s="1735"/>
      <c r="I237" s="705"/>
    </row>
    <row r="238" spans="1:9" hidden="1" x14ac:dyDescent="0.2">
      <c r="A238" s="1685"/>
      <c r="B238" s="2018"/>
      <c r="C238" s="342">
        <v>21</v>
      </c>
      <c r="D238" s="342">
        <v>21</v>
      </c>
      <c r="E238" s="342"/>
      <c r="F238" s="323">
        <v>1210</v>
      </c>
      <c r="G238" s="711"/>
      <c r="H238" s="1703"/>
      <c r="I238" s="705"/>
    </row>
    <row r="239" spans="1:9" hidden="1" x14ac:dyDescent="0.2">
      <c r="A239" s="1720">
        <v>18</v>
      </c>
      <c r="B239" s="2017" t="s">
        <v>1761</v>
      </c>
      <c r="C239" s="342">
        <v>15</v>
      </c>
      <c r="D239" s="342">
        <v>0</v>
      </c>
      <c r="E239" s="342"/>
      <c r="F239" s="323">
        <v>2279</v>
      </c>
      <c r="G239" s="711"/>
      <c r="H239" s="1735" t="s">
        <v>1744</v>
      </c>
      <c r="I239" s="705"/>
    </row>
    <row r="240" spans="1:9" hidden="1" x14ac:dyDescent="0.2">
      <c r="A240" s="1720"/>
      <c r="B240" s="2018"/>
      <c r="C240" s="342">
        <v>210</v>
      </c>
      <c r="D240" s="342">
        <v>0</v>
      </c>
      <c r="E240" s="342"/>
      <c r="F240" s="323">
        <v>2262</v>
      </c>
      <c r="G240" s="711"/>
      <c r="H240" s="1735"/>
      <c r="I240" s="705"/>
    </row>
    <row r="241" spans="1:9" hidden="1" x14ac:dyDescent="0.2">
      <c r="A241" s="1684">
        <v>19</v>
      </c>
      <c r="B241" s="2017" t="s">
        <v>1762</v>
      </c>
      <c r="C241" s="342">
        <v>500</v>
      </c>
      <c r="D241" s="342">
        <v>500</v>
      </c>
      <c r="E241" s="342"/>
      <c r="F241" s="323">
        <v>2314</v>
      </c>
      <c r="G241" s="711"/>
      <c r="H241" s="1702" t="s">
        <v>1763</v>
      </c>
      <c r="I241" s="705"/>
    </row>
    <row r="242" spans="1:9" hidden="1" x14ac:dyDescent="0.2">
      <c r="A242" s="1720"/>
      <c r="B242" s="2019"/>
      <c r="C242" s="342">
        <v>630</v>
      </c>
      <c r="D242" s="342">
        <v>630</v>
      </c>
      <c r="E242" s="342"/>
      <c r="F242" s="323">
        <v>1150</v>
      </c>
      <c r="G242" s="711"/>
      <c r="H242" s="1735"/>
      <c r="I242" s="705"/>
    </row>
    <row r="243" spans="1:9" hidden="1" x14ac:dyDescent="0.2">
      <c r="A243" s="1685"/>
      <c r="B243" s="2018"/>
      <c r="C243" s="342">
        <v>152</v>
      </c>
      <c r="D243" s="342">
        <v>152</v>
      </c>
      <c r="E243" s="342"/>
      <c r="F243" s="323">
        <v>1210</v>
      </c>
      <c r="G243" s="711"/>
      <c r="H243" s="1703"/>
      <c r="I243" s="705"/>
    </row>
    <row r="244" spans="1:9" hidden="1" x14ac:dyDescent="0.2">
      <c r="A244" s="1684">
        <v>20</v>
      </c>
      <c r="B244" s="2017" t="s">
        <v>1764</v>
      </c>
      <c r="C244" s="342">
        <v>143</v>
      </c>
      <c r="D244" s="342"/>
      <c r="E244" s="342"/>
      <c r="F244" s="323">
        <v>2314</v>
      </c>
      <c r="G244" s="711"/>
      <c r="H244" s="1702" t="s">
        <v>1744</v>
      </c>
      <c r="I244" s="705"/>
    </row>
    <row r="245" spans="1:9" hidden="1" x14ac:dyDescent="0.2">
      <c r="A245" s="1720"/>
      <c r="B245" s="2019"/>
      <c r="C245" s="342">
        <v>236</v>
      </c>
      <c r="D245" s="342"/>
      <c r="E245" s="342"/>
      <c r="F245" s="323">
        <v>1150</v>
      </c>
      <c r="G245" s="711"/>
      <c r="H245" s="1735"/>
      <c r="I245" s="705"/>
    </row>
    <row r="246" spans="1:9" hidden="1" x14ac:dyDescent="0.2">
      <c r="A246" s="1685"/>
      <c r="B246" s="2018"/>
      <c r="C246" s="342">
        <v>57</v>
      </c>
      <c r="D246" s="342">
        <v>0</v>
      </c>
      <c r="E246" s="342"/>
      <c r="F246" s="323">
        <v>1210</v>
      </c>
      <c r="G246" s="711"/>
      <c r="H246" s="1703"/>
      <c r="I246" s="705"/>
    </row>
    <row r="247" spans="1:9" hidden="1" x14ac:dyDescent="0.2">
      <c r="A247" s="1684">
        <v>21</v>
      </c>
      <c r="B247" s="2017" t="s">
        <v>1765</v>
      </c>
      <c r="C247" s="342">
        <v>140</v>
      </c>
      <c r="D247" s="342">
        <v>140</v>
      </c>
      <c r="E247" s="342"/>
      <c r="F247" s="323">
        <v>2314</v>
      </c>
      <c r="G247" s="711"/>
      <c r="H247" s="1702" t="s">
        <v>1744</v>
      </c>
      <c r="I247" s="705"/>
    </row>
    <row r="248" spans="1:9" hidden="1" x14ac:dyDescent="0.2">
      <c r="A248" s="1720"/>
      <c r="B248" s="2019"/>
      <c r="C248" s="342">
        <v>86</v>
      </c>
      <c r="D248" s="342">
        <v>86</v>
      </c>
      <c r="E248" s="342"/>
      <c r="F248" s="323">
        <v>1150</v>
      </c>
      <c r="G248" s="711"/>
      <c r="H248" s="1735"/>
      <c r="I248" s="705"/>
    </row>
    <row r="249" spans="1:9" hidden="1" x14ac:dyDescent="0.2">
      <c r="A249" s="1685"/>
      <c r="B249" s="2018"/>
      <c r="C249" s="342">
        <v>21</v>
      </c>
      <c r="D249" s="342">
        <v>21</v>
      </c>
      <c r="E249" s="342"/>
      <c r="F249" s="323">
        <v>1210</v>
      </c>
      <c r="G249" s="711"/>
      <c r="H249" s="1703"/>
      <c r="I249" s="705"/>
    </row>
    <row r="250" spans="1:9" hidden="1" x14ac:dyDescent="0.2">
      <c r="A250" s="1684">
        <v>22</v>
      </c>
      <c r="B250" s="2017" t="s">
        <v>1766</v>
      </c>
      <c r="C250" s="342">
        <v>130</v>
      </c>
      <c r="D250" s="342"/>
      <c r="E250" s="342"/>
      <c r="F250" s="323">
        <v>2314</v>
      </c>
      <c r="G250" s="711"/>
      <c r="H250" s="1702" t="s">
        <v>1744</v>
      </c>
      <c r="I250" s="705"/>
    </row>
    <row r="251" spans="1:9" hidden="1" x14ac:dyDescent="0.2">
      <c r="A251" s="1720"/>
      <c r="B251" s="2019"/>
      <c r="C251" s="342">
        <v>86</v>
      </c>
      <c r="D251" s="342"/>
      <c r="E251" s="342"/>
      <c r="F251" s="323">
        <v>1150</v>
      </c>
      <c r="G251" s="711"/>
      <c r="H251" s="1735"/>
      <c r="I251" s="705"/>
    </row>
    <row r="252" spans="1:9" hidden="1" x14ac:dyDescent="0.2">
      <c r="A252" s="1685"/>
      <c r="B252" s="2018"/>
      <c r="C252" s="342">
        <v>21</v>
      </c>
      <c r="D252" s="342"/>
      <c r="E252" s="342"/>
      <c r="F252" s="323">
        <v>1210</v>
      </c>
      <c r="G252" s="711"/>
      <c r="H252" s="1703"/>
      <c r="I252" s="705"/>
    </row>
    <row r="253" spans="1:9" hidden="1" x14ac:dyDescent="0.2">
      <c r="A253" s="1684">
        <v>23</v>
      </c>
      <c r="B253" s="2017" t="s">
        <v>1767</v>
      </c>
      <c r="C253" s="342">
        <v>170</v>
      </c>
      <c r="D253" s="342">
        <v>170</v>
      </c>
      <c r="E253" s="342"/>
      <c r="F253" s="323">
        <v>2314</v>
      </c>
      <c r="G253" s="711"/>
      <c r="H253" s="1702" t="s">
        <v>1744</v>
      </c>
      <c r="I253" s="705"/>
    </row>
    <row r="254" spans="1:9" hidden="1" x14ac:dyDescent="0.2">
      <c r="A254" s="1720"/>
      <c r="B254" s="2019"/>
      <c r="C254" s="342">
        <v>86</v>
      </c>
      <c r="D254" s="342">
        <v>86</v>
      </c>
      <c r="E254" s="342"/>
      <c r="F254" s="323">
        <v>1150</v>
      </c>
      <c r="G254" s="711"/>
      <c r="H254" s="1735"/>
      <c r="I254" s="705"/>
    </row>
    <row r="255" spans="1:9" ht="12.75" hidden="1" customHeight="1" x14ac:dyDescent="0.2">
      <c r="A255" s="1685"/>
      <c r="B255" s="2018"/>
      <c r="C255" s="342">
        <v>21</v>
      </c>
      <c r="D255" s="342">
        <v>21</v>
      </c>
      <c r="E255" s="342"/>
      <c r="F255" s="323">
        <v>1210</v>
      </c>
      <c r="G255" s="711"/>
      <c r="H255" s="1703"/>
      <c r="I255" s="705"/>
    </row>
    <row r="256" spans="1:9" ht="19.5" hidden="1" customHeight="1" x14ac:dyDescent="0.2">
      <c r="A256" s="320">
        <v>24</v>
      </c>
      <c r="B256" s="717" t="s">
        <v>1768</v>
      </c>
      <c r="C256" s="342">
        <v>140</v>
      </c>
      <c r="D256" s="342">
        <v>139</v>
      </c>
      <c r="E256" s="342"/>
      <c r="F256" s="323">
        <v>2314</v>
      </c>
      <c r="G256" s="711"/>
      <c r="H256" s="379" t="s">
        <v>1744</v>
      </c>
      <c r="I256" s="705"/>
    </row>
    <row r="257" spans="1:9" ht="24" hidden="1" x14ac:dyDescent="0.2">
      <c r="A257" s="320">
        <v>25</v>
      </c>
      <c r="B257" s="717" t="s">
        <v>1769</v>
      </c>
      <c r="C257" s="342">
        <v>170</v>
      </c>
      <c r="D257" s="342">
        <v>170</v>
      </c>
      <c r="E257" s="342"/>
      <c r="F257" s="323">
        <v>2314</v>
      </c>
      <c r="G257" s="711"/>
      <c r="H257" s="379" t="s">
        <v>1744</v>
      </c>
      <c r="I257" s="705"/>
    </row>
    <row r="258" spans="1:9" ht="24" hidden="1" x14ac:dyDescent="0.2">
      <c r="A258" s="320">
        <v>26</v>
      </c>
      <c r="B258" s="717" t="s">
        <v>1770</v>
      </c>
      <c r="C258" s="342">
        <v>170</v>
      </c>
      <c r="D258" s="342">
        <v>170</v>
      </c>
      <c r="E258" s="342"/>
      <c r="F258" s="323">
        <v>2314</v>
      </c>
      <c r="G258" s="711"/>
      <c r="H258" s="379" t="s">
        <v>1744</v>
      </c>
      <c r="I258" s="705"/>
    </row>
    <row r="259" spans="1:9" ht="24" hidden="1" x14ac:dyDescent="0.2">
      <c r="A259" s="320">
        <v>27</v>
      </c>
      <c r="B259" s="717" t="s">
        <v>1771</v>
      </c>
      <c r="C259" s="342">
        <v>170</v>
      </c>
      <c r="D259" s="342">
        <v>161</v>
      </c>
      <c r="E259" s="342"/>
      <c r="F259" s="323">
        <v>2314</v>
      </c>
      <c r="G259" s="711"/>
      <c r="H259" s="379" t="s">
        <v>1744</v>
      </c>
      <c r="I259" s="705"/>
    </row>
    <row r="260" spans="1:9" ht="27.75" hidden="1" customHeight="1" x14ac:dyDescent="0.2">
      <c r="A260" s="320">
        <v>28</v>
      </c>
      <c r="B260" s="717" t="s">
        <v>1772</v>
      </c>
      <c r="C260" s="342">
        <v>400</v>
      </c>
      <c r="D260" s="342">
        <v>390</v>
      </c>
      <c r="E260" s="342"/>
      <c r="F260" s="323">
        <v>2314</v>
      </c>
      <c r="G260" s="711"/>
      <c r="H260" s="379" t="s">
        <v>1744</v>
      </c>
      <c r="I260" s="705"/>
    </row>
    <row r="261" spans="1:9" ht="24" hidden="1" x14ac:dyDescent="0.2">
      <c r="A261" s="320">
        <v>29</v>
      </c>
      <c r="B261" s="717" t="s">
        <v>1773</v>
      </c>
      <c r="C261" s="342">
        <v>170</v>
      </c>
      <c r="D261" s="342">
        <v>170</v>
      </c>
      <c r="E261" s="342"/>
      <c r="F261" s="323">
        <v>2314</v>
      </c>
      <c r="G261" s="711"/>
      <c r="H261" s="379" t="s">
        <v>1744</v>
      </c>
      <c r="I261" s="705"/>
    </row>
    <row r="262" spans="1:9" ht="24" hidden="1" x14ac:dyDescent="0.2">
      <c r="A262" s="320">
        <v>30</v>
      </c>
      <c r="B262" s="717" t="s">
        <v>1774</v>
      </c>
      <c r="C262" s="342">
        <v>170</v>
      </c>
      <c r="D262" s="342">
        <v>170</v>
      </c>
      <c r="E262" s="342"/>
      <c r="F262" s="323">
        <v>2314</v>
      </c>
      <c r="G262" s="711"/>
      <c r="H262" s="379" t="s">
        <v>1744</v>
      </c>
      <c r="I262" s="705"/>
    </row>
    <row r="263" spans="1:9" ht="21.75" hidden="1" customHeight="1" x14ac:dyDescent="0.2">
      <c r="A263" s="320">
        <v>31</v>
      </c>
      <c r="B263" s="717" t="s">
        <v>1775</v>
      </c>
      <c r="C263" s="342">
        <v>140</v>
      </c>
      <c r="D263" s="342">
        <v>140</v>
      </c>
      <c r="E263" s="342"/>
      <c r="F263" s="323">
        <v>2314</v>
      </c>
      <c r="G263" s="711"/>
      <c r="H263" s="379" t="s">
        <v>1744</v>
      </c>
      <c r="I263" s="705"/>
    </row>
    <row r="264" spans="1:9" ht="23.25" hidden="1" customHeight="1" x14ac:dyDescent="0.2">
      <c r="A264" s="320">
        <v>32</v>
      </c>
      <c r="B264" s="717" t="s">
        <v>1776</v>
      </c>
      <c r="C264" s="342">
        <v>250</v>
      </c>
      <c r="D264" s="342">
        <v>250</v>
      </c>
      <c r="E264" s="342"/>
      <c r="F264" s="323">
        <v>2314</v>
      </c>
      <c r="G264" s="711"/>
      <c r="H264" s="379" t="s">
        <v>1744</v>
      </c>
      <c r="I264" s="705"/>
    </row>
    <row r="265" spans="1:9" ht="25.5" hidden="1" customHeight="1" x14ac:dyDescent="0.2">
      <c r="A265" s="320">
        <v>33</v>
      </c>
      <c r="B265" s="717" t="s">
        <v>1777</v>
      </c>
      <c r="C265" s="342">
        <v>850</v>
      </c>
      <c r="D265" s="342">
        <v>490</v>
      </c>
      <c r="E265" s="342"/>
      <c r="F265" s="323">
        <v>2314</v>
      </c>
      <c r="G265" s="711"/>
      <c r="H265" s="379" t="s">
        <v>1744</v>
      </c>
      <c r="I265" s="705"/>
    </row>
    <row r="266" spans="1:9" ht="22.5" hidden="1" customHeight="1" x14ac:dyDescent="0.2">
      <c r="A266" s="320">
        <v>34</v>
      </c>
      <c r="B266" s="717" t="s">
        <v>1778</v>
      </c>
      <c r="C266" s="342">
        <v>150</v>
      </c>
      <c r="D266" s="342">
        <v>147</v>
      </c>
      <c r="E266" s="342"/>
      <c r="F266" s="323">
        <v>2314</v>
      </c>
      <c r="G266" s="711"/>
      <c r="H266" s="379" t="s">
        <v>1744</v>
      </c>
      <c r="I266" s="705"/>
    </row>
    <row r="267" spans="1:9" ht="31.5" hidden="1" customHeight="1" x14ac:dyDescent="0.2">
      <c r="A267" s="320">
        <v>35</v>
      </c>
      <c r="B267" s="717" t="s">
        <v>1779</v>
      </c>
      <c r="C267" s="342">
        <v>200</v>
      </c>
      <c r="D267" s="342">
        <v>197</v>
      </c>
      <c r="E267" s="342"/>
      <c r="F267" s="323">
        <v>2314</v>
      </c>
      <c r="G267" s="711"/>
      <c r="H267" s="379" t="s">
        <v>1744</v>
      </c>
      <c r="I267" s="705"/>
    </row>
    <row r="268" spans="1:9" ht="21" hidden="1" customHeight="1" x14ac:dyDescent="0.2">
      <c r="A268" s="320">
        <v>36</v>
      </c>
      <c r="B268" s="717" t="s">
        <v>1780</v>
      </c>
      <c r="C268" s="342">
        <v>180</v>
      </c>
      <c r="D268" s="342">
        <v>180</v>
      </c>
      <c r="E268" s="342"/>
      <c r="F268" s="323">
        <v>2314</v>
      </c>
      <c r="G268" s="711"/>
      <c r="H268" s="379" t="s">
        <v>1744</v>
      </c>
      <c r="I268" s="705"/>
    </row>
    <row r="269" spans="1:9" ht="20.25" hidden="1" customHeight="1" x14ac:dyDescent="0.2">
      <c r="A269" s="320">
        <v>37</v>
      </c>
      <c r="B269" s="717" t="s">
        <v>1781</v>
      </c>
      <c r="C269" s="342">
        <v>300</v>
      </c>
      <c r="D269" s="342">
        <v>251</v>
      </c>
      <c r="E269" s="342"/>
      <c r="F269" s="323">
        <v>2314</v>
      </c>
      <c r="G269" s="711"/>
      <c r="H269" s="379" t="s">
        <v>1782</v>
      </c>
      <c r="I269" s="705"/>
    </row>
    <row r="270" spans="1:9" ht="12.75" hidden="1" customHeight="1" x14ac:dyDescent="0.2">
      <c r="A270" s="1684">
        <v>38</v>
      </c>
      <c r="B270" s="1665" t="s">
        <v>1783</v>
      </c>
      <c r="C270" s="342">
        <v>1030</v>
      </c>
      <c r="D270" s="342">
        <v>1030</v>
      </c>
      <c r="E270" s="342"/>
      <c r="F270" s="323">
        <v>2314</v>
      </c>
      <c r="G270" s="711"/>
      <c r="H270" s="1731" t="s">
        <v>1744</v>
      </c>
      <c r="I270" s="705"/>
    </row>
    <row r="271" spans="1:9" ht="12.75" hidden="1" customHeight="1" x14ac:dyDescent="0.2">
      <c r="A271" s="1720"/>
      <c r="B271" s="1667"/>
      <c r="C271" s="342">
        <v>80</v>
      </c>
      <c r="D271" s="342">
        <v>80</v>
      </c>
      <c r="E271" s="342"/>
      <c r="F271" s="323">
        <v>2279</v>
      </c>
      <c r="G271" s="711"/>
      <c r="H271" s="1731"/>
      <c r="I271" s="705"/>
    </row>
    <row r="272" spans="1:9" ht="12.75" hidden="1" customHeight="1" x14ac:dyDescent="0.2">
      <c r="A272" s="1720"/>
      <c r="B272" s="1667"/>
      <c r="C272" s="342">
        <v>280</v>
      </c>
      <c r="D272" s="342">
        <v>280</v>
      </c>
      <c r="E272" s="342"/>
      <c r="F272" s="323">
        <v>1150</v>
      </c>
      <c r="G272" s="711"/>
      <c r="H272" s="1731"/>
      <c r="I272" s="705"/>
    </row>
    <row r="273" spans="1:11" ht="12.75" hidden="1" customHeight="1" x14ac:dyDescent="0.2">
      <c r="A273" s="1720"/>
      <c r="B273" s="1667"/>
      <c r="C273" s="342">
        <v>68</v>
      </c>
      <c r="D273" s="342">
        <v>67</v>
      </c>
      <c r="E273" s="342"/>
      <c r="F273" s="323">
        <v>1210</v>
      </c>
      <c r="G273" s="711"/>
      <c r="H273" s="1731"/>
      <c r="I273" s="705"/>
    </row>
    <row r="274" spans="1:11" ht="14.25" hidden="1" customHeight="1" x14ac:dyDescent="0.2">
      <c r="A274" s="1720"/>
      <c r="B274" s="1667"/>
      <c r="C274" s="757">
        <v>472</v>
      </c>
      <c r="D274" s="757">
        <v>472</v>
      </c>
      <c r="E274" s="757"/>
      <c r="F274" s="376">
        <v>2363</v>
      </c>
      <c r="G274" s="758"/>
      <c r="H274" s="1731"/>
      <c r="I274" s="759"/>
    </row>
    <row r="275" spans="1:11" x14ac:dyDescent="0.2">
      <c r="A275" s="1707">
        <v>1</v>
      </c>
      <c r="B275" s="2021" t="s">
        <v>1784</v>
      </c>
      <c r="C275" s="760"/>
      <c r="D275" s="760"/>
      <c r="E275" s="761">
        <v>472</v>
      </c>
      <c r="F275" s="762">
        <v>2363</v>
      </c>
      <c r="G275" s="763">
        <v>472</v>
      </c>
      <c r="H275" s="1696" t="s">
        <v>1785</v>
      </c>
      <c r="I275" s="2022"/>
    </row>
    <row r="276" spans="1:11" x14ac:dyDescent="0.2">
      <c r="A276" s="1707"/>
      <c r="B276" s="2021"/>
      <c r="C276" s="760"/>
      <c r="D276" s="760"/>
      <c r="E276" s="761">
        <v>5165</v>
      </c>
      <c r="F276" s="1521">
        <v>2314</v>
      </c>
      <c r="G276" s="763">
        <v>5165</v>
      </c>
      <c r="H276" s="1696"/>
      <c r="I276" s="2023"/>
    </row>
    <row r="277" spans="1:11" x14ac:dyDescent="0.2">
      <c r="A277" s="1707"/>
      <c r="B277" s="2021"/>
      <c r="C277" s="760"/>
      <c r="D277" s="760"/>
      <c r="E277" s="761">
        <v>140</v>
      </c>
      <c r="F277" s="1521">
        <v>2279</v>
      </c>
      <c r="G277" s="763">
        <v>140</v>
      </c>
      <c r="H277" s="1696"/>
      <c r="I277" s="2023"/>
    </row>
    <row r="278" spans="1:11" x14ac:dyDescent="0.2">
      <c r="A278" s="1707"/>
      <c r="B278" s="2021"/>
      <c r="C278" s="760"/>
      <c r="D278" s="760"/>
      <c r="E278" s="761">
        <v>900</v>
      </c>
      <c r="F278" s="1521">
        <v>2262</v>
      </c>
      <c r="G278" s="763">
        <v>900</v>
      </c>
      <c r="H278" s="1696"/>
      <c r="I278" s="2023"/>
    </row>
    <row r="279" spans="1:11" x14ac:dyDescent="0.2">
      <c r="A279" s="1707"/>
      <c r="B279" s="2021"/>
      <c r="C279" s="760"/>
      <c r="D279" s="760"/>
      <c r="E279" s="760">
        <v>2382</v>
      </c>
      <c r="F279" s="1521">
        <v>1150</v>
      </c>
      <c r="G279" s="763">
        <v>2382</v>
      </c>
      <c r="H279" s="1696"/>
      <c r="I279" s="2023"/>
    </row>
    <row r="280" spans="1:11" x14ac:dyDescent="0.2">
      <c r="A280" s="1707"/>
      <c r="B280" s="2021"/>
      <c r="C280" s="760"/>
      <c r="D280" s="760"/>
      <c r="E280" s="760">
        <v>578</v>
      </c>
      <c r="F280" s="1521">
        <v>1210</v>
      </c>
      <c r="G280" s="763">
        <v>578</v>
      </c>
      <c r="H280" s="1696"/>
      <c r="I280" s="2024"/>
    </row>
    <row r="281" spans="1:11" x14ac:dyDescent="0.2">
      <c r="A281" s="1707">
        <v>2</v>
      </c>
      <c r="B281" s="2021" t="s">
        <v>1786</v>
      </c>
      <c r="C281" s="760"/>
      <c r="D281" s="760"/>
      <c r="E281" s="761">
        <v>4268</v>
      </c>
      <c r="F281" s="1521">
        <v>2314</v>
      </c>
      <c r="G281" s="763">
        <v>4268</v>
      </c>
      <c r="H281" s="1696" t="s">
        <v>1785</v>
      </c>
      <c r="I281" s="2025"/>
    </row>
    <row r="282" spans="1:11" x14ac:dyDescent="0.2">
      <c r="A282" s="1707"/>
      <c r="B282" s="2021"/>
      <c r="C282" s="760"/>
      <c r="D282" s="760"/>
      <c r="E282" s="761">
        <v>1042</v>
      </c>
      <c r="F282" s="1521">
        <v>1150</v>
      </c>
      <c r="G282" s="763">
        <v>1042</v>
      </c>
      <c r="H282" s="1696"/>
      <c r="I282" s="2026"/>
    </row>
    <row r="283" spans="1:11" x14ac:dyDescent="0.2">
      <c r="A283" s="1707"/>
      <c r="B283" s="2021"/>
      <c r="C283" s="760"/>
      <c r="D283" s="760"/>
      <c r="E283" s="761">
        <v>253</v>
      </c>
      <c r="F283" s="1521">
        <v>1210</v>
      </c>
      <c r="G283" s="763">
        <v>253</v>
      </c>
      <c r="H283" s="1696"/>
      <c r="I283" s="2026"/>
    </row>
    <row r="284" spans="1:11" x14ac:dyDescent="0.2">
      <c r="A284" s="1707"/>
      <c r="B284" s="2021"/>
      <c r="C284" s="760"/>
      <c r="D284" s="760"/>
      <c r="E284" s="760">
        <v>300</v>
      </c>
      <c r="F284" s="1521">
        <v>2262</v>
      </c>
      <c r="G284" s="763">
        <v>300</v>
      </c>
      <c r="H284" s="1696"/>
      <c r="I284" s="2026"/>
    </row>
    <row r="285" spans="1:11" x14ac:dyDescent="0.2">
      <c r="A285" s="1707"/>
      <c r="B285" s="2021"/>
      <c r="C285" s="760"/>
      <c r="D285" s="760"/>
      <c r="E285" s="761">
        <v>20</v>
      </c>
      <c r="F285" s="1521">
        <v>2279</v>
      </c>
      <c r="G285" s="763">
        <v>20</v>
      </c>
      <c r="H285" s="1696"/>
      <c r="I285" s="2027"/>
    </row>
    <row r="286" spans="1:11" ht="12.75" customHeight="1" x14ac:dyDescent="0.2">
      <c r="A286" s="325"/>
      <c r="B286" s="407"/>
      <c r="C286" s="764"/>
      <c r="D286" s="764"/>
      <c r="E286" s="765"/>
      <c r="F286" s="764"/>
      <c r="G286" s="766"/>
      <c r="H286" s="767"/>
      <c r="I286" s="768"/>
    </row>
    <row r="287" spans="1:11" ht="12.75" customHeight="1" x14ac:dyDescent="0.2">
      <c r="A287" s="1692" t="s">
        <v>129</v>
      </c>
      <c r="B287" s="1692"/>
      <c r="C287" s="1750" t="s">
        <v>1787</v>
      </c>
      <c r="D287" s="1750"/>
      <c r="E287" s="1750"/>
      <c r="F287" s="1750"/>
      <c r="G287" s="1750"/>
      <c r="H287" s="1750"/>
      <c r="I287" s="1750"/>
      <c r="J287" s="1750"/>
      <c r="K287" s="1750"/>
    </row>
    <row r="288" spans="1:11" ht="12.75" customHeight="1" x14ac:dyDescent="0.2">
      <c r="A288" s="2020" t="s">
        <v>131</v>
      </c>
      <c r="B288" s="2020"/>
      <c r="C288" s="1736" t="s">
        <v>1208</v>
      </c>
      <c r="D288" s="1736"/>
      <c r="E288" s="1736"/>
      <c r="F288" s="1736"/>
      <c r="G288" s="1736"/>
      <c r="H288" s="1736"/>
      <c r="I288" s="1736"/>
    </row>
    <row r="289" spans="1:9" ht="48" x14ac:dyDescent="0.2">
      <c r="A289" s="312" t="s">
        <v>4</v>
      </c>
      <c r="B289" s="410" t="s">
        <v>133</v>
      </c>
      <c r="C289" s="312" t="s">
        <v>17</v>
      </c>
      <c r="D289" s="312" t="s">
        <v>15</v>
      </c>
      <c r="E289" s="312" t="s">
        <v>134</v>
      </c>
      <c r="F289" s="312" t="s">
        <v>135</v>
      </c>
      <c r="G289" s="1435" t="s">
        <v>3465</v>
      </c>
      <c r="H289" s="312" t="s">
        <v>14</v>
      </c>
      <c r="I289" s="705" t="s">
        <v>137</v>
      </c>
    </row>
    <row r="290" spans="1:9" x14ac:dyDescent="0.2">
      <c r="A290" s="2012" t="s">
        <v>138</v>
      </c>
      <c r="B290" s="2013"/>
      <c r="C290" s="703">
        <f>SUM(C291:C364)</f>
        <v>68523</v>
      </c>
      <c r="D290" s="703">
        <f>SUM(D291:D364)</f>
        <v>60358</v>
      </c>
      <c r="E290" s="703">
        <f>SUM(E291:E364)</f>
        <v>140490</v>
      </c>
      <c r="F290" s="703"/>
      <c r="G290" s="704">
        <f>SUM(G291:G364)</f>
        <v>140490</v>
      </c>
      <c r="H290" s="317"/>
      <c r="I290" s="723"/>
    </row>
    <row r="291" spans="1:9" hidden="1" x14ac:dyDescent="0.2">
      <c r="A291" s="1684">
        <v>1</v>
      </c>
      <c r="B291" s="2017" t="s">
        <v>1788</v>
      </c>
      <c r="C291" s="342">
        <v>100</v>
      </c>
      <c r="D291" s="342">
        <v>100</v>
      </c>
      <c r="E291" s="342"/>
      <c r="F291" s="323">
        <v>2314</v>
      </c>
      <c r="G291" s="711"/>
      <c r="H291" s="1702" t="s">
        <v>1789</v>
      </c>
      <c r="I291" s="713"/>
    </row>
    <row r="292" spans="1:9" hidden="1" x14ac:dyDescent="0.2">
      <c r="A292" s="1685"/>
      <c r="B292" s="2018"/>
      <c r="C292" s="342">
        <v>100</v>
      </c>
      <c r="D292" s="342">
        <v>100</v>
      </c>
      <c r="E292" s="342"/>
      <c r="F292" s="323">
        <v>2363</v>
      </c>
      <c r="G292" s="711"/>
      <c r="H292" s="1703"/>
      <c r="I292" s="754"/>
    </row>
    <row r="293" spans="1:9" ht="48" hidden="1" customHeight="1" x14ac:dyDescent="0.2">
      <c r="A293" s="320">
        <v>2</v>
      </c>
      <c r="B293" s="717" t="s">
        <v>1790</v>
      </c>
      <c r="C293" s="342">
        <v>80</v>
      </c>
      <c r="D293" s="342">
        <v>80</v>
      </c>
      <c r="E293" s="342"/>
      <c r="F293" s="323">
        <v>2314</v>
      </c>
      <c r="G293" s="711"/>
      <c r="H293" s="379" t="s">
        <v>1791</v>
      </c>
      <c r="I293" s="716"/>
    </row>
    <row r="294" spans="1:9" hidden="1" x14ac:dyDescent="0.2">
      <c r="A294" s="1684">
        <v>3</v>
      </c>
      <c r="B294" s="2017" t="s">
        <v>1792</v>
      </c>
      <c r="C294" s="342">
        <v>150</v>
      </c>
      <c r="D294" s="342">
        <v>123</v>
      </c>
      <c r="E294" s="342"/>
      <c r="F294" s="323">
        <v>2314</v>
      </c>
      <c r="G294" s="711"/>
      <c r="H294" s="1702" t="s">
        <v>1793</v>
      </c>
      <c r="I294" s="716"/>
    </row>
    <row r="295" spans="1:9" hidden="1" x14ac:dyDescent="0.2">
      <c r="A295" s="1685"/>
      <c r="B295" s="2018"/>
      <c r="C295" s="342">
        <v>300</v>
      </c>
      <c r="D295" s="342">
        <v>254</v>
      </c>
      <c r="E295" s="342"/>
      <c r="F295" s="323">
        <v>2262</v>
      </c>
      <c r="G295" s="711"/>
      <c r="H295" s="1703"/>
      <c r="I295" s="716"/>
    </row>
    <row r="296" spans="1:9" ht="12.75" hidden="1" customHeight="1" x14ac:dyDescent="0.2">
      <c r="A296" s="1684">
        <v>4</v>
      </c>
      <c r="B296" s="2017" t="s">
        <v>1794</v>
      </c>
      <c r="C296" s="361">
        <v>260</v>
      </c>
      <c r="D296" s="361">
        <v>260</v>
      </c>
      <c r="E296" s="361"/>
      <c r="F296" s="414">
        <v>2279</v>
      </c>
      <c r="G296" s="711"/>
      <c r="H296" s="1702" t="s">
        <v>1668</v>
      </c>
      <c r="I296" s="716"/>
    </row>
    <row r="297" spans="1:9" hidden="1" x14ac:dyDescent="0.2">
      <c r="A297" s="1720"/>
      <c r="B297" s="2019"/>
      <c r="C297" s="361">
        <v>600</v>
      </c>
      <c r="D297" s="361">
        <v>469</v>
      </c>
      <c r="E297" s="361"/>
      <c r="F297" s="414">
        <v>2262</v>
      </c>
      <c r="G297" s="711"/>
      <c r="H297" s="1735"/>
      <c r="I297" s="716"/>
    </row>
    <row r="298" spans="1:9" hidden="1" x14ac:dyDescent="0.2">
      <c r="A298" s="1720"/>
      <c r="B298" s="2019"/>
      <c r="C298" s="361">
        <v>300</v>
      </c>
      <c r="D298" s="361">
        <v>80</v>
      </c>
      <c r="E298" s="361"/>
      <c r="F298" s="414">
        <v>2314</v>
      </c>
      <c r="G298" s="711"/>
      <c r="H298" s="1735"/>
      <c r="I298" s="716"/>
    </row>
    <row r="299" spans="1:9" hidden="1" x14ac:dyDescent="0.2">
      <c r="A299" s="1720"/>
      <c r="B299" s="2019"/>
      <c r="C299" s="361">
        <v>900</v>
      </c>
      <c r="D299" s="361">
        <v>329</v>
      </c>
      <c r="E299" s="361"/>
      <c r="F299" s="414">
        <v>2363</v>
      </c>
      <c r="G299" s="711"/>
      <c r="H299" s="1735"/>
      <c r="I299" s="716"/>
    </row>
    <row r="300" spans="1:9" hidden="1" x14ac:dyDescent="0.2">
      <c r="A300" s="1720"/>
      <c r="B300" s="2019"/>
      <c r="C300" s="361">
        <v>1250</v>
      </c>
      <c r="D300" s="361">
        <v>440</v>
      </c>
      <c r="E300" s="361"/>
      <c r="F300" s="414">
        <v>1150</v>
      </c>
      <c r="G300" s="711"/>
      <c r="H300" s="1735"/>
      <c r="I300" s="716"/>
    </row>
    <row r="301" spans="1:9" hidden="1" x14ac:dyDescent="0.2">
      <c r="A301" s="1685"/>
      <c r="B301" s="2018"/>
      <c r="C301" s="361">
        <v>302</v>
      </c>
      <c r="D301" s="361">
        <v>106</v>
      </c>
      <c r="E301" s="361"/>
      <c r="F301" s="414">
        <v>1210</v>
      </c>
      <c r="G301" s="711"/>
      <c r="H301" s="1703"/>
      <c r="I301" s="716"/>
    </row>
    <row r="302" spans="1:9" ht="37.5" hidden="1" customHeight="1" x14ac:dyDescent="0.2">
      <c r="A302" s="377">
        <v>5</v>
      </c>
      <c r="B302" s="717" t="s">
        <v>1795</v>
      </c>
      <c r="C302" s="361">
        <v>1200</v>
      </c>
      <c r="D302" s="361">
        <v>1200</v>
      </c>
      <c r="E302" s="361"/>
      <c r="F302" s="414">
        <v>2279</v>
      </c>
      <c r="G302" s="711"/>
      <c r="H302" s="379" t="s">
        <v>1796</v>
      </c>
      <c r="I302" s="716"/>
    </row>
    <row r="303" spans="1:9" ht="12.75" hidden="1" customHeight="1" x14ac:dyDescent="0.2">
      <c r="A303" s="1684">
        <v>6</v>
      </c>
      <c r="B303" s="1686" t="s">
        <v>1797</v>
      </c>
      <c r="C303" s="361">
        <v>1146</v>
      </c>
      <c r="D303" s="361">
        <v>500</v>
      </c>
      <c r="E303" s="361"/>
      <c r="F303" s="414">
        <v>2231</v>
      </c>
      <c r="G303" s="711"/>
      <c r="H303" s="1702" t="s">
        <v>1798</v>
      </c>
      <c r="I303" s="716"/>
    </row>
    <row r="304" spans="1:9" ht="12.75" hidden="1" customHeight="1" x14ac:dyDescent="0.2">
      <c r="A304" s="1685"/>
      <c r="B304" s="1687"/>
      <c r="C304" s="361">
        <v>1000</v>
      </c>
      <c r="D304" s="361">
        <v>1000</v>
      </c>
      <c r="E304" s="361"/>
      <c r="F304" s="414">
        <v>2314</v>
      </c>
      <c r="G304" s="711"/>
      <c r="H304" s="1703"/>
      <c r="I304" s="716"/>
    </row>
    <row r="305" spans="1:9" ht="12.75" hidden="1" customHeight="1" x14ac:dyDescent="0.2">
      <c r="A305" s="1684">
        <v>7</v>
      </c>
      <c r="B305" s="2017" t="s">
        <v>1799</v>
      </c>
      <c r="C305" s="361">
        <v>300</v>
      </c>
      <c r="D305" s="361">
        <v>300</v>
      </c>
      <c r="E305" s="361"/>
      <c r="F305" s="414">
        <v>1150</v>
      </c>
      <c r="G305" s="711"/>
      <c r="H305" s="1702" t="s">
        <v>1702</v>
      </c>
      <c r="I305" s="716"/>
    </row>
    <row r="306" spans="1:9" ht="12.75" hidden="1" customHeight="1" x14ac:dyDescent="0.2">
      <c r="A306" s="1720"/>
      <c r="B306" s="2019"/>
      <c r="C306" s="361">
        <v>1150</v>
      </c>
      <c r="D306" s="361">
        <v>1127</v>
      </c>
      <c r="E306" s="361"/>
      <c r="F306" s="414">
        <v>2231</v>
      </c>
      <c r="G306" s="711"/>
      <c r="H306" s="1735"/>
      <c r="I306" s="716"/>
    </row>
    <row r="307" spans="1:9" ht="12.75" hidden="1" customHeight="1" x14ac:dyDescent="0.2">
      <c r="A307" s="1720"/>
      <c r="B307" s="2019"/>
      <c r="C307" s="361">
        <v>900</v>
      </c>
      <c r="D307" s="361">
        <v>874</v>
      </c>
      <c r="E307" s="361"/>
      <c r="F307" s="414">
        <v>2262</v>
      </c>
      <c r="G307" s="711"/>
      <c r="H307" s="1735"/>
      <c r="I307" s="716"/>
    </row>
    <row r="308" spans="1:9" ht="12.75" hidden="1" customHeight="1" x14ac:dyDescent="0.2">
      <c r="A308" s="1720"/>
      <c r="B308" s="2019"/>
      <c r="C308" s="361">
        <v>450</v>
      </c>
      <c r="D308" s="361">
        <v>435</v>
      </c>
      <c r="E308" s="361"/>
      <c r="F308" s="414">
        <v>2279</v>
      </c>
      <c r="G308" s="711"/>
      <c r="H308" s="1735"/>
      <c r="I308" s="716"/>
    </row>
    <row r="309" spans="1:9" ht="12.75" hidden="1" customHeight="1" x14ac:dyDescent="0.2">
      <c r="A309" s="1720"/>
      <c r="B309" s="2019"/>
      <c r="C309" s="361">
        <v>375</v>
      </c>
      <c r="D309" s="361">
        <v>352</v>
      </c>
      <c r="E309" s="361"/>
      <c r="F309" s="414">
        <v>2314</v>
      </c>
      <c r="G309" s="711"/>
      <c r="H309" s="1735"/>
      <c r="I309" s="716"/>
    </row>
    <row r="310" spans="1:9" ht="12.75" hidden="1" customHeight="1" x14ac:dyDescent="0.2">
      <c r="A310" s="1685"/>
      <c r="B310" s="2018"/>
      <c r="C310" s="361">
        <v>825</v>
      </c>
      <c r="D310" s="361">
        <v>800</v>
      </c>
      <c r="E310" s="361"/>
      <c r="F310" s="414">
        <v>2363</v>
      </c>
      <c r="G310" s="711"/>
      <c r="H310" s="1703"/>
      <c r="I310" s="716"/>
    </row>
    <row r="311" spans="1:9" ht="21" hidden="1" customHeight="1" x14ac:dyDescent="0.2">
      <c r="A311" s="769">
        <v>8</v>
      </c>
      <c r="B311" s="719" t="s">
        <v>1800</v>
      </c>
      <c r="C311" s="361">
        <v>1445</v>
      </c>
      <c r="D311" s="361">
        <v>976</v>
      </c>
      <c r="E311" s="361"/>
      <c r="F311" s="414">
        <v>2314</v>
      </c>
      <c r="G311" s="711"/>
      <c r="H311" s="770" t="s">
        <v>1798</v>
      </c>
      <c r="I311" s="716"/>
    </row>
    <row r="312" spans="1:9" ht="12.75" hidden="1" customHeight="1" x14ac:dyDescent="0.2">
      <c r="A312" s="1684">
        <v>9</v>
      </c>
      <c r="B312" s="1686" t="s">
        <v>1801</v>
      </c>
      <c r="C312" s="361">
        <v>2661</v>
      </c>
      <c r="D312" s="361">
        <v>2660</v>
      </c>
      <c r="E312" s="361"/>
      <c r="F312" s="414">
        <v>2314</v>
      </c>
      <c r="G312" s="711"/>
      <c r="H312" s="1702" t="s">
        <v>1702</v>
      </c>
      <c r="I312" s="716"/>
    </row>
    <row r="313" spans="1:9" ht="12.75" hidden="1" customHeight="1" x14ac:dyDescent="0.2">
      <c r="A313" s="1685"/>
      <c r="B313" s="1687"/>
      <c r="C313" s="361">
        <v>24433</v>
      </c>
      <c r="D313" s="361">
        <v>24433</v>
      </c>
      <c r="E313" s="361"/>
      <c r="F313" s="414">
        <v>6422</v>
      </c>
      <c r="G313" s="711"/>
      <c r="H313" s="1703"/>
      <c r="I313" s="716"/>
    </row>
    <row r="314" spans="1:9" hidden="1" x14ac:dyDescent="0.2">
      <c r="A314" s="377">
        <v>10</v>
      </c>
      <c r="B314" s="717" t="s">
        <v>1802</v>
      </c>
      <c r="C314" s="361">
        <v>1000</v>
      </c>
      <c r="D314" s="361">
        <v>1000</v>
      </c>
      <c r="E314" s="361"/>
      <c r="F314" s="414">
        <v>2314</v>
      </c>
      <c r="G314" s="711"/>
      <c r="H314" s="379" t="s">
        <v>1803</v>
      </c>
      <c r="I314" s="716"/>
    </row>
    <row r="315" spans="1:9" ht="15.75" hidden="1" customHeight="1" x14ac:dyDescent="0.2">
      <c r="A315" s="1684">
        <v>11</v>
      </c>
      <c r="B315" s="2017" t="s">
        <v>1804</v>
      </c>
      <c r="C315" s="361">
        <v>241</v>
      </c>
      <c r="D315" s="361">
        <v>241</v>
      </c>
      <c r="E315" s="361"/>
      <c r="F315" s="414">
        <v>1150</v>
      </c>
      <c r="G315" s="711"/>
      <c r="H315" s="1702" t="s">
        <v>1805</v>
      </c>
      <c r="I315" s="716"/>
    </row>
    <row r="316" spans="1:9" ht="15.75" hidden="1" customHeight="1" x14ac:dyDescent="0.2">
      <c r="A316" s="1720"/>
      <c r="B316" s="2019"/>
      <c r="C316" s="361">
        <v>59</v>
      </c>
      <c r="D316" s="361">
        <v>59</v>
      </c>
      <c r="E316" s="361"/>
      <c r="F316" s="414">
        <v>1210</v>
      </c>
      <c r="G316" s="711"/>
      <c r="H316" s="1735"/>
      <c r="I316" s="716"/>
    </row>
    <row r="317" spans="1:9" ht="15.75" hidden="1" customHeight="1" x14ac:dyDescent="0.2">
      <c r="A317" s="1685"/>
      <c r="B317" s="2018"/>
      <c r="C317" s="361">
        <v>100</v>
      </c>
      <c r="D317" s="361">
        <v>100</v>
      </c>
      <c r="E317" s="361"/>
      <c r="F317" s="414">
        <v>2314</v>
      </c>
      <c r="G317" s="711"/>
      <c r="H317" s="1703"/>
      <c r="I317" s="716"/>
    </row>
    <row r="318" spans="1:9" ht="12.75" hidden="1" customHeight="1" x14ac:dyDescent="0.2">
      <c r="A318" s="1684">
        <v>12</v>
      </c>
      <c r="B318" s="2017" t="s">
        <v>1806</v>
      </c>
      <c r="C318" s="361">
        <v>1474</v>
      </c>
      <c r="D318" s="361"/>
      <c r="E318" s="361"/>
      <c r="F318" s="414">
        <v>2231</v>
      </c>
      <c r="G318" s="711"/>
      <c r="H318" s="1702" t="s">
        <v>1654</v>
      </c>
      <c r="I318" s="716"/>
    </row>
    <row r="319" spans="1:9" ht="12.75" hidden="1" customHeight="1" x14ac:dyDescent="0.2">
      <c r="A319" s="1720"/>
      <c r="B319" s="2019"/>
      <c r="C319" s="361">
        <v>50</v>
      </c>
      <c r="D319" s="361">
        <v>50</v>
      </c>
      <c r="E319" s="361"/>
      <c r="F319" s="414">
        <v>1210</v>
      </c>
      <c r="G319" s="711"/>
      <c r="H319" s="1735"/>
      <c r="I319" s="716"/>
    </row>
    <row r="320" spans="1:9" ht="15" hidden="1" customHeight="1" x14ac:dyDescent="0.2">
      <c r="A320" s="1720"/>
      <c r="B320" s="2019"/>
      <c r="C320" s="361">
        <v>2200</v>
      </c>
      <c r="D320" s="361">
        <v>2200</v>
      </c>
      <c r="E320" s="361"/>
      <c r="F320" s="414">
        <v>1150</v>
      </c>
      <c r="G320" s="711"/>
      <c r="H320" s="1735"/>
      <c r="I320" s="716"/>
    </row>
    <row r="321" spans="1:9" ht="12.75" hidden="1" customHeight="1" x14ac:dyDescent="0.2">
      <c r="A321" s="1685"/>
      <c r="B321" s="2018"/>
      <c r="C321" s="361">
        <v>276</v>
      </c>
      <c r="D321" s="361"/>
      <c r="E321" s="361"/>
      <c r="F321" s="414">
        <v>2231</v>
      </c>
      <c r="G321" s="711"/>
      <c r="H321" s="1703"/>
      <c r="I321" s="716"/>
    </row>
    <row r="322" spans="1:9" hidden="1" x14ac:dyDescent="0.2">
      <c r="A322" s="1684">
        <v>13</v>
      </c>
      <c r="B322" s="2017" t="s">
        <v>1807</v>
      </c>
      <c r="C322" s="361">
        <v>400</v>
      </c>
      <c r="D322" s="361">
        <v>398</v>
      </c>
      <c r="E322" s="361"/>
      <c r="F322" s="414">
        <v>2314</v>
      </c>
      <c r="G322" s="711"/>
      <c r="H322" s="1702" t="s">
        <v>1808</v>
      </c>
      <c r="I322" s="716"/>
    </row>
    <row r="323" spans="1:9" hidden="1" x14ac:dyDescent="0.2">
      <c r="A323" s="1720"/>
      <c r="B323" s="2019"/>
      <c r="C323" s="361">
        <v>1643</v>
      </c>
      <c r="D323" s="361">
        <v>1643</v>
      </c>
      <c r="E323" s="361"/>
      <c r="F323" s="414">
        <v>2279</v>
      </c>
      <c r="G323" s="711"/>
      <c r="H323" s="1735"/>
      <c r="I323" s="716"/>
    </row>
    <row r="324" spans="1:9" hidden="1" x14ac:dyDescent="0.2">
      <c r="A324" s="1720"/>
      <c r="B324" s="2019"/>
      <c r="C324" s="361">
        <v>371</v>
      </c>
      <c r="D324" s="361">
        <v>371</v>
      </c>
      <c r="E324" s="361"/>
      <c r="F324" s="414">
        <v>2262</v>
      </c>
      <c r="G324" s="711"/>
      <c r="H324" s="1735"/>
      <c r="I324" s="716"/>
    </row>
    <row r="325" spans="1:9" hidden="1" x14ac:dyDescent="0.2">
      <c r="A325" s="1685"/>
      <c r="B325" s="2018"/>
      <c r="C325" s="361">
        <v>800</v>
      </c>
      <c r="D325" s="361">
        <v>800</v>
      </c>
      <c r="E325" s="361"/>
      <c r="F325" s="414">
        <v>2231</v>
      </c>
      <c r="G325" s="711"/>
      <c r="H325" s="1703"/>
      <c r="I325" s="716"/>
    </row>
    <row r="326" spans="1:9" ht="12.75" hidden="1" customHeight="1" x14ac:dyDescent="0.2">
      <c r="A326" s="1684">
        <v>14</v>
      </c>
      <c r="B326" s="1665" t="s">
        <v>1809</v>
      </c>
      <c r="C326" s="361">
        <v>2120</v>
      </c>
      <c r="D326" s="361">
        <v>1092</v>
      </c>
      <c r="E326" s="361"/>
      <c r="F326" s="414">
        <v>1150</v>
      </c>
      <c r="G326" s="711"/>
      <c r="H326" s="1702" t="s">
        <v>1810</v>
      </c>
      <c r="I326" s="716"/>
    </row>
    <row r="327" spans="1:9" ht="12.75" hidden="1" customHeight="1" x14ac:dyDescent="0.2">
      <c r="A327" s="1720"/>
      <c r="B327" s="1667"/>
      <c r="C327" s="361">
        <v>511</v>
      </c>
      <c r="D327" s="361">
        <v>209</v>
      </c>
      <c r="E327" s="361"/>
      <c r="F327" s="414">
        <v>1210</v>
      </c>
      <c r="G327" s="711"/>
      <c r="H327" s="1735"/>
      <c r="I327" s="716"/>
    </row>
    <row r="328" spans="1:9" ht="12.75" hidden="1" customHeight="1" x14ac:dyDescent="0.2">
      <c r="A328" s="1720"/>
      <c r="B328" s="1667"/>
      <c r="C328" s="361">
        <v>400</v>
      </c>
      <c r="D328" s="361">
        <v>400</v>
      </c>
      <c r="E328" s="361"/>
      <c r="F328" s="414">
        <v>2314</v>
      </c>
      <c r="G328" s="711"/>
      <c r="H328" s="1735"/>
      <c r="I328" s="716"/>
    </row>
    <row r="329" spans="1:9" ht="12.75" hidden="1" customHeight="1" x14ac:dyDescent="0.2">
      <c r="A329" s="1720"/>
      <c r="B329" s="1667"/>
      <c r="C329" s="361">
        <v>961</v>
      </c>
      <c r="D329" s="361">
        <v>800</v>
      </c>
      <c r="E329" s="361"/>
      <c r="F329" s="414">
        <v>2279</v>
      </c>
      <c r="G329" s="711"/>
      <c r="H329" s="1735"/>
      <c r="I329" s="716"/>
    </row>
    <row r="330" spans="1:9" ht="14.25" hidden="1" customHeight="1" x14ac:dyDescent="0.2">
      <c r="A330" s="1720"/>
      <c r="B330" s="1667"/>
      <c r="C330" s="361">
        <v>720</v>
      </c>
      <c r="D330" s="361">
        <v>720</v>
      </c>
      <c r="E330" s="361"/>
      <c r="F330" s="414">
        <v>2262</v>
      </c>
      <c r="G330" s="711"/>
      <c r="H330" s="1735"/>
      <c r="I330" s="716"/>
    </row>
    <row r="331" spans="1:9" ht="12.75" hidden="1" customHeight="1" x14ac:dyDescent="0.2">
      <c r="A331" s="1685"/>
      <c r="B331" s="1669"/>
      <c r="C331" s="361">
        <v>1600</v>
      </c>
      <c r="D331" s="361">
        <v>1057</v>
      </c>
      <c r="E331" s="361"/>
      <c r="F331" s="414">
        <v>2235</v>
      </c>
      <c r="G331" s="711"/>
      <c r="H331" s="1703"/>
      <c r="I331" s="716"/>
    </row>
    <row r="332" spans="1:9" ht="24" hidden="1" customHeight="1" x14ac:dyDescent="0.2">
      <c r="A332" s="377">
        <v>15</v>
      </c>
      <c r="B332" s="717" t="s">
        <v>1811</v>
      </c>
      <c r="C332" s="361">
        <v>1000</v>
      </c>
      <c r="D332" s="361">
        <v>900</v>
      </c>
      <c r="E332" s="361"/>
      <c r="F332" s="414">
        <v>2235</v>
      </c>
      <c r="G332" s="711"/>
      <c r="H332" s="379" t="s">
        <v>1812</v>
      </c>
      <c r="I332" s="716"/>
    </row>
    <row r="333" spans="1:9" ht="24.75" hidden="1" customHeight="1" x14ac:dyDescent="0.2">
      <c r="A333" s="377">
        <v>16</v>
      </c>
      <c r="B333" s="717" t="s">
        <v>1813</v>
      </c>
      <c r="C333" s="361">
        <v>3450</v>
      </c>
      <c r="D333" s="361">
        <v>3400</v>
      </c>
      <c r="E333" s="361"/>
      <c r="F333" s="414">
        <v>2279</v>
      </c>
      <c r="G333" s="711"/>
      <c r="H333" s="379" t="s">
        <v>1812</v>
      </c>
      <c r="I333" s="716"/>
    </row>
    <row r="334" spans="1:9" ht="24" hidden="1" customHeight="1" x14ac:dyDescent="0.2">
      <c r="A334" s="377">
        <v>17</v>
      </c>
      <c r="B334" s="717" t="s">
        <v>1814</v>
      </c>
      <c r="C334" s="361">
        <v>1000</v>
      </c>
      <c r="D334" s="361">
        <v>0</v>
      </c>
      <c r="E334" s="361"/>
      <c r="F334" s="414">
        <v>2252</v>
      </c>
      <c r="G334" s="711"/>
      <c r="H334" s="379" t="s">
        <v>1815</v>
      </c>
      <c r="I334" s="716"/>
    </row>
    <row r="335" spans="1:9" ht="12" hidden="1" customHeight="1" x14ac:dyDescent="0.2">
      <c r="A335" s="1684">
        <v>18</v>
      </c>
      <c r="B335" s="2017" t="s">
        <v>1816</v>
      </c>
      <c r="C335" s="361">
        <v>200</v>
      </c>
      <c r="D335" s="361">
        <v>200</v>
      </c>
      <c r="E335" s="361"/>
      <c r="F335" s="414">
        <v>1150</v>
      </c>
      <c r="G335" s="711"/>
      <c r="H335" s="1702" t="s">
        <v>1817</v>
      </c>
      <c r="I335" s="716"/>
    </row>
    <row r="336" spans="1:9" ht="12.75" hidden="1" customHeight="1" x14ac:dyDescent="0.2">
      <c r="A336" s="1720"/>
      <c r="B336" s="2019"/>
      <c r="C336" s="361">
        <v>49</v>
      </c>
      <c r="D336" s="361">
        <v>49</v>
      </c>
      <c r="E336" s="361"/>
      <c r="F336" s="414">
        <v>1210</v>
      </c>
      <c r="G336" s="711"/>
      <c r="H336" s="1735"/>
      <c r="I336" s="716"/>
    </row>
    <row r="337" spans="1:9" ht="12.75" hidden="1" customHeight="1" x14ac:dyDescent="0.2">
      <c r="A337" s="1685"/>
      <c r="B337" s="2018"/>
      <c r="C337" s="361">
        <v>200</v>
      </c>
      <c r="D337" s="361">
        <v>200</v>
      </c>
      <c r="E337" s="361"/>
      <c r="F337" s="414">
        <v>2314</v>
      </c>
      <c r="G337" s="711"/>
      <c r="H337" s="1703"/>
      <c r="I337" s="716"/>
    </row>
    <row r="338" spans="1:9" ht="24" hidden="1" customHeight="1" x14ac:dyDescent="0.2">
      <c r="A338" s="377">
        <v>19</v>
      </c>
      <c r="B338" s="717" t="s">
        <v>1818</v>
      </c>
      <c r="C338" s="361">
        <v>30</v>
      </c>
      <c r="D338" s="361">
        <v>30</v>
      </c>
      <c r="E338" s="361"/>
      <c r="F338" s="414">
        <v>2314</v>
      </c>
      <c r="G338" s="711"/>
      <c r="H338" s="379" t="s">
        <v>1819</v>
      </c>
      <c r="I338" s="716"/>
    </row>
    <row r="339" spans="1:9" ht="17.25" hidden="1" customHeight="1" x14ac:dyDescent="0.2">
      <c r="A339" s="1684">
        <v>20</v>
      </c>
      <c r="B339" s="2017" t="s">
        <v>1820</v>
      </c>
      <c r="C339" s="361">
        <v>300</v>
      </c>
      <c r="D339" s="361">
        <v>300</v>
      </c>
      <c r="E339" s="361"/>
      <c r="F339" s="414">
        <v>2279</v>
      </c>
      <c r="G339" s="711"/>
      <c r="H339" s="1702" t="s">
        <v>1821</v>
      </c>
      <c r="I339" s="716"/>
    </row>
    <row r="340" spans="1:9" ht="17.25" hidden="1" customHeight="1" x14ac:dyDescent="0.2">
      <c r="A340" s="1720"/>
      <c r="B340" s="2018"/>
      <c r="C340" s="361">
        <v>600</v>
      </c>
      <c r="D340" s="361">
        <v>600</v>
      </c>
      <c r="E340" s="361"/>
      <c r="F340" s="414">
        <v>2231</v>
      </c>
      <c r="G340" s="711"/>
      <c r="H340" s="1735"/>
      <c r="I340" s="771"/>
    </row>
    <row r="341" spans="1:9" hidden="1" x14ac:dyDescent="0.2">
      <c r="A341" s="377">
        <v>21</v>
      </c>
      <c r="B341" s="717" t="s">
        <v>1822</v>
      </c>
      <c r="C341" s="361">
        <v>1403</v>
      </c>
      <c r="D341" s="361">
        <v>1403</v>
      </c>
      <c r="E341" s="361"/>
      <c r="F341" s="414">
        <v>2231</v>
      </c>
      <c r="G341" s="711"/>
      <c r="H341" s="379" t="s">
        <v>1803</v>
      </c>
      <c r="I341" s="772"/>
    </row>
    <row r="342" spans="1:9" x14ac:dyDescent="0.2">
      <c r="A342" s="1708">
        <v>1</v>
      </c>
      <c r="B342" s="1695" t="s">
        <v>1823</v>
      </c>
      <c r="C342" s="361"/>
      <c r="D342" s="361"/>
      <c r="E342" s="361">
        <v>4206</v>
      </c>
      <c r="F342" s="414">
        <v>2314</v>
      </c>
      <c r="G342" s="711">
        <v>4206</v>
      </c>
      <c r="H342" s="1696" t="s">
        <v>1824</v>
      </c>
      <c r="I342" s="1999"/>
    </row>
    <row r="343" spans="1:9" x14ac:dyDescent="0.2">
      <c r="A343" s="1708"/>
      <c r="B343" s="1695"/>
      <c r="C343" s="361"/>
      <c r="D343" s="361"/>
      <c r="E343" s="361">
        <v>100</v>
      </c>
      <c r="F343" s="414">
        <v>2363</v>
      </c>
      <c r="G343" s="711">
        <v>100</v>
      </c>
      <c r="H343" s="1696"/>
      <c r="I343" s="2000"/>
    </row>
    <row r="344" spans="1:9" x14ac:dyDescent="0.2">
      <c r="A344" s="1708"/>
      <c r="B344" s="1695"/>
      <c r="C344" s="361"/>
      <c r="D344" s="361"/>
      <c r="E344" s="361">
        <v>3374</v>
      </c>
      <c r="F344" s="414">
        <v>2231</v>
      </c>
      <c r="G344" s="711">
        <v>3374</v>
      </c>
      <c r="H344" s="1696"/>
      <c r="I344" s="2000"/>
    </row>
    <row r="345" spans="1:9" x14ac:dyDescent="0.2">
      <c r="A345" s="1708"/>
      <c r="B345" s="1695"/>
      <c r="C345" s="361"/>
      <c r="D345" s="361"/>
      <c r="E345" s="361">
        <v>5197</v>
      </c>
      <c r="F345" s="414">
        <v>1150</v>
      </c>
      <c r="G345" s="711">
        <v>5197</v>
      </c>
      <c r="H345" s="1696"/>
      <c r="I345" s="2000"/>
    </row>
    <row r="346" spans="1:9" x14ac:dyDescent="0.2">
      <c r="A346" s="1708"/>
      <c r="B346" s="1695"/>
      <c r="C346" s="361"/>
      <c r="D346" s="361"/>
      <c r="E346" s="361">
        <v>768</v>
      </c>
      <c r="F346" s="414">
        <v>1210</v>
      </c>
      <c r="G346" s="711">
        <v>768</v>
      </c>
      <c r="H346" s="1696"/>
      <c r="I346" s="2000"/>
    </row>
    <row r="347" spans="1:9" x14ac:dyDescent="0.2">
      <c r="A347" s="1708"/>
      <c r="B347" s="1695"/>
      <c r="C347" s="361"/>
      <c r="D347" s="361"/>
      <c r="E347" s="361">
        <v>6761</v>
      </c>
      <c r="F347" s="414">
        <v>2279</v>
      </c>
      <c r="G347" s="711">
        <v>6761</v>
      </c>
      <c r="H347" s="1696"/>
      <c r="I347" s="2000"/>
    </row>
    <row r="348" spans="1:9" x14ac:dyDescent="0.2">
      <c r="A348" s="1708"/>
      <c r="B348" s="1695"/>
      <c r="C348" s="361"/>
      <c r="D348" s="361"/>
      <c r="E348" s="361">
        <v>1220</v>
      </c>
      <c r="F348" s="414">
        <v>2262</v>
      </c>
      <c r="G348" s="711">
        <v>1220</v>
      </c>
      <c r="H348" s="1696"/>
      <c r="I348" s="2000"/>
    </row>
    <row r="349" spans="1:9" x14ac:dyDescent="0.2">
      <c r="A349" s="1708"/>
      <c r="B349" s="1695"/>
      <c r="C349" s="361"/>
      <c r="D349" s="361"/>
      <c r="E349" s="361">
        <v>3600</v>
      </c>
      <c r="F349" s="414">
        <v>2235</v>
      </c>
      <c r="G349" s="711">
        <v>3600</v>
      </c>
      <c r="H349" s="1696"/>
      <c r="I349" s="2001"/>
    </row>
    <row r="350" spans="1:9" x14ac:dyDescent="0.2">
      <c r="A350" s="1708">
        <v>2</v>
      </c>
      <c r="B350" s="1695" t="s">
        <v>1825</v>
      </c>
      <c r="C350" s="361"/>
      <c r="D350" s="361"/>
      <c r="E350" s="361">
        <v>300</v>
      </c>
      <c r="F350" s="414">
        <v>1150</v>
      </c>
      <c r="G350" s="711">
        <v>300</v>
      </c>
      <c r="H350" s="1696" t="s">
        <v>1826</v>
      </c>
      <c r="I350" s="2002"/>
    </row>
    <row r="351" spans="1:9" x14ac:dyDescent="0.2">
      <c r="A351" s="1708"/>
      <c r="B351" s="1695"/>
      <c r="C351" s="361"/>
      <c r="D351" s="361"/>
      <c r="E351" s="361">
        <v>1150</v>
      </c>
      <c r="F351" s="414">
        <v>2231</v>
      </c>
      <c r="G351" s="711">
        <v>1150</v>
      </c>
      <c r="H351" s="1696"/>
      <c r="I351" s="2003"/>
    </row>
    <row r="352" spans="1:9" x14ac:dyDescent="0.2">
      <c r="A352" s="1708"/>
      <c r="B352" s="1695"/>
      <c r="C352" s="361"/>
      <c r="D352" s="361"/>
      <c r="E352" s="361">
        <v>900</v>
      </c>
      <c r="F352" s="414">
        <v>2262</v>
      </c>
      <c r="G352" s="711">
        <v>900</v>
      </c>
      <c r="H352" s="1696"/>
      <c r="I352" s="2003"/>
    </row>
    <row r="353" spans="1:9" x14ac:dyDescent="0.2">
      <c r="A353" s="1708"/>
      <c r="B353" s="1695"/>
      <c r="C353" s="361"/>
      <c r="D353" s="361"/>
      <c r="E353" s="361">
        <v>450</v>
      </c>
      <c r="F353" s="414">
        <v>2279</v>
      </c>
      <c r="G353" s="711">
        <v>450</v>
      </c>
      <c r="H353" s="1696"/>
      <c r="I353" s="2003"/>
    </row>
    <row r="354" spans="1:9" x14ac:dyDescent="0.2">
      <c r="A354" s="1708"/>
      <c r="B354" s="1695"/>
      <c r="C354" s="361"/>
      <c r="D354" s="361"/>
      <c r="E354" s="361">
        <v>4035</v>
      </c>
      <c r="F354" s="414">
        <v>2314</v>
      </c>
      <c r="G354" s="711">
        <v>4035</v>
      </c>
      <c r="H354" s="1696"/>
      <c r="I354" s="2003"/>
    </row>
    <row r="355" spans="1:9" x14ac:dyDescent="0.2">
      <c r="A355" s="1708"/>
      <c r="B355" s="1695"/>
      <c r="C355" s="361"/>
      <c r="D355" s="361"/>
      <c r="E355" s="361">
        <v>850</v>
      </c>
      <c r="F355" s="414">
        <v>2363</v>
      </c>
      <c r="G355" s="711">
        <v>850</v>
      </c>
      <c r="H355" s="1696"/>
      <c r="I355" s="2003"/>
    </row>
    <row r="356" spans="1:9" x14ac:dyDescent="0.2">
      <c r="A356" s="1708"/>
      <c r="B356" s="1695"/>
      <c r="C356" s="361"/>
      <c r="D356" s="361"/>
      <c r="E356" s="361">
        <v>24433</v>
      </c>
      <c r="F356" s="414">
        <v>6422</v>
      </c>
      <c r="G356" s="711">
        <v>24433</v>
      </c>
      <c r="H356" s="1696"/>
      <c r="I356" s="2004"/>
    </row>
    <row r="357" spans="1:9" x14ac:dyDescent="0.2">
      <c r="A357" s="1708">
        <v>3</v>
      </c>
      <c r="B357" s="1695" t="s">
        <v>1828</v>
      </c>
      <c r="C357" s="361"/>
      <c r="D357" s="361"/>
      <c r="E357" s="361">
        <v>530</v>
      </c>
      <c r="F357" s="414">
        <v>2314</v>
      </c>
      <c r="G357" s="711">
        <v>530</v>
      </c>
      <c r="H357" s="1696" t="s">
        <v>1829</v>
      </c>
      <c r="I357" s="2005"/>
    </row>
    <row r="358" spans="1:9" x14ac:dyDescent="0.2">
      <c r="A358" s="1708"/>
      <c r="B358" s="1695"/>
      <c r="C358" s="361"/>
      <c r="D358" s="361"/>
      <c r="E358" s="361">
        <v>900</v>
      </c>
      <c r="F358" s="414">
        <v>2262</v>
      </c>
      <c r="G358" s="711">
        <v>900</v>
      </c>
      <c r="H358" s="1696"/>
      <c r="I358" s="2006"/>
    </row>
    <row r="359" spans="1:9" ht="12" customHeight="1" x14ac:dyDescent="0.2">
      <c r="A359" s="1708"/>
      <c r="B359" s="1695"/>
      <c r="C359" s="361"/>
      <c r="D359" s="361"/>
      <c r="E359" s="361">
        <v>75300</v>
      </c>
      <c r="F359" s="414">
        <v>2279</v>
      </c>
      <c r="G359" s="322">
        <v>75300</v>
      </c>
      <c r="H359" s="1696"/>
      <c r="I359" s="705" t="s">
        <v>1830</v>
      </c>
    </row>
    <row r="360" spans="1:9" x14ac:dyDescent="0.2">
      <c r="A360" s="1708"/>
      <c r="B360" s="1695"/>
      <c r="C360" s="361"/>
      <c r="D360" s="361"/>
      <c r="E360" s="361">
        <v>600</v>
      </c>
      <c r="F360" s="414">
        <v>2263</v>
      </c>
      <c r="G360" s="711">
        <v>600</v>
      </c>
      <c r="H360" s="1696"/>
      <c r="I360" s="2007"/>
    </row>
    <row r="361" spans="1:9" x14ac:dyDescent="0.2">
      <c r="A361" s="1708"/>
      <c r="B361" s="1695"/>
      <c r="C361" s="361"/>
      <c r="D361" s="361"/>
      <c r="E361" s="361">
        <v>625</v>
      </c>
      <c r="F361" s="414">
        <v>1150</v>
      </c>
      <c r="G361" s="711">
        <v>625</v>
      </c>
      <c r="H361" s="1696"/>
      <c r="I361" s="2008"/>
    </row>
    <row r="362" spans="1:9" x14ac:dyDescent="0.2">
      <c r="A362" s="1708"/>
      <c r="B362" s="1695"/>
      <c r="C362" s="361"/>
      <c r="D362" s="361"/>
      <c r="E362" s="361">
        <v>53</v>
      </c>
      <c r="F362" s="414">
        <v>1210</v>
      </c>
      <c r="G362" s="711">
        <v>53</v>
      </c>
      <c r="H362" s="1696"/>
      <c r="I362" s="2009"/>
    </row>
    <row r="363" spans="1:9" ht="12" customHeight="1" x14ac:dyDescent="0.2">
      <c r="A363" s="1708">
        <v>4</v>
      </c>
      <c r="B363" s="1671" t="s">
        <v>1832</v>
      </c>
      <c r="C363" s="361">
        <v>4140</v>
      </c>
      <c r="D363" s="361">
        <v>4140</v>
      </c>
      <c r="E363" s="361">
        <v>4140</v>
      </c>
      <c r="F363" s="414">
        <v>1150</v>
      </c>
      <c r="G363" s="711">
        <v>4140</v>
      </c>
      <c r="H363" s="1696" t="s">
        <v>1833</v>
      </c>
      <c r="I363" s="716"/>
    </row>
    <row r="364" spans="1:9" ht="12.75" customHeight="1" x14ac:dyDescent="0.2">
      <c r="A364" s="1708"/>
      <c r="B364" s="1671"/>
      <c r="C364" s="361">
        <v>998</v>
      </c>
      <c r="D364" s="361">
        <v>998</v>
      </c>
      <c r="E364" s="361">
        <v>998</v>
      </c>
      <c r="F364" s="414">
        <v>1210</v>
      </c>
      <c r="G364" s="711">
        <v>998</v>
      </c>
      <c r="H364" s="1696"/>
      <c r="I364" s="731"/>
    </row>
    <row r="365" spans="1:9" ht="12.75" customHeight="1" x14ac:dyDescent="0.2">
      <c r="A365" s="367"/>
      <c r="B365" s="394"/>
      <c r="C365" s="773"/>
      <c r="D365" s="773"/>
      <c r="E365" s="773"/>
      <c r="F365" s="773"/>
      <c r="G365" s="370"/>
      <c r="H365" s="369"/>
      <c r="I365" s="774"/>
    </row>
    <row r="366" spans="1:9" ht="12.75" customHeight="1" x14ac:dyDescent="0.2">
      <c r="A366" s="2014" t="s">
        <v>1834</v>
      </c>
      <c r="B366" s="2014"/>
      <c r="C366" s="2015" t="s">
        <v>1835</v>
      </c>
      <c r="D366" s="2015"/>
      <c r="E366" s="2015"/>
      <c r="F366" s="2015"/>
      <c r="G366" s="2015"/>
      <c r="H366" s="2015"/>
      <c r="I366" s="2015"/>
    </row>
    <row r="367" spans="1:9" x14ac:dyDescent="0.2">
      <c r="A367" s="775" t="s">
        <v>131</v>
      </c>
      <c r="B367" s="623"/>
      <c r="C367" s="2016" t="s">
        <v>256</v>
      </c>
      <c r="D367" s="2016"/>
      <c r="E367" s="2016"/>
      <c r="F367" s="2016"/>
      <c r="G367" s="2016"/>
      <c r="H367" s="2016"/>
      <c r="I367" s="2016"/>
    </row>
    <row r="368" spans="1:9" ht="48" x14ac:dyDescent="0.2">
      <c r="A368" s="312" t="s">
        <v>4</v>
      </c>
      <c r="B368" s="410" t="s">
        <v>133</v>
      </c>
      <c r="C368" s="312" t="s">
        <v>17</v>
      </c>
      <c r="D368" s="312" t="s">
        <v>15</v>
      </c>
      <c r="E368" s="312" t="s">
        <v>134</v>
      </c>
      <c r="F368" s="312" t="s">
        <v>135</v>
      </c>
      <c r="G368" s="312" t="s">
        <v>136</v>
      </c>
      <c r="H368" s="312" t="s">
        <v>14</v>
      </c>
      <c r="I368" s="705"/>
    </row>
    <row r="369" spans="1:13" ht="12.75" customHeight="1" x14ac:dyDescent="0.2">
      <c r="A369" s="2010" t="s">
        <v>138</v>
      </c>
      <c r="B369" s="2011"/>
      <c r="C369" s="396">
        <f>C370+C371</f>
        <v>6932</v>
      </c>
      <c r="D369" s="396">
        <f>D370+D371</f>
        <v>6517</v>
      </c>
      <c r="E369" s="729">
        <f>E370+E371</f>
        <v>8323</v>
      </c>
      <c r="F369" s="366"/>
      <c r="G369" s="709">
        <f>G370+G371</f>
        <v>8323</v>
      </c>
      <c r="H369" s="209"/>
      <c r="I369" s="705"/>
    </row>
    <row r="370" spans="1:13" x14ac:dyDescent="0.2">
      <c r="A370" s="1434">
        <v>1</v>
      </c>
      <c r="B370" s="776" t="s">
        <v>1836</v>
      </c>
      <c r="C370" s="777">
        <v>350</v>
      </c>
      <c r="D370" s="732">
        <v>311</v>
      </c>
      <c r="E370" s="361">
        <v>350</v>
      </c>
      <c r="F370" s="1453">
        <v>2370</v>
      </c>
      <c r="G370" s="361">
        <v>350</v>
      </c>
      <c r="H370" s="1997" t="s">
        <v>3539</v>
      </c>
      <c r="I370" s="778"/>
    </row>
    <row r="371" spans="1:13" ht="12" customHeight="1" x14ac:dyDescent="0.2">
      <c r="A371" s="1434">
        <v>2</v>
      </c>
      <c r="B371" s="717" t="s">
        <v>1837</v>
      </c>
      <c r="C371" s="342">
        <v>6582</v>
      </c>
      <c r="D371" s="342">
        <v>6206</v>
      </c>
      <c r="E371" s="342">
        <v>7973</v>
      </c>
      <c r="F371" s="1453">
        <v>2239</v>
      </c>
      <c r="G371" s="342">
        <v>7973</v>
      </c>
      <c r="H371" s="1998"/>
      <c r="I371" s="752" t="s">
        <v>1838</v>
      </c>
    </row>
    <row r="372" spans="1:13" x14ac:dyDescent="0.2">
      <c r="A372" s="779"/>
      <c r="B372" s="780"/>
      <c r="C372" s="781"/>
      <c r="D372" s="781"/>
      <c r="E372" s="781"/>
      <c r="F372" s="781"/>
      <c r="G372" s="782"/>
      <c r="H372" s="783"/>
      <c r="I372" s="784"/>
    </row>
    <row r="373" spans="1:13" x14ac:dyDescent="0.2">
      <c r="A373" s="1962" t="s">
        <v>129</v>
      </c>
      <c r="B373" s="1962"/>
      <c r="C373" s="1750" t="s">
        <v>1839</v>
      </c>
      <c r="D373" s="1750"/>
      <c r="E373" s="1750"/>
      <c r="F373" s="1750"/>
      <c r="G373" s="1750"/>
      <c r="H373" s="1750"/>
      <c r="I373" s="1750"/>
    </row>
    <row r="374" spans="1:13" x14ac:dyDescent="0.2">
      <c r="A374" s="775" t="s">
        <v>131</v>
      </c>
      <c r="C374" s="1736" t="s">
        <v>237</v>
      </c>
      <c r="D374" s="1736"/>
      <c r="E374" s="1736"/>
      <c r="F374" s="1736"/>
      <c r="G374" s="1736"/>
      <c r="H374" s="1736"/>
      <c r="I374" s="1736"/>
    </row>
    <row r="375" spans="1:13" ht="48" x14ac:dyDescent="0.2">
      <c r="A375" s="312" t="s">
        <v>4</v>
      </c>
      <c r="B375" s="410" t="s">
        <v>133</v>
      </c>
      <c r="C375" s="312" t="s">
        <v>17</v>
      </c>
      <c r="D375" s="312" t="s">
        <v>15</v>
      </c>
      <c r="E375" s="312" t="s">
        <v>134</v>
      </c>
      <c r="F375" s="312" t="s">
        <v>135</v>
      </c>
      <c r="G375" s="312" t="s">
        <v>136</v>
      </c>
      <c r="H375" s="312" t="s">
        <v>14</v>
      </c>
      <c r="I375" s="778"/>
    </row>
    <row r="376" spans="1:13" ht="12.75" customHeight="1" x14ac:dyDescent="0.2">
      <c r="A376" s="2012" t="s">
        <v>138</v>
      </c>
      <c r="B376" s="2013"/>
      <c r="C376" s="703">
        <f>SUM(C377:C377)</f>
        <v>164243</v>
      </c>
      <c r="D376" s="703">
        <f>SUM(D377:D377)</f>
        <v>168000</v>
      </c>
      <c r="E376" s="703">
        <f>SUM(E377:E377)</f>
        <v>160000</v>
      </c>
      <c r="F376" s="703"/>
      <c r="G376" s="704">
        <f>G377</f>
        <v>160000</v>
      </c>
      <c r="H376" s="317"/>
      <c r="I376" s="778"/>
    </row>
    <row r="377" spans="1:13" ht="24" x14ac:dyDescent="0.2">
      <c r="A377" s="320">
        <v>1</v>
      </c>
      <c r="B377" s="717" t="s">
        <v>1840</v>
      </c>
      <c r="C377" s="342">
        <v>164243</v>
      </c>
      <c r="D377" s="344">
        <v>168000</v>
      </c>
      <c r="E377" s="344">
        <v>160000</v>
      </c>
      <c r="F377" s="1453">
        <v>3262</v>
      </c>
      <c r="G377" s="208">
        <v>160000</v>
      </c>
      <c r="H377" s="785" t="s">
        <v>3539</v>
      </c>
      <c r="I377" s="785"/>
    </row>
    <row r="378" spans="1:13" x14ac:dyDescent="0.2">
      <c r="C378" s="786"/>
      <c r="D378" s="786"/>
      <c r="E378" s="786"/>
      <c r="G378" s="710"/>
      <c r="H378" s="788"/>
    </row>
    <row r="379" spans="1:13" x14ac:dyDescent="0.2">
      <c r="A379" s="349" t="s">
        <v>455</v>
      </c>
    </row>
    <row r="380" spans="1:13" x14ac:dyDescent="0.2">
      <c r="A380" s="349" t="s">
        <v>505</v>
      </c>
      <c r="C380" s="349"/>
      <c r="G380" s="787"/>
      <c r="H380" s="306"/>
      <c r="I380" s="326"/>
    </row>
    <row r="381" spans="1:13" x14ac:dyDescent="0.2">
      <c r="A381" s="804" t="s">
        <v>1331</v>
      </c>
      <c r="B381" s="403"/>
      <c r="C381" s="789"/>
      <c r="G381" s="787"/>
      <c r="H381" s="306"/>
      <c r="I381" s="326"/>
    </row>
    <row r="382" spans="1:13" x14ac:dyDescent="0.2">
      <c r="A382" s="403" t="s">
        <v>1841</v>
      </c>
      <c r="B382" s="789"/>
      <c r="G382" s="787"/>
      <c r="H382" s="306"/>
      <c r="I382" s="326"/>
    </row>
    <row r="383" spans="1:13" x14ac:dyDescent="0.2">
      <c r="A383" s="403" t="s">
        <v>3538</v>
      </c>
      <c r="B383" s="789"/>
      <c r="G383" s="787"/>
      <c r="H383" s="306"/>
      <c r="I383" s="326"/>
    </row>
    <row r="384" spans="1:13" x14ac:dyDescent="0.2">
      <c r="A384" s="418"/>
      <c r="B384" s="790" t="s">
        <v>1412</v>
      </c>
      <c r="C384" s="397"/>
      <c r="D384" s="397"/>
      <c r="E384" s="397"/>
      <c r="F384" s="397"/>
      <c r="G384" s="397"/>
      <c r="H384" s="329"/>
      <c r="I384" s="331"/>
      <c r="J384" s="329"/>
      <c r="K384" s="329"/>
      <c r="L384" s="329"/>
      <c r="M384" s="329"/>
    </row>
    <row r="385" spans="1:13" x14ac:dyDescent="0.2">
      <c r="A385" s="418" t="s">
        <v>1842</v>
      </c>
      <c r="B385" s="790"/>
      <c r="C385" s="397"/>
      <c r="D385" s="397"/>
      <c r="E385" s="397"/>
      <c r="F385" s="397"/>
      <c r="G385" s="397"/>
      <c r="H385" s="329"/>
      <c r="I385" s="331"/>
      <c r="J385" s="329"/>
      <c r="K385" s="329"/>
      <c r="L385" s="329"/>
      <c r="M385" s="329"/>
    </row>
    <row r="386" spans="1:13" x14ac:dyDescent="0.2">
      <c r="A386" s="418" t="s">
        <v>1843</v>
      </c>
      <c r="B386" s="790"/>
      <c r="C386" s="397"/>
      <c r="D386" s="397"/>
      <c r="E386" s="397"/>
      <c r="F386" s="397"/>
      <c r="G386" s="397"/>
      <c r="H386" s="329"/>
      <c r="I386" s="331"/>
      <c r="J386" s="329"/>
      <c r="K386" s="329"/>
      <c r="L386" s="329"/>
      <c r="M386" s="329"/>
    </row>
    <row r="387" spans="1:13" x14ac:dyDescent="0.2">
      <c r="A387" s="418"/>
      <c r="B387" s="790" t="s">
        <v>1844</v>
      </c>
      <c r="C387" s="397"/>
      <c r="D387" s="397"/>
      <c r="E387" s="397"/>
      <c r="F387" s="397"/>
      <c r="G387" s="397"/>
      <c r="H387" s="329"/>
      <c r="I387" s="331"/>
      <c r="J387" s="329"/>
      <c r="K387" s="329"/>
      <c r="L387" s="329"/>
      <c r="M387" s="329"/>
    </row>
    <row r="388" spans="1:13" x14ac:dyDescent="0.2">
      <c r="A388" s="418"/>
      <c r="B388" s="790" t="s">
        <v>1845</v>
      </c>
      <c r="C388" s="397"/>
      <c r="D388" s="397"/>
      <c r="E388" s="397"/>
      <c r="F388" s="397"/>
      <c r="G388" s="397"/>
      <c r="H388" s="329"/>
      <c r="I388" s="331"/>
      <c r="J388" s="329"/>
      <c r="K388" s="329"/>
      <c r="L388" s="329"/>
      <c r="M388" s="329"/>
    </row>
    <row r="389" spans="1:13" ht="12" customHeight="1" x14ac:dyDescent="0.2">
      <c r="A389" s="418" t="s">
        <v>1846</v>
      </c>
      <c r="B389" s="790"/>
      <c r="C389" s="397"/>
      <c r="D389" s="397"/>
      <c r="E389" s="397"/>
      <c r="F389" s="397"/>
      <c r="G389" s="397"/>
      <c r="H389" s="329"/>
      <c r="I389" s="331"/>
      <c r="J389" s="329"/>
      <c r="K389" s="329"/>
      <c r="L389" s="329"/>
      <c r="M389" s="329"/>
    </row>
    <row r="390" spans="1:13" x14ac:dyDescent="0.2">
      <c r="A390" s="418"/>
      <c r="B390" s="790" t="s">
        <v>1847</v>
      </c>
      <c r="C390" s="397"/>
      <c r="D390" s="397"/>
      <c r="E390" s="397"/>
      <c r="F390" s="397"/>
      <c r="G390" s="397"/>
      <c r="H390" s="329"/>
      <c r="I390" s="331"/>
      <c r="J390" s="329"/>
      <c r="K390" s="329"/>
      <c r="L390" s="329"/>
      <c r="M390" s="329"/>
    </row>
    <row r="391" spans="1:13" ht="12" customHeight="1" x14ac:dyDescent="0.2">
      <c r="A391" s="418"/>
      <c r="B391" s="790" t="s">
        <v>1848</v>
      </c>
      <c r="C391" s="397"/>
      <c r="D391" s="397"/>
      <c r="E391" s="397"/>
      <c r="F391" s="397"/>
      <c r="G391" s="397"/>
      <c r="H391" s="329"/>
      <c r="I391" s="331"/>
      <c r="J391" s="329"/>
      <c r="K391" s="329"/>
      <c r="L391" s="329"/>
      <c r="M391" s="329"/>
    </row>
    <row r="392" spans="1:13" x14ac:dyDescent="0.2">
      <c r="A392" s="418" t="s">
        <v>1849</v>
      </c>
      <c r="B392" s="789"/>
      <c r="C392" s="397"/>
      <c r="D392" s="397"/>
      <c r="E392" s="397"/>
      <c r="F392" s="397"/>
      <c r="G392" s="397"/>
      <c r="H392" s="329"/>
      <c r="I392" s="331"/>
      <c r="J392" s="329"/>
      <c r="K392" s="329"/>
      <c r="L392" s="329"/>
      <c r="M392" s="329"/>
    </row>
    <row r="393" spans="1:13" x14ac:dyDescent="0.2">
      <c r="A393" s="330"/>
      <c r="B393" s="418" t="s">
        <v>1850</v>
      </c>
      <c r="C393" s="397"/>
      <c r="D393" s="397"/>
      <c r="E393" s="397"/>
      <c r="F393" s="397"/>
      <c r="G393" s="397"/>
      <c r="H393" s="329"/>
      <c r="I393" s="331"/>
      <c r="J393" s="329"/>
      <c r="K393" s="329"/>
      <c r="L393" s="329"/>
      <c r="M393" s="329"/>
    </row>
    <row r="394" spans="1:13" x14ac:dyDescent="0.2">
      <c r="A394" s="418"/>
      <c r="B394" s="418" t="s">
        <v>1851</v>
      </c>
      <c r="C394" s="397"/>
      <c r="D394" s="397"/>
      <c r="E394" s="397"/>
      <c r="F394" s="397"/>
      <c r="G394" s="397"/>
      <c r="H394" s="329"/>
      <c r="I394" s="331"/>
      <c r="J394" s="329"/>
      <c r="K394" s="329"/>
      <c r="L394" s="329"/>
      <c r="M394" s="329"/>
    </row>
    <row r="395" spans="1:13" x14ac:dyDescent="0.2">
      <c r="A395" s="789"/>
      <c r="B395" s="418" t="s">
        <v>1852</v>
      </c>
      <c r="C395" s="397"/>
      <c r="D395" s="397"/>
      <c r="E395" s="397"/>
      <c r="F395" s="397"/>
      <c r="G395" s="397"/>
      <c r="H395" s="329"/>
      <c r="I395" s="331"/>
      <c r="J395" s="329"/>
      <c r="K395" s="329"/>
      <c r="L395" s="329"/>
      <c r="M395" s="329"/>
    </row>
    <row r="396" spans="1:13" x14ac:dyDescent="0.2">
      <c r="A396" s="790" t="s">
        <v>1853</v>
      </c>
      <c r="B396" s="418"/>
      <c r="C396" s="397"/>
      <c r="D396" s="397"/>
      <c r="E396" s="397"/>
      <c r="F396" s="397"/>
      <c r="G396" s="397"/>
      <c r="H396" s="329"/>
      <c r="I396" s="331"/>
      <c r="J396" s="329"/>
      <c r="K396" s="329"/>
      <c r="L396" s="329"/>
      <c r="M396" s="329"/>
    </row>
    <row r="397" spans="1:13" x14ac:dyDescent="0.2">
      <c r="A397" s="789"/>
      <c r="B397" s="418" t="s">
        <v>1854</v>
      </c>
      <c r="C397" s="397"/>
      <c r="D397" s="397"/>
      <c r="E397" s="397"/>
      <c r="F397" s="397"/>
      <c r="G397" s="397"/>
      <c r="H397" s="329"/>
      <c r="I397" s="331"/>
      <c r="J397" s="329"/>
      <c r="K397" s="329"/>
      <c r="L397" s="329"/>
      <c r="M397" s="329"/>
    </row>
    <row r="398" spans="1:13" x14ac:dyDescent="0.2">
      <c r="A398" s="330"/>
      <c r="B398" s="789"/>
      <c r="C398" s="418"/>
      <c r="D398" s="397"/>
      <c r="E398" s="397"/>
      <c r="F398" s="397"/>
      <c r="G398" s="397"/>
      <c r="H398" s="329"/>
      <c r="I398" s="331"/>
      <c r="J398" s="329"/>
      <c r="K398" s="329"/>
      <c r="L398" s="329"/>
      <c r="M398" s="329"/>
    </row>
    <row r="399" spans="1:13" ht="12" customHeight="1" x14ac:dyDescent="0.2">
      <c r="A399" s="1522" t="s">
        <v>1856</v>
      </c>
      <c r="B399" s="330"/>
      <c r="C399" s="790"/>
      <c r="D399" s="790"/>
      <c r="E399" s="397"/>
      <c r="F399" s="397"/>
      <c r="G399" s="397"/>
      <c r="H399" s="329"/>
      <c r="I399" s="331"/>
      <c r="J399" s="329"/>
      <c r="K399" s="329"/>
      <c r="L399" s="329"/>
      <c r="M399" s="329"/>
    </row>
    <row r="400" spans="1:13" ht="12" customHeight="1" x14ac:dyDescent="0.2">
      <c r="A400" s="418" t="s">
        <v>1843</v>
      </c>
      <c r="B400" s="330"/>
      <c r="C400" s="790"/>
      <c r="D400" s="397"/>
      <c r="E400" s="1523"/>
      <c r="F400" s="1523"/>
      <c r="G400" s="397"/>
      <c r="H400" s="329"/>
      <c r="I400" s="331"/>
      <c r="J400" s="329"/>
      <c r="K400" s="329"/>
      <c r="L400" s="329"/>
      <c r="M400" s="329"/>
    </row>
    <row r="401" spans="1:13" ht="12" customHeight="1" x14ac:dyDescent="0.2">
      <c r="A401" s="306"/>
      <c r="B401" s="790" t="s">
        <v>1857</v>
      </c>
      <c r="C401" s="789"/>
      <c r="D401" s="789"/>
      <c r="E401" s="789"/>
      <c r="F401" s="789"/>
      <c r="G401" s="789"/>
      <c r="H401" s="789"/>
      <c r="I401" s="789"/>
      <c r="J401" s="329"/>
      <c r="K401" s="329"/>
      <c r="L401" s="329"/>
      <c r="M401" s="329"/>
    </row>
    <row r="402" spans="1:13" ht="12" customHeight="1" x14ac:dyDescent="0.2">
      <c r="A402" s="418" t="s">
        <v>1846</v>
      </c>
      <c r="B402" s="330"/>
      <c r="C402" s="790"/>
      <c r="D402" s="397"/>
      <c r="E402" s="397"/>
      <c r="F402" s="791"/>
      <c r="G402" s="791"/>
      <c r="H402" s="1445"/>
      <c r="I402" s="1445"/>
      <c r="J402" s="329"/>
      <c r="K402" s="329"/>
      <c r="L402" s="329"/>
      <c r="M402" s="329"/>
    </row>
    <row r="403" spans="1:13" ht="12" customHeight="1" x14ac:dyDescent="0.2">
      <c r="A403" s="306"/>
      <c r="B403" s="790" t="s">
        <v>1858</v>
      </c>
      <c r="C403" s="789"/>
      <c r="D403" s="789"/>
      <c r="E403" s="789"/>
      <c r="F403" s="397"/>
      <c r="G403" s="397"/>
      <c r="H403" s="329"/>
      <c r="I403" s="331"/>
      <c r="J403" s="329"/>
      <c r="K403" s="329"/>
      <c r="L403" s="329"/>
      <c r="M403" s="329"/>
    </row>
    <row r="404" spans="1:13" x14ac:dyDescent="0.2">
      <c r="A404" s="330"/>
      <c r="B404" s="1445"/>
      <c r="C404" s="1445"/>
      <c r="D404" s="791"/>
      <c r="E404" s="791"/>
      <c r="F404" s="397"/>
      <c r="G404" s="397"/>
      <c r="H404" s="329"/>
      <c r="I404" s="331"/>
      <c r="J404" s="329"/>
      <c r="K404" s="329"/>
      <c r="L404" s="329"/>
      <c r="M404" s="329"/>
    </row>
    <row r="405" spans="1:13" ht="12" customHeight="1" x14ac:dyDescent="0.2">
      <c r="A405" s="1522" t="s">
        <v>1859</v>
      </c>
      <c r="B405" s="790"/>
      <c r="C405" s="790"/>
      <c r="D405" s="790"/>
      <c r="E405" s="790"/>
      <c r="F405" s="790"/>
      <c r="G405" s="790"/>
      <c r="H405" s="331"/>
      <c r="I405" s="1431"/>
      <c r="J405" s="329"/>
      <c r="K405" s="329"/>
      <c r="L405" s="329"/>
      <c r="M405" s="329"/>
    </row>
    <row r="406" spans="1:13" ht="12" customHeight="1" x14ac:dyDescent="0.2">
      <c r="A406" s="790" t="s">
        <v>3367</v>
      </c>
      <c r="B406" s="790"/>
      <c r="C406" s="790"/>
      <c r="D406" s="790"/>
      <c r="E406" s="790"/>
      <c r="F406" s="790"/>
      <c r="G406" s="790"/>
      <c r="H406" s="331"/>
      <c r="I406" s="1431"/>
      <c r="J406" s="329"/>
      <c r="K406" s="329"/>
      <c r="L406" s="329"/>
      <c r="M406" s="329"/>
    </row>
    <row r="407" spans="1:13" ht="12" customHeight="1" x14ac:dyDescent="0.2">
      <c r="A407" s="790" t="s">
        <v>3366</v>
      </c>
      <c r="B407" s="790"/>
      <c r="C407" s="790"/>
      <c r="D407" s="790"/>
      <c r="E407" s="790"/>
      <c r="F407" s="790"/>
      <c r="G407" s="790"/>
      <c r="H407" s="1524"/>
      <c r="I407" s="1431"/>
      <c r="J407" s="329"/>
      <c r="K407" s="329"/>
      <c r="L407" s="329"/>
      <c r="M407" s="329"/>
    </row>
    <row r="408" spans="1:13" ht="12" customHeight="1" x14ac:dyDescent="0.2">
      <c r="A408" s="792"/>
      <c r="B408" s="790" t="s">
        <v>1861</v>
      </c>
      <c r="C408" s="790"/>
      <c r="D408" s="790"/>
      <c r="E408" s="790"/>
      <c r="F408" s="790"/>
      <c r="G408" s="790"/>
      <c r="H408" s="790"/>
      <c r="I408" s="1431"/>
      <c r="J408" s="329"/>
      <c r="K408" s="329"/>
      <c r="L408" s="329"/>
      <c r="M408" s="329"/>
    </row>
    <row r="409" spans="1:13" ht="14.25" customHeight="1" x14ac:dyDescent="0.2">
      <c r="A409" s="792"/>
      <c r="B409" s="790" t="s">
        <v>1862</v>
      </c>
      <c r="C409" s="790"/>
      <c r="D409" s="790"/>
      <c r="E409" s="790"/>
      <c r="F409" s="790"/>
      <c r="G409" s="790"/>
      <c r="H409" s="790"/>
      <c r="I409" s="1431"/>
      <c r="J409" s="329"/>
      <c r="K409" s="329"/>
      <c r="L409" s="329"/>
      <c r="M409" s="329"/>
    </row>
    <row r="410" spans="1:13" x14ac:dyDescent="0.2">
      <c r="A410" s="330"/>
      <c r="B410" s="330"/>
      <c r="C410" s="793"/>
      <c r="D410" s="793"/>
      <c r="E410" s="793"/>
      <c r="F410" s="793"/>
      <c r="G410" s="793"/>
      <c r="H410" s="793"/>
      <c r="I410" s="793"/>
      <c r="J410" s="329"/>
      <c r="K410" s="329"/>
      <c r="L410" s="329"/>
      <c r="M410" s="329"/>
    </row>
    <row r="411" spans="1:13" ht="14.25" customHeight="1" x14ac:dyDescent="0.2">
      <c r="A411" s="400" t="s">
        <v>1863</v>
      </c>
      <c r="B411" s="1445"/>
      <c r="C411" s="1445"/>
      <c r="D411" s="791"/>
      <c r="E411" s="791"/>
      <c r="F411" s="791"/>
      <c r="G411" s="793"/>
      <c r="H411" s="793"/>
      <c r="I411" s="793"/>
      <c r="J411" s="329"/>
      <c r="K411" s="329"/>
      <c r="L411" s="329"/>
      <c r="M411" s="329"/>
    </row>
    <row r="412" spans="1:13" ht="14.25" customHeight="1" x14ac:dyDescent="0.2">
      <c r="A412" s="792" t="s">
        <v>1864</v>
      </c>
      <c r="B412" s="306"/>
      <c r="C412" s="1445"/>
      <c r="D412" s="1445"/>
      <c r="E412" s="1445"/>
      <c r="F412" s="1445"/>
      <c r="G412" s="793"/>
      <c r="H412" s="793"/>
      <c r="I412" s="793"/>
      <c r="J412" s="329"/>
      <c r="K412" s="329"/>
      <c r="L412" s="329"/>
      <c r="M412" s="329"/>
    </row>
    <row r="413" spans="1:13" x14ac:dyDescent="0.2">
      <c r="A413" s="330"/>
      <c r="B413" s="418" t="s">
        <v>1865</v>
      </c>
      <c r="C413" s="794"/>
      <c r="D413" s="794"/>
      <c r="E413" s="794"/>
      <c r="F413" s="794"/>
      <c r="G413" s="793"/>
      <c r="H413" s="793"/>
      <c r="I413" s="793"/>
      <c r="J413" s="329"/>
      <c r="K413" s="329"/>
      <c r="L413" s="329"/>
      <c r="M413" s="329"/>
    </row>
    <row r="414" spans="1:13" x14ac:dyDescent="0.2">
      <c r="A414" s="330"/>
      <c r="B414" s="792" t="s">
        <v>3537</v>
      </c>
      <c r="C414" s="794"/>
      <c r="D414" s="794"/>
      <c r="E414" s="794"/>
      <c r="F414" s="794"/>
      <c r="G414" s="793"/>
      <c r="H414" s="793"/>
      <c r="I414" s="793"/>
      <c r="J414" s="329"/>
      <c r="K414" s="329"/>
      <c r="L414" s="329"/>
      <c r="M414" s="329"/>
    </row>
    <row r="415" spans="1:13" x14ac:dyDescent="0.2">
      <c r="A415" s="330"/>
      <c r="B415" s="789"/>
      <c r="C415" s="329"/>
      <c r="D415" s="397"/>
      <c r="E415" s="397"/>
      <c r="F415" s="397"/>
      <c r="G415" s="397"/>
      <c r="H415" s="329"/>
      <c r="I415" s="331"/>
      <c r="J415" s="329"/>
      <c r="K415" s="329"/>
      <c r="L415" s="329"/>
      <c r="M415" s="329"/>
    </row>
    <row r="416" spans="1:13" x14ac:dyDescent="0.2">
      <c r="A416" s="400" t="s">
        <v>1866</v>
      </c>
      <c r="B416" s="330"/>
      <c r="C416" s="330"/>
      <c r="D416" s="397"/>
      <c r="E416" s="397"/>
      <c r="F416" s="397"/>
      <c r="G416" s="397"/>
      <c r="H416" s="329"/>
      <c r="I416" s="337"/>
      <c r="J416" s="329"/>
      <c r="K416" s="329"/>
      <c r="L416" s="329"/>
      <c r="M416" s="329"/>
    </row>
    <row r="417" spans="1:13" ht="15" x14ac:dyDescent="0.2">
      <c r="A417" s="330" t="s">
        <v>1867</v>
      </c>
      <c r="B417" s="306"/>
      <c r="C417" s="402"/>
      <c r="D417" s="1525"/>
      <c r="E417" s="1525"/>
      <c r="F417" s="1525"/>
      <c r="G417" s="397"/>
      <c r="H417" s="336"/>
      <c r="I417" s="337"/>
      <c r="J417" s="329"/>
      <c r="K417" s="329"/>
      <c r="L417" s="329"/>
      <c r="M417" s="329"/>
    </row>
    <row r="418" spans="1:13" x14ac:dyDescent="0.2">
      <c r="A418" s="330"/>
      <c r="B418" s="330" t="s">
        <v>1868</v>
      </c>
      <c r="C418" s="402"/>
      <c r="D418" s="401"/>
      <c r="E418" s="401"/>
      <c r="F418" s="401"/>
      <c r="G418" s="401"/>
      <c r="H418" s="336"/>
      <c r="I418" s="337"/>
      <c r="J418" s="329"/>
      <c r="K418" s="329"/>
      <c r="L418" s="329"/>
      <c r="M418" s="329"/>
    </row>
    <row r="419" spans="1:13" x14ac:dyDescent="0.2">
      <c r="A419" s="330"/>
      <c r="B419" s="330" t="s">
        <v>1869</v>
      </c>
      <c r="C419" s="402"/>
      <c r="D419" s="401"/>
      <c r="E419" s="401"/>
      <c r="F419" s="401"/>
      <c r="G419" s="401"/>
      <c r="H419" s="336"/>
      <c r="I419" s="331"/>
      <c r="J419" s="329"/>
      <c r="K419" s="329"/>
      <c r="L419" s="329"/>
      <c r="M419" s="329"/>
    </row>
    <row r="420" spans="1:13" x14ac:dyDescent="0.2">
      <c r="A420" s="330"/>
      <c r="B420" s="330"/>
      <c r="C420" s="402"/>
      <c r="D420" s="401"/>
      <c r="E420" s="401"/>
      <c r="F420" s="401"/>
      <c r="G420" s="401"/>
      <c r="H420" s="336"/>
      <c r="I420" s="331"/>
      <c r="J420" s="329"/>
      <c r="K420" s="329"/>
      <c r="L420" s="329"/>
      <c r="M420" s="329"/>
    </row>
    <row r="421" spans="1:13" x14ac:dyDescent="0.2">
      <c r="A421" s="351" t="s">
        <v>1870</v>
      </c>
      <c r="B421" s="329"/>
      <c r="C421" s="330"/>
      <c r="D421" s="397"/>
      <c r="E421" s="397"/>
      <c r="F421" s="397"/>
      <c r="G421" s="397"/>
      <c r="H421" s="329"/>
      <c r="I421" s="331"/>
      <c r="J421" s="329"/>
      <c r="K421" s="329"/>
      <c r="L421" s="329"/>
      <c r="M421" s="329"/>
    </row>
    <row r="422" spans="1:13" ht="39.75" customHeight="1" x14ac:dyDescent="0.2">
      <c r="A422" s="1996" t="s">
        <v>1871</v>
      </c>
      <c r="B422" s="1996"/>
      <c r="C422" s="1996"/>
      <c r="D422" s="1996"/>
      <c r="E422" s="1996"/>
      <c r="F422" s="1996"/>
      <c r="G422" s="1996"/>
      <c r="H422" s="1996"/>
      <c r="I422" s="1996"/>
      <c r="J422" s="1996"/>
      <c r="K422" s="1996"/>
      <c r="L422" s="1996"/>
      <c r="M422" s="1996"/>
    </row>
    <row r="423" spans="1:13" ht="39" customHeight="1" x14ac:dyDescent="0.2">
      <c r="A423" s="1996" t="s">
        <v>3536</v>
      </c>
      <c r="B423" s="1996"/>
      <c r="C423" s="1996"/>
      <c r="D423" s="1996"/>
      <c r="E423" s="1996"/>
      <c r="F423" s="1996"/>
      <c r="G423" s="1996"/>
      <c r="H423" s="1996"/>
      <c r="I423" s="1996"/>
      <c r="J423" s="1996"/>
      <c r="K423" s="1996"/>
      <c r="L423" s="1996"/>
      <c r="M423" s="1996"/>
    </row>
    <row r="424" spans="1:13" x14ac:dyDescent="0.2">
      <c r="A424" s="330"/>
      <c r="B424" s="330"/>
      <c r="C424" s="397"/>
      <c r="D424" s="397"/>
      <c r="E424" s="397"/>
      <c r="F424" s="397"/>
      <c r="G424" s="329"/>
      <c r="H424" s="331"/>
      <c r="I424" s="1431"/>
      <c r="J424" s="329"/>
      <c r="K424" s="329"/>
      <c r="L424" s="329"/>
      <c r="M424" s="329"/>
    </row>
  </sheetData>
  <sheetProtection algorithmName="SHA-512" hashValue="f26b9fTBaJeP/QhgSgfqtw404vzjZPDEpiJNpGC8ghUXc4D8HkJyDczXmDaIoDPMchHmw1l5xezE36V5gNHEGg==" saltValue="E3NJ1ihxXM3LwX44YE+Vog==" spinCount="100000" sheet="1" objects="1" scenarios="1"/>
  <mergeCells count="285">
    <mergeCell ref="A6:B6"/>
    <mergeCell ref="C6:I6"/>
    <mergeCell ref="A7:B7"/>
    <mergeCell ref="C7:I7"/>
    <mergeCell ref="A9:B9"/>
    <mergeCell ref="A11:A15"/>
    <mergeCell ref="B11:B15"/>
    <mergeCell ref="H11:H15"/>
    <mergeCell ref="A1:B1"/>
    <mergeCell ref="C1:I1"/>
    <mergeCell ref="A2:B2"/>
    <mergeCell ref="C2:I2"/>
    <mergeCell ref="A3:I3"/>
    <mergeCell ref="A5:B5"/>
    <mergeCell ref="C5:I5"/>
    <mergeCell ref="A22:A25"/>
    <mergeCell ref="B22:B25"/>
    <mergeCell ref="H22:H25"/>
    <mergeCell ref="A26:A28"/>
    <mergeCell ref="B26:B28"/>
    <mergeCell ref="H26:H28"/>
    <mergeCell ref="A17:A18"/>
    <mergeCell ref="B17:B18"/>
    <mergeCell ref="H17:H18"/>
    <mergeCell ref="A19:A21"/>
    <mergeCell ref="B19:B21"/>
    <mergeCell ref="H19:H21"/>
    <mergeCell ref="A33:A35"/>
    <mergeCell ref="B33:B35"/>
    <mergeCell ref="H33:H35"/>
    <mergeCell ref="A36:A37"/>
    <mergeCell ref="B36:B37"/>
    <mergeCell ref="H36:H37"/>
    <mergeCell ref="A29:A30"/>
    <mergeCell ref="B29:B30"/>
    <mergeCell ref="H29:H30"/>
    <mergeCell ref="A31:A32"/>
    <mergeCell ref="B31:B32"/>
    <mergeCell ref="H31:H32"/>
    <mergeCell ref="A55:A62"/>
    <mergeCell ref="B55:B62"/>
    <mergeCell ref="H55:H62"/>
    <mergeCell ref="A63:A64"/>
    <mergeCell ref="B63:B64"/>
    <mergeCell ref="H63:H64"/>
    <mergeCell ref="A38:A41"/>
    <mergeCell ref="B38:B41"/>
    <mergeCell ref="H38:H41"/>
    <mergeCell ref="A51:A52"/>
    <mergeCell ref="B51:B52"/>
    <mergeCell ref="H51:H52"/>
    <mergeCell ref="A72:A73"/>
    <mergeCell ref="B72:B73"/>
    <mergeCell ref="H72:H73"/>
    <mergeCell ref="A74:A78"/>
    <mergeCell ref="B74:B78"/>
    <mergeCell ref="H74:H78"/>
    <mergeCell ref="A66:A67"/>
    <mergeCell ref="B66:B67"/>
    <mergeCell ref="H66:H67"/>
    <mergeCell ref="A68:A71"/>
    <mergeCell ref="B68:B71"/>
    <mergeCell ref="H68:H71"/>
    <mergeCell ref="A83:A84"/>
    <mergeCell ref="B83:B84"/>
    <mergeCell ref="H83:H84"/>
    <mergeCell ref="A88:A90"/>
    <mergeCell ref="B88:B90"/>
    <mergeCell ref="H88:H90"/>
    <mergeCell ref="A79:A80"/>
    <mergeCell ref="B79:B80"/>
    <mergeCell ref="H79:H80"/>
    <mergeCell ref="A81:A82"/>
    <mergeCell ref="B81:B82"/>
    <mergeCell ref="H81:H82"/>
    <mergeCell ref="I106:I111"/>
    <mergeCell ref="A112:A118"/>
    <mergeCell ref="B112:B118"/>
    <mergeCell ref="H112:H118"/>
    <mergeCell ref="I112:I118"/>
    <mergeCell ref="A92:A96"/>
    <mergeCell ref="B92:B96"/>
    <mergeCell ref="H92:H96"/>
    <mergeCell ref="I92:I96"/>
    <mergeCell ref="A97:A105"/>
    <mergeCell ref="B97:B105"/>
    <mergeCell ref="H97:H105"/>
    <mergeCell ref="I97:I105"/>
    <mergeCell ref="A120:A121"/>
    <mergeCell ref="B120:B121"/>
    <mergeCell ref="H120:H121"/>
    <mergeCell ref="A122:A124"/>
    <mergeCell ref="B122:B124"/>
    <mergeCell ref="H122:H124"/>
    <mergeCell ref="A106:A111"/>
    <mergeCell ref="B106:B111"/>
    <mergeCell ref="H106:H111"/>
    <mergeCell ref="A130:A131"/>
    <mergeCell ref="B130:B131"/>
    <mergeCell ref="H130:H131"/>
    <mergeCell ref="A132:A135"/>
    <mergeCell ref="B132:B135"/>
    <mergeCell ref="H132:H135"/>
    <mergeCell ref="A125:A126"/>
    <mergeCell ref="B125:B126"/>
    <mergeCell ref="H125:H126"/>
    <mergeCell ref="A128:A129"/>
    <mergeCell ref="B128:B129"/>
    <mergeCell ref="H128:H129"/>
    <mergeCell ref="A144:A147"/>
    <mergeCell ref="B144:B147"/>
    <mergeCell ref="H144:H147"/>
    <mergeCell ref="A148:A155"/>
    <mergeCell ref="B148:B155"/>
    <mergeCell ref="H148:H155"/>
    <mergeCell ref="A136:A139"/>
    <mergeCell ref="B136:B139"/>
    <mergeCell ref="H136:H139"/>
    <mergeCell ref="A140:A143"/>
    <mergeCell ref="B140:B143"/>
    <mergeCell ref="H140:H143"/>
    <mergeCell ref="A165:A166"/>
    <mergeCell ref="B165:B166"/>
    <mergeCell ref="H165:H166"/>
    <mergeCell ref="A168:A169"/>
    <mergeCell ref="B168:B169"/>
    <mergeCell ref="H168:H169"/>
    <mergeCell ref="A156:A160"/>
    <mergeCell ref="B156:B160"/>
    <mergeCell ref="H156:H160"/>
    <mergeCell ref="A162:A164"/>
    <mergeCell ref="B162:B164"/>
    <mergeCell ref="H162:H164"/>
    <mergeCell ref="A191:B191"/>
    <mergeCell ref="C191:I191"/>
    <mergeCell ref="A192:B192"/>
    <mergeCell ref="C192:I192"/>
    <mergeCell ref="A194:B194"/>
    <mergeCell ref="A196:A197"/>
    <mergeCell ref="B196:B197"/>
    <mergeCell ref="H196:H197"/>
    <mergeCell ref="A170:A181"/>
    <mergeCell ref="B170:B181"/>
    <mergeCell ref="H170:H181"/>
    <mergeCell ref="I170:I181"/>
    <mergeCell ref="A182:A186"/>
    <mergeCell ref="B182:B186"/>
    <mergeCell ref="H182:H186"/>
    <mergeCell ref="I182:I186"/>
    <mergeCell ref="A203:A205"/>
    <mergeCell ref="B203:B205"/>
    <mergeCell ref="H203:H205"/>
    <mergeCell ref="A207:A209"/>
    <mergeCell ref="B207:B209"/>
    <mergeCell ref="H207:H209"/>
    <mergeCell ref="A198:A200"/>
    <mergeCell ref="B198:B200"/>
    <mergeCell ref="H198:H200"/>
    <mergeCell ref="A201:A202"/>
    <mergeCell ref="B201:B202"/>
    <mergeCell ref="H201:H202"/>
    <mergeCell ref="A217:A220"/>
    <mergeCell ref="B217:B220"/>
    <mergeCell ref="H217:H220"/>
    <mergeCell ref="A221:A223"/>
    <mergeCell ref="B221:B223"/>
    <mergeCell ref="H221:H223"/>
    <mergeCell ref="A210:A212"/>
    <mergeCell ref="B210:B212"/>
    <mergeCell ref="H210:H212"/>
    <mergeCell ref="A214:A216"/>
    <mergeCell ref="B214:B216"/>
    <mergeCell ref="H214:H216"/>
    <mergeCell ref="A230:A232"/>
    <mergeCell ref="B230:B232"/>
    <mergeCell ref="H230:H232"/>
    <mergeCell ref="A233:A235"/>
    <mergeCell ref="B233:B235"/>
    <mergeCell ref="H233:H235"/>
    <mergeCell ref="A224:A226"/>
    <mergeCell ref="B224:B226"/>
    <mergeCell ref="H224:H226"/>
    <mergeCell ref="A227:A229"/>
    <mergeCell ref="B227:B229"/>
    <mergeCell ref="H227:H229"/>
    <mergeCell ref="A241:A243"/>
    <mergeCell ref="B241:B243"/>
    <mergeCell ref="H241:H243"/>
    <mergeCell ref="A244:A246"/>
    <mergeCell ref="B244:B246"/>
    <mergeCell ref="H244:H246"/>
    <mergeCell ref="A236:A238"/>
    <mergeCell ref="B236:B238"/>
    <mergeCell ref="H236:H238"/>
    <mergeCell ref="A239:A240"/>
    <mergeCell ref="B239:B240"/>
    <mergeCell ref="H239:H240"/>
    <mergeCell ref="A253:A255"/>
    <mergeCell ref="B253:B255"/>
    <mergeCell ref="H253:H255"/>
    <mergeCell ref="A270:A274"/>
    <mergeCell ref="B270:B274"/>
    <mergeCell ref="H270:H274"/>
    <mergeCell ref="A247:A249"/>
    <mergeCell ref="B247:B249"/>
    <mergeCell ref="H247:H249"/>
    <mergeCell ref="A250:A252"/>
    <mergeCell ref="B250:B252"/>
    <mergeCell ref="H250:H252"/>
    <mergeCell ref="A287:B287"/>
    <mergeCell ref="A288:B288"/>
    <mergeCell ref="C288:I288"/>
    <mergeCell ref="A290:B290"/>
    <mergeCell ref="A291:A292"/>
    <mergeCell ref="B291:B292"/>
    <mergeCell ref="H291:H292"/>
    <mergeCell ref="A275:A280"/>
    <mergeCell ref="B275:B280"/>
    <mergeCell ref="H275:H280"/>
    <mergeCell ref="I275:I280"/>
    <mergeCell ref="A281:A285"/>
    <mergeCell ref="B281:B285"/>
    <mergeCell ref="H281:H285"/>
    <mergeCell ref="I281:I285"/>
    <mergeCell ref="C287:K287"/>
    <mergeCell ref="A303:A304"/>
    <mergeCell ref="B303:B304"/>
    <mergeCell ref="H303:H304"/>
    <mergeCell ref="A305:A310"/>
    <mergeCell ref="B305:B310"/>
    <mergeCell ref="H305:H310"/>
    <mergeCell ref="A294:A295"/>
    <mergeCell ref="B294:B295"/>
    <mergeCell ref="H294:H295"/>
    <mergeCell ref="A296:A301"/>
    <mergeCell ref="B296:B301"/>
    <mergeCell ref="H296:H301"/>
    <mergeCell ref="A318:A321"/>
    <mergeCell ref="B318:B321"/>
    <mergeCell ref="H318:H321"/>
    <mergeCell ref="A322:A325"/>
    <mergeCell ref="B322:B325"/>
    <mergeCell ref="H322:H325"/>
    <mergeCell ref="A312:A313"/>
    <mergeCell ref="B312:B313"/>
    <mergeCell ref="H312:H313"/>
    <mergeCell ref="A315:A317"/>
    <mergeCell ref="B315:B317"/>
    <mergeCell ref="H315:H317"/>
    <mergeCell ref="A339:A340"/>
    <mergeCell ref="B339:B340"/>
    <mergeCell ref="H339:H340"/>
    <mergeCell ref="A342:A349"/>
    <mergeCell ref="B342:B349"/>
    <mergeCell ref="H342:H349"/>
    <mergeCell ref="A326:A331"/>
    <mergeCell ref="B326:B331"/>
    <mergeCell ref="H326:H331"/>
    <mergeCell ref="A335:A337"/>
    <mergeCell ref="B335:B337"/>
    <mergeCell ref="H335:H337"/>
    <mergeCell ref="A422:M422"/>
    <mergeCell ref="A423:M423"/>
    <mergeCell ref="H370:H371"/>
    <mergeCell ref="I342:I349"/>
    <mergeCell ref="A350:A356"/>
    <mergeCell ref="B350:B356"/>
    <mergeCell ref="H350:H356"/>
    <mergeCell ref="I350:I356"/>
    <mergeCell ref="A357:A362"/>
    <mergeCell ref="B357:B362"/>
    <mergeCell ref="H357:H362"/>
    <mergeCell ref="I357:I358"/>
    <mergeCell ref="I360:I362"/>
    <mergeCell ref="A369:B369"/>
    <mergeCell ref="A373:B373"/>
    <mergeCell ref="C373:I373"/>
    <mergeCell ref="C374:I374"/>
    <mergeCell ref="A376:B376"/>
    <mergeCell ref="A363:A364"/>
    <mergeCell ref="B363:B364"/>
    <mergeCell ref="H363:H364"/>
    <mergeCell ref="A366:B366"/>
    <mergeCell ref="C366:I366"/>
    <mergeCell ref="C367:I367"/>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16.pielikums Jūrmalas pilsētas domes
2018.gada 18.decembra saistošajiem noteikumiem Nr.44
(protokols Nr.17, 2.punkts)</oddHeader>
    <oddFooter xml:space="preserve">&amp;R&amp;"Times New Roman,Regular"&amp;8&amp;P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5"/>
  <sheetViews>
    <sheetView view="pageLayout" zoomScaleNormal="100" workbookViewId="0">
      <selection activeCell="A3" sqref="A3:J3"/>
    </sheetView>
  </sheetViews>
  <sheetFormatPr defaultRowHeight="12" x14ac:dyDescent="0.25"/>
  <cols>
    <col min="1" max="1" width="6.140625" style="403" customWidth="1"/>
    <col min="2" max="2" width="17.28515625" style="403" customWidth="1"/>
    <col min="3" max="3" width="8.28515625" style="403" customWidth="1"/>
    <col min="4" max="4" width="11.85546875" style="403" hidden="1" customWidth="1"/>
    <col min="5" max="5" width="11.140625" style="403" hidden="1" customWidth="1"/>
    <col min="6" max="6" width="10.28515625" style="403" hidden="1" customWidth="1"/>
    <col min="7" max="7" width="10.5703125" style="403" customWidth="1"/>
    <col min="8" max="8" width="9.7109375" style="403" customWidth="1"/>
    <col min="9" max="9" width="23.140625" style="403" customWidth="1"/>
    <col min="10" max="10" width="31.5703125" style="403" hidden="1" customWidth="1"/>
    <col min="11" max="16384" width="9.140625" style="403"/>
  </cols>
  <sheetData>
    <row r="1" spans="1:10" x14ac:dyDescent="0.25">
      <c r="A1" s="1962" t="s">
        <v>124</v>
      </c>
      <c r="B1" s="1962"/>
      <c r="C1" s="795" t="s">
        <v>125</v>
      </c>
      <c r="E1" s="795"/>
      <c r="F1" s="795"/>
      <c r="G1" s="795"/>
      <c r="H1" s="795"/>
      <c r="I1" s="795"/>
      <c r="J1" s="795"/>
    </row>
    <row r="2" spans="1:10" x14ac:dyDescent="0.25">
      <c r="A2" s="1962" t="s">
        <v>126</v>
      </c>
      <c r="B2" s="1962"/>
      <c r="C2" s="796" t="s">
        <v>1648</v>
      </c>
      <c r="E2" s="795"/>
      <c r="F2" s="795"/>
      <c r="G2" s="795"/>
      <c r="H2" s="795"/>
      <c r="I2" s="795"/>
      <c r="J2" s="795"/>
    </row>
    <row r="3" spans="1:10" ht="15.75" x14ac:dyDescent="0.25">
      <c r="A3" s="1964" t="s">
        <v>3640</v>
      </c>
      <c r="B3" s="1964"/>
      <c r="C3" s="1964"/>
      <c r="D3" s="1964"/>
      <c r="E3" s="1964"/>
      <c r="F3" s="1964"/>
      <c r="G3" s="1964"/>
      <c r="H3" s="1964"/>
      <c r="I3" s="1964"/>
      <c r="J3" s="1964"/>
    </row>
    <row r="4" spans="1:10" ht="15.75" x14ac:dyDescent="0.25">
      <c r="A4" s="601"/>
      <c r="B4" s="601"/>
      <c r="C4" s="601"/>
      <c r="D4" s="601"/>
      <c r="E4" s="601"/>
      <c r="F4" s="601"/>
      <c r="G4" s="601"/>
      <c r="H4" s="601"/>
      <c r="I4" s="601"/>
      <c r="J4" s="601"/>
    </row>
    <row r="5" spans="1:10" ht="15.75" x14ac:dyDescent="0.25">
      <c r="A5" s="1962" t="s">
        <v>440</v>
      </c>
      <c r="B5" s="1962"/>
      <c r="C5" s="797" t="s">
        <v>1872</v>
      </c>
      <c r="D5" s="797"/>
      <c r="E5" s="797"/>
      <c r="F5" s="797"/>
      <c r="G5" s="797"/>
      <c r="H5" s="797"/>
      <c r="I5" s="797"/>
      <c r="J5" s="797"/>
    </row>
    <row r="6" spans="1:10" x14ac:dyDescent="0.25">
      <c r="A6" s="1962" t="s">
        <v>129</v>
      </c>
      <c r="B6" s="1962"/>
      <c r="C6" s="403" t="s">
        <v>1873</v>
      </c>
    </row>
    <row r="7" spans="1:10" x14ac:dyDescent="0.25">
      <c r="A7" s="1962" t="s">
        <v>131</v>
      </c>
      <c r="B7" s="1962"/>
      <c r="C7" s="602" t="s">
        <v>425</v>
      </c>
      <c r="D7" s="603"/>
      <c r="E7" s="603"/>
      <c r="F7" s="603"/>
      <c r="G7" s="603"/>
      <c r="H7" s="603"/>
      <c r="I7" s="603"/>
      <c r="J7" s="603"/>
    </row>
    <row r="8" spans="1:10" ht="36" x14ac:dyDescent="0.25">
      <c r="A8" s="426" t="s">
        <v>4</v>
      </c>
      <c r="B8" s="1953" t="s">
        <v>133</v>
      </c>
      <c r="C8" s="1954"/>
      <c r="D8" s="426" t="s">
        <v>17</v>
      </c>
      <c r="E8" s="426" t="s">
        <v>15</v>
      </c>
      <c r="F8" s="426" t="s">
        <v>134</v>
      </c>
      <c r="G8" s="426" t="s">
        <v>135</v>
      </c>
      <c r="H8" s="426" t="s">
        <v>3510</v>
      </c>
      <c r="I8" s="426" t="s">
        <v>14</v>
      </c>
      <c r="J8" s="426" t="s">
        <v>137</v>
      </c>
    </row>
    <row r="9" spans="1:10" x14ac:dyDescent="0.25">
      <c r="A9" s="1955" t="s">
        <v>138</v>
      </c>
      <c r="B9" s="1956"/>
      <c r="C9" s="1957"/>
      <c r="D9" s="427">
        <f>SUM(D10:D19)</f>
        <v>55615</v>
      </c>
      <c r="E9" s="427">
        <f>SUM(E10:E19)</f>
        <v>55414</v>
      </c>
      <c r="F9" s="427">
        <f>SUM(F10:F19)</f>
        <v>66863</v>
      </c>
      <c r="G9" s="427"/>
      <c r="H9" s="427">
        <f>SUM(H10:H19)</f>
        <v>54303</v>
      </c>
      <c r="I9" s="428"/>
      <c r="J9" s="455"/>
    </row>
    <row r="10" spans="1:10" ht="59.25" customHeight="1" x14ac:dyDescent="0.25">
      <c r="A10" s="470">
        <v>1</v>
      </c>
      <c r="B10" s="1757" t="s">
        <v>1874</v>
      </c>
      <c r="C10" s="1758"/>
      <c r="D10" s="483">
        <v>5000</v>
      </c>
      <c r="E10" s="483">
        <v>5000</v>
      </c>
      <c r="F10" s="483">
        <v>5000</v>
      </c>
      <c r="G10" s="605">
        <v>2231</v>
      </c>
      <c r="H10" s="483">
        <v>5000</v>
      </c>
      <c r="I10" s="496" t="s">
        <v>3540</v>
      </c>
      <c r="J10" s="455" t="s">
        <v>1875</v>
      </c>
    </row>
    <row r="11" spans="1:10" ht="60" x14ac:dyDescent="0.25">
      <c r="A11" s="470">
        <v>2</v>
      </c>
      <c r="B11" s="1757" t="s">
        <v>1876</v>
      </c>
      <c r="C11" s="1758"/>
      <c r="D11" s="483">
        <v>8165</v>
      </c>
      <c r="E11" s="483">
        <v>8165</v>
      </c>
      <c r="F11" s="483">
        <v>8000</v>
      </c>
      <c r="G11" s="605">
        <v>2122</v>
      </c>
      <c r="H11" s="483">
        <v>8000</v>
      </c>
      <c r="I11" s="496" t="s">
        <v>3541</v>
      </c>
      <c r="J11" s="455" t="s">
        <v>1877</v>
      </c>
    </row>
    <row r="12" spans="1:10" ht="25.5" customHeight="1" x14ac:dyDescent="0.25">
      <c r="A12" s="470">
        <v>3</v>
      </c>
      <c r="B12" s="1757" t="s">
        <v>1878</v>
      </c>
      <c r="C12" s="1758"/>
      <c r="D12" s="483">
        <v>1700</v>
      </c>
      <c r="E12" s="604">
        <v>1700</v>
      </c>
      <c r="F12" s="483">
        <v>2500</v>
      </c>
      <c r="G12" s="605">
        <v>2121</v>
      </c>
      <c r="H12" s="483">
        <v>1700</v>
      </c>
      <c r="I12" s="496" t="s">
        <v>3541</v>
      </c>
      <c r="J12" s="455" t="s">
        <v>1879</v>
      </c>
    </row>
    <row r="13" spans="1:10" ht="63.75" customHeight="1" x14ac:dyDescent="0.25">
      <c r="A13" s="470">
        <v>4</v>
      </c>
      <c r="B13" s="1757" t="s">
        <v>1880</v>
      </c>
      <c r="C13" s="1758"/>
      <c r="D13" s="483">
        <v>32500</v>
      </c>
      <c r="E13" s="604">
        <v>32500</v>
      </c>
      <c r="F13" s="483">
        <v>44000</v>
      </c>
      <c r="G13" s="605">
        <v>2231</v>
      </c>
      <c r="H13" s="483">
        <v>32500</v>
      </c>
      <c r="I13" s="496" t="s">
        <v>3540</v>
      </c>
      <c r="J13" s="455" t="s">
        <v>1881</v>
      </c>
    </row>
    <row r="14" spans="1:10" ht="38.25" customHeight="1" x14ac:dyDescent="0.25">
      <c r="A14" s="470">
        <v>5</v>
      </c>
      <c r="B14" s="1757" t="s">
        <v>1882</v>
      </c>
      <c r="C14" s="1758"/>
      <c r="D14" s="483">
        <v>2760</v>
      </c>
      <c r="E14" s="604">
        <v>2760</v>
      </c>
      <c r="F14" s="483">
        <v>1500</v>
      </c>
      <c r="G14" s="605">
        <v>2314</v>
      </c>
      <c r="H14" s="483">
        <v>1500</v>
      </c>
      <c r="I14" s="496" t="s">
        <v>3542</v>
      </c>
      <c r="J14" s="455" t="s">
        <v>1883</v>
      </c>
    </row>
    <row r="15" spans="1:10" ht="75" customHeight="1" x14ac:dyDescent="0.25">
      <c r="A15" s="470">
        <v>6</v>
      </c>
      <c r="B15" s="1757" t="s">
        <v>1884</v>
      </c>
      <c r="C15" s="1758"/>
      <c r="D15" s="483">
        <v>240</v>
      </c>
      <c r="E15" s="604">
        <v>240</v>
      </c>
      <c r="F15" s="483">
        <v>300</v>
      </c>
      <c r="G15" s="605">
        <v>2232</v>
      </c>
      <c r="H15" s="483">
        <v>240</v>
      </c>
      <c r="I15" s="496" t="s">
        <v>1885</v>
      </c>
      <c r="J15" s="455" t="s">
        <v>1886</v>
      </c>
    </row>
    <row r="16" spans="1:10" ht="27" customHeight="1" x14ac:dyDescent="0.25">
      <c r="A16" s="470">
        <v>7</v>
      </c>
      <c r="B16" s="1757" t="s">
        <v>1887</v>
      </c>
      <c r="C16" s="1758"/>
      <c r="D16" s="483">
        <v>3250</v>
      </c>
      <c r="E16" s="604">
        <v>3250</v>
      </c>
      <c r="F16" s="483">
        <v>3250</v>
      </c>
      <c r="G16" s="605">
        <v>2279</v>
      </c>
      <c r="H16" s="483">
        <v>3250</v>
      </c>
      <c r="I16" s="496" t="s">
        <v>1888</v>
      </c>
      <c r="J16" s="455" t="s">
        <v>1889</v>
      </c>
    </row>
    <row r="17" spans="1:10" ht="60" x14ac:dyDescent="0.25">
      <c r="A17" s="798">
        <v>8</v>
      </c>
      <c r="B17" s="1757" t="s">
        <v>1890</v>
      </c>
      <c r="C17" s="1758"/>
      <c r="D17" s="799">
        <v>1000</v>
      </c>
      <c r="E17" s="799">
        <v>800</v>
      </c>
      <c r="F17" s="799">
        <v>1000</v>
      </c>
      <c r="G17" s="800">
        <v>2262</v>
      </c>
      <c r="H17" s="483">
        <v>800</v>
      </c>
      <c r="I17" s="496" t="s">
        <v>3543</v>
      </c>
      <c r="J17" s="607" t="s">
        <v>1891</v>
      </c>
    </row>
    <row r="18" spans="1:10" ht="12.75" customHeight="1" x14ac:dyDescent="0.25">
      <c r="A18" s="1887">
        <v>9</v>
      </c>
      <c r="B18" s="1764" t="s">
        <v>1892</v>
      </c>
      <c r="C18" s="1765"/>
      <c r="D18" s="799">
        <v>952</v>
      </c>
      <c r="E18" s="799">
        <v>951</v>
      </c>
      <c r="F18" s="799">
        <v>1250</v>
      </c>
      <c r="G18" s="800">
        <v>1150</v>
      </c>
      <c r="H18" s="483">
        <v>1250</v>
      </c>
      <c r="I18" s="1894" t="s">
        <v>1893</v>
      </c>
      <c r="J18" s="1960" t="s">
        <v>1894</v>
      </c>
    </row>
    <row r="19" spans="1:10" ht="12.75" customHeight="1" x14ac:dyDescent="0.25">
      <c r="A19" s="1889"/>
      <c r="B19" s="1820"/>
      <c r="C19" s="1821"/>
      <c r="D19" s="604">
        <v>48</v>
      </c>
      <c r="E19" s="604">
        <v>48</v>
      </c>
      <c r="F19" s="604">
        <v>63</v>
      </c>
      <c r="G19" s="800">
        <v>1210</v>
      </c>
      <c r="H19" s="483">
        <v>63</v>
      </c>
      <c r="I19" s="1896"/>
      <c r="J19" s="1961"/>
    </row>
    <row r="21" spans="1:10" x14ac:dyDescent="0.25">
      <c r="A21" s="403" t="s">
        <v>455</v>
      </c>
    </row>
    <row r="22" spans="1:10" x14ac:dyDescent="0.25">
      <c r="A22" s="403" t="s">
        <v>505</v>
      </c>
    </row>
    <row r="24" spans="1:10" s="801" customFormat="1" x14ac:dyDescent="0.2">
      <c r="A24" s="1459" t="s">
        <v>1895</v>
      </c>
      <c r="B24" s="403"/>
      <c r="C24" s="403"/>
      <c r="D24" s="403"/>
      <c r="E24" s="403"/>
      <c r="F24" s="403"/>
      <c r="G24" s="403"/>
      <c r="H24" s="403"/>
      <c r="I24" s="403"/>
    </row>
    <row r="25" spans="1:10" s="801" customFormat="1" x14ac:dyDescent="0.2">
      <c r="A25" s="156"/>
      <c r="B25" s="274" t="s">
        <v>1896</v>
      </c>
      <c r="C25" s="403"/>
      <c r="D25" s="403"/>
      <c r="E25" s="403"/>
      <c r="F25" s="403"/>
      <c r="G25" s="403"/>
      <c r="H25" s="403"/>
      <c r="I25" s="403"/>
    </row>
    <row r="26" spans="1:10" s="801" customFormat="1" x14ac:dyDescent="0.2">
      <c r="A26" s="274"/>
      <c r="B26" s="1427" t="s">
        <v>1897</v>
      </c>
      <c r="C26" s="403"/>
      <c r="D26" s="403"/>
      <c r="E26" s="403"/>
      <c r="F26" s="403"/>
      <c r="G26" s="403"/>
      <c r="H26" s="403"/>
      <c r="I26" s="403"/>
    </row>
    <row r="27" spans="1:10" s="801" customFormat="1" x14ac:dyDescent="0.2">
      <c r="A27" s="802"/>
      <c r="B27" s="156" t="s">
        <v>1898</v>
      </c>
      <c r="C27" s="403"/>
      <c r="D27" s="403"/>
      <c r="E27" s="403"/>
      <c r="F27" s="403"/>
      <c r="G27" s="403"/>
      <c r="H27" s="403"/>
      <c r="I27" s="403"/>
    </row>
    <row r="28" spans="1:10" s="801" customFormat="1" x14ac:dyDescent="0.2">
      <c r="A28" s="274"/>
      <c r="B28" s="1427" t="s">
        <v>1899</v>
      </c>
      <c r="C28" s="403"/>
      <c r="D28" s="403"/>
      <c r="E28" s="403"/>
      <c r="F28" s="403"/>
      <c r="G28" s="403"/>
      <c r="H28" s="403"/>
      <c r="I28" s="403"/>
    </row>
    <row r="29" spans="1:10" s="801" customFormat="1" x14ac:dyDescent="0.2">
      <c r="A29" s="802"/>
      <c r="B29" s="156" t="s">
        <v>1900</v>
      </c>
      <c r="C29" s="403"/>
      <c r="D29" s="403"/>
      <c r="E29" s="403"/>
      <c r="F29" s="403"/>
      <c r="G29" s="403"/>
      <c r="H29" s="403"/>
      <c r="I29" s="403"/>
    </row>
    <row r="30" spans="1:10" s="801" customFormat="1" x14ac:dyDescent="0.2">
      <c r="A30" s="802"/>
      <c r="B30" s="1427" t="s">
        <v>1901</v>
      </c>
      <c r="C30" s="403"/>
      <c r="D30" s="403"/>
      <c r="E30" s="403"/>
      <c r="F30" s="403"/>
      <c r="G30" s="403"/>
      <c r="H30" s="403"/>
      <c r="I30" s="403"/>
    </row>
    <row r="31" spans="1:10" s="801" customFormat="1" x14ac:dyDescent="0.2">
      <c r="A31" s="274"/>
      <c r="B31" s="156" t="s">
        <v>1902</v>
      </c>
      <c r="C31" s="403"/>
      <c r="D31" s="403"/>
      <c r="E31" s="403"/>
      <c r="F31" s="403"/>
      <c r="G31" s="403"/>
      <c r="H31" s="403"/>
      <c r="I31" s="403"/>
    </row>
    <row r="32" spans="1:10" s="801" customFormat="1" x14ac:dyDescent="0.2">
      <c r="A32" s="802"/>
      <c r="B32" s="1427" t="s">
        <v>1903</v>
      </c>
      <c r="C32" s="403"/>
      <c r="D32" s="403"/>
      <c r="E32" s="403"/>
      <c r="F32" s="403"/>
      <c r="G32" s="403"/>
      <c r="H32" s="403"/>
      <c r="I32" s="403"/>
    </row>
    <row r="33" spans="1:11" s="801" customFormat="1" x14ac:dyDescent="0.2">
      <c r="A33" s="274"/>
      <c r="B33" s="156" t="s">
        <v>1904</v>
      </c>
      <c r="C33" s="403"/>
      <c r="D33" s="403"/>
      <c r="E33" s="403"/>
      <c r="F33" s="403"/>
      <c r="G33" s="403"/>
      <c r="H33" s="403"/>
      <c r="I33" s="403"/>
    </row>
    <row r="34" spans="1:11" s="801" customFormat="1" x14ac:dyDescent="0.2">
      <c r="A34" s="802"/>
      <c r="B34" s="1427" t="s">
        <v>1905</v>
      </c>
      <c r="C34" s="403"/>
      <c r="D34" s="403"/>
      <c r="E34" s="403"/>
      <c r="F34" s="403"/>
      <c r="G34" s="403"/>
      <c r="H34" s="403"/>
      <c r="I34" s="403"/>
    </row>
    <row r="35" spans="1:11" x14ac:dyDescent="0.25">
      <c r="A35" s="621"/>
      <c r="B35" s="621"/>
      <c r="C35" s="621"/>
      <c r="D35" s="621"/>
      <c r="E35" s="621"/>
      <c r="F35" s="621"/>
      <c r="G35" s="621"/>
      <c r="H35" s="621"/>
      <c r="I35" s="621"/>
      <c r="J35" s="621"/>
      <c r="K35" s="621"/>
    </row>
  </sheetData>
  <sheetProtection algorithmName="SHA-512" hashValue="Fb/KdSltnzCm5E8IXLgeDnRuBnKwWlOASLfoB8VQULQ81/Xey6s92RBCI7hDfTf2R/bFKSDIyi8GMtMRPQu9Kw==" saltValue="pG1wjAroeCgeW2MdB45agw==" spinCount="100000" sheet="1" objects="1" scenarios="1"/>
  <mergeCells count="20">
    <mergeCell ref="A7:B7"/>
    <mergeCell ref="A1:B1"/>
    <mergeCell ref="A2:B2"/>
    <mergeCell ref="A3:J3"/>
    <mergeCell ref="A5:B5"/>
    <mergeCell ref="A6:B6"/>
    <mergeCell ref="A18:A19"/>
    <mergeCell ref="B18:C19"/>
    <mergeCell ref="B8:C8"/>
    <mergeCell ref="A9:C9"/>
    <mergeCell ref="B10:C10"/>
    <mergeCell ref="B11:C11"/>
    <mergeCell ref="B12:C12"/>
    <mergeCell ref="B13:C13"/>
    <mergeCell ref="I18:I19"/>
    <mergeCell ref="J18:J19"/>
    <mergeCell ref="B14:C14"/>
    <mergeCell ref="B15:C15"/>
    <mergeCell ref="B16:C16"/>
    <mergeCell ref="B17:C17"/>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17.pielikums Jūrmalas pilsētas domes
2018.gada 18.decembra saistošajiem noteikumiem Nr.44
(protokols Nr.17, 2.punkts)</oddHeader>
    <oddFooter xml:space="preserve">&amp;R&amp;"Times New Roman,Regular"&amp;8&amp;P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53"/>
  <sheetViews>
    <sheetView view="pageLayout" zoomScaleNormal="100" workbookViewId="0">
      <selection activeCell="Q7" sqref="Q6:Q7"/>
    </sheetView>
  </sheetViews>
  <sheetFormatPr defaultRowHeight="12" x14ac:dyDescent="0.25"/>
  <cols>
    <col min="1" max="1" width="4" style="403" customWidth="1"/>
    <col min="2" max="2" width="17.28515625" style="403" customWidth="1"/>
    <col min="3" max="3" width="17.85546875" style="403" customWidth="1"/>
    <col min="4" max="4" width="11.85546875" style="403" hidden="1" customWidth="1"/>
    <col min="5" max="5" width="9.42578125" style="403" hidden="1" customWidth="1"/>
    <col min="6" max="6" width="11.140625" style="403" hidden="1" customWidth="1"/>
    <col min="7" max="7" width="9.5703125" style="403" hidden="1" customWidth="1"/>
    <col min="8" max="8" width="11.5703125" style="403" hidden="1" customWidth="1"/>
    <col min="9" max="9" width="9.7109375" style="403" hidden="1" customWidth="1"/>
    <col min="10" max="10" width="10.5703125" style="403" customWidth="1"/>
    <col min="11" max="11" width="10.42578125" style="403" customWidth="1"/>
    <col min="12" max="12" width="9.85546875" style="403" customWidth="1"/>
    <col min="13" max="13" width="20.42578125" style="403" customWidth="1"/>
    <col min="14" max="14" width="51.7109375" style="403" hidden="1" customWidth="1"/>
    <col min="15" max="15" width="9.140625" style="403"/>
    <col min="16" max="16" width="18.5703125" style="403" customWidth="1"/>
    <col min="17" max="256" width="9.140625" style="403"/>
    <col min="257" max="257" width="13.5703125" style="403" customWidth="1"/>
    <col min="258" max="258" width="17.28515625" style="403" customWidth="1"/>
    <col min="259" max="259" width="11.7109375" style="403" customWidth="1"/>
    <col min="260" max="260" width="11.85546875" style="403" customWidth="1"/>
    <col min="261" max="261" width="9.42578125" style="403" customWidth="1"/>
    <col min="262" max="262" width="11.140625" style="403" customWidth="1"/>
    <col min="263" max="263" width="9.5703125" style="403" customWidth="1"/>
    <col min="264" max="264" width="11.5703125" style="403" customWidth="1"/>
    <col min="265" max="265" width="9.7109375" style="403" customWidth="1"/>
    <col min="266" max="266" width="10.5703125" style="403" customWidth="1"/>
    <col min="267" max="267" width="10.42578125" style="403" customWidth="1"/>
    <col min="268" max="268" width="9.85546875" style="403" customWidth="1"/>
    <col min="269" max="269" width="23.85546875" style="403" customWidth="1"/>
    <col min="270" max="270" width="51.7109375" style="403" customWidth="1"/>
    <col min="271" max="512" width="9.140625" style="403"/>
    <col min="513" max="513" width="13.5703125" style="403" customWidth="1"/>
    <col min="514" max="514" width="17.28515625" style="403" customWidth="1"/>
    <col min="515" max="515" width="11.7109375" style="403" customWidth="1"/>
    <col min="516" max="516" width="11.85546875" style="403" customWidth="1"/>
    <col min="517" max="517" width="9.42578125" style="403" customWidth="1"/>
    <col min="518" max="518" width="11.140625" style="403" customWidth="1"/>
    <col min="519" max="519" width="9.5703125" style="403" customWidth="1"/>
    <col min="520" max="520" width="11.5703125" style="403" customWidth="1"/>
    <col min="521" max="521" width="9.7109375" style="403" customWidth="1"/>
    <col min="522" max="522" width="10.5703125" style="403" customWidth="1"/>
    <col min="523" max="523" width="10.42578125" style="403" customWidth="1"/>
    <col min="524" max="524" width="9.85546875" style="403" customWidth="1"/>
    <col min="525" max="525" width="23.85546875" style="403" customWidth="1"/>
    <col min="526" max="526" width="51.7109375" style="403" customWidth="1"/>
    <col min="527" max="768" width="9.140625" style="403"/>
    <col min="769" max="769" width="13.5703125" style="403" customWidth="1"/>
    <col min="770" max="770" width="17.28515625" style="403" customWidth="1"/>
    <col min="771" max="771" width="11.7109375" style="403" customWidth="1"/>
    <col min="772" max="772" width="11.85546875" style="403" customWidth="1"/>
    <col min="773" max="773" width="9.42578125" style="403" customWidth="1"/>
    <col min="774" max="774" width="11.140625" style="403" customWidth="1"/>
    <col min="775" max="775" width="9.5703125" style="403" customWidth="1"/>
    <col min="776" max="776" width="11.5703125" style="403" customWidth="1"/>
    <col min="777" max="777" width="9.7109375" style="403" customWidth="1"/>
    <col min="778" max="778" width="10.5703125" style="403" customWidth="1"/>
    <col min="779" max="779" width="10.42578125" style="403" customWidth="1"/>
    <col min="780" max="780" width="9.85546875" style="403" customWidth="1"/>
    <col min="781" max="781" width="23.85546875" style="403" customWidth="1"/>
    <col min="782" max="782" width="51.7109375" style="403" customWidth="1"/>
    <col min="783" max="1024" width="9.140625" style="403"/>
    <col min="1025" max="1025" width="13.5703125" style="403" customWidth="1"/>
    <col min="1026" max="1026" width="17.28515625" style="403" customWidth="1"/>
    <col min="1027" max="1027" width="11.7109375" style="403" customWidth="1"/>
    <col min="1028" max="1028" width="11.85546875" style="403" customWidth="1"/>
    <col min="1029" max="1029" width="9.42578125" style="403" customWidth="1"/>
    <col min="1030" max="1030" width="11.140625" style="403" customWidth="1"/>
    <col min="1031" max="1031" width="9.5703125" style="403" customWidth="1"/>
    <col min="1032" max="1032" width="11.5703125" style="403" customWidth="1"/>
    <col min="1033" max="1033" width="9.7109375" style="403" customWidth="1"/>
    <col min="1034" max="1034" width="10.5703125" style="403" customWidth="1"/>
    <col min="1035" max="1035" width="10.42578125" style="403" customWidth="1"/>
    <col min="1036" max="1036" width="9.85546875" style="403" customWidth="1"/>
    <col min="1037" max="1037" width="23.85546875" style="403" customWidth="1"/>
    <col min="1038" max="1038" width="51.7109375" style="403" customWidth="1"/>
    <col min="1039" max="1280" width="9.140625" style="403"/>
    <col min="1281" max="1281" width="13.5703125" style="403" customWidth="1"/>
    <col min="1282" max="1282" width="17.28515625" style="403" customWidth="1"/>
    <col min="1283" max="1283" width="11.7109375" style="403" customWidth="1"/>
    <col min="1284" max="1284" width="11.85546875" style="403" customWidth="1"/>
    <col min="1285" max="1285" width="9.42578125" style="403" customWidth="1"/>
    <col min="1286" max="1286" width="11.140625" style="403" customWidth="1"/>
    <col min="1287" max="1287" width="9.5703125" style="403" customWidth="1"/>
    <col min="1288" max="1288" width="11.5703125" style="403" customWidth="1"/>
    <col min="1289" max="1289" width="9.7109375" style="403" customWidth="1"/>
    <col min="1290" max="1290" width="10.5703125" style="403" customWidth="1"/>
    <col min="1291" max="1291" width="10.42578125" style="403" customWidth="1"/>
    <col min="1292" max="1292" width="9.85546875" style="403" customWidth="1"/>
    <col min="1293" max="1293" width="23.85546875" style="403" customWidth="1"/>
    <col min="1294" max="1294" width="51.7109375" style="403" customWidth="1"/>
    <col min="1295" max="1536" width="9.140625" style="403"/>
    <col min="1537" max="1537" width="13.5703125" style="403" customWidth="1"/>
    <col min="1538" max="1538" width="17.28515625" style="403" customWidth="1"/>
    <col min="1539" max="1539" width="11.7109375" style="403" customWidth="1"/>
    <col min="1540" max="1540" width="11.85546875" style="403" customWidth="1"/>
    <col min="1541" max="1541" width="9.42578125" style="403" customWidth="1"/>
    <col min="1542" max="1542" width="11.140625" style="403" customWidth="1"/>
    <col min="1543" max="1543" width="9.5703125" style="403" customWidth="1"/>
    <col min="1544" max="1544" width="11.5703125" style="403" customWidth="1"/>
    <col min="1545" max="1545" width="9.7109375" style="403" customWidth="1"/>
    <col min="1546" max="1546" width="10.5703125" style="403" customWidth="1"/>
    <col min="1547" max="1547" width="10.42578125" style="403" customWidth="1"/>
    <col min="1548" max="1548" width="9.85546875" style="403" customWidth="1"/>
    <col min="1549" max="1549" width="23.85546875" style="403" customWidth="1"/>
    <col min="1550" max="1550" width="51.7109375" style="403" customWidth="1"/>
    <col min="1551" max="1792" width="9.140625" style="403"/>
    <col min="1793" max="1793" width="13.5703125" style="403" customWidth="1"/>
    <col min="1794" max="1794" width="17.28515625" style="403" customWidth="1"/>
    <col min="1795" max="1795" width="11.7109375" style="403" customWidth="1"/>
    <col min="1796" max="1796" width="11.85546875" style="403" customWidth="1"/>
    <col min="1797" max="1797" width="9.42578125" style="403" customWidth="1"/>
    <col min="1798" max="1798" width="11.140625" style="403" customWidth="1"/>
    <col min="1799" max="1799" width="9.5703125" style="403" customWidth="1"/>
    <col min="1800" max="1800" width="11.5703125" style="403" customWidth="1"/>
    <col min="1801" max="1801" width="9.7109375" style="403" customWidth="1"/>
    <col min="1802" max="1802" width="10.5703125" style="403" customWidth="1"/>
    <col min="1803" max="1803" width="10.42578125" style="403" customWidth="1"/>
    <col min="1804" max="1804" width="9.85546875" style="403" customWidth="1"/>
    <col min="1805" max="1805" width="23.85546875" style="403" customWidth="1"/>
    <col min="1806" max="1806" width="51.7109375" style="403" customWidth="1"/>
    <col min="1807" max="2048" width="9.140625" style="403"/>
    <col min="2049" max="2049" width="13.5703125" style="403" customWidth="1"/>
    <col min="2050" max="2050" width="17.28515625" style="403" customWidth="1"/>
    <col min="2051" max="2051" width="11.7109375" style="403" customWidth="1"/>
    <col min="2052" max="2052" width="11.85546875" style="403" customWidth="1"/>
    <col min="2053" max="2053" width="9.42578125" style="403" customWidth="1"/>
    <col min="2054" max="2054" width="11.140625" style="403" customWidth="1"/>
    <col min="2055" max="2055" width="9.5703125" style="403" customWidth="1"/>
    <col min="2056" max="2056" width="11.5703125" style="403" customWidth="1"/>
    <col min="2057" max="2057" width="9.7109375" style="403" customWidth="1"/>
    <col min="2058" max="2058" width="10.5703125" style="403" customWidth="1"/>
    <col min="2059" max="2059" width="10.42578125" style="403" customWidth="1"/>
    <col min="2060" max="2060" width="9.85546875" style="403" customWidth="1"/>
    <col min="2061" max="2061" width="23.85546875" style="403" customWidth="1"/>
    <col min="2062" max="2062" width="51.7109375" style="403" customWidth="1"/>
    <col min="2063" max="2304" width="9.140625" style="403"/>
    <col min="2305" max="2305" width="13.5703125" style="403" customWidth="1"/>
    <col min="2306" max="2306" width="17.28515625" style="403" customWidth="1"/>
    <col min="2307" max="2307" width="11.7109375" style="403" customWidth="1"/>
    <col min="2308" max="2308" width="11.85546875" style="403" customWidth="1"/>
    <col min="2309" max="2309" width="9.42578125" style="403" customWidth="1"/>
    <col min="2310" max="2310" width="11.140625" style="403" customWidth="1"/>
    <col min="2311" max="2311" width="9.5703125" style="403" customWidth="1"/>
    <col min="2312" max="2312" width="11.5703125" style="403" customWidth="1"/>
    <col min="2313" max="2313" width="9.7109375" style="403" customWidth="1"/>
    <col min="2314" max="2314" width="10.5703125" style="403" customWidth="1"/>
    <col min="2315" max="2315" width="10.42578125" style="403" customWidth="1"/>
    <col min="2316" max="2316" width="9.85546875" style="403" customWidth="1"/>
    <col min="2317" max="2317" width="23.85546875" style="403" customWidth="1"/>
    <col min="2318" max="2318" width="51.7109375" style="403" customWidth="1"/>
    <col min="2319" max="2560" width="9.140625" style="403"/>
    <col min="2561" max="2561" width="13.5703125" style="403" customWidth="1"/>
    <col min="2562" max="2562" width="17.28515625" style="403" customWidth="1"/>
    <col min="2563" max="2563" width="11.7109375" style="403" customWidth="1"/>
    <col min="2564" max="2564" width="11.85546875" style="403" customWidth="1"/>
    <col min="2565" max="2565" width="9.42578125" style="403" customWidth="1"/>
    <col min="2566" max="2566" width="11.140625" style="403" customWidth="1"/>
    <col min="2567" max="2567" width="9.5703125" style="403" customWidth="1"/>
    <col min="2568" max="2568" width="11.5703125" style="403" customWidth="1"/>
    <col min="2569" max="2569" width="9.7109375" style="403" customWidth="1"/>
    <col min="2570" max="2570" width="10.5703125" style="403" customWidth="1"/>
    <col min="2571" max="2571" width="10.42578125" style="403" customWidth="1"/>
    <col min="2572" max="2572" width="9.85546875" style="403" customWidth="1"/>
    <col min="2573" max="2573" width="23.85546875" style="403" customWidth="1"/>
    <col min="2574" max="2574" width="51.7109375" style="403" customWidth="1"/>
    <col min="2575" max="2816" width="9.140625" style="403"/>
    <col min="2817" max="2817" width="13.5703125" style="403" customWidth="1"/>
    <col min="2818" max="2818" width="17.28515625" style="403" customWidth="1"/>
    <col min="2819" max="2819" width="11.7109375" style="403" customWidth="1"/>
    <col min="2820" max="2820" width="11.85546875" style="403" customWidth="1"/>
    <col min="2821" max="2821" width="9.42578125" style="403" customWidth="1"/>
    <col min="2822" max="2822" width="11.140625" style="403" customWidth="1"/>
    <col min="2823" max="2823" width="9.5703125" style="403" customWidth="1"/>
    <col min="2824" max="2824" width="11.5703125" style="403" customWidth="1"/>
    <col min="2825" max="2825" width="9.7109375" style="403" customWidth="1"/>
    <col min="2826" max="2826" width="10.5703125" style="403" customWidth="1"/>
    <col min="2827" max="2827" width="10.42578125" style="403" customWidth="1"/>
    <col min="2828" max="2828" width="9.85546875" style="403" customWidth="1"/>
    <col min="2829" max="2829" width="23.85546875" style="403" customWidth="1"/>
    <col min="2830" max="2830" width="51.7109375" style="403" customWidth="1"/>
    <col min="2831" max="3072" width="9.140625" style="403"/>
    <col min="3073" max="3073" width="13.5703125" style="403" customWidth="1"/>
    <col min="3074" max="3074" width="17.28515625" style="403" customWidth="1"/>
    <col min="3075" max="3075" width="11.7109375" style="403" customWidth="1"/>
    <col min="3076" max="3076" width="11.85546875" style="403" customWidth="1"/>
    <col min="3077" max="3077" width="9.42578125" style="403" customWidth="1"/>
    <col min="3078" max="3078" width="11.140625" style="403" customWidth="1"/>
    <col min="3079" max="3079" width="9.5703125" style="403" customWidth="1"/>
    <col min="3080" max="3080" width="11.5703125" style="403" customWidth="1"/>
    <col min="3081" max="3081" width="9.7109375" style="403" customWidth="1"/>
    <col min="3082" max="3082" width="10.5703125" style="403" customWidth="1"/>
    <col min="3083" max="3083" width="10.42578125" style="403" customWidth="1"/>
    <col min="3084" max="3084" width="9.85546875" style="403" customWidth="1"/>
    <col min="3085" max="3085" width="23.85546875" style="403" customWidth="1"/>
    <col min="3086" max="3086" width="51.7109375" style="403" customWidth="1"/>
    <col min="3087" max="3328" width="9.140625" style="403"/>
    <col min="3329" max="3329" width="13.5703125" style="403" customWidth="1"/>
    <col min="3330" max="3330" width="17.28515625" style="403" customWidth="1"/>
    <col min="3331" max="3331" width="11.7109375" style="403" customWidth="1"/>
    <col min="3332" max="3332" width="11.85546875" style="403" customWidth="1"/>
    <col min="3333" max="3333" width="9.42578125" style="403" customWidth="1"/>
    <col min="3334" max="3334" width="11.140625" style="403" customWidth="1"/>
    <col min="3335" max="3335" width="9.5703125" style="403" customWidth="1"/>
    <col min="3336" max="3336" width="11.5703125" style="403" customWidth="1"/>
    <col min="3337" max="3337" width="9.7109375" style="403" customWidth="1"/>
    <col min="3338" max="3338" width="10.5703125" style="403" customWidth="1"/>
    <col min="3339" max="3339" width="10.42578125" style="403" customWidth="1"/>
    <col min="3340" max="3340" width="9.85546875" style="403" customWidth="1"/>
    <col min="3341" max="3341" width="23.85546875" style="403" customWidth="1"/>
    <col min="3342" max="3342" width="51.7109375" style="403" customWidth="1"/>
    <col min="3343" max="3584" width="9.140625" style="403"/>
    <col min="3585" max="3585" width="13.5703125" style="403" customWidth="1"/>
    <col min="3586" max="3586" width="17.28515625" style="403" customWidth="1"/>
    <col min="3587" max="3587" width="11.7109375" style="403" customWidth="1"/>
    <col min="3588" max="3588" width="11.85546875" style="403" customWidth="1"/>
    <col min="3589" max="3589" width="9.42578125" style="403" customWidth="1"/>
    <col min="3590" max="3590" width="11.140625" style="403" customWidth="1"/>
    <col min="3591" max="3591" width="9.5703125" style="403" customWidth="1"/>
    <col min="3592" max="3592" width="11.5703125" style="403" customWidth="1"/>
    <col min="3593" max="3593" width="9.7109375" style="403" customWidth="1"/>
    <col min="3594" max="3594" width="10.5703125" style="403" customWidth="1"/>
    <col min="3595" max="3595" width="10.42578125" style="403" customWidth="1"/>
    <col min="3596" max="3596" width="9.85546875" style="403" customWidth="1"/>
    <col min="3597" max="3597" width="23.85546875" style="403" customWidth="1"/>
    <col min="3598" max="3598" width="51.7109375" style="403" customWidth="1"/>
    <col min="3599" max="3840" width="9.140625" style="403"/>
    <col min="3841" max="3841" width="13.5703125" style="403" customWidth="1"/>
    <col min="3842" max="3842" width="17.28515625" style="403" customWidth="1"/>
    <col min="3843" max="3843" width="11.7109375" style="403" customWidth="1"/>
    <col min="3844" max="3844" width="11.85546875" style="403" customWidth="1"/>
    <col min="3845" max="3845" width="9.42578125" style="403" customWidth="1"/>
    <col min="3846" max="3846" width="11.140625" style="403" customWidth="1"/>
    <col min="3847" max="3847" width="9.5703125" style="403" customWidth="1"/>
    <col min="3848" max="3848" width="11.5703125" style="403" customWidth="1"/>
    <col min="3849" max="3849" width="9.7109375" style="403" customWidth="1"/>
    <col min="3850" max="3850" width="10.5703125" style="403" customWidth="1"/>
    <col min="3851" max="3851" width="10.42578125" style="403" customWidth="1"/>
    <col min="3852" max="3852" width="9.85546875" style="403" customWidth="1"/>
    <col min="3853" max="3853" width="23.85546875" style="403" customWidth="1"/>
    <col min="3854" max="3854" width="51.7109375" style="403" customWidth="1"/>
    <col min="3855" max="4096" width="9.140625" style="403"/>
    <col min="4097" max="4097" width="13.5703125" style="403" customWidth="1"/>
    <col min="4098" max="4098" width="17.28515625" style="403" customWidth="1"/>
    <col min="4099" max="4099" width="11.7109375" style="403" customWidth="1"/>
    <col min="4100" max="4100" width="11.85546875" style="403" customWidth="1"/>
    <col min="4101" max="4101" width="9.42578125" style="403" customWidth="1"/>
    <col min="4102" max="4102" width="11.140625" style="403" customWidth="1"/>
    <col min="4103" max="4103" width="9.5703125" style="403" customWidth="1"/>
    <col min="4104" max="4104" width="11.5703125" style="403" customWidth="1"/>
    <col min="4105" max="4105" width="9.7109375" style="403" customWidth="1"/>
    <col min="4106" max="4106" width="10.5703125" style="403" customWidth="1"/>
    <col min="4107" max="4107" width="10.42578125" style="403" customWidth="1"/>
    <col min="4108" max="4108" width="9.85546875" style="403" customWidth="1"/>
    <col min="4109" max="4109" width="23.85546875" style="403" customWidth="1"/>
    <col min="4110" max="4110" width="51.7109375" style="403" customWidth="1"/>
    <col min="4111" max="4352" width="9.140625" style="403"/>
    <col min="4353" max="4353" width="13.5703125" style="403" customWidth="1"/>
    <col min="4354" max="4354" width="17.28515625" style="403" customWidth="1"/>
    <col min="4355" max="4355" width="11.7109375" style="403" customWidth="1"/>
    <col min="4356" max="4356" width="11.85546875" style="403" customWidth="1"/>
    <col min="4357" max="4357" width="9.42578125" style="403" customWidth="1"/>
    <col min="4358" max="4358" width="11.140625" style="403" customWidth="1"/>
    <col min="4359" max="4359" width="9.5703125" style="403" customWidth="1"/>
    <col min="4360" max="4360" width="11.5703125" style="403" customWidth="1"/>
    <col min="4361" max="4361" width="9.7109375" style="403" customWidth="1"/>
    <col min="4362" max="4362" width="10.5703125" style="403" customWidth="1"/>
    <col min="4363" max="4363" width="10.42578125" style="403" customWidth="1"/>
    <col min="4364" max="4364" width="9.85546875" style="403" customWidth="1"/>
    <col min="4365" max="4365" width="23.85546875" style="403" customWidth="1"/>
    <col min="4366" max="4366" width="51.7109375" style="403" customWidth="1"/>
    <col min="4367" max="4608" width="9.140625" style="403"/>
    <col min="4609" max="4609" width="13.5703125" style="403" customWidth="1"/>
    <col min="4610" max="4610" width="17.28515625" style="403" customWidth="1"/>
    <col min="4611" max="4611" width="11.7109375" style="403" customWidth="1"/>
    <col min="4612" max="4612" width="11.85546875" style="403" customWidth="1"/>
    <col min="4613" max="4613" width="9.42578125" style="403" customWidth="1"/>
    <col min="4614" max="4614" width="11.140625" style="403" customWidth="1"/>
    <col min="4615" max="4615" width="9.5703125" style="403" customWidth="1"/>
    <col min="4616" max="4616" width="11.5703125" style="403" customWidth="1"/>
    <col min="4617" max="4617" width="9.7109375" style="403" customWidth="1"/>
    <col min="4618" max="4618" width="10.5703125" style="403" customWidth="1"/>
    <col min="4619" max="4619" width="10.42578125" style="403" customWidth="1"/>
    <col min="4620" max="4620" width="9.85546875" style="403" customWidth="1"/>
    <col min="4621" max="4621" width="23.85546875" style="403" customWidth="1"/>
    <col min="4622" max="4622" width="51.7109375" style="403" customWidth="1"/>
    <col min="4623" max="4864" width="9.140625" style="403"/>
    <col min="4865" max="4865" width="13.5703125" style="403" customWidth="1"/>
    <col min="4866" max="4866" width="17.28515625" style="403" customWidth="1"/>
    <col min="4867" max="4867" width="11.7109375" style="403" customWidth="1"/>
    <col min="4868" max="4868" width="11.85546875" style="403" customWidth="1"/>
    <col min="4869" max="4869" width="9.42578125" style="403" customWidth="1"/>
    <col min="4870" max="4870" width="11.140625" style="403" customWidth="1"/>
    <col min="4871" max="4871" width="9.5703125" style="403" customWidth="1"/>
    <col min="4872" max="4872" width="11.5703125" style="403" customWidth="1"/>
    <col min="4873" max="4873" width="9.7109375" style="403" customWidth="1"/>
    <col min="4874" max="4874" width="10.5703125" style="403" customWidth="1"/>
    <col min="4875" max="4875" width="10.42578125" style="403" customWidth="1"/>
    <col min="4876" max="4876" width="9.85546875" style="403" customWidth="1"/>
    <col min="4877" max="4877" width="23.85546875" style="403" customWidth="1"/>
    <col min="4878" max="4878" width="51.7109375" style="403" customWidth="1"/>
    <col min="4879" max="5120" width="9.140625" style="403"/>
    <col min="5121" max="5121" width="13.5703125" style="403" customWidth="1"/>
    <col min="5122" max="5122" width="17.28515625" style="403" customWidth="1"/>
    <col min="5123" max="5123" width="11.7109375" style="403" customWidth="1"/>
    <col min="5124" max="5124" width="11.85546875" style="403" customWidth="1"/>
    <col min="5125" max="5125" width="9.42578125" style="403" customWidth="1"/>
    <col min="5126" max="5126" width="11.140625" style="403" customWidth="1"/>
    <col min="5127" max="5127" width="9.5703125" style="403" customWidth="1"/>
    <col min="5128" max="5128" width="11.5703125" style="403" customWidth="1"/>
    <col min="5129" max="5129" width="9.7109375" style="403" customWidth="1"/>
    <col min="5130" max="5130" width="10.5703125" style="403" customWidth="1"/>
    <col min="5131" max="5131" width="10.42578125" style="403" customWidth="1"/>
    <col min="5132" max="5132" width="9.85546875" style="403" customWidth="1"/>
    <col min="5133" max="5133" width="23.85546875" style="403" customWidth="1"/>
    <col min="5134" max="5134" width="51.7109375" style="403" customWidth="1"/>
    <col min="5135" max="5376" width="9.140625" style="403"/>
    <col min="5377" max="5377" width="13.5703125" style="403" customWidth="1"/>
    <col min="5378" max="5378" width="17.28515625" style="403" customWidth="1"/>
    <col min="5379" max="5379" width="11.7109375" style="403" customWidth="1"/>
    <col min="5380" max="5380" width="11.85546875" style="403" customWidth="1"/>
    <col min="5381" max="5381" width="9.42578125" style="403" customWidth="1"/>
    <col min="5382" max="5382" width="11.140625" style="403" customWidth="1"/>
    <col min="5383" max="5383" width="9.5703125" style="403" customWidth="1"/>
    <col min="5384" max="5384" width="11.5703125" style="403" customWidth="1"/>
    <col min="5385" max="5385" width="9.7109375" style="403" customWidth="1"/>
    <col min="5386" max="5386" width="10.5703125" style="403" customWidth="1"/>
    <col min="5387" max="5387" width="10.42578125" style="403" customWidth="1"/>
    <col min="5388" max="5388" width="9.85546875" style="403" customWidth="1"/>
    <col min="5389" max="5389" width="23.85546875" style="403" customWidth="1"/>
    <col min="5390" max="5390" width="51.7109375" style="403" customWidth="1"/>
    <col min="5391" max="5632" width="9.140625" style="403"/>
    <col min="5633" max="5633" width="13.5703125" style="403" customWidth="1"/>
    <col min="5634" max="5634" width="17.28515625" style="403" customWidth="1"/>
    <col min="5635" max="5635" width="11.7109375" style="403" customWidth="1"/>
    <col min="5636" max="5636" width="11.85546875" style="403" customWidth="1"/>
    <col min="5637" max="5637" width="9.42578125" style="403" customWidth="1"/>
    <col min="5638" max="5638" width="11.140625" style="403" customWidth="1"/>
    <col min="5639" max="5639" width="9.5703125" style="403" customWidth="1"/>
    <col min="5640" max="5640" width="11.5703125" style="403" customWidth="1"/>
    <col min="5641" max="5641" width="9.7109375" style="403" customWidth="1"/>
    <col min="5642" max="5642" width="10.5703125" style="403" customWidth="1"/>
    <col min="5643" max="5643" width="10.42578125" style="403" customWidth="1"/>
    <col min="5644" max="5644" width="9.85546875" style="403" customWidth="1"/>
    <col min="5645" max="5645" width="23.85546875" style="403" customWidth="1"/>
    <col min="5646" max="5646" width="51.7109375" style="403" customWidth="1"/>
    <col min="5647" max="5888" width="9.140625" style="403"/>
    <col min="5889" max="5889" width="13.5703125" style="403" customWidth="1"/>
    <col min="5890" max="5890" width="17.28515625" style="403" customWidth="1"/>
    <col min="5891" max="5891" width="11.7109375" style="403" customWidth="1"/>
    <col min="5892" max="5892" width="11.85546875" style="403" customWidth="1"/>
    <col min="5893" max="5893" width="9.42578125" style="403" customWidth="1"/>
    <col min="5894" max="5894" width="11.140625" style="403" customWidth="1"/>
    <col min="5895" max="5895" width="9.5703125" style="403" customWidth="1"/>
    <col min="5896" max="5896" width="11.5703125" style="403" customWidth="1"/>
    <col min="5897" max="5897" width="9.7109375" style="403" customWidth="1"/>
    <col min="5898" max="5898" width="10.5703125" style="403" customWidth="1"/>
    <col min="5899" max="5899" width="10.42578125" style="403" customWidth="1"/>
    <col min="5900" max="5900" width="9.85546875" style="403" customWidth="1"/>
    <col min="5901" max="5901" width="23.85546875" style="403" customWidth="1"/>
    <col min="5902" max="5902" width="51.7109375" style="403" customWidth="1"/>
    <col min="5903" max="6144" width="9.140625" style="403"/>
    <col min="6145" max="6145" width="13.5703125" style="403" customWidth="1"/>
    <col min="6146" max="6146" width="17.28515625" style="403" customWidth="1"/>
    <col min="6147" max="6147" width="11.7109375" style="403" customWidth="1"/>
    <col min="6148" max="6148" width="11.85546875" style="403" customWidth="1"/>
    <col min="6149" max="6149" width="9.42578125" style="403" customWidth="1"/>
    <col min="6150" max="6150" width="11.140625" style="403" customWidth="1"/>
    <col min="6151" max="6151" width="9.5703125" style="403" customWidth="1"/>
    <col min="6152" max="6152" width="11.5703125" style="403" customWidth="1"/>
    <col min="6153" max="6153" width="9.7109375" style="403" customWidth="1"/>
    <col min="6154" max="6154" width="10.5703125" style="403" customWidth="1"/>
    <col min="6155" max="6155" width="10.42578125" style="403" customWidth="1"/>
    <col min="6156" max="6156" width="9.85546875" style="403" customWidth="1"/>
    <col min="6157" max="6157" width="23.85546875" style="403" customWidth="1"/>
    <col min="6158" max="6158" width="51.7109375" style="403" customWidth="1"/>
    <col min="6159" max="6400" width="9.140625" style="403"/>
    <col min="6401" max="6401" width="13.5703125" style="403" customWidth="1"/>
    <col min="6402" max="6402" width="17.28515625" style="403" customWidth="1"/>
    <col min="6403" max="6403" width="11.7109375" style="403" customWidth="1"/>
    <col min="6404" max="6404" width="11.85546875" style="403" customWidth="1"/>
    <col min="6405" max="6405" width="9.42578125" style="403" customWidth="1"/>
    <col min="6406" max="6406" width="11.140625" style="403" customWidth="1"/>
    <col min="6407" max="6407" width="9.5703125" style="403" customWidth="1"/>
    <col min="6408" max="6408" width="11.5703125" style="403" customWidth="1"/>
    <col min="6409" max="6409" width="9.7109375" style="403" customWidth="1"/>
    <col min="6410" max="6410" width="10.5703125" style="403" customWidth="1"/>
    <col min="6411" max="6411" width="10.42578125" style="403" customWidth="1"/>
    <col min="6412" max="6412" width="9.85546875" style="403" customWidth="1"/>
    <col min="6413" max="6413" width="23.85546875" style="403" customWidth="1"/>
    <col min="6414" max="6414" width="51.7109375" style="403" customWidth="1"/>
    <col min="6415" max="6656" width="9.140625" style="403"/>
    <col min="6657" max="6657" width="13.5703125" style="403" customWidth="1"/>
    <col min="6658" max="6658" width="17.28515625" style="403" customWidth="1"/>
    <col min="6659" max="6659" width="11.7109375" style="403" customWidth="1"/>
    <col min="6660" max="6660" width="11.85546875" style="403" customWidth="1"/>
    <col min="6661" max="6661" width="9.42578125" style="403" customWidth="1"/>
    <col min="6662" max="6662" width="11.140625" style="403" customWidth="1"/>
    <col min="6663" max="6663" width="9.5703125" style="403" customWidth="1"/>
    <col min="6664" max="6664" width="11.5703125" style="403" customWidth="1"/>
    <col min="6665" max="6665" width="9.7109375" style="403" customWidth="1"/>
    <col min="6666" max="6666" width="10.5703125" style="403" customWidth="1"/>
    <col min="6667" max="6667" width="10.42578125" style="403" customWidth="1"/>
    <col min="6668" max="6668" width="9.85546875" style="403" customWidth="1"/>
    <col min="6669" max="6669" width="23.85546875" style="403" customWidth="1"/>
    <col min="6670" max="6670" width="51.7109375" style="403" customWidth="1"/>
    <col min="6671" max="6912" width="9.140625" style="403"/>
    <col min="6913" max="6913" width="13.5703125" style="403" customWidth="1"/>
    <col min="6914" max="6914" width="17.28515625" style="403" customWidth="1"/>
    <col min="6915" max="6915" width="11.7109375" style="403" customWidth="1"/>
    <col min="6916" max="6916" width="11.85546875" style="403" customWidth="1"/>
    <col min="6917" max="6917" width="9.42578125" style="403" customWidth="1"/>
    <col min="6918" max="6918" width="11.140625" style="403" customWidth="1"/>
    <col min="6919" max="6919" width="9.5703125" style="403" customWidth="1"/>
    <col min="6920" max="6920" width="11.5703125" style="403" customWidth="1"/>
    <col min="6921" max="6921" width="9.7109375" style="403" customWidth="1"/>
    <col min="6922" max="6922" width="10.5703125" style="403" customWidth="1"/>
    <col min="6923" max="6923" width="10.42578125" style="403" customWidth="1"/>
    <col min="6924" max="6924" width="9.85546875" style="403" customWidth="1"/>
    <col min="6925" max="6925" width="23.85546875" style="403" customWidth="1"/>
    <col min="6926" max="6926" width="51.7109375" style="403" customWidth="1"/>
    <col min="6927" max="7168" width="9.140625" style="403"/>
    <col min="7169" max="7169" width="13.5703125" style="403" customWidth="1"/>
    <col min="7170" max="7170" width="17.28515625" style="403" customWidth="1"/>
    <col min="7171" max="7171" width="11.7109375" style="403" customWidth="1"/>
    <col min="7172" max="7172" width="11.85546875" style="403" customWidth="1"/>
    <col min="7173" max="7173" width="9.42578125" style="403" customWidth="1"/>
    <col min="7174" max="7174" width="11.140625" style="403" customWidth="1"/>
    <col min="7175" max="7175" width="9.5703125" style="403" customWidth="1"/>
    <col min="7176" max="7176" width="11.5703125" style="403" customWidth="1"/>
    <col min="7177" max="7177" width="9.7109375" style="403" customWidth="1"/>
    <col min="7178" max="7178" width="10.5703125" style="403" customWidth="1"/>
    <col min="7179" max="7179" width="10.42578125" style="403" customWidth="1"/>
    <col min="7180" max="7180" width="9.85546875" style="403" customWidth="1"/>
    <col min="7181" max="7181" width="23.85546875" style="403" customWidth="1"/>
    <col min="7182" max="7182" width="51.7109375" style="403" customWidth="1"/>
    <col min="7183" max="7424" width="9.140625" style="403"/>
    <col min="7425" max="7425" width="13.5703125" style="403" customWidth="1"/>
    <col min="7426" max="7426" width="17.28515625" style="403" customWidth="1"/>
    <col min="7427" max="7427" width="11.7109375" style="403" customWidth="1"/>
    <col min="7428" max="7428" width="11.85546875" style="403" customWidth="1"/>
    <col min="7429" max="7429" width="9.42578125" style="403" customWidth="1"/>
    <col min="7430" max="7430" width="11.140625" style="403" customWidth="1"/>
    <col min="7431" max="7431" width="9.5703125" style="403" customWidth="1"/>
    <col min="7432" max="7432" width="11.5703125" style="403" customWidth="1"/>
    <col min="7433" max="7433" width="9.7109375" style="403" customWidth="1"/>
    <col min="7434" max="7434" width="10.5703125" style="403" customWidth="1"/>
    <col min="7435" max="7435" width="10.42578125" style="403" customWidth="1"/>
    <col min="7436" max="7436" width="9.85546875" style="403" customWidth="1"/>
    <col min="7437" max="7437" width="23.85546875" style="403" customWidth="1"/>
    <col min="7438" max="7438" width="51.7109375" style="403" customWidth="1"/>
    <col min="7439" max="7680" width="9.140625" style="403"/>
    <col min="7681" max="7681" width="13.5703125" style="403" customWidth="1"/>
    <col min="7682" max="7682" width="17.28515625" style="403" customWidth="1"/>
    <col min="7683" max="7683" width="11.7109375" style="403" customWidth="1"/>
    <col min="7684" max="7684" width="11.85546875" style="403" customWidth="1"/>
    <col min="7685" max="7685" width="9.42578125" style="403" customWidth="1"/>
    <col min="7686" max="7686" width="11.140625" style="403" customWidth="1"/>
    <col min="7687" max="7687" width="9.5703125" style="403" customWidth="1"/>
    <col min="7688" max="7688" width="11.5703125" style="403" customWidth="1"/>
    <col min="7689" max="7689" width="9.7109375" style="403" customWidth="1"/>
    <col min="7690" max="7690" width="10.5703125" style="403" customWidth="1"/>
    <col min="7691" max="7691" width="10.42578125" style="403" customWidth="1"/>
    <col min="7692" max="7692" width="9.85546875" style="403" customWidth="1"/>
    <col min="7693" max="7693" width="23.85546875" style="403" customWidth="1"/>
    <col min="7694" max="7694" width="51.7109375" style="403" customWidth="1"/>
    <col min="7695" max="7936" width="9.140625" style="403"/>
    <col min="7937" max="7937" width="13.5703125" style="403" customWidth="1"/>
    <col min="7938" max="7938" width="17.28515625" style="403" customWidth="1"/>
    <col min="7939" max="7939" width="11.7109375" style="403" customWidth="1"/>
    <col min="7940" max="7940" width="11.85546875" style="403" customWidth="1"/>
    <col min="7941" max="7941" width="9.42578125" style="403" customWidth="1"/>
    <col min="7942" max="7942" width="11.140625" style="403" customWidth="1"/>
    <col min="7943" max="7943" width="9.5703125" style="403" customWidth="1"/>
    <col min="7944" max="7944" width="11.5703125" style="403" customWidth="1"/>
    <col min="7945" max="7945" width="9.7109375" style="403" customWidth="1"/>
    <col min="7946" max="7946" width="10.5703125" style="403" customWidth="1"/>
    <col min="7947" max="7947" width="10.42578125" style="403" customWidth="1"/>
    <col min="7948" max="7948" width="9.85546875" style="403" customWidth="1"/>
    <col min="7949" max="7949" width="23.85546875" style="403" customWidth="1"/>
    <col min="7950" max="7950" width="51.7109375" style="403" customWidth="1"/>
    <col min="7951" max="8192" width="9.140625" style="403"/>
    <col min="8193" max="8193" width="13.5703125" style="403" customWidth="1"/>
    <col min="8194" max="8194" width="17.28515625" style="403" customWidth="1"/>
    <col min="8195" max="8195" width="11.7109375" style="403" customWidth="1"/>
    <col min="8196" max="8196" width="11.85546875" style="403" customWidth="1"/>
    <col min="8197" max="8197" width="9.42578125" style="403" customWidth="1"/>
    <col min="8198" max="8198" width="11.140625" style="403" customWidth="1"/>
    <col min="8199" max="8199" width="9.5703125" style="403" customWidth="1"/>
    <col min="8200" max="8200" width="11.5703125" style="403" customWidth="1"/>
    <col min="8201" max="8201" width="9.7109375" style="403" customWidth="1"/>
    <col min="8202" max="8202" width="10.5703125" style="403" customWidth="1"/>
    <col min="8203" max="8203" width="10.42578125" style="403" customWidth="1"/>
    <col min="8204" max="8204" width="9.85546875" style="403" customWidth="1"/>
    <col min="8205" max="8205" width="23.85546875" style="403" customWidth="1"/>
    <col min="8206" max="8206" width="51.7109375" style="403" customWidth="1"/>
    <col min="8207" max="8448" width="9.140625" style="403"/>
    <col min="8449" max="8449" width="13.5703125" style="403" customWidth="1"/>
    <col min="8450" max="8450" width="17.28515625" style="403" customWidth="1"/>
    <col min="8451" max="8451" width="11.7109375" style="403" customWidth="1"/>
    <col min="8452" max="8452" width="11.85546875" style="403" customWidth="1"/>
    <col min="8453" max="8453" width="9.42578125" style="403" customWidth="1"/>
    <col min="8454" max="8454" width="11.140625" style="403" customWidth="1"/>
    <col min="8455" max="8455" width="9.5703125" style="403" customWidth="1"/>
    <col min="8456" max="8456" width="11.5703125" style="403" customWidth="1"/>
    <col min="8457" max="8457" width="9.7109375" style="403" customWidth="1"/>
    <col min="8458" max="8458" width="10.5703125" style="403" customWidth="1"/>
    <col min="8459" max="8459" width="10.42578125" style="403" customWidth="1"/>
    <col min="8460" max="8460" width="9.85546875" style="403" customWidth="1"/>
    <col min="8461" max="8461" width="23.85546875" style="403" customWidth="1"/>
    <col min="8462" max="8462" width="51.7109375" style="403" customWidth="1"/>
    <col min="8463" max="8704" width="9.140625" style="403"/>
    <col min="8705" max="8705" width="13.5703125" style="403" customWidth="1"/>
    <col min="8706" max="8706" width="17.28515625" style="403" customWidth="1"/>
    <col min="8707" max="8707" width="11.7109375" style="403" customWidth="1"/>
    <col min="8708" max="8708" width="11.85546875" style="403" customWidth="1"/>
    <col min="8709" max="8709" width="9.42578125" style="403" customWidth="1"/>
    <col min="8710" max="8710" width="11.140625" style="403" customWidth="1"/>
    <col min="8711" max="8711" width="9.5703125" style="403" customWidth="1"/>
    <col min="8712" max="8712" width="11.5703125" style="403" customWidth="1"/>
    <col min="8713" max="8713" width="9.7109375" style="403" customWidth="1"/>
    <col min="8714" max="8714" width="10.5703125" style="403" customWidth="1"/>
    <col min="8715" max="8715" width="10.42578125" style="403" customWidth="1"/>
    <col min="8716" max="8716" width="9.85546875" style="403" customWidth="1"/>
    <col min="8717" max="8717" width="23.85546875" style="403" customWidth="1"/>
    <col min="8718" max="8718" width="51.7109375" style="403" customWidth="1"/>
    <col min="8719" max="8960" width="9.140625" style="403"/>
    <col min="8961" max="8961" width="13.5703125" style="403" customWidth="1"/>
    <col min="8962" max="8962" width="17.28515625" style="403" customWidth="1"/>
    <col min="8963" max="8963" width="11.7109375" style="403" customWidth="1"/>
    <col min="8964" max="8964" width="11.85546875" style="403" customWidth="1"/>
    <col min="8965" max="8965" width="9.42578125" style="403" customWidth="1"/>
    <col min="8966" max="8966" width="11.140625" style="403" customWidth="1"/>
    <col min="8967" max="8967" width="9.5703125" style="403" customWidth="1"/>
    <col min="8968" max="8968" width="11.5703125" style="403" customWidth="1"/>
    <col min="8969" max="8969" width="9.7109375" style="403" customWidth="1"/>
    <col min="8970" max="8970" width="10.5703125" style="403" customWidth="1"/>
    <col min="8971" max="8971" width="10.42578125" style="403" customWidth="1"/>
    <col min="8972" max="8972" width="9.85546875" style="403" customWidth="1"/>
    <col min="8973" max="8973" width="23.85546875" style="403" customWidth="1"/>
    <col min="8974" max="8974" width="51.7109375" style="403" customWidth="1"/>
    <col min="8975" max="9216" width="9.140625" style="403"/>
    <col min="9217" max="9217" width="13.5703125" style="403" customWidth="1"/>
    <col min="9218" max="9218" width="17.28515625" style="403" customWidth="1"/>
    <col min="9219" max="9219" width="11.7109375" style="403" customWidth="1"/>
    <col min="9220" max="9220" width="11.85546875" style="403" customWidth="1"/>
    <col min="9221" max="9221" width="9.42578125" style="403" customWidth="1"/>
    <col min="9222" max="9222" width="11.140625" style="403" customWidth="1"/>
    <col min="9223" max="9223" width="9.5703125" style="403" customWidth="1"/>
    <col min="9224" max="9224" width="11.5703125" style="403" customWidth="1"/>
    <col min="9225" max="9225" width="9.7109375" style="403" customWidth="1"/>
    <col min="9226" max="9226" width="10.5703125" style="403" customWidth="1"/>
    <col min="9227" max="9227" width="10.42578125" style="403" customWidth="1"/>
    <col min="9228" max="9228" width="9.85546875" style="403" customWidth="1"/>
    <col min="9229" max="9229" width="23.85546875" style="403" customWidth="1"/>
    <col min="9230" max="9230" width="51.7109375" style="403" customWidth="1"/>
    <col min="9231" max="9472" width="9.140625" style="403"/>
    <col min="9473" max="9473" width="13.5703125" style="403" customWidth="1"/>
    <col min="9474" max="9474" width="17.28515625" style="403" customWidth="1"/>
    <col min="9475" max="9475" width="11.7109375" style="403" customWidth="1"/>
    <col min="9476" max="9476" width="11.85546875" style="403" customWidth="1"/>
    <col min="9477" max="9477" width="9.42578125" style="403" customWidth="1"/>
    <col min="9478" max="9478" width="11.140625" style="403" customWidth="1"/>
    <col min="9479" max="9479" width="9.5703125" style="403" customWidth="1"/>
    <col min="9480" max="9480" width="11.5703125" style="403" customWidth="1"/>
    <col min="9481" max="9481" width="9.7109375" style="403" customWidth="1"/>
    <col min="9482" max="9482" width="10.5703125" style="403" customWidth="1"/>
    <col min="9483" max="9483" width="10.42578125" style="403" customWidth="1"/>
    <col min="9484" max="9484" width="9.85546875" style="403" customWidth="1"/>
    <col min="9485" max="9485" width="23.85546875" style="403" customWidth="1"/>
    <col min="9486" max="9486" width="51.7109375" style="403" customWidth="1"/>
    <col min="9487" max="9728" width="9.140625" style="403"/>
    <col min="9729" max="9729" width="13.5703125" style="403" customWidth="1"/>
    <col min="9730" max="9730" width="17.28515625" style="403" customWidth="1"/>
    <col min="9731" max="9731" width="11.7109375" style="403" customWidth="1"/>
    <col min="9732" max="9732" width="11.85546875" style="403" customWidth="1"/>
    <col min="9733" max="9733" width="9.42578125" style="403" customWidth="1"/>
    <col min="9734" max="9734" width="11.140625" style="403" customWidth="1"/>
    <col min="9735" max="9735" width="9.5703125" style="403" customWidth="1"/>
    <col min="9736" max="9736" width="11.5703125" style="403" customWidth="1"/>
    <col min="9737" max="9737" width="9.7109375" style="403" customWidth="1"/>
    <col min="9738" max="9738" width="10.5703125" style="403" customWidth="1"/>
    <col min="9739" max="9739" width="10.42578125" style="403" customWidth="1"/>
    <col min="9740" max="9740" width="9.85546875" style="403" customWidth="1"/>
    <col min="9741" max="9741" width="23.85546875" style="403" customWidth="1"/>
    <col min="9742" max="9742" width="51.7109375" style="403" customWidth="1"/>
    <col min="9743" max="9984" width="9.140625" style="403"/>
    <col min="9985" max="9985" width="13.5703125" style="403" customWidth="1"/>
    <col min="9986" max="9986" width="17.28515625" style="403" customWidth="1"/>
    <col min="9987" max="9987" width="11.7109375" style="403" customWidth="1"/>
    <col min="9988" max="9988" width="11.85546875" style="403" customWidth="1"/>
    <col min="9989" max="9989" width="9.42578125" style="403" customWidth="1"/>
    <col min="9990" max="9990" width="11.140625" style="403" customWidth="1"/>
    <col min="9991" max="9991" width="9.5703125" style="403" customWidth="1"/>
    <col min="9992" max="9992" width="11.5703125" style="403" customWidth="1"/>
    <col min="9993" max="9993" width="9.7109375" style="403" customWidth="1"/>
    <col min="9994" max="9994" width="10.5703125" style="403" customWidth="1"/>
    <col min="9995" max="9995" width="10.42578125" style="403" customWidth="1"/>
    <col min="9996" max="9996" width="9.85546875" style="403" customWidth="1"/>
    <col min="9997" max="9997" width="23.85546875" style="403" customWidth="1"/>
    <col min="9998" max="9998" width="51.7109375" style="403" customWidth="1"/>
    <col min="9999" max="10240" width="9.140625" style="403"/>
    <col min="10241" max="10241" width="13.5703125" style="403" customWidth="1"/>
    <col min="10242" max="10242" width="17.28515625" style="403" customWidth="1"/>
    <col min="10243" max="10243" width="11.7109375" style="403" customWidth="1"/>
    <col min="10244" max="10244" width="11.85546875" style="403" customWidth="1"/>
    <col min="10245" max="10245" width="9.42578125" style="403" customWidth="1"/>
    <col min="10246" max="10246" width="11.140625" style="403" customWidth="1"/>
    <col min="10247" max="10247" width="9.5703125" style="403" customWidth="1"/>
    <col min="10248" max="10248" width="11.5703125" style="403" customWidth="1"/>
    <col min="10249" max="10249" width="9.7109375" style="403" customWidth="1"/>
    <col min="10250" max="10250" width="10.5703125" style="403" customWidth="1"/>
    <col min="10251" max="10251" width="10.42578125" style="403" customWidth="1"/>
    <col min="10252" max="10252" width="9.85546875" style="403" customWidth="1"/>
    <col min="10253" max="10253" width="23.85546875" style="403" customWidth="1"/>
    <col min="10254" max="10254" width="51.7109375" style="403" customWidth="1"/>
    <col min="10255" max="10496" width="9.140625" style="403"/>
    <col min="10497" max="10497" width="13.5703125" style="403" customWidth="1"/>
    <col min="10498" max="10498" width="17.28515625" style="403" customWidth="1"/>
    <col min="10499" max="10499" width="11.7109375" style="403" customWidth="1"/>
    <col min="10500" max="10500" width="11.85546875" style="403" customWidth="1"/>
    <col min="10501" max="10501" width="9.42578125" style="403" customWidth="1"/>
    <col min="10502" max="10502" width="11.140625" style="403" customWidth="1"/>
    <col min="10503" max="10503" width="9.5703125" style="403" customWidth="1"/>
    <col min="10504" max="10504" width="11.5703125" style="403" customWidth="1"/>
    <col min="10505" max="10505" width="9.7109375" style="403" customWidth="1"/>
    <col min="10506" max="10506" width="10.5703125" style="403" customWidth="1"/>
    <col min="10507" max="10507" width="10.42578125" style="403" customWidth="1"/>
    <col min="10508" max="10508" width="9.85546875" style="403" customWidth="1"/>
    <col min="10509" max="10509" width="23.85546875" style="403" customWidth="1"/>
    <col min="10510" max="10510" width="51.7109375" style="403" customWidth="1"/>
    <col min="10511" max="10752" width="9.140625" style="403"/>
    <col min="10753" max="10753" width="13.5703125" style="403" customWidth="1"/>
    <col min="10754" max="10754" width="17.28515625" style="403" customWidth="1"/>
    <col min="10755" max="10755" width="11.7109375" style="403" customWidth="1"/>
    <col min="10756" max="10756" width="11.85546875" style="403" customWidth="1"/>
    <col min="10757" max="10757" width="9.42578125" style="403" customWidth="1"/>
    <col min="10758" max="10758" width="11.140625" style="403" customWidth="1"/>
    <col min="10759" max="10759" width="9.5703125" style="403" customWidth="1"/>
    <col min="10760" max="10760" width="11.5703125" style="403" customWidth="1"/>
    <col min="10761" max="10761" width="9.7109375" style="403" customWidth="1"/>
    <col min="10762" max="10762" width="10.5703125" style="403" customWidth="1"/>
    <col min="10763" max="10763" width="10.42578125" style="403" customWidth="1"/>
    <col min="10764" max="10764" width="9.85546875" style="403" customWidth="1"/>
    <col min="10765" max="10765" width="23.85546875" style="403" customWidth="1"/>
    <col min="10766" max="10766" width="51.7109375" style="403" customWidth="1"/>
    <col min="10767" max="11008" width="9.140625" style="403"/>
    <col min="11009" max="11009" width="13.5703125" style="403" customWidth="1"/>
    <col min="11010" max="11010" width="17.28515625" style="403" customWidth="1"/>
    <col min="11011" max="11011" width="11.7109375" style="403" customWidth="1"/>
    <col min="11012" max="11012" width="11.85546875" style="403" customWidth="1"/>
    <col min="11013" max="11013" width="9.42578125" style="403" customWidth="1"/>
    <col min="11014" max="11014" width="11.140625" style="403" customWidth="1"/>
    <col min="11015" max="11015" width="9.5703125" style="403" customWidth="1"/>
    <col min="11016" max="11016" width="11.5703125" style="403" customWidth="1"/>
    <col min="11017" max="11017" width="9.7109375" style="403" customWidth="1"/>
    <col min="11018" max="11018" width="10.5703125" style="403" customWidth="1"/>
    <col min="11019" max="11019" width="10.42578125" style="403" customWidth="1"/>
    <col min="11020" max="11020" width="9.85546875" style="403" customWidth="1"/>
    <col min="11021" max="11021" width="23.85546875" style="403" customWidth="1"/>
    <col min="11022" max="11022" width="51.7109375" style="403" customWidth="1"/>
    <col min="11023" max="11264" width="9.140625" style="403"/>
    <col min="11265" max="11265" width="13.5703125" style="403" customWidth="1"/>
    <col min="11266" max="11266" width="17.28515625" style="403" customWidth="1"/>
    <col min="11267" max="11267" width="11.7109375" style="403" customWidth="1"/>
    <col min="11268" max="11268" width="11.85546875" style="403" customWidth="1"/>
    <col min="11269" max="11269" width="9.42578125" style="403" customWidth="1"/>
    <col min="11270" max="11270" width="11.140625" style="403" customWidth="1"/>
    <col min="11271" max="11271" width="9.5703125" style="403" customWidth="1"/>
    <col min="11272" max="11272" width="11.5703125" style="403" customWidth="1"/>
    <col min="11273" max="11273" width="9.7109375" style="403" customWidth="1"/>
    <col min="11274" max="11274" width="10.5703125" style="403" customWidth="1"/>
    <col min="11275" max="11275" width="10.42578125" style="403" customWidth="1"/>
    <col min="11276" max="11276" width="9.85546875" style="403" customWidth="1"/>
    <col min="11277" max="11277" width="23.85546875" style="403" customWidth="1"/>
    <col min="11278" max="11278" width="51.7109375" style="403" customWidth="1"/>
    <col min="11279" max="11520" width="9.140625" style="403"/>
    <col min="11521" max="11521" width="13.5703125" style="403" customWidth="1"/>
    <col min="11522" max="11522" width="17.28515625" style="403" customWidth="1"/>
    <col min="11523" max="11523" width="11.7109375" style="403" customWidth="1"/>
    <col min="11524" max="11524" width="11.85546875" style="403" customWidth="1"/>
    <col min="11525" max="11525" width="9.42578125" style="403" customWidth="1"/>
    <col min="11526" max="11526" width="11.140625" style="403" customWidth="1"/>
    <col min="11527" max="11527" width="9.5703125" style="403" customWidth="1"/>
    <col min="11528" max="11528" width="11.5703125" style="403" customWidth="1"/>
    <col min="11529" max="11529" width="9.7109375" style="403" customWidth="1"/>
    <col min="11530" max="11530" width="10.5703125" style="403" customWidth="1"/>
    <col min="11531" max="11531" width="10.42578125" style="403" customWidth="1"/>
    <col min="11532" max="11532" width="9.85546875" style="403" customWidth="1"/>
    <col min="11533" max="11533" width="23.85546875" style="403" customWidth="1"/>
    <col min="11534" max="11534" width="51.7109375" style="403" customWidth="1"/>
    <col min="11535" max="11776" width="9.140625" style="403"/>
    <col min="11777" max="11777" width="13.5703125" style="403" customWidth="1"/>
    <col min="11778" max="11778" width="17.28515625" style="403" customWidth="1"/>
    <col min="11779" max="11779" width="11.7109375" style="403" customWidth="1"/>
    <col min="11780" max="11780" width="11.85546875" style="403" customWidth="1"/>
    <col min="11781" max="11781" width="9.42578125" style="403" customWidth="1"/>
    <col min="11782" max="11782" width="11.140625" style="403" customWidth="1"/>
    <col min="11783" max="11783" width="9.5703125" style="403" customWidth="1"/>
    <col min="11784" max="11784" width="11.5703125" style="403" customWidth="1"/>
    <col min="11785" max="11785" width="9.7109375" style="403" customWidth="1"/>
    <col min="11786" max="11786" width="10.5703125" style="403" customWidth="1"/>
    <col min="11787" max="11787" width="10.42578125" style="403" customWidth="1"/>
    <col min="11788" max="11788" width="9.85546875" style="403" customWidth="1"/>
    <col min="11789" max="11789" width="23.85546875" style="403" customWidth="1"/>
    <col min="11790" max="11790" width="51.7109375" style="403" customWidth="1"/>
    <col min="11791" max="12032" width="9.140625" style="403"/>
    <col min="12033" max="12033" width="13.5703125" style="403" customWidth="1"/>
    <col min="12034" max="12034" width="17.28515625" style="403" customWidth="1"/>
    <col min="12035" max="12035" width="11.7109375" style="403" customWidth="1"/>
    <col min="12036" max="12036" width="11.85546875" style="403" customWidth="1"/>
    <col min="12037" max="12037" width="9.42578125" style="403" customWidth="1"/>
    <col min="12038" max="12038" width="11.140625" style="403" customWidth="1"/>
    <col min="12039" max="12039" width="9.5703125" style="403" customWidth="1"/>
    <col min="12040" max="12040" width="11.5703125" style="403" customWidth="1"/>
    <col min="12041" max="12041" width="9.7109375" style="403" customWidth="1"/>
    <col min="12042" max="12042" width="10.5703125" style="403" customWidth="1"/>
    <col min="12043" max="12043" width="10.42578125" style="403" customWidth="1"/>
    <col min="12044" max="12044" width="9.85546875" style="403" customWidth="1"/>
    <col min="12045" max="12045" width="23.85546875" style="403" customWidth="1"/>
    <col min="12046" max="12046" width="51.7109375" style="403" customWidth="1"/>
    <col min="12047" max="12288" width="9.140625" style="403"/>
    <col min="12289" max="12289" width="13.5703125" style="403" customWidth="1"/>
    <col min="12290" max="12290" width="17.28515625" style="403" customWidth="1"/>
    <col min="12291" max="12291" width="11.7109375" style="403" customWidth="1"/>
    <col min="12292" max="12292" width="11.85546875" style="403" customWidth="1"/>
    <col min="12293" max="12293" width="9.42578125" style="403" customWidth="1"/>
    <col min="12294" max="12294" width="11.140625" style="403" customWidth="1"/>
    <col min="12295" max="12295" width="9.5703125" style="403" customWidth="1"/>
    <col min="12296" max="12296" width="11.5703125" style="403" customWidth="1"/>
    <col min="12297" max="12297" width="9.7109375" style="403" customWidth="1"/>
    <col min="12298" max="12298" width="10.5703125" style="403" customWidth="1"/>
    <col min="12299" max="12299" width="10.42578125" style="403" customWidth="1"/>
    <col min="12300" max="12300" width="9.85546875" style="403" customWidth="1"/>
    <col min="12301" max="12301" width="23.85546875" style="403" customWidth="1"/>
    <col min="12302" max="12302" width="51.7109375" style="403" customWidth="1"/>
    <col min="12303" max="12544" width="9.140625" style="403"/>
    <col min="12545" max="12545" width="13.5703125" style="403" customWidth="1"/>
    <col min="12546" max="12546" width="17.28515625" style="403" customWidth="1"/>
    <col min="12547" max="12547" width="11.7109375" style="403" customWidth="1"/>
    <col min="12548" max="12548" width="11.85546875" style="403" customWidth="1"/>
    <col min="12549" max="12549" width="9.42578125" style="403" customWidth="1"/>
    <col min="12550" max="12550" width="11.140625" style="403" customWidth="1"/>
    <col min="12551" max="12551" width="9.5703125" style="403" customWidth="1"/>
    <col min="12552" max="12552" width="11.5703125" style="403" customWidth="1"/>
    <col min="12553" max="12553" width="9.7109375" style="403" customWidth="1"/>
    <col min="12554" max="12554" width="10.5703125" style="403" customWidth="1"/>
    <col min="12555" max="12555" width="10.42578125" style="403" customWidth="1"/>
    <col min="12556" max="12556" width="9.85546875" style="403" customWidth="1"/>
    <col min="12557" max="12557" width="23.85546875" style="403" customWidth="1"/>
    <col min="12558" max="12558" width="51.7109375" style="403" customWidth="1"/>
    <col min="12559" max="12800" width="9.140625" style="403"/>
    <col min="12801" max="12801" width="13.5703125" style="403" customWidth="1"/>
    <col min="12802" max="12802" width="17.28515625" style="403" customWidth="1"/>
    <col min="12803" max="12803" width="11.7109375" style="403" customWidth="1"/>
    <col min="12804" max="12804" width="11.85546875" style="403" customWidth="1"/>
    <col min="12805" max="12805" width="9.42578125" style="403" customWidth="1"/>
    <col min="12806" max="12806" width="11.140625" style="403" customWidth="1"/>
    <col min="12807" max="12807" width="9.5703125" style="403" customWidth="1"/>
    <col min="12808" max="12808" width="11.5703125" style="403" customWidth="1"/>
    <col min="12809" max="12809" width="9.7109375" style="403" customWidth="1"/>
    <col min="12810" max="12810" width="10.5703125" style="403" customWidth="1"/>
    <col min="12811" max="12811" width="10.42578125" style="403" customWidth="1"/>
    <col min="12812" max="12812" width="9.85546875" style="403" customWidth="1"/>
    <col min="12813" max="12813" width="23.85546875" style="403" customWidth="1"/>
    <col min="12814" max="12814" width="51.7109375" style="403" customWidth="1"/>
    <col min="12815" max="13056" width="9.140625" style="403"/>
    <col min="13057" max="13057" width="13.5703125" style="403" customWidth="1"/>
    <col min="13058" max="13058" width="17.28515625" style="403" customWidth="1"/>
    <col min="13059" max="13059" width="11.7109375" style="403" customWidth="1"/>
    <col min="13060" max="13060" width="11.85546875" style="403" customWidth="1"/>
    <col min="13061" max="13061" width="9.42578125" style="403" customWidth="1"/>
    <col min="13062" max="13062" width="11.140625" style="403" customWidth="1"/>
    <col min="13063" max="13063" width="9.5703125" style="403" customWidth="1"/>
    <col min="13064" max="13064" width="11.5703125" style="403" customWidth="1"/>
    <col min="13065" max="13065" width="9.7109375" style="403" customWidth="1"/>
    <col min="13066" max="13066" width="10.5703125" style="403" customWidth="1"/>
    <col min="13067" max="13067" width="10.42578125" style="403" customWidth="1"/>
    <col min="13068" max="13068" width="9.85546875" style="403" customWidth="1"/>
    <col min="13069" max="13069" width="23.85546875" style="403" customWidth="1"/>
    <col min="13070" max="13070" width="51.7109375" style="403" customWidth="1"/>
    <col min="13071" max="13312" width="9.140625" style="403"/>
    <col min="13313" max="13313" width="13.5703125" style="403" customWidth="1"/>
    <col min="13314" max="13314" width="17.28515625" style="403" customWidth="1"/>
    <col min="13315" max="13315" width="11.7109375" style="403" customWidth="1"/>
    <col min="13316" max="13316" width="11.85546875" style="403" customWidth="1"/>
    <col min="13317" max="13317" width="9.42578125" style="403" customWidth="1"/>
    <col min="13318" max="13318" width="11.140625" style="403" customWidth="1"/>
    <col min="13319" max="13319" width="9.5703125" style="403" customWidth="1"/>
    <col min="13320" max="13320" width="11.5703125" style="403" customWidth="1"/>
    <col min="13321" max="13321" width="9.7109375" style="403" customWidth="1"/>
    <col min="13322" max="13322" width="10.5703125" style="403" customWidth="1"/>
    <col min="13323" max="13323" width="10.42578125" style="403" customWidth="1"/>
    <col min="13324" max="13324" width="9.85546875" style="403" customWidth="1"/>
    <col min="13325" max="13325" width="23.85546875" style="403" customWidth="1"/>
    <col min="13326" max="13326" width="51.7109375" style="403" customWidth="1"/>
    <col min="13327" max="13568" width="9.140625" style="403"/>
    <col min="13569" max="13569" width="13.5703125" style="403" customWidth="1"/>
    <col min="13570" max="13570" width="17.28515625" style="403" customWidth="1"/>
    <col min="13571" max="13571" width="11.7109375" style="403" customWidth="1"/>
    <col min="13572" max="13572" width="11.85546875" style="403" customWidth="1"/>
    <col min="13573" max="13573" width="9.42578125" style="403" customWidth="1"/>
    <col min="13574" max="13574" width="11.140625" style="403" customWidth="1"/>
    <col min="13575" max="13575" width="9.5703125" style="403" customWidth="1"/>
    <col min="13576" max="13576" width="11.5703125" style="403" customWidth="1"/>
    <col min="13577" max="13577" width="9.7109375" style="403" customWidth="1"/>
    <col min="13578" max="13578" width="10.5703125" style="403" customWidth="1"/>
    <col min="13579" max="13579" width="10.42578125" style="403" customWidth="1"/>
    <col min="13580" max="13580" width="9.85546875" style="403" customWidth="1"/>
    <col min="13581" max="13581" width="23.85546875" style="403" customWidth="1"/>
    <col min="13582" max="13582" width="51.7109375" style="403" customWidth="1"/>
    <col min="13583" max="13824" width="9.140625" style="403"/>
    <col min="13825" max="13825" width="13.5703125" style="403" customWidth="1"/>
    <col min="13826" max="13826" width="17.28515625" style="403" customWidth="1"/>
    <col min="13827" max="13827" width="11.7109375" style="403" customWidth="1"/>
    <col min="13828" max="13828" width="11.85546875" style="403" customWidth="1"/>
    <col min="13829" max="13829" width="9.42578125" style="403" customWidth="1"/>
    <col min="13830" max="13830" width="11.140625" style="403" customWidth="1"/>
    <col min="13831" max="13831" width="9.5703125" style="403" customWidth="1"/>
    <col min="13832" max="13832" width="11.5703125" style="403" customWidth="1"/>
    <col min="13833" max="13833" width="9.7109375" style="403" customWidth="1"/>
    <col min="13834" max="13834" width="10.5703125" style="403" customWidth="1"/>
    <col min="13835" max="13835" width="10.42578125" style="403" customWidth="1"/>
    <col min="13836" max="13836" width="9.85546875" style="403" customWidth="1"/>
    <col min="13837" max="13837" width="23.85546875" style="403" customWidth="1"/>
    <col min="13838" max="13838" width="51.7109375" style="403" customWidth="1"/>
    <col min="13839" max="14080" width="9.140625" style="403"/>
    <col min="14081" max="14081" width="13.5703125" style="403" customWidth="1"/>
    <col min="14082" max="14082" width="17.28515625" style="403" customWidth="1"/>
    <col min="14083" max="14083" width="11.7109375" style="403" customWidth="1"/>
    <col min="14084" max="14084" width="11.85546875" style="403" customWidth="1"/>
    <col min="14085" max="14085" width="9.42578125" style="403" customWidth="1"/>
    <col min="14086" max="14086" width="11.140625" style="403" customWidth="1"/>
    <col min="14087" max="14087" width="9.5703125" style="403" customWidth="1"/>
    <col min="14088" max="14088" width="11.5703125" style="403" customWidth="1"/>
    <col min="14089" max="14089" width="9.7109375" style="403" customWidth="1"/>
    <col min="14090" max="14090" width="10.5703125" style="403" customWidth="1"/>
    <col min="14091" max="14091" width="10.42578125" style="403" customWidth="1"/>
    <col min="14092" max="14092" width="9.85546875" style="403" customWidth="1"/>
    <col min="14093" max="14093" width="23.85546875" style="403" customWidth="1"/>
    <col min="14094" max="14094" width="51.7109375" style="403" customWidth="1"/>
    <col min="14095" max="14336" width="9.140625" style="403"/>
    <col min="14337" max="14337" width="13.5703125" style="403" customWidth="1"/>
    <col min="14338" max="14338" width="17.28515625" style="403" customWidth="1"/>
    <col min="14339" max="14339" width="11.7109375" style="403" customWidth="1"/>
    <col min="14340" max="14340" width="11.85546875" style="403" customWidth="1"/>
    <col min="14341" max="14341" width="9.42578125" style="403" customWidth="1"/>
    <col min="14342" max="14342" width="11.140625" style="403" customWidth="1"/>
    <col min="14343" max="14343" width="9.5703125" style="403" customWidth="1"/>
    <col min="14344" max="14344" width="11.5703125" style="403" customWidth="1"/>
    <col min="14345" max="14345" width="9.7109375" style="403" customWidth="1"/>
    <col min="14346" max="14346" width="10.5703125" style="403" customWidth="1"/>
    <col min="14347" max="14347" width="10.42578125" style="403" customWidth="1"/>
    <col min="14348" max="14348" width="9.85546875" style="403" customWidth="1"/>
    <col min="14349" max="14349" width="23.85546875" style="403" customWidth="1"/>
    <col min="14350" max="14350" width="51.7109375" style="403" customWidth="1"/>
    <col min="14351" max="14592" width="9.140625" style="403"/>
    <col min="14593" max="14593" width="13.5703125" style="403" customWidth="1"/>
    <col min="14594" max="14594" width="17.28515625" style="403" customWidth="1"/>
    <col min="14595" max="14595" width="11.7109375" style="403" customWidth="1"/>
    <col min="14596" max="14596" width="11.85546875" style="403" customWidth="1"/>
    <col min="14597" max="14597" width="9.42578125" style="403" customWidth="1"/>
    <col min="14598" max="14598" width="11.140625" style="403" customWidth="1"/>
    <col min="14599" max="14599" width="9.5703125" style="403" customWidth="1"/>
    <col min="14600" max="14600" width="11.5703125" style="403" customWidth="1"/>
    <col min="14601" max="14601" width="9.7109375" style="403" customWidth="1"/>
    <col min="14602" max="14602" width="10.5703125" style="403" customWidth="1"/>
    <col min="14603" max="14603" width="10.42578125" style="403" customWidth="1"/>
    <col min="14604" max="14604" width="9.85546875" style="403" customWidth="1"/>
    <col min="14605" max="14605" width="23.85546875" style="403" customWidth="1"/>
    <col min="14606" max="14606" width="51.7109375" style="403" customWidth="1"/>
    <col min="14607" max="14848" width="9.140625" style="403"/>
    <col min="14849" max="14849" width="13.5703125" style="403" customWidth="1"/>
    <col min="14850" max="14850" width="17.28515625" style="403" customWidth="1"/>
    <col min="14851" max="14851" width="11.7109375" style="403" customWidth="1"/>
    <col min="14852" max="14852" width="11.85546875" style="403" customWidth="1"/>
    <col min="14853" max="14853" width="9.42578125" style="403" customWidth="1"/>
    <col min="14854" max="14854" width="11.140625" style="403" customWidth="1"/>
    <col min="14855" max="14855" width="9.5703125" style="403" customWidth="1"/>
    <col min="14856" max="14856" width="11.5703125" style="403" customWidth="1"/>
    <col min="14857" max="14857" width="9.7109375" style="403" customWidth="1"/>
    <col min="14858" max="14858" width="10.5703125" style="403" customWidth="1"/>
    <col min="14859" max="14859" width="10.42578125" style="403" customWidth="1"/>
    <col min="14860" max="14860" width="9.85546875" style="403" customWidth="1"/>
    <col min="14861" max="14861" width="23.85546875" style="403" customWidth="1"/>
    <col min="14862" max="14862" width="51.7109375" style="403" customWidth="1"/>
    <col min="14863" max="15104" width="9.140625" style="403"/>
    <col min="15105" max="15105" width="13.5703125" style="403" customWidth="1"/>
    <col min="15106" max="15106" width="17.28515625" style="403" customWidth="1"/>
    <col min="15107" max="15107" width="11.7109375" style="403" customWidth="1"/>
    <col min="15108" max="15108" width="11.85546875" style="403" customWidth="1"/>
    <col min="15109" max="15109" width="9.42578125" style="403" customWidth="1"/>
    <col min="15110" max="15110" width="11.140625" style="403" customWidth="1"/>
    <col min="15111" max="15111" width="9.5703125" style="403" customWidth="1"/>
    <col min="15112" max="15112" width="11.5703125" style="403" customWidth="1"/>
    <col min="15113" max="15113" width="9.7109375" style="403" customWidth="1"/>
    <col min="15114" max="15114" width="10.5703125" style="403" customWidth="1"/>
    <col min="15115" max="15115" width="10.42578125" style="403" customWidth="1"/>
    <col min="15116" max="15116" width="9.85546875" style="403" customWidth="1"/>
    <col min="15117" max="15117" width="23.85546875" style="403" customWidth="1"/>
    <col min="15118" max="15118" width="51.7109375" style="403" customWidth="1"/>
    <col min="15119" max="15360" width="9.140625" style="403"/>
    <col min="15361" max="15361" width="13.5703125" style="403" customWidth="1"/>
    <col min="15362" max="15362" width="17.28515625" style="403" customWidth="1"/>
    <col min="15363" max="15363" width="11.7109375" style="403" customWidth="1"/>
    <col min="15364" max="15364" width="11.85546875" style="403" customWidth="1"/>
    <col min="15365" max="15365" width="9.42578125" style="403" customWidth="1"/>
    <col min="15366" max="15366" width="11.140625" style="403" customWidth="1"/>
    <col min="15367" max="15367" width="9.5703125" style="403" customWidth="1"/>
    <col min="15368" max="15368" width="11.5703125" style="403" customWidth="1"/>
    <col min="15369" max="15369" width="9.7109375" style="403" customWidth="1"/>
    <col min="15370" max="15370" width="10.5703125" style="403" customWidth="1"/>
    <col min="15371" max="15371" width="10.42578125" style="403" customWidth="1"/>
    <col min="15372" max="15372" width="9.85546875" style="403" customWidth="1"/>
    <col min="15373" max="15373" width="23.85546875" style="403" customWidth="1"/>
    <col min="15374" max="15374" width="51.7109375" style="403" customWidth="1"/>
    <col min="15375" max="15616" width="9.140625" style="403"/>
    <col min="15617" max="15617" width="13.5703125" style="403" customWidth="1"/>
    <col min="15618" max="15618" width="17.28515625" style="403" customWidth="1"/>
    <col min="15619" max="15619" width="11.7109375" style="403" customWidth="1"/>
    <col min="15620" max="15620" width="11.85546875" style="403" customWidth="1"/>
    <col min="15621" max="15621" width="9.42578125" style="403" customWidth="1"/>
    <col min="15622" max="15622" width="11.140625" style="403" customWidth="1"/>
    <col min="15623" max="15623" width="9.5703125" style="403" customWidth="1"/>
    <col min="15624" max="15624" width="11.5703125" style="403" customWidth="1"/>
    <col min="15625" max="15625" width="9.7109375" style="403" customWidth="1"/>
    <col min="15626" max="15626" width="10.5703125" style="403" customWidth="1"/>
    <col min="15627" max="15627" width="10.42578125" style="403" customWidth="1"/>
    <col min="15628" max="15628" width="9.85546875" style="403" customWidth="1"/>
    <col min="15629" max="15629" width="23.85546875" style="403" customWidth="1"/>
    <col min="15630" max="15630" width="51.7109375" style="403" customWidth="1"/>
    <col min="15631" max="15872" width="9.140625" style="403"/>
    <col min="15873" max="15873" width="13.5703125" style="403" customWidth="1"/>
    <col min="15874" max="15874" width="17.28515625" style="403" customWidth="1"/>
    <col min="15875" max="15875" width="11.7109375" style="403" customWidth="1"/>
    <col min="15876" max="15876" width="11.85546875" style="403" customWidth="1"/>
    <col min="15877" max="15877" width="9.42578125" style="403" customWidth="1"/>
    <col min="15878" max="15878" width="11.140625" style="403" customWidth="1"/>
    <col min="15879" max="15879" width="9.5703125" style="403" customWidth="1"/>
    <col min="15880" max="15880" width="11.5703125" style="403" customWidth="1"/>
    <col min="15881" max="15881" width="9.7109375" style="403" customWidth="1"/>
    <col min="15882" max="15882" width="10.5703125" style="403" customWidth="1"/>
    <col min="15883" max="15883" width="10.42578125" style="403" customWidth="1"/>
    <col min="15884" max="15884" width="9.85546875" style="403" customWidth="1"/>
    <col min="15885" max="15885" width="23.85546875" style="403" customWidth="1"/>
    <col min="15886" max="15886" width="51.7109375" style="403" customWidth="1"/>
    <col min="15887" max="16128" width="9.140625" style="403"/>
    <col min="16129" max="16129" width="13.5703125" style="403" customWidth="1"/>
    <col min="16130" max="16130" width="17.28515625" style="403" customWidth="1"/>
    <col min="16131" max="16131" width="11.7109375" style="403" customWidth="1"/>
    <col min="16132" max="16132" width="11.85546875" style="403" customWidth="1"/>
    <col min="16133" max="16133" width="9.42578125" style="403" customWidth="1"/>
    <col min="16134" max="16134" width="11.140625" style="403" customWidth="1"/>
    <col min="16135" max="16135" width="9.5703125" style="403" customWidth="1"/>
    <col min="16136" max="16136" width="11.5703125" style="403" customWidth="1"/>
    <col min="16137" max="16137" width="9.7109375" style="403" customWidth="1"/>
    <col min="16138" max="16138" width="10.5703125" style="403" customWidth="1"/>
    <col min="16139" max="16139" width="10.42578125" style="403" customWidth="1"/>
    <col min="16140" max="16140" width="9.85546875" style="403" customWidth="1"/>
    <col min="16141" max="16141" width="23.85546875" style="403" customWidth="1"/>
    <col min="16142" max="16142" width="51.7109375" style="403" customWidth="1"/>
    <col min="16143" max="16384" width="9.140625" style="403"/>
  </cols>
  <sheetData>
    <row r="1" spans="1:14" x14ac:dyDescent="0.25">
      <c r="A1" s="1962" t="s">
        <v>124</v>
      </c>
      <c r="B1" s="1962"/>
      <c r="C1" s="1962" t="s">
        <v>125</v>
      </c>
      <c r="D1" s="1962"/>
      <c r="E1" s="1962"/>
      <c r="F1" s="1962"/>
      <c r="G1" s="1962"/>
      <c r="H1" s="1962"/>
      <c r="I1" s="1962"/>
      <c r="J1" s="1962"/>
      <c r="K1" s="1962"/>
      <c r="L1" s="1962"/>
      <c r="M1" s="1962"/>
      <c r="N1" s="1962"/>
    </row>
    <row r="2" spans="1:14" x14ac:dyDescent="0.25">
      <c r="A2" s="1962" t="s">
        <v>126</v>
      </c>
      <c r="B2" s="1962"/>
      <c r="C2" s="1962">
        <v>90000056357</v>
      </c>
      <c r="D2" s="1962"/>
      <c r="E2" s="1962"/>
      <c r="F2" s="1962"/>
      <c r="G2" s="1962"/>
      <c r="H2" s="1962"/>
      <c r="I2" s="1962"/>
      <c r="J2" s="1962"/>
      <c r="K2" s="1962"/>
      <c r="L2" s="1962"/>
      <c r="M2" s="1962"/>
      <c r="N2" s="1962"/>
    </row>
    <row r="3" spans="1:14" ht="15.75" x14ac:dyDescent="0.25">
      <c r="A3" s="1964" t="s">
        <v>3641</v>
      </c>
      <c r="B3" s="1964"/>
      <c r="C3" s="1964"/>
      <c r="D3" s="1964"/>
      <c r="E3" s="1964"/>
      <c r="F3" s="1964"/>
      <c r="G3" s="1964"/>
      <c r="H3" s="1964"/>
      <c r="I3" s="1964"/>
      <c r="J3" s="1964"/>
      <c r="K3" s="1964"/>
      <c r="L3" s="1964"/>
      <c r="M3" s="1964"/>
      <c r="N3" s="1964"/>
    </row>
    <row r="4" spans="1:14" ht="9" customHeight="1" x14ac:dyDescent="0.25">
      <c r="A4" s="601"/>
      <c r="B4" s="601"/>
      <c r="C4" s="601"/>
      <c r="D4" s="601"/>
      <c r="E4" s="601"/>
      <c r="F4" s="601"/>
      <c r="G4" s="601"/>
      <c r="H4" s="601"/>
      <c r="I4" s="601"/>
      <c r="J4" s="601"/>
      <c r="K4" s="601"/>
      <c r="L4" s="601"/>
      <c r="M4" s="601"/>
      <c r="N4" s="601"/>
    </row>
    <row r="5" spans="1:14" ht="15.75" x14ac:dyDescent="0.25">
      <c r="A5" s="1962" t="s">
        <v>440</v>
      </c>
      <c r="B5" s="1962"/>
      <c r="C5" s="797" t="s">
        <v>1906</v>
      </c>
      <c r="D5" s="797"/>
      <c r="E5" s="797"/>
      <c r="F5" s="797"/>
      <c r="G5" s="797"/>
      <c r="H5" s="797"/>
      <c r="I5" s="797"/>
      <c r="J5" s="797"/>
      <c r="K5" s="797"/>
      <c r="L5" s="797"/>
      <c r="M5" s="797"/>
      <c r="N5" s="797"/>
    </row>
    <row r="6" spans="1:14" x14ac:dyDescent="0.25">
      <c r="A6" s="1962" t="s">
        <v>129</v>
      </c>
      <c r="B6" s="1962"/>
      <c r="C6" s="418" t="s">
        <v>563</v>
      </c>
      <c r="D6" s="418"/>
      <c r="E6" s="418"/>
      <c r="F6" s="418"/>
      <c r="G6" s="418"/>
      <c r="H6" s="418"/>
      <c r="I6" s="418"/>
      <c r="J6" s="418"/>
      <c r="K6" s="418"/>
      <c r="L6" s="418"/>
      <c r="M6" s="418"/>
      <c r="N6" s="418"/>
    </row>
    <row r="7" spans="1:14" x14ac:dyDescent="0.25">
      <c r="A7" s="1962" t="s">
        <v>131</v>
      </c>
      <c r="B7" s="1962"/>
      <c r="C7" s="803" t="s">
        <v>564</v>
      </c>
      <c r="D7" s="803" t="s">
        <v>1907</v>
      </c>
      <c r="E7" s="803"/>
      <c r="F7" s="804"/>
      <c r="G7" s="804"/>
      <c r="H7" s="804"/>
      <c r="I7" s="804"/>
      <c r="J7" s="804"/>
      <c r="K7" s="804"/>
      <c r="L7" s="804"/>
      <c r="M7" s="804"/>
      <c r="N7" s="804"/>
    </row>
    <row r="8" spans="1:14" ht="24" customHeight="1" x14ac:dyDescent="0.25">
      <c r="A8" s="2058" t="s">
        <v>4</v>
      </c>
      <c r="B8" s="2061" t="s">
        <v>133</v>
      </c>
      <c r="C8" s="2062"/>
      <c r="D8" s="2061" t="s">
        <v>528</v>
      </c>
      <c r="E8" s="2062"/>
      <c r="F8" s="2061" t="s">
        <v>529</v>
      </c>
      <c r="G8" s="2062"/>
      <c r="H8" s="2061" t="s">
        <v>530</v>
      </c>
      <c r="I8" s="2062"/>
      <c r="J8" s="2058" t="s">
        <v>135</v>
      </c>
      <c r="K8" s="1953" t="s">
        <v>3472</v>
      </c>
      <c r="L8" s="1954"/>
      <c r="M8" s="2058" t="s">
        <v>14</v>
      </c>
      <c r="N8" s="2058" t="s">
        <v>137</v>
      </c>
    </row>
    <row r="9" spans="1:14" ht="25.5" customHeight="1" x14ac:dyDescent="0.25">
      <c r="A9" s="2059"/>
      <c r="B9" s="2063"/>
      <c r="C9" s="2064"/>
      <c r="D9" s="426" t="s">
        <v>531</v>
      </c>
      <c r="E9" s="426" t="s">
        <v>532</v>
      </c>
      <c r="F9" s="426" t="s">
        <v>531</v>
      </c>
      <c r="G9" s="426" t="s">
        <v>532</v>
      </c>
      <c r="H9" s="805" t="s">
        <v>531</v>
      </c>
      <c r="I9" s="426" t="s">
        <v>532</v>
      </c>
      <c r="J9" s="2059"/>
      <c r="K9" s="426" t="s">
        <v>531</v>
      </c>
      <c r="L9" s="426" t="s">
        <v>532</v>
      </c>
      <c r="M9" s="2059"/>
      <c r="N9" s="2059"/>
    </row>
    <row r="10" spans="1:14" x14ac:dyDescent="0.25">
      <c r="A10" s="1761" t="s">
        <v>138</v>
      </c>
      <c r="B10" s="1761"/>
      <c r="C10" s="1761"/>
      <c r="D10" s="427">
        <f t="shared" ref="D10:I10" si="0">SUM(D11:D28)</f>
        <v>191313</v>
      </c>
      <c r="E10" s="427">
        <f t="shared" si="0"/>
        <v>5690</v>
      </c>
      <c r="F10" s="427">
        <f t="shared" si="0"/>
        <v>134324</v>
      </c>
      <c r="G10" s="427">
        <f t="shared" si="0"/>
        <v>3490</v>
      </c>
      <c r="H10" s="806">
        <f t="shared" si="0"/>
        <v>247615</v>
      </c>
      <c r="I10" s="806">
        <f t="shared" si="0"/>
        <v>3490</v>
      </c>
      <c r="J10" s="427"/>
      <c r="K10" s="427">
        <f>SUM(K11:K28)</f>
        <v>205115</v>
      </c>
      <c r="L10" s="427">
        <f>SUM(L11:L28)</f>
        <v>5265</v>
      </c>
      <c r="M10" s="427"/>
      <c r="N10" s="483"/>
    </row>
    <row r="11" spans="1:14" x14ac:dyDescent="0.25">
      <c r="A11" s="807">
        <v>1</v>
      </c>
      <c r="B11" s="2072" t="s">
        <v>1908</v>
      </c>
      <c r="C11" s="2072"/>
      <c r="D11" s="483"/>
      <c r="E11" s="483"/>
      <c r="F11" s="483"/>
      <c r="G11" s="483"/>
      <c r="H11" s="166"/>
      <c r="I11" s="166"/>
      <c r="J11" s="808"/>
      <c r="K11" s="483"/>
      <c r="L11" s="483"/>
      <c r="M11" s="606"/>
      <c r="N11" s="455"/>
    </row>
    <row r="12" spans="1:14" ht="24" x14ac:dyDescent="0.25">
      <c r="A12" s="1526" t="s">
        <v>1271</v>
      </c>
      <c r="B12" s="1822" t="s">
        <v>1909</v>
      </c>
      <c r="C12" s="1822"/>
      <c r="D12" s="483">
        <v>33300</v>
      </c>
      <c r="E12" s="483"/>
      <c r="F12" s="483">
        <v>29000</v>
      </c>
      <c r="G12" s="483"/>
      <c r="H12" s="166">
        <v>30000</v>
      </c>
      <c r="I12" s="166"/>
      <c r="J12" s="605">
        <v>2314</v>
      </c>
      <c r="K12" s="483">
        <v>29000</v>
      </c>
      <c r="L12" s="483"/>
      <c r="M12" s="1447" t="s">
        <v>3545</v>
      </c>
      <c r="N12" s="1452" t="s">
        <v>1910</v>
      </c>
    </row>
    <row r="13" spans="1:14" ht="16.5" customHeight="1" x14ac:dyDescent="0.25">
      <c r="A13" s="1439" t="s">
        <v>1274</v>
      </c>
      <c r="B13" s="1822" t="s">
        <v>1911</v>
      </c>
      <c r="C13" s="1822"/>
      <c r="D13" s="483">
        <v>4324</v>
      </c>
      <c r="E13" s="483"/>
      <c r="F13" s="483">
        <v>1600</v>
      </c>
      <c r="G13" s="483"/>
      <c r="H13" s="166">
        <v>7000</v>
      </c>
      <c r="I13" s="166"/>
      <c r="J13" s="605">
        <v>2232</v>
      </c>
      <c r="K13" s="483">
        <v>5500</v>
      </c>
      <c r="L13" s="483"/>
      <c r="M13" s="1447" t="s">
        <v>1912</v>
      </c>
      <c r="N13" s="1452" t="s">
        <v>1913</v>
      </c>
    </row>
    <row r="14" spans="1:14" ht="36" x14ac:dyDescent="0.25">
      <c r="A14" s="1439" t="s">
        <v>1709</v>
      </c>
      <c r="B14" s="1822" t="s">
        <v>1914</v>
      </c>
      <c r="C14" s="1822"/>
      <c r="D14" s="483">
        <v>5046</v>
      </c>
      <c r="E14" s="483"/>
      <c r="F14" s="483">
        <v>5046</v>
      </c>
      <c r="G14" s="483"/>
      <c r="H14" s="166">
        <v>11775</v>
      </c>
      <c r="I14" s="166"/>
      <c r="J14" s="605">
        <v>5140</v>
      </c>
      <c r="K14" s="483">
        <v>11775</v>
      </c>
      <c r="L14" s="483"/>
      <c r="M14" s="1447" t="s">
        <v>3565</v>
      </c>
      <c r="N14" s="1452" t="s">
        <v>1915</v>
      </c>
    </row>
    <row r="15" spans="1:14" ht="84" customHeight="1" x14ac:dyDescent="0.25">
      <c r="A15" s="1762" t="s">
        <v>1916</v>
      </c>
      <c r="B15" s="1659" t="s">
        <v>1917</v>
      </c>
      <c r="C15" s="1660"/>
      <c r="D15" s="483">
        <f>22000+70000+10000-3537</f>
        <v>98463</v>
      </c>
      <c r="E15" s="483">
        <v>2200</v>
      </c>
      <c r="F15" s="483">
        <v>68500</v>
      </c>
      <c r="G15" s="483">
        <v>0</v>
      </c>
      <c r="H15" s="166">
        <f>70000+40000+20000</f>
        <v>130000</v>
      </c>
      <c r="I15" s="166"/>
      <c r="J15" s="605">
        <v>2239</v>
      </c>
      <c r="K15" s="483">
        <v>100000</v>
      </c>
      <c r="L15" s="483">
        <v>2200</v>
      </c>
      <c r="M15" s="1894" t="s">
        <v>3546</v>
      </c>
      <c r="N15" s="1960" t="s">
        <v>3544</v>
      </c>
    </row>
    <row r="16" spans="1:14" ht="206.25" hidden="1" customHeight="1" x14ac:dyDescent="0.25">
      <c r="A16" s="1779"/>
      <c r="B16" s="1663"/>
      <c r="C16" s="1664"/>
      <c r="D16" s="483">
        <v>3667</v>
      </c>
      <c r="E16" s="483"/>
      <c r="F16" s="483">
        <v>3667</v>
      </c>
      <c r="G16" s="483"/>
      <c r="H16" s="166">
        <v>0</v>
      </c>
      <c r="I16" s="166"/>
      <c r="J16" s="605">
        <v>5239</v>
      </c>
      <c r="K16" s="483"/>
      <c r="L16" s="483"/>
      <c r="M16" s="1896"/>
      <c r="N16" s="1961"/>
    </row>
    <row r="17" spans="1:14" ht="61.5" customHeight="1" x14ac:dyDescent="0.25">
      <c r="A17" s="1439" t="s">
        <v>1918</v>
      </c>
      <c r="B17" s="1645" t="s">
        <v>1919</v>
      </c>
      <c r="C17" s="1645"/>
      <c r="D17" s="483">
        <v>12691</v>
      </c>
      <c r="E17" s="483"/>
      <c r="F17" s="483">
        <v>12691</v>
      </c>
      <c r="G17" s="483"/>
      <c r="H17" s="166">
        <v>30000</v>
      </c>
      <c r="I17" s="166"/>
      <c r="J17" s="605">
        <v>2239</v>
      </c>
      <c r="K17" s="483">
        <v>20000</v>
      </c>
      <c r="L17" s="483"/>
      <c r="M17" s="1447" t="s">
        <v>3547</v>
      </c>
      <c r="N17" s="1452" t="s">
        <v>1920</v>
      </c>
    </row>
    <row r="18" spans="1:14" ht="24" hidden="1" x14ac:dyDescent="0.25">
      <c r="A18" s="1439" t="s">
        <v>1921</v>
      </c>
      <c r="B18" s="1654" t="s">
        <v>1922</v>
      </c>
      <c r="C18" s="1655"/>
      <c r="D18" s="483">
        <v>20000</v>
      </c>
      <c r="E18" s="483"/>
      <c r="F18" s="483">
        <v>0</v>
      </c>
      <c r="G18" s="483"/>
      <c r="H18" s="166">
        <v>0</v>
      </c>
      <c r="I18" s="166"/>
      <c r="J18" s="605">
        <v>5234</v>
      </c>
      <c r="K18" s="483"/>
      <c r="L18" s="483"/>
      <c r="M18" s="1426" t="s">
        <v>1923</v>
      </c>
      <c r="N18" s="1452"/>
    </row>
    <row r="19" spans="1:14" ht="24" hidden="1" x14ac:dyDescent="0.25">
      <c r="A19" s="1439" t="s">
        <v>1924</v>
      </c>
      <c r="B19" s="1654" t="s">
        <v>1925</v>
      </c>
      <c r="C19" s="1655"/>
      <c r="D19" s="483">
        <v>5000</v>
      </c>
      <c r="E19" s="483"/>
      <c r="F19" s="483">
        <v>4998</v>
      </c>
      <c r="G19" s="483"/>
      <c r="H19" s="166">
        <v>0</v>
      </c>
      <c r="I19" s="166"/>
      <c r="J19" s="605">
        <v>2259</v>
      </c>
      <c r="K19" s="483"/>
      <c r="L19" s="483"/>
      <c r="M19" s="1426" t="s">
        <v>1926</v>
      </c>
      <c r="N19" s="1452"/>
    </row>
    <row r="20" spans="1:14" ht="26.25" customHeight="1" x14ac:dyDescent="0.25">
      <c r="A20" s="1439" t="s">
        <v>1921</v>
      </c>
      <c r="B20" s="1645" t="s">
        <v>1928</v>
      </c>
      <c r="C20" s="1645"/>
      <c r="D20" s="483">
        <v>0</v>
      </c>
      <c r="E20" s="483"/>
      <c r="F20" s="483">
        <v>0</v>
      </c>
      <c r="G20" s="483"/>
      <c r="H20" s="166">
        <v>20000</v>
      </c>
      <c r="I20" s="166"/>
      <c r="J20" s="605">
        <v>5110</v>
      </c>
      <c r="K20" s="483">
        <v>20000</v>
      </c>
      <c r="L20" s="483"/>
      <c r="M20" s="1426" t="s">
        <v>3566</v>
      </c>
      <c r="N20" s="1452" t="s">
        <v>1929</v>
      </c>
    </row>
    <row r="21" spans="1:14" ht="26.25" customHeight="1" x14ac:dyDescent="0.25">
      <c r="A21" s="1439" t="s">
        <v>1924</v>
      </c>
      <c r="B21" s="2070" t="s">
        <v>1930</v>
      </c>
      <c r="C21" s="2070"/>
      <c r="D21" s="483">
        <v>0</v>
      </c>
      <c r="E21" s="483"/>
      <c r="F21" s="483">
        <v>0</v>
      </c>
      <c r="G21" s="483"/>
      <c r="H21" s="166">
        <v>8500</v>
      </c>
      <c r="I21" s="166"/>
      <c r="J21" s="605">
        <v>5239</v>
      </c>
      <c r="K21" s="483">
        <v>8500</v>
      </c>
      <c r="L21" s="483"/>
      <c r="M21" s="1447" t="s">
        <v>3567</v>
      </c>
      <c r="N21" s="1452" t="s">
        <v>1931</v>
      </c>
    </row>
    <row r="22" spans="1:14" ht="15.75" customHeight="1" x14ac:dyDescent="0.25">
      <c r="A22" s="1439" t="s">
        <v>1927</v>
      </c>
      <c r="B22" s="1822" t="s">
        <v>1932</v>
      </c>
      <c r="C22" s="1822"/>
      <c r="D22" s="208">
        <v>5700</v>
      </c>
      <c r="E22" s="208"/>
      <c r="F22" s="483">
        <v>5700</v>
      </c>
      <c r="G22" s="483"/>
      <c r="H22" s="166">
        <v>4000</v>
      </c>
      <c r="I22" s="166"/>
      <c r="J22" s="605">
        <v>2231</v>
      </c>
      <c r="K22" s="483">
        <v>4000</v>
      </c>
      <c r="L22" s="483"/>
      <c r="M22" s="1447" t="s">
        <v>1933</v>
      </c>
      <c r="N22" s="1440" t="s">
        <v>1934</v>
      </c>
    </row>
    <row r="23" spans="1:14" x14ac:dyDescent="0.25">
      <c r="A23" s="807">
        <v>2</v>
      </c>
      <c r="B23" s="2068" t="s">
        <v>1935</v>
      </c>
      <c r="C23" s="2068"/>
      <c r="D23" s="208"/>
      <c r="E23" s="208"/>
      <c r="F23" s="483"/>
      <c r="G23" s="483"/>
      <c r="H23" s="166"/>
      <c r="I23" s="166"/>
      <c r="J23" s="605"/>
      <c r="K23" s="483"/>
      <c r="L23" s="483"/>
      <c r="M23" s="1447"/>
      <c r="N23" s="1440"/>
    </row>
    <row r="24" spans="1:14" s="384" customFormat="1" ht="15.75" customHeight="1" x14ac:dyDescent="0.25">
      <c r="A24" s="2071" t="s">
        <v>1735</v>
      </c>
      <c r="B24" s="2021" t="s">
        <v>1936</v>
      </c>
      <c r="C24" s="2021"/>
      <c r="D24" s="208">
        <v>2500</v>
      </c>
      <c r="E24" s="208"/>
      <c r="F24" s="389">
        <v>2500</v>
      </c>
      <c r="G24" s="389"/>
      <c r="H24" s="389">
        <f>4200+1500</f>
        <v>5700</v>
      </c>
      <c r="I24" s="389"/>
      <c r="J24" s="317">
        <v>2312</v>
      </c>
      <c r="K24" s="389">
        <v>5700</v>
      </c>
      <c r="L24" s="389"/>
      <c r="M24" s="1696" t="s">
        <v>3568</v>
      </c>
      <c r="N24" s="1822" t="s">
        <v>1937</v>
      </c>
    </row>
    <row r="25" spans="1:14" s="384" customFormat="1" ht="15" customHeight="1" x14ac:dyDescent="0.25">
      <c r="A25" s="1730"/>
      <c r="B25" s="2021"/>
      <c r="C25" s="2021"/>
      <c r="D25" s="208">
        <v>110</v>
      </c>
      <c r="E25" s="208"/>
      <c r="F25" s="389">
        <v>110</v>
      </c>
      <c r="G25" s="389"/>
      <c r="H25" s="389">
        <v>110</v>
      </c>
      <c r="I25" s="389"/>
      <c r="J25" s="317">
        <v>2243</v>
      </c>
      <c r="K25" s="389">
        <v>110</v>
      </c>
      <c r="L25" s="389"/>
      <c r="M25" s="1696"/>
      <c r="N25" s="1822"/>
    </row>
    <row r="26" spans="1:14" s="384" customFormat="1" ht="19.5" customHeight="1" x14ac:dyDescent="0.25">
      <c r="A26" s="1730"/>
      <c r="B26" s="2021"/>
      <c r="C26" s="2021"/>
      <c r="D26" s="208">
        <v>512</v>
      </c>
      <c r="E26" s="208"/>
      <c r="F26" s="389">
        <v>512</v>
      </c>
      <c r="G26" s="389"/>
      <c r="H26" s="389">
        <v>530</v>
      </c>
      <c r="I26" s="389"/>
      <c r="J26" s="317">
        <v>2279</v>
      </c>
      <c r="K26" s="389">
        <v>530</v>
      </c>
      <c r="L26" s="389"/>
      <c r="M26" s="1696"/>
      <c r="N26" s="1822"/>
    </row>
    <row r="27" spans="1:14" x14ac:dyDescent="0.25">
      <c r="A27" s="807">
        <v>3</v>
      </c>
      <c r="B27" s="2068" t="s">
        <v>1938</v>
      </c>
      <c r="C27" s="2068"/>
      <c r="D27" s="483"/>
      <c r="E27" s="483">
        <v>1600</v>
      </c>
      <c r="F27" s="483">
        <v>0</v>
      </c>
      <c r="G27" s="483">
        <v>1600</v>
      </c>
      <c r="H27" s="389"/>
      <c r="I27" s="389">
        <v>1600</v>
      </c>
      <c r="J27" s="317">
        <v>2512</v>
      </c>
      <c r="K27" s="483"/>
      <c r="L27" s="166">
        <v>1175</v>
      </c>
      <c r="M27" s="1447" t="s">
        <v>748</v>
      </c>
      <c r="N27" s="1440"/>
    </row>
    <row r="28" spans="1:14" s="384" customFormat="1" ht="24.75" customHeight="1" x14ac:dyDescent="0.25">
      <c r="A28" s="706">
        <v>4</v>
      </c>
      <c r="B28" s="2069" t="s">
        <v>1939</v>
      </c>
      <c r="C28" s="2069"/>
      <c r="D28" s="208"/>
      <c r="E28" s="208">
        <v>1890</v>
      </c>
      <c r="F28" s="389">
        <v>0</v>
      </c>
      <c r="G28" s="389">
        <v>1890</v>
      </c>
      <c r="H28" s="389"/>
      <c r="I28" s="389">
        <v>1890</v>
      </c>
      <c r="J28" s="317">
        <v>2390</v>
      </c>
      <c r="K28" s="389"/>
      <c r="L28" s="389">
        <v>1890</v>
      </c>
      <c r="M28" s="1447" t="s">
        <v>748</v>
      </c>
      <c r="N28" s="1440"/>
    </row>
    <row r="29" spans="1:14" x14ac:dyDescent="0.2">
      <c r="A29" s="809"/>
      <c r="B29" s="809"/>
      <c r="C29" s="809"/>
      <c r="D29" s="809"/>
      <c r="E29" s="809"/>
      <c r="F29" s="1527"/>
      <c r="G29" s="1527"/>
      <c r="H29" s="1527"/>
      <c r="I29" s="1527"/>
      <c r="J29" s="809"/>
      <c r="K29" s="809"/>
      <c r="L29" s="809"/>
    </row>
    <row r="30" spans="1:14" x14ac:dyDescent="0.25">
      <c r="A30" s="1962" t="s">
        <v>129</v>
      </c>
      <c r="B30" s="1962"/>
      <c r="C30" s="418" t="s">
        <v>563</v>
      </c>
      <c r="D30" s="418"/>
      <c r="E30" s="418"/>
      <c r="F30" s="418"/>
      <c r="G30" s="418"/>
      <c r="H30" s="418"/>
      <c r="I30" s="418"/>
      <c r="J30" s="418"/>
      <c r="K30" s="418"/>
      <c r="L30" s="418"/>
      <c r="M30" s="418"/>
      <c r="N30" s="418"/>
    </row>
    <row r="31" spans="1:14" x14ac:dyDescent="0.25">
      <c r="A31" s="1962" t="s">
        <v>131</v>
      </c>
      <c r="B31" s="1962"/>
      <c r="C31" s="803" t="s">
        <v>564</v>
      </c>
      <c r="D31" s="803"/>
      <c r="E31" s="803"/>
      <c r="F31" s="804"/>
      <c r="G31" s="804"/>
      <c r="H31" s="804"/>
      <c r="I31" s="804"/>
      <c r="J31" s="804"/>
      <c r="K31" s="804"/>
      <c r="L31" s="804"/>
      <c r="M31" s="804"/>
      <c r="N31" s="804"/>
    </row>
    <row r="32" spans="1:14" ht="19.5" customHeight="1" x14ac:dyDescent="0.25">
      <c r="A32" s="2058" t="s">
        <v>4</v>
      </c>
      <c r="B32" s="2061" t="s">
        <v>133</v>
      </c>
      <c r="C32" s="2062"/>
      <c r="D32" s="2061" t="s">
        <v>528</v>
      </c>
      <c r="E32" s="2062"/>
      <c r="F32" s="2061" t="s">
        <v>529</v>
      </c>
      <c r="G32" s="2062"/>
      <c r="H32" s="2061" t="s">
        <v>530</v>
      </c>
      <c r="I32" s="2062"/>
      <c r="J32" s="2058" t="s">
        <v>135</v>
      </c>
      <c r="K32" s="1953" t="s">
        <v>3472</v>
      </c>
      <c r="L32" s="1954"/>
      <c r="M32" s="2058" t="s">
        <v>14</v>
      </c>
      <c r="N32" s="2058" t="s">
        <v>137</v>
      </c>
    </row>
    <row r="33" spans="1:14" ht="29.25" customHeight="1" x14ac:dyDescent="0.25">
      <c r="A33" s="2059"/>
      <c r="B33" s="2063"/>
      <c r="C33" s="2064"/>
      <c r="D33" s="1438" t="s">
        <v>531</v>
      </c>
      <c r="E33" s="1438" t="s">
        <v>532</v>
      </c>
      <c r="F33" s="1438" t="s">
        <v>531</v>
      </c>
      <c r="G33" s="1438" t="s">
        <v>532</v>
      </c>
      <c r="H33" s="805" t="s">
        <v>531</v>
      </c>
      <c r="I33" s="1438" t="s">
        <v>532</v>
      </c>
      <c r="J33" s="2059"/>
      <c r="K33" s="1438" t="s">
        <v>531</v>
      </c>
      <c r="L33" s="1438" t="s">
        <v>532</v>
      </c>
      <c r="M33" s="2059"/>
      <c r="N33" s="2059"/>
    </row>
    <row r="34" spans="1:14" x14ac:dyDescent="0.25">
      <c r="A34" s="1761" t="s">
        <v>138</v>
      </c>
      <c r="B34" s="1761"/>
      <c r="C34" s="1761"/>
      <c r="D34" s="427">
        <f t="shared" ref="D34:I34" si="1">SUM(D35:D38)</f>
        <v>0</v>
      </c>
      <c r="E34" s="427">
        <f t="shared" si="1"/>
        <v>0</v>
      </c>
      <c r="F34" s="427">
        <f t="shared" si="1"/>
        <v>0</v>
      </c>
      <c r="G34" s="427">
        <f t="shared" si="1"/>
        <v>0</v>
      </c>
      <c r="H34" s="427">
        <f t="shared" si="1"/>
        <v>121100</v>
      </c>
      <c r="I34" s="427">
        <f t="shared" si="1"/>
        <v>0</v>
      </c>
      <c r="J34" s="427"/>
      <c r="K34" s="427">
        <f>SUM(K35:K38)</f>
        <v>98100</v>
      </c>
      <c r="L34" s="427">
        <f>SUM(L35:L38)</f>
        <v>0</v>
      </c>
      <c r="M34" s="427"/>
      <c r="N34" s="483"/>
    </row>
    <row r="35" spans="1:14" ht="37.5" customHeight="1" x14ac:dyDescent="0.25">
      <c r="A35" s="1439">
        <v>1</v>
      </c>
      <c r="B35" s="2065" t="s">
        <v>1940</v>
      </c>
      <c r="C35" s="2065"/>
      <c r="D35" s="483">
        <v>0</v>
      </c>
      <c r="E35" s="483">
        <v>0</v>
      </c>
      <c r="F35" s="483">
        <v>0</v>
      </c>
      <c r="G35" s="483">
        <v>0</v>
      </c>
      <c r="H35" s="166">
        <v>60000</v>
      </c>
      <c r="I35" s="166"/>
      <c r="J35" s="605">
        <v>2239</v>
      </c>
      <c r="K35" s="483">
        <v>60000</v>
      </c>
      <c r="L35" s="483"/>
      <c r="M35" s="1447" t="s">
        <v>3548</v>
      </c>
      <c r="N35" s="810" t="s">
        <v>1941</v>
      </c>
    </row>
    <row r="36" spans="1:14" ht="39" customHeight="1" x14ac:dyDescent="0.25">
      <c r="A36" s="1439">
        <v>2</v>
      </c>
      <c r="B36" s="2066" t="s">
        <v>3551</v>
      </c>
      <c r="C36" s="2067"/>
      <c r="D36" s="483">
        <v>0</v>
      </c>
      <c r="E36" s="483">
        <v>0</v>
      </c>
      <c r="F36" s="483">
        <v>0</v>
      </c>
      <c r="G36" s="483">
        <v>0</v>
      </c>
      <c r="H36" s="166">
        <v>9000</v>
      </c>
      <c r="I36" s="166"/>
      <c r="J36" s="605">
        <v>2314</v>
      </c>
      <c r="K36" s="483">
        <v>6000</v>
      </c>
      <c r="L36" s="483"/>
      <c r="M36" s="1017" t="s">
        <v>3549</v>
      </c>
      <c r="N36" s="810" t="s">
        <v>1942</v>
      </c>
    </row>
    <row r="37" spans="1:14" ht="37.5" customHeight="1" x14ac:dyDescent="0.25">
      <c r="A37" s="1439">
        <v>3</v>
      </c>
      <c r="B37" s="2056" t="s">
        <v>3552</v>
      </c>
      <c r="C37" s="2056"/>
      <c r="D37" s="483">
        <v>0</v>
      </c>
      <c r="E37" s="483">
        <v>0</v>
      </c>
      <c r="F37" s="483">
        <v>0</v>
      </c>
      <c r="G37" s="483">
        <v>0</v>
      </c>
      <c r="H37" s="166">
        <v>32100</v>
      </c>
      <c r="I37" s="166"/>
      <c r="J37" s="605">
        <v>2279</v>
      </c>
      <c r="K37" s="483">
        <v>22100</v>
      </c>
      <c r="L37" s="483"/>
      <c r="M37" s="1017" t="s">
        <v>3550</v>
      </c>
      <c r="N37" s="810" t="s">
        <v>1943</v>
      </c>
    </row>
    <row r="38" spans="1:14" ht="38.25" customHeight="1" x14ac:dyDescent="0.25">
      <c r="A38" s="1439">
        <v>4</v>
      </c>
      <c r="B38" s="2060" t="s">
        <v>1944</v>
      </c>
      <c r="C38" s="2060"/>
      <c r="D38" s="483">
        <v>0</v>
      </c>
      <c r="E38" s="483">
        <v>0</v>
      </c>
      <c r="F38" s="483">
        <v>0</v>
      </c>
      <c r="G38" s="483">
        <v>0</v>
      </c>
      <c r="H38" s="166">
        <v>20000</v>
      </c>
      <c r="I38" s="166"/>
      <c r="J38" s="605">
        <v>5234</v>
      </c>
      <c r="K38" s="483">
        <v>10000</v>
      </c>
      <c r="L38" s="483"/>
      <c r="M38" s="1017" t="s">
        <v>3553</v>
      </c>
      <c r="N38" s="810" t="s">
        <v>1945</v>
      </c>
    </row>
    <row r="39" spans="1:14" x14ac:dyDescent="0.2">
      <c r="A39" s="809"/>
      <c r="B39" s="809"/>
      <c r="C39" s="809"/>
      <c r="D39" s="809"/>
      <c r="E39" s="809"/>
      <c r="F39" s="1527"/>
      <c r="G39" s="1527"/>
      <c r="H39" s="1527"/>
      <c r="I39" s="1527"/>
      <c r="J39" s="809"/>
      <c r="K39" s="809"/>
      <c r="L39" s="809"/>
    </row>
    <row r="40" spans="1:14" x14ac:dyDescent="0.25">
      <c r="A40" s="1962" t="s">
        <v>129</v>
      </c>
      <c r="B40" s="1962"/>
      <c r="C40" s="403" t="s">
        <v>424</v>
      </c>
    </row>
    <row r="41" spans="1:14" x14ac:dyDescent="0.25">
      <c r="A41" s="1962" t="s">
        <v>131</v>
      </c>
      <c r="B41" s="1962"/>
      <c r="C41" s="602" t="s">
        <v>425</v>
      </c>
      <c r="D41" s="603"/>
      <c r="E41" s="603"/>
      <c r="F41" s="603"/>
      <c r="G41" s="603"/>
      <c r="H41" s="603"/>
      <c r="I41" s="603"/>
      <c r="J41" s="603"/>
    </row>
    <row r="42" spans="1:14" ht="20.25" customHeight="1" x14ac:dyDescent="0.25">
      <c r="A42" s="2058" t="s">
        <v>4</v>
      </c>
      <c r="B42" s="2061" t="s">
        <v>133</v>
      </c>
      <c r="C42" s="2062"/>
      <c r="D42" s="2061" t="s">
        <v>528</v>
      </c>
      <c r="E42" s="2062"/>
      <c r="F42" s="2061" t="s">
        <v>529</v>
      </c>
      <c r="G42" s="2062"/>
      <c r="H42" s="2061" t="s">
        <v>530</v>
      </c>
      <c r="I42" s="2062"/>
      <c r="J42" s="2058" t="s">
        <v>135</v>
      </c>
      <c r="K42" s="1953" t="s">
        <v>3472</v>
      </c>
      <c r="L42" s="1954"/>
      <c r="M42" s="2058" t="s">
        <v>14</v>
      </c>
      <c r="N42" s="2058" t="s">
        <v>137</v>
      </c>
    </row>
    <row r="43" spans="1:14" ht="27.75" customHeight="1" x14ac:dyDescent="0.25">
      <c r="A43" s="2059"/>
      <c r="B43" s="2063"/>
      <c r="C43" s="2064"/>
      <c r="D43" s="1438" t="s">
        <v>531</v>
      </c>
      <c r="E43" s="1438" t="s">
        <v>532</v>
      </c>
      <c r="F43" s="1438" t="s">
        <v>531</v>
      </c>
      <c r="G43" s="1438" t="s">
        <v>532</v>
      </c>
      <c r="H43" s="805" t="s">
        <v>531</v>
      </c>
      <c r="I43" s="1438" t="s">
        <v>532</v>
      </c>
      <c r="J43" s="2059"/>
      <c r="K43" s="1438" t="s">
        <v>531</v>
      </c>
      <c r="L43" s="1438" t="s">
        <v>532</v>
      </c>
      <c r="M43" s="2059"/>
      <c r="N43" s="2059"/>
    </row>
    <row r="44" spans="1:14" s="275" customFormat="1" x14ac:dyDescent="0.2">
      <c r="A44" s="1647" t="s">
        <v>138</v>
      </c>
      <c r="B44" s="1647"/>
      <c r="C44" s="1647"/>
      <c r="D44" s="163">
        <f t="shared" ref="D44:I44" si="2">SUM(D45:D55)</f>
        <v>461500</v>
      </c>
      <c r="E44" s="163">
        <f t="shared" si="2"/>
        <v>0</v>
      </c>
      <c r="F44" s="163">
        <f t="shared" si="2"/>
        <v>449000</v>
      </c>
      <c r="G44" s="163">
        <f t="shared" si="2"/>
        <v>0</v>
      </c>
      <c r="H44" s="163">
        <f t="shared" si="2"/>
        <v>423050</v>
      </c>
      <c r="I44" s="163">
        <f t="shared" si="2"/>
        <v>0</v>
      </c>
      <c r="J44" s="427"/>
      <c r="K44" s="427">
        <f>SUM(K45:K55)</f>
        <v>385550</v>
      </c>
      <c r="L44" s="427">
        <f>SUM(L45:L55)</f>
        <v>0</v>
      </c>
      <c r="M44" s="427"/>
      <c r="N44" s="483"/>
    </row>
    <row r="45" spans="1:14" s="274" customFormat="1" ht="87" customHeight="1" x14ac:dyDescent="0.2">
      <c r="A45" s="1425">
        <v>1</v>
      </c>
      <c r="B45" s="2055" t="s">
        <v>3554</v>
      </c>
      <c r="C45" s="2055"/>
      <c r="D45" s="166">
        <v>333500</v>
      </c>
      <c r="E45" s="1528"/>
      <c r="F45" s="166">
        <v>333500</v>
      </c>
      <c r="G45" s="1528"/>
      <c r="H45" s="166">
        <v>208000</v>
      </c>
      <c r="I45" s="1528"/>
      <c r="J45" s="605">
        <v>2239</v>
      </c>
      <c r="K45" s="483">
        <v>185000</v>
      </c>
      <c r="L45" s="1528"/>
      <c r="M45" s="1447" t="s">
        <v>3555</v>
      </c>
      <c r="N45" s="1529" t="s">
        <v>1946</v>
      </c>
    </row>
    <row r="46" spans="1:14" s="274" customFormat="1" ht="84" x14ac:dyDescent="0.2">
      <c r="A46" s="1425">
        <v>2</v>
      </c>
      <c r="B46" s="1645" t="s">
        <v>1947</v>
      </c>
      <c r="C46" s="1645"/>
      <c r="D46" s="166">
        <v>0</v>
      </c>
      <c r="E46" s="1528"/>
      <c r="F46" s="166">
        <v>0</v>
      </c>
      <c r="G46" s="1528"/>
      <c r="H46" s="166">
        <v>100000</v>
      </c>
      <c r="I46" s="1528"/>
      <c r="J46" s="605">
        <v>2239</v>
      </c>
      <c r="K46" s="483">
        <v>100000</v>
      </c>
      <c r="L46" s="1528"/>
      <c r="M46" s="1447" t="s">
        <v>3556</v>
      </c>
      <c r="N46" s="1452" t="s">
        <v>1948</v>
      </c>
    </row>
    <row r="47" spans="1:14" s="274" customFormat="1" ht="16.5" customHeight="1" x14ac:dyDescent="0.2">
      <c r="A47" s="1644">
        <v>3</v>
      </c>
      <c r="B47" s="2060" t="s">
        <v>1949</v>
      </c>
      <c r="C47" s="2060"/>
      <c r="D47" s="166">
        <v>35400</v>
      </c>
      <c r="E47" s="1528"/>
      <c r="F47" s="166">
        <v>35400</v>
      </c>
      <c r="G47" s="1528"/>
      <c r="H47" s="166">
        <v>42000</v>
      </c>
      <c r="I47" s="1528"/>
      <c r="J47" s="605">
        <v>2314</v>
      </c>
      <c r="K47" s="483">
        <v>35000</v>
      </c>
      <c r="L47" s="1528"/>
      <c r="M47" s="1894" t="s">
        <v>3549</v>
      </c>
      <c r="N47" s="1529" t="s">
        <v>1950</v>
      </c>
    </row>
    <row r="48" spans="1:14" s="274" customFormat="1" ht="23.25" customHeight="1" x14ac:dyDescent="0.2">
      <c r="A48" s="1644"/>
      <c r="B48" s="2060"/>
      <c r="C48" s="2060"/>
      <c r="D48" s="166">
        <v>5500</v>
      </c>
      <c r="E48" s="1528"/>
      <c r="F48" s="166">
        <v>1500</v>
      </c>
      <c r="G48" s="1528"/>
      <c r="H48" s="166">
        <v>5500</v>
      </c>
      <c r="I48" s="1528"/>
      <c r="J48" s="605">
        <v>5239</v>
      </c>
      <c r="K48" s="483">
        <v>5500</v>
      </c>
      <c r="L48" s="1528"/>
      <c r="M48" s="1896"/>
      <c r="N48" s="810" t="s">
        <v>1951</v>
      </c>
    </row>
    <row r="49" spans="1:14" s="274" customFormat="1" ht="26.25" customHeight="1" x14ac:dyDescent="0.2">
      <c r="A49" s="1425">
        <v>4</v>
      </c>
      <c r="B49" s="1645" t="s">
        <v>3559</v>
      </c>
      <c r="C49" s="1645"/>
      <c r="D49" s="166">
        <v>0</v>
      </c>
      <c r="E49" s="1528"/>
      <c r="F49" s="166">
        <v>0</v>
      </c>
      <c r="G49" s="1528"/>
      <c r="H49" s="166">
        <v>12100</v>
      </c>
      <c r="I49" s="1528"/>
      <c r="J49" s="605">
        <v>5110</v>
      </c>
      <c r="K49" s="483">
        <v>12100</v>
      </c>
      <c r="L49" s="1530"/>
      <c r="M49" s="1447" t="s">
        <v>3557</v>
      </c>
      <c r="N49" s="1452" t="s">
        <v>1952</v>
      </c>
    </row>
    <row r="50" spans="1:14" s="274" customFormat="1" ht="15" customHeight="1" x14ac:dyDescent="0.2">
      <c r="A50" s="1425">
        <v>6</v>
      </c>
      <c r="B50" s="2055" t="s">
        <v>3560</v>
      </c>
      <c r="C50" s="2055"/>
      <c r="D50" s="166">
        <v>4000</v>
      </c>
      <c r="E50" s="1528"/>
      <c r="F50" s="166">
        <v>4000</v>
      </c>
      <c r="G50" s="1528"/>
      <c r="H50" s="166">
        <v>4000</v>
      </c>
      <c r="I50" s="1528"/>
      <c r="J50" s="605">
        <v>2231</v>
      </c>
      <c r="K50" s="483">
        <v>4000</v>
      </c>
      <c r="L50" s="1530"/>
      <c r="M50" s="1447" t="s">
        <v>3558</v>
      </c>
      <c r="N50" s="810" t="s">
        <v>1953</v>
      </c>
    </row>
    <row r="51" spans="1:14" s="274" customFormat="1" ht="61.5" customHeight="1" x14ac:dyDescent="0.2">
      <c r="A51" s="1428">
        <v>7</v>
      </c>
      <c r="B51" s="2056" t="s">
        <v>3561</v>
      </c>
      <c r="C51" s="2056"/>
      <c r="D51" s="166">
        <v>64600</v>
      </c>
      <c r="E51" s="1528"/>
      <c r="F51" s="166">
        <v>64600</v>
      </c>
      <c r="G51" s="1528"/>
      <c r="H51" s="166">
        <v>34000</v>
      </c>
      <c r="I51" s="1528"/>
      <c r="J51" s="605">
        <v>2279</v>
      </c>
      <c r="K51" s="483">
        <v>26500</v>
      </c>
      <c r="L51" s="1528"/>
      <c r="M51" s="1447" t="s">
        <v>3562</v>
      </c>
      <c r="N51" s="810" t="s">
        <v>1954</v>
      </c>
    </row>
    <row r="52" spans="1:14" s="274" customFormat="1" ht="12.75" customHeight="1" x14ac:dyDescent="0.2">
      <c r="A52" s="1656">
        <v>8</v>
      </c>
      <c r="B52" s="1659" t="s">
        <v>1955</v>
      </c>
      <c r="C52" s="1660"/>
      <c r="D52" s="166">
        <v>5000</v>
      </c>
      <c r="E52" s="1528"/>
      <c r="F52" s="166">
        <v>5000</v>
      </c>
      <c r="G52" s="1528"/>
      <c r="H52" s="166">
        <v>5000</v>
      </c>
      <c r="I52" s="1528"/>
      <c r="J52" s="605">
        <v>1150</v>
      </c>
      <c r="K52" s="483">
        <v>5000</v>
      </c>
      <c r="L52" s="1528"/>
      <c r="M52" s="2057" t="s">
        <v>3557</v>
      </c>
      <c r="N52" s="1960" t="s">
        <v>1956</v>
      </c>
    </row>
    <row r="53" spans="1:14" s="274" customFormat="1" ht="13.5" customHeight="1" x14ac:dyDescent="0.2">
      <c r="A53" s="1658"/>
      <c r="B53" s="1663"/>
      <c r="C53" s="1664"/>
      <c r="D53" s="166">
        <v>400</v>
      </c>
      <c r="E53" s="1528"/>
      <c r="F53" s="166">
        <v>400</v>
      </c>
      <c r="G53" s="1528"/>
      <c r="H53" s="166">
        <v>350</v>
      </c>
      <c r="I53" s="1528"/>
      <c r="J53" s="605">
        <v>1210</v>
      </c>
      <c r="K53" s="483">
        <v>350</v>
      </c>
      <c r="L53" s="1528"/>
      <c r="M53" s="2057"/>
      <c r="N53" s="1961"/>
    </row>
    <row r="54" spans="1:14" s="274" customFormat="1" hidden="1" x14ac:dyDescent="0.2">
      <c r="A54" s="1425">
        <v>10</v>
      </c>
      <c r="B54" s="2055" t="s">
        <v>1957</v>
      </c>
      <c r="C54" s="2055"/>
      <c r="D54" s="166">
        <v>1000</v>
      </c>
      <c r="E54" s="1528"/>
      <c r="F54" s="166">
        <v>1000</v>
      </c>
      <c r="G54" s="1528"/>
      <c r="H54" s="166">
        <v>0</v>
      </c>
      <c r="I54" s="1528"/>
      <c r="J54" s="605">
        <v>2232</v>
      </c>
      <c r="K54" s="483"/>
      <c r="L54" s="1528"/>
      <c r="M54" s="1447" t="s">
        <v>3557</v>
      </c>
      <c r="N54" s="1440" t="s">
        <v>1958</v>
      </c>
    </row>
    <row r="55" spans="1:14" s="274" customFormat="1" ht="26.25" customHeight="1" x14ac:dyDescent="0.2">
      <c r="A55" s="1425">
        <v>11</v>
      </c>
      <c r="B55" s="2055" t="s">
        <v>1959</v>
      </c>
      <c r="C55" s="2055"/>
      <c r="D55" s="166">
        <v>12100</v>
      </c>
      <c r="E55" s="1528"/>
      <c r="F55" s="166">
        <v>3600</v>
      </c>
      <c r="G55" s="1528"/>
      <c r="H55" s="166">
        <v>12100</v>
      </c>
      <c r="I55" s="1528"/>
      <c r="J55" s="605">
        <v>2232</v>
      </c>
      <c r="K55" s="483">
        <v>12100</v>
      </c>
      <c r="L55" s="1528"/>
      <c r="M55" s="1447" t="s">
        <v>3563</v>
      </c>
      <c r="N55" s="810" t="s">
        <v>1960</v>
      </c>
    </row>
    <row r="56" spans="1:14" s="274" customFormat="1" x14ac:dyDescent="0.2">
      <c r="J56" s="1531"/>
      <c r="K56" s="1531"/>
    </row>
    <row r="57" spans="1:14" s="274" customFormat="1" ht="12" customHeight="1" x14ac:dyDescent="0.2">
      <c r="A57" s="403" t="s">
        <v>455</v>
      </c>
      <c r="B57" s="403"/>
      <c r="C57" s="403"/>
      <c r="D57" s="403"/>
      <c r="E57" s="403"/>
      <c r="F57" s="403"/>
      <c r="J57" s="1531"/>
      <c r="K57" s="1531"/>
    </row>
    <row r="58" spans="1:14" s="274" customFormat="1" ht="12" customHeight="1" x14ac:dyDescent="0.2">
      <c r="A58" s="403" t="s">
        <v>505</v>
      </c>
      <c r="B58" s="403"/>
      <c r="C58" s="403"/>
      <c r="D58" s="403"/>
      <c r="E58" s="403"/>
      <c r="F58" s="403"/>
      <c r="J58" s="1531"/>
      <c r="K58" s="1531"/>
    </row>
    <row r="59" spans="1:14" s="274" customFormat="1" ht="12" customHeight="1" x14ac:dyDescent="0.2">
      <c r="A59" s="403"/>
      <c r="B59" s="403"/>
      <c r="C59" s="403"/>
      <c r="D59" s="403"/>
      <c r="E59" s="403"/>
      <c r="F59" s="403"/>
      <c r="J59" s="1531"/>
      <c r="K59" s="1531"/>
    </row>
    <row r="60" spans="1:14" s="274" customFormat="1" ht="12" customHeight="1" x14ac:dyDescent="0.2">
      <c r="A60" s="1532" t="s">
        <v>1961</v>
      </c>
      <c r="B60" s="1532"/>
      <c r="C60" s="1532"/>
      <c r="D60" s="1532"/>
      <c r="E60" s="1532"/>
      <c r="F60" s="1533"/>
      <c r="J60" s="1531"/>
      <c r="K60" s="803"/>
      <c r="L60" s="803"/>
      <c r="M60" s="803"/>
    </row>
    <row r="61" spans="1:14" s="274" customFormat="1" x14ac:dyDescent="0.2">
      <c r="A61" s="1531" t="s">
        <v>1962</v>
      </c>
      <c r="B61" s="1531"/>
      <c r="C61" s="1531"/>
      <c r="D61" s="1531"/>
      <c r="E61" s="1531"/>
      <c r="F61" s="1531"/>
      <c r="J61" s="1531"/>
      <c r="K61" s="402"/>
      <c r="L61" s="405"/>
      <c r="M61" s="405"/>
    </row>
    <row r="62" spans="1:14" s="274" customFormat="1" ht="12" customHeight="1" x14ac:dyDescent="0.2">
      <c r="A62" s="1531" t="s">
        <v>355</v>
      </c>
      <c r="B62" s="1531"/>
      <c r="C62" s="1534"/>
      <c r="D62" s="1534"/>
      <c r="E62" s="1534"/>
      <c r="F62" s="1531"/>
      <c r="J62" s="487"/>
      <c r="M62" s="405"/>
    </row>
    <row r="63" spans="1:14" s="274" customFormat="1" ht="12" customHeight="1" x14ac:dyDescent="0.2">
      <c r="A63" s="814" t="s">
        <v>1963</v>
      </c>
      <c r="B63" s="1531"/>
      <c r="C63" s="1531"/>
      <c r="D63" s="1531"/>
      <c r="E63" s="1531"/>
      <c r="F63" s="1531"/>
      <c r="J63" s="487"/>
      <c r="M63" s="405"/>
    </row>
    <row r="64" spans="1:14" s="274" customFormat="1" ht="12" customHeight="1" x14ac:dyDescent="0.2">
      <c r="A64" s="814" t="s">
        <v>1964</v>
      </c>
      <c r="B64" s="1531"/>
      <c r="C64" s="1531"/>
      <c r="D64" s="1531"/>
      <c r="E64" s="1531"/>
      <c r="F64" s="1531"/>
      <c r="J64" s="480"/>
      <c r="M64" s="418"/>
    </row>
    <row r="65" spans="1:13" s="274" customFormat="1" ht="12" customHeight="1" x14ac:dyDescent="0.2">
      <c r="A65" s="1483" t="s">
        <v>1965</v>
      </c>
      <c r="B65" s="384"/>
      <c r="C65" s="384"/>
      <c r="D65" s="384"/>
      <c r="E65" s="384"/>
      <c r="F65" s="384"/>
      <c r="J65" s="1535"/>
      <c r="M65" s="418"/>
    </row>
    <row r="66" spans="1:13" s="274" customFormat="1" ht="12" customHeight="1" x14ac:dyDescent="0.2">
      <c r="A66" s="814" t="s">
        <v>1966</v>
      </c>
      <c r="B66" s="1531"/>
      <c r="C66" s="1531"/>
      <c r="D66" s="1531"/>
      <c r="E66" s="1531"/>
      <c r="F66" s="1531"/>
      <c r="J66" s="1535"/>
      <c r="K66" s="418"/>
      <c r="L66" s="418"/>
      <c r="M66" s="418"/>
    </row>
    <row r="67" spans="1:13" s="274" customFormat="1" x14ac:dyDescent="0.2">
      <c r="A67" s="1483" t="s">
        <v>1967</v>
      </c>
      <c r="B67" s="384"/>
      <c r="C67" s="384"/>
      <c r="D67" s="384"/>
      <c r="E67" s="384"/>
      <c r="F67" s="384"/>
      <c r="J67" s="1455"/>
      <c r="K67" s="418"/>
      <c r="L67" s="418"/>
      <c r="M67" s="418"/>
    </row>
    <row r="68" spans="1:13" s="274" customFormat="1" x14ac:dyDescent="0.2">
      <c r="A68" s="418" t="s">
        <v>1968</v>
      </c>
      <c r="B68" s="384"/>
      <c r="C68" s="384"/>
      <c r="D68" s="384"/>
      <c r="E68" s="384"/>
      <c r="F68" s="384"/>
      <c r="J68" s="1455"/>
      <c r="K68" s="418"/>
      <c r="L68" s="418"/>
      <c r="M68" s="418"/>
    </row>
    <row r="69" spans="1:13" s="274" customFormat="1" x14ac:dyDescent="0.2">
      <c r="A69" s="418" t="s">
        <v>1969</v>
      </c>
      <c r="B69" s="384"/>
      <c r="C69" s="384"/>
      <c r="D69" s="384"/>
      <c r="E69" s="384"/>
      <c r="F69" s="384"/>
      <c r="J69" s="1455"/>
      <c r="K69" s="418"/>
      <c r="L69" s="418"/>
      <c r="M69" s="418"/>
    </row>
    <row r="70" spans="1:13" s="274" customFormat="1" ht="12" customHeight="1" x14ac:dyDescent="0.2">
      <c r="A70" s="814" t="s">
        <v>1970</v>
      </c>
      <c r="B70" s="1531"/>
      <c r="C70" s="1531"/>
      <c r="D70" s="1531"/>
      <c r="E70" s="1531"/>
      <c r="F70" s="1531"/>
      <c r="J70" s="1455"/>
      <c r="K70" s="418"/>
      <c r="L70" s="418"/>
      <c r="M70" s="418"/>
    </row>
    <row r="71" spans="1:13" s="274" customFormat="1" x14ac:dyDescent="0.2">
      <c r="A71" s="402" t="s">
        <v>1971</v>
      </c>
      <c r="B71" s="406"/>
      <c r="C71" s="406"/>
      <c r="D71" s="1531"/>
      <c r="E71" s="1531"/>
      <c r="F71" s="1531"/>
      <c r="J71" s="1455"/>
      <c r="K71" s="418"/>
      <c r="L71" s="418"/>
      <c r="M71" s="418"/>
    </row>
    <row r="72" spans="1:13" s="274" customFormat="1" x14ac:dyDescent="0.2">
      <c r="A72" s="402" t="s">
        <v>355</v>
      </c>
      <c r="B72" s="406"/>
      <c r="C72" s="406"/>
      <c r="D72" s="1531"/>
      <c r="E72" s="1531"/>
      <c r="F72" s="1531"/>
      <c r="G72" s="403"/>
      <c r="H72" s="403"/>
      <c r="I72" s="403"/>
      <c r="J72" s="1455"/>
      <c r="K72" s="418"/>
      <c r="L72" s="418"/>
      <c r="M72" s="418"/>
    </row>
    <row r="73" spans="1:13" s="274" customFormat="1" x14ac:dyDescent="0.2">
      <c r="A73" s="814" t="s">
        <v>1972</v>
      </c>
      <c r="B73" s="406"/>
      <c r="C73" s="406"/>
      <c r="D73" s="1531"/>
      <c r="E73" s="1531"/>
      <c r="F73" s="1531"/>
      <c r="G73" s="403"/>
      <c r="H73" s="403"/>
      <c r="I73" s="403"/>
      <c r="J73" s="1455"/>
      <c r="K73" s="418"/>
      <c r="L73" s="418"/>
      <c r="M73" s="418"/>
    </row>
    <row r="74" spans="1:13" s="274" customFormat="1" ht="12" customHeight="1" x14ac:dyDescent="0.2">
      <c r="A74" s="402" t="s">
        <v>1973</v>
      </c>
      <c r="B74" s="406"/>
      <c r="C74" s="406"/>
      <c r="D74" s="406"/>
      <c r="E74" s="406"/>
      <c r="F74" s="1531"/>
      <c r="G74" s="403"/>
      <c r="H74" s="403"/>
      <c r="I74" s="403"/>
      <c r="J74" s="1455"/>
      <c r="K74" s="418"/>
      <c r="L74" s="418"/>
      <c r="M74" s="418"/>
    </row>
    <row r="75" spans="1:13" s="274" customFormat="1" ht="12" customHeight="1" x14ac:dyDescent="0.2">
      <c r="A75" s="814" t="s">
        <v>1974</v>
      </c>
      <c r="B75" s="1531"/>
      <c r="C75" s="1531"/>
      <c r="D75" s="1531"/>
      <c r="E75" s="1531"/>
      <c r="F75" s="1531"/>
      <c r="G75" s="384"/>
      <c r="H75" s="384"/>
      <c r="I75" s="384"/>
      <c r="J75" s="1455"/>
      <c r="K75" s="418"/>
      <c r="M75" s="418"/>
    </row>
    <row r="76" spans="1:13" s="274" customFormat="1" x14ac:dyDescent="0.2">
      <c r="A76" s="814" t="s">
        <v>1975</v>
      </c>
      <c r="B76" s="1531"/>
      <c r="C76" s="1531"/>
      <c r="D76" s="1531"/>
      <c r="E76" s="1531"/>
      <c r="F76" s="1531"/>
      <c r="G76" s="1531"/>
      <c r="H76" s="1531"/>
      <c r="I76" s="1531"/>
      <c r="J76" s="1455"/>
      <c r="K76" s="418"/>
      <c r="M76" s="418"/>
    </row>
    <row r="77" spans="1:13" s="274" customFormat="1" x14ac:dyDescent="0.2">
      <c r="A77" s="402" t="s">
        <v>1976</v>
      </c>
      <c r="B77" s="405"/>
      <c r="C77" s="1531"/>
      <c r="D77" s="1531"/>
      <c r="E77" s="1531"/>
      <c r="F77" s="1531"/>
      <c r="G77" s="1531"/>
      <c r="H77" s="1531"/>
      <c r="I77" s="1531"/>
      <c r="J77" s="1455"/>
      <c r="K77" s="418"/>
      <c r="L77" s="418"/>
      <c r="M77" s="418"/>
    </row>
    <row r="78" spans="1:13" s="274" customFormat="1" x14ac:dyDescent="0.2">
      <c r="A78" s="402" t="s">
        <v>355</v>
      </c>
      <c r="B78" s="405"/>
      <c r="C78" s="1531"/>
      <c r="D78" s="1531"/>
      <c r="E78" s="1531"/>
      <c r="F78" s="1531"/>
      <c r="G78" s="1531"/>
      <c r="H78" s="1531"/>
      <c r="I78" s="1531"/>
      <c r="J78" s="1455"/>
      <c r="K78" s="418"/>
      <c r="L78" s="418"/>
      <c r="M78" s="418"/>
    </row>
    <row r="79" spans="1:13" s="274" customFormat="1" x14ac:dyDescent="0.2">
      <c r="A79" s="418" t="s">
        <v>1977</v>
      </c>
      <c r="C79" s="1531"/>
      <c r="D79" s="1531"/>
      <c r="E79" s="1531"/>
      <c r="F79" s="1531"/>
      <c r="G79" s="1531"/>
      <c r="H79" s="1531"/>
      <c r="I79" s="1531"/>
      <c r="J79" s="1455"/>
      <c r="K79" s="418"/>
      <c r="L79" s="418"/>
      <c r="M79" s="418"/>
    </row>
    <row r="80" spans="1:13" s="274" customFormat="1" x14ac:dyDescent="0.2">
      <c r="A80" s="418" t="s">
        <v>1978</v>
      </c>
      <c r="C80" s="1531"/>
      <c r="D80" s="1531"/>
      <c r="E80" s="1531"/>
      <c r="F80" s="1531"/>
      <c r="G80" s="1531"/>
      <c r="H80" s="1531"/>
      <c r="I80" s="1531"/>
      <c r="J80" s="1455"/>
      <c r="K80" s="418"/>
      <c r="L80" s="418"/>
      <c r="M80" s="418"/>
    </row>
    <row r="81" spans="1:16" s="274" customFormat="1" ht="12.75" customHeight="1" x14ac:dyDescent="0.2">
      <c r="A81" s="418" t="s">
        <v>1979</v>
      </c>
      <c r="B81" s="418"/>
      <c r="C81" s="1531"/>
      <c r="D81" s="1531"/>
      <c r="E81" s="1531"/>
      <c r="F81" s="1531"/>
      <c r="G81" s="1531"/>
      <c r="H81" s="1531"/>
      <c r="I81" s="1531"/>
      <c r="J81" s="1455"/>
      <c r="M81" s="418"/>
    </row>
    <row r="82" spans="1:16" s="274" customFormat="1" ht="12.75" customHeight="1" x14ac:dyDescent="0.2">
      <c r="A82" s="418" t="s">
        <v>1980</v>
      </c>
      <c r="B82" s="418"/>
      <c r="C82" s="1531"/>
      <c r="D82" s="406"/>
      <c r="E82" s="406"/>
      <c r="F82" s="1446"/>
      <c r="G82" s="1531"/>
      <c r="H82" s="1531"/>
      <c r="I82" s="1531"/>
      <c r="J82" s="1455"/>
      <c r="M82" s="418"/>
    </row>
    <row r="83" spans="1:16" s="274" customFormat="1" ht="12.75" customHeight="1" x14ac:dyDescent="0.2">
      <c r="A83" s="418" t="s">
        <v>355</v>
      </c>
      <c r="B83" s="418"/>
      <c r="C83" s="1531"/>
      <c r="D83" s="1531"/>
      <c r="E83" s="1531"/>
      <c r="F83" s="1531"/>
      <c r="G83" s="1531"/>
      <c r="H83" s="1531"/>
      <c r="I83" s="1531"/>
      <c r="J83" s="1455"/>
      <c r="M83" s="418"/>
    </row>
    <row r="84" spans="1:16" s="274" customFormat="1" ht="12.75" customHeight="1" x14ac:dyDescent="0.2">
      <c r="A84" s="418" t="s">
        <v>1981</v>
      </c>
      <c r="C84" s="1531"/>
      <c r="D84" s="1531"/>
      <c r="E84" s="1531"/>
      <c r="F84" s="1531"/>
      <c r="G84" s="384"/>
      <c r="H84" s="384"/>
      <c r="I84" s="384"/>
      <c r="J84" s="1455"/>
      <c r="M84" s="418"/>
    </row>
    <row r="85" spans="1:16" s="274" customFormat="1" ht="12.75" customHeight="1" x14ac:dyDescent="0.2">
      <c r="A85" s="814" t="s">
        <v>1982</v>
      </c>
      <c r="B85" s="1531"/>
      <c r="C85" s="1531"/>
      <c r="D85" s="1531"/>
      <c r="E85" s="1531"/>
      <c r="F85" s="1531"/>
      <c r="G85" s="384"/>
      <c r="H85" s="384"/>
      <c r="I85" s="384"/>
      <c r="J85" s="1455"/>
      <c r="K85" s="418"/>
      <c r="L85" s="418"/>
      <c r="M85" s="418"/>
    </row>
    <row r="86" spans="1:16" s="274" customFormat="1" ht="12.75" customHeight="1" x14ac:dyDescent="0.2">
      <c r="A86" s="814" t="s">
        <v>355</v>
      </c>
      <c r="B86" s="1531"/>
      <c r="C86" s="1531"/>
      <c r="D86" s="1531"/>
      <c r="E86" s="1531"/>
      <c r="F86" s="1531"/>
      <c r="G86" s="384"/>
      <c r="H86" s="384"/>
      <c r="I86" s="384"/>
      <c r="J86" s="1455"/>
      <c r="K86" s="418"/>
      <c r="L86" s="418"/>
      <c r="M86" s="418"/>
    </row>
    <row r="87" spans="1:16" s="274" customFormat="1" ht="12.75" customHeight="1" x14ac:dyDescent="0.2">
      <c r="A87" s="814" t="s">
        <v>1983</v>
      </c>
      <c r="B87" s="1531"/>
      <c r="C87" s="1531"/>
      <c r="D87" s="1531"/>
      <c r="E87" s="1531"/>
      <c r="F87" s="1531"/>
      <c r="G87" s="384"/>
      <c r="H87" s="384"/>
      <c r="I87" s="384"/>
      <c r="J87" s="1455"/>
      <c r="K87" s="418"/>
      <c r="L87" s="418"/>
      <c r="M87" s="418"/>
    </row>
    <row r="88" spans="1:16" s="274" customFormat="1" ht="12.75" customHeight="1" x14ac:dyDescent="0.2">
      <c r="A88" s="814" t="s">
        <v>1984</v>
      </c>
      <c r="B88" s="1531"/>
      <c r="C88" s="1531"/>
      <c r="D88" s="1531"/>
      <c r="E88" s="1531"/>
      <c r="F88" s="1531"/>
      <c r="G88" s="384"/>
      <c r="H88" s="384"/>
      <c r="I88" s="384"/>
      <c r="J88" s="1455"/>
      <c r="K88" s="418"/>
      <c r="L88" s="418"/>
      <c r="M88" s="418"/>
    </row>
    <row r="89" spans="1:16" s="274" customFormat="1" ht="12" customHeight="1" x14ac:dyDescent="0.2">
      <c r="A89" s="402"/>
      <c r="B89" s="406"/>
      <c r="C89" s="406"/>
      <c r="D89" s="406"/>
      <c r="E89" s="406"/>
      <c r="F89" s="1531"/>
      <c r="G89" s="1454"/>
      <c r="H89" s="1454"/>
      <c r="I89" s="1454"/>
      <c r="J89" s="809"/>
      <c r="K89" s="403"/>
      <c r="L89" s="403"/>
      <c r="M89" s="403"/>
    </row>
    <row r="90" spans="1:16" s="274" customFormat="1" ht="12.75" customHeight="1" x14ac:dyDescent="0.2">
      <c r="A90" s="1546" t="s">
        <v>1985</v>
      </c>
      <c r="B90" s="1536"/>
      <c r="C90" s="1536"/>
      <c r="D90" s="1536"/>
      <c r="E90" s="1536"/>
      <c r="F90" s="1536"/>
      <c r="G90" s="384"/>
      <c r="H90" s="384"/>
      <c r="I90" s="384"/>
      <c r="J90" s="1455"/>
      <c r="M90" s="403"/>
    </row>
    <row r="91" spans="1:16" s="274" customFormat="1" ht="12.75" customHeight="1" x14ac:dyDescent="0.2">
      <c r="A91" s="1442" t="s">
        <v>1986</v>
      </c>
      <c r="B91" s="451"/>
      <c r="C91" s="451"/>
      <c r="D91" s="451"/>
      <c r="E91" s="451"/>
      <c r="F91" s="1537"/>
      <c r="G91" s="1531"/>
      <c r="H91" s="1531"/>
      <c r="I91" s="1531"/>
      <c r="J91" s="809"/>
      <c r="M91" s="287"/>
    </row>
    <row r="92" spans="1:16" s="274" customFormat="1" x14ac:dyDescent="0.2">
      <c r="A92" s="1547" t="s">
        <v>1987</v>
      </c>
      <c r="B92" s="287"/>
      <c r="C92" s="480"/>
      <c r="D92" s="480"/>
      <c r="E92" s="480"/>
      <c r="F92" s="480"/>
      <c r="G92" s="1531"/>
      <c r="H92" s="1531"/>
      <c r="I92" s="1531"/>
      <c r="J92" s="809"/>
      <c r="M92" s="287"/>
    </row>
    <row r="93" spans="1:16" s="274" customFormat="1" x14ac:dyDescent="0.2">
      <c r="A93" s="1548" t="s">
        <v>1988</v>
      </c>
      <c r="B93" s="287"/>
      <c r="C93" s="1535"/>
      <c r="D93" s="1535"/>
      <c r="E93" s="1535"/>
      <c r="F93" s="1535"/>
      <c r="G93" s="1531"/>
      <c r="H93" s="1531"/>
      <c r="I93" s="1531"/>
      <c r="J93" s="809"/>
      <c r="M93" s="287"/>
    </row>
    <row r="94" spans="1:16" x14ac:dyDescent="0.2">
      <c r="A94" s="1548" t="s">
        <v>1989</v>
      </c>
      <c r="B94" s="287"/>
      <c r="C94" s="1535"/>
      <c r="D94" s="1535"/>
      <c r="E94" s="1535"/>
      <c r="F94" s="1535"/>
      <c r="G94" s="1531"/>
      <c r="H94" s="1531"/>
      <c r="I94" s="1531"/>
      <c r="J94" s="809"/>
      <c r="M94" s="1441"/>
    </row>
    <row r="95" spans="1:16" x14ac:dyDescent="0.2">
      <c r="A95" s="1548"/>
      <c r="B95" s="1449"/>
      <c r="C95" s="1449"/>
      <c r="D95" s="1449"/>
      <c r="E95" s="1449"/>
      <c r="F95" s="1450"/>
      <c r="G95" s="1531"/>
      <c r="H95" s="1531"/>
      <c r="I95" s="1531"/>
    </row>
    <row r="96" spans="1:16" x14ac:dyDescent="0.2">
      <c r="A96" s="1549" t="s">
        <v>1990</v>
      </c>
      <c r="B96" s="1538"/>
      <c r="C96" s="1538"/>
      <c r="D96" s="1538"/>
      <c r="E96" s="1449"/>
      <c r="F96" s="1450"/>
      <c r="G96" s="1531"/>
      <c r="H96" s="1531"/>
      <c r="I96" s="1531"/>
      <c r="N96" s="418"/>
      <c r="O96" s="418"/>
      <c r="P96" s="418"/>
    </row>
    <row r="97" spans="1:17" ht="12" customHeight="1" x14ac:dyDescent="0.2">
      <c r="A97" s="418" t="s">
        <v>1991</v>
      </c>
      <c r="B97" s="1539"/>
      <c r="C97" s="1539"/>
      <c r="D97" s="1539"/>
      <c r="E97" s="1449"/>
      <c r="F97" s="1450"/>
      <c r="G97" s="1531"/>
      <c r="H97" s="1531"/>
      <c r="I97" s="1531"/>
      <c r="N97" s="418"/>
      <c r="O97" s="418"/>
      <c r="P97" s="418"/>
    </row>
    <row r="98" spans="1:17" x14ac:dyDescent="0.2">
      <c r="A98" s="156" t="s">
        <v>1992</v>
      </c>
      <c r="B98" s="1539"/>
      <c r="C98" s="1539"/>
      <c r="D98" s="1539"/>
      <c r="E98" s="1449"/>
      <c r="F98" s="1450"/>
      <c r="G98" s="1531"/>
      <c r="H98" s="1531"/>
      <c r="I98" s="1531"/>
      <c r="M98" s="287"/>
      <c r="N98" s="418"/>
      <c r="O98" s="418"/>
      <c r="P98" s="418"/>
    </row>
    <row r="99" spans="1:17" x14ac:dyDescent="0.2">
      <c r="A99" s="418" t="s">
        <v>1993</v>
      </c>
      <c r="B99" s="1539"/>
      <c r="C99" s="1539"/>
      <c r="D99" s="1539"/>
      <c r="E99" s="1449"/>
      <c r="F99" s="1450"/>
      <c r="G99" s="1531"/>
      <c r="H99" s="1531"/>
      <c r="I99" s="1531"/>
      <c r="M99" s="1441"/>
      <c r="N99" s="418"/>
      <c r="O99" s="418"/>
      <c r="P99" s="418"/>
    </row>
    <row r="100" spans="1:17" x14ac:dyDescent="0.2">
      <c r="A100" s="418" t="s">
        <v>1994</v>
      </c>
      <c r="B100" s="1539"/>
      <c r="C100" s="1539"/>
      <c r="D100" s="1539"/>
      <c r="E100" s="1449"/>
      <c r="F100" s="1450"/>
      <c r="G100" s="1531"/>
      <c r="H100" s="1531"/>
      <c r="I100" s="1531"/>
      <c r="N100" s="418"/>
      <c r="O100" s="418"/>
      <c r="P100" s="418"/>
    </row>
    <row r="101" spans="1:17" x14ac:dyDescent="0.2">
      <c r="A101" s="1442" t="s">
        <v>330</v>
      </c>
      <c r="B101" s="1539"/>
      <c r="C101" s="1539"/>
      <c r="D101" s="1539"/>
      <c r="E101" s="1449"/>
      <c r="F101" s="1450"/>
      <c r="G101" s="1531"/>
      <c r="H101" s="1531"/>
      <c r="I101" s="1531"/>
      <c r="N101" s="418"/>
      <c r="O101" s="418"/>
      <c r="P101" s="418"/>
    </row>
    <row r="102" spans="1:17" x14ac:dyDescent="0.2">
      <c r="A102" s="418" t="s">
        <v>1896</v>
      </c>
      <c r="B102" s="1539"/>
      <c r="C102" s="1539"/>
      <c r="D102" s="1539"/>
      <c r="E102" s="1449"/>
      <c r="F102" s="1450"/>
      <c r="G102" s="1531"/>
      <c r="H102" s="1531"/>
      <c r="I102" s="1531"/>
      <c r="N102" s="418"/>
      <c r="O102" s="418"/>
      <c r="P102" s="418"/>
    </row>
    <row r="103" spans="1:17" x14ac:dyDescent="0.2">
      <c r="A103" s="418" t="s">
        <v>1995</v>
      </c>
      <c r="B103" s="1539"/>
      <c r="C103" s="1539"/>
      <c r="D103" s="1539"/>
      <c r="E103" s="1449"/>
      <c r="F103" s="1450"/>
      <c r="G103" s="1531"/>
      <c r="H103" s="1531"/>
      <c r="I103" s="1531"/>
      <c r="L103" s="1442"/>
      <c r="M103" s="418"/>
      <c r="N103" s="418"/>
      <c r="O103" s="418"/>
      <c r="P103" s="418"/>
    </row>
    <row r="104" spans="1:17" x14ac:dyDescent="0.2">
      <c r="A104" s="154" t="s">
        <v>1996</v>
      </c>
      <c r="B104" s="1539"/>
      <c r="C104" s="1539"/>
      <c r="D104" s="1539"/>
      <c r="E104" s="1449"/>
      <c r="F104" s="1450"/>
      <c r="G104" s="1446"/>
      <c r="H104" s="1531"/>
      <c r="I104" s="1531"/>
      <c r="L104" s="1442"/>
      <c r="M104" s="418"/>
      <c r="N104" s="418"/>
      <c r="O104" s="418"/>
      <c r="P104" s="418"/>
    </row>
    <row r="105" spans="1:17" x14ac:dyDescent="0.2">
      <c r="A105" s="1548" t="s">
        <v>1997</v>
      </c>
      <c r="B105" s="1535"/>
      <c r="C105" s="1535"/>
      <c r="D105" s="1535"/>
      <c r="E105" s="1535"/>
      <c r="F105" s="1535"/>
      <c r="G105" s="1531"/>
      <c r="H105" s="1531"/>
      <c r="I105" s="1531"/>
      <c r="L105" s="418"/>
      <c r="M105" s="418"/>
      <c r="N105" s="418"/>
      <c r="O105" s="418"/>
      <c r="P105" s="418"/>
    </row>
    <row r="106" spans="1:17" x14ac:dyDescent="0.2">
      <c r="A106" s="1540" t="s">
        <v>1998</v>
      </c>
      <c r="B106" s="1540"/>
      <c r="C106" s="1540"/>
      <c r="D106" s="1540"/>
      <c r="E106" s="1540"/>
      <c r="F106" s="274"/>
      <c r="G106" s="1531"/>
      <c r="H106" s="1531"/>
      <c r="I106" s="1531"/>
      <c r="L106" s="1442"/>
      <c r="M106" s="418"/>
      <c r="N106" s="418"/>
      <c r="O106" s="418"/>
      <c r="P106" s="418"/>
    </row>
    <row r="107" spans="1:17" x14ac:dyDescent="0.2">
      <c r="A107" s="1550" t="s">
        <v>1999</v>
      </c>
      <c r="B107" s="1540"/>
      <c r="C107" s="1540"/>
      <c r="D107" s="1540"/>
      <c r="E107" s="1540"/>
      <c r="F107" s="274"/>
      <c r="G107" s="1531"/>
      <c r="H107" s="1531"/>
      <c r="I107" s="1531"/>
      <c r="L107" s="1442"/>
      <c r="M107" s="418"/>
      <c r="N107" s="418"/>
      <c r="O107" s="418"/>
      <c r="P107" s="418"/>
    </row>
    <row r="108" spans="1:17" x14ac:dyDescent="0.2">
      <c r="A108" s="1514" t="s">
        <v>1979</v>
      </c>
      <c r="B108" s="1514"/>
      <c r="C108" s="1514"/>
      <c r="D108" s="1514"/>
      <c r="E108" s="1514"/>
      <c r="F108" s="1449"/>
      <c r="G108" s="1531"/>
      <c r="H108" s="1531"/>
      <c r="I108" s="1531"/>
      <c r="L108" s="418"/>
      <c r="M108" s="418"/>
      <c r="N108" s="418"/>
      <c r="O108" s="418"/>
      <c r="P108" s="418"/>
    </row>
    <row r="109" spans="1:17" x14ac:dyDescent="0.2">
      <c r="A109" s="1548" t="s">
        <v>2000</v>
      </c>
      <c r="B109" s="1449"/>
      <c r="C109" s="1449"/>
      <c r="D109" s="1449"/>
      <c r="E109" s="1449"/>
      <c r="F109" s="1450"/>
      <c r="G109" s="1536"/>
      <c r="H109" s="487"/>
      <c r="I109" s="487"/>
      <c r="L109" s="418"/>
      <c r="M109" s="418"/>
      <c r="N109" s="418"/>
      <c r="O109" s="418"/>
      <c r="P109" s="418"/>
      <c r="Q109" s="418"/>
    </row>
    <row r="110" spans="1:17" x14ac:dyDescent="0.2">
      <c r="A110" s="1548" t="s">
        <v>2001</v>
      </c>
      <c r="B110" s="1449"/>
      <c r="C110" s="1449"/>
      <c r="D110" s="1449"/>
      <c r="E110" s="1449"/>
      <c r="F110" s="1450"/>
      <c r="G110" s="1537"/>
      <c r="H110" s="487"/>
      <c r="I110" s="487"/>
      <c r="K110" s="418"/>
      <c r="L110" s="418"/>
      <c r="M110" s="418"/>
      <c r="N110" s="418"/>
      <c r="O110" s="418"/>
      <c r="P110" s="418"/>
      <c r="Q110" s="418"/>
    </row>
    <row r="111" spans="1:17" x14ac:dyDescent="0.2">
      <c r="A111" s="1548" t="s">
        <v>355</v>
      </c>
      <c r="B111" s="1449"/>
      <c r="C111" s="1449"/>
      <c r="D111" s="1449"/>
      <c r="E111" s="1449"/>
      <c r="F111" s="1450"/>
      <c r="G111" s="480"/>
      <c r="H111" s="480"/>
      <c r="I111" s="480"/>
      <c r="K111" s="418"/>
      <c r="L111" s="418"/>
      <c r="M111" s="418"/>
      <c r="N111" s="418"/>
      <c r="O111" s="418"/>
      <c r="P111" s="418"/>
      <c r="Q111" s="418"/>
    </row>
    <row r="112" spans="1:17" x14ac:dyDescent="0.2">
      <c r="A112" s="1548" t="s">
        <v>2002</v>
      </c>
      <c r="B112" s="1449"/>
      <c r="C112" s="1449"/>
      <c r="D112" s="1449"/>
      <c r="E112" s="1449"/>
      <c r="F112" s="1450"/>
      <c r="G112" s="1535"/>
      <c r="H112" s="1535"/>
      <c r="I112" s="1535"/>
      <c r="L112" s="418"/>
      <c r="M112" s="418"/>
      <c r="N112" s="418"/>
      <c r="O112" s="418"/>
      <c r="P112" s="418"/>
      <c r="Q112" s="418"/>
    </row>
    <row r="113" spans="1:17" x14ac:dyDescent="0.2">
      <c r="A113" s="1544" t="s">
        <v>2003</v>
      </c>
      <c r="B113" s="287"/>
      <c r="C113" s="1542"/>
      <c r="D113" s="1542"/>
      <c r="E113" s="1542"/>
      <c r="F113" s="1542"/>
      <c r="G113" s="1535"/>
      <c r="H113" s="1535"/>
      <c r="I113" s="1535"/>
      <c r="K113" s="274"/>
      <c r="L113" s="803"/>
      <c r="M113" s="418"/>
      <c r="N113" s="418"/>
      <c r="O113" s="418"/>
      <c r="P113" s="418"/>
      <c r="Q113" s="418"/>
    </row>
    <row r="114" spans="1:17" x14ac:dyDescent="0.2">
      <c r="A114" s="1548" t="s">
        <v>2004</v>
      </c>
      <c r="B114" s="287"/>
      <c r="C114" s="1535"/>
      <c r="D114" s="1535"/>
      <c r="E114" s="1535"/>
      <c r="F114" s="1535"/>
      <c r="G114" s="1455"/>
      <c r="H114" s="1455"/>
      <c r="I114" s="1455"/>
      <c r="K114" s="418"/>
      <c r="M114" s="418"/>
      <c r="N114" s="418"/>
      <c r="O114" s="418"/>
      <c r="P114" s="418"/>
      <c r="Q114" s="418"/>
    </row>
    <row r="115" spans="1:17" x14ac:dyDescent="0.2">
      <c r="A115" s="1551" t="s">
        <v>2005</v>
      </c>
      <c r="B115" s="287"/>
      <c r="C115" s="1449"/>
      <c r="D115" s="1527"/>
      <c r="E115" s="1527"/>
      <c r="F115" s="1542"/>
      <c r="G115" s="1455"/>
      <c r="H115" s="1455"/>
      <c r="I115" s="1455"/>
      <c r="K115" s="418"/>
      <c r="L115" s="418"/>
      <c r="M115" s="418"/>
      <c r="N115" s="418"/>
      <c r="O115" s="418"/>
      <c r="P115" s="418"/>
      <c r="Q115" s="418"/>
    </row>
    <row r="116" spans="1:17" x14ac:dyDescent="0.2">
      <c r="A116" s="1544" t="s">
        <v>2006</v>
      </c>
      <c r="B116" s="287"/>
      <c r="C116" s="1542"/>
      <c r="D116" s="1542"/>
      <c r="E116" s="1542"/>
      <c r="F116" s="1542"/>
      <c r="G116" s="1455"/>
      <c r="H116" s="1455"/>
      <c r="I116" s="1455"/>
      <c r="L116" s="418"/>
      <c r="M116" s="418"/>
      <c r="N116" s="1442"/>
      <c r="O116" s="813"/>
      <c r="P116" s="813"/>
      <c r="Q116" s="813"/>
    </row>
    <row r="117" spans="1:17" x14ac:dyDescent="0.2">
      <c r="A117" s="1544" t="s">
        <v>2007</v>
      </c>
      <c r="B117" s="287"/>
      <c r="C117" s="1542"/>
      <c r="D117" s="1542"/>
      <c r="E117" s="1542"/>
      <c r="F117" s="1542"/>
      <c r="G117" s="1455"/>
      <c r="H117" s="1455"/>
      <c r="I117" s="1455"/>
      <c r="L117" s="1442"/>
      <c r="M117" s="1442"/>
      <c r="N117" s="1442"/>
      <c r="O117" s="813"/>
      <c r="P117" s="813"/>
      <c r="Q117" s="813"/>
    </row>
    <row r="118" spans="1:17" x14ac:dyDescent="0.2">
      <c r="A118" s="418" t="s">
        <v>2008</v>
      </c>
      <c r="G118" s="1455"/>
      <c r="H118" s="1455"/>
      <c r="I118" s="1455"/>
      <c r="M118" s="1442"/>
      <c r="N118" s="1442"/>
      <c r="O118" s="813"/>
      <c r="P118" s="813"/>
      <c r="Q118" s="813"/>
    </row>
    <row r="119" spans="1:17" x14ac:dyDescent="0.2">
      <c r="A119" s="156" t="s">
        <v>2009</v>
      </c>
      <c r="G119" s="1455"/>
      <c r="H119" s="1455"/>
      <c r="I119" s="1455"/>
      <c r="L119" s="1543"/>
    </row>
    <row r="120" spans="1:17" x14ac:dyDescent="0.2">
      <c r="A120" s="1442" t="s">
        <v>2010</v>
      </c>
      <c r="G120" s="1455"/>
      <c r="H120" s="1455"/>
      <c r="I120" s="1455"/>
      <c r="K120" s="1541"/>
      <c r="L120" s="1543"/>
    </row>
    <row r="121" spans="1:17" x14ac:dyDescent="0.2">
      <c r="A121" s="1550" t="s">
        <v>2011</v>
      </c>
      <c r="G121" s="1455"/>
      <c r="H121" s="1455"/>
      <c r="I121" s="1455"/>
      <c r="N121" s="803"/>
      <c r="O121" s="803"/>
      <c r="P121" s="803"/>
      <c r="Q121" s="803"/>
    </row>
    <row r="122" spans="1:17" x14ac:dyDescent="0.2">
      <c r="A122" s="418" t="s">
        <v>1841</v>
      </c>
      <c r="B122" s="789"/>
      <c r="G122" s="1455"/>
      <c r="H122" s="1455"/>
      <c r="I122" s="1455"/>
      <c r="N122" s="803"/>
      <c r="O122" s="803"/>
      <c r="P122" s="803"/>
      <c r="Q122" s="803"/>
    </row>
    <row r="123" spans="1:17" x14ac:dyDescent="0.2">
      <c r="A123" s="418" t="s">
        <v>3538</v>
      </c>
      <c r="B123" s="789"/>
      <c r="G123" s="1455"/>
      <c r="H123" s="1455"/>
      <c r="I123" s="1455"/>
      <c r="N123" s="803"/>
      <c r="O123" s="803"/>
      <c r="P123" s="803"/>
      <c r="Q123" s="803"/>
    </row>
    <row r="124" spans="1:17" x14ac:dyDescent="0.2">
      <c r="A124" s="790" t="s">
        <v>1412</v>
      </c>
      <c r="G124" s="1455"/>
      <c r="H124" s="1455"/>
      <c r="I124" s="1455"/>
      <c r="N124" s="803"/>
      <c r="O124" s="803"/>
      <c r="P124" s="803"/>
      <c r="Q124" s="803"/>
    </row>
    <row r="125" spans="1:17" x14ac:dyDescent="0.2">
      <c r="A125" s="418"/>
      <c r="G125" s="1455"/>
      <c r="H125" s="1455"/>
      <c r="I125" s="1455"/>
      <c r="N125" s="814"/>
      <c r="O125" s="814"/>
      <c r="P125" s="814"/>
      <c r="Q125" s="814"/>
    </row>
    <row r="126" spans="1:17" x14ac:dyDescent="0.2">
      <c r="A126" s="1552" t="s">
        <v>3564</v>
      </c>
      <c r="B126" s="287"/>
      <c r="G126" s="1455"/>
      <c r="H126" s="1455"/>
      <c r="I126" s="1455"/>
      <c r="N126" s="814"/>
      <c r="O126" s="814"/>
      <c r="P126" s="814"/>
      <c r="Q126" s="814"/>
    </row>
    <row r="127" spans="1:17" x14ac:dyDescent="0.2">
      <c r="A127" s="154" t="s">
        <v>2012</v>
      </c>
      <c r="B127" s="287"/>
      <c r="G127" s="1455"/>
      <c r="H127" s="1455"/>
      <c r="I127" s="1455"/>
      <c r="N127" s="814"/>
      <c r="O127" s="814"/>
      <c r="P127" s="814"/>
      <c r="Q127" s="814"/>
    </row>
    <row r="128" spans="1:17" x14ac:dyDescent="0.2">
      <c r="A128" s="154" t="s">
        <v>1979</v>
      </c>
      <c r="B128" s="287"/>
      <c r="G128" s="1455"/>
      <c r="H128" s="1455"/>
      <c r="I128" s="1455"/>
      <c r="N128" s="418"/>
      <c r="O128" s="418"/>
      <c r="P128" s="418"/>
      <c r="Q128" s="418"/>
    </row>
    <row r="129" spans="1:17" x14ac:dyDescent="0.2">
      <c r="A129" s="154" t="s">
        <v>2013</v>
      </c>
      <c r="B129" s="287"/>
      <c r="G129" s="1542"/>
      <c r="H129" s="809"/>
      <c r="I129" s="809"/>
      <c r="N129" s="418"/>
      <c r="O129" s="418"/>
      <c r="P129" s="418"/>
      <c r="Q129" s="418"/>
    </row>
    <row r="130" spans="1:17" x14ac:dyDescent="0.2">
      <c r="A130" s="1441" t="s">
        <v>355</v>
      </c>
      <c r="B130" s="1441"/>
      <c r="G130" s="1535"/>
      <c r="H130" s="1455"/>
      <c r="I130" s="1455"/>
      <c r="N130" s="418"/>
      <c r="O130" s="418"/>
      <c r="P130" s="418"/>
      <c r="Q130" s="418"/>
    </row>
    <row r="131" spans="1:17" x14ac:dyDescent="0.2">
      <c r="A131" s="1496" t="s">
        <v>2014</v>
      </c>
      <c r="G131" s="1542"/>
      <c r="H131" s="809"/>
      <c r="I131" s="809"/>
      <c r="N131" s="418"/>
      <c r="O131" s="418"/>
      <c r="P131" s="418"/>
      <c r="Q131" s="418"/>
    </row>
    <row r="132" spans="1:17" x14ac:dyDescent="0.2">
      <c r="A132" s="1496" t="s">
        <v>2015</v>
      </c>
      <c r="G132" s="1542"/>
      <c r="H132" s="809"/>
      <c r="I132" s="809"/>
      <c r="N132" s="418"/>
      <c r="O132" s="418"/>
      <c r="P132" s="418"/>
      <c r="Q132" s="418"/>
    </row>
    <row r="133" spans="1:17" x14ac:dyDescent="0.2">
      <c r="A133" s="287" t="s">
        <v>1979</v>
      </c>
      <c r="B133" s="1496"/>
      <c r="G133" s="1542"/>
      <c r="H133" s="809"/>
      <c r="I133" s="809"/>
      <c r="N133" s="418"/>
      <c r="O133" s="418"/>
      <c r="P133" s="418"/>
      <c r="Q133" s="418"/>
    </row>
    <row r="134" spans="1:17" x14ac:dyDescent="0.2">
      <c r="A134" s="287" t="s">
        <v>2016</v>
      </c>
      <c r="B134" s="287"/>
      <c r="N134" s="418"/>
      <c r="O134" s="418"/>
      <c r="P134" s="418"/>
      <c r="Q134" s="418"/>
    </row>
    <row r="135" spans="1:17" x14ac:dyDescent="0.2">
      <c r="A135" s="1441" t="s">
        <v>355</v>
      </c>
      <c r="B135" s="1441"/>
      <c r="N135" s="418"/>
      <c r="O135" s="418"/>
      <c r="P135" s="418"/>
      <c r="Q135" s="418"/>
    </row>
    <row r="136" spans="1:17" x14ac:dyDescent="0.25">
      <c r="A136" s="1496" t="s">
        <v>1860</v>
      </c>
      <c r="N136" s="418"/>
      <c r="O136" s="418"/>
      <c r="P136" s="418"/>
      <c r="Q136" s="418"/>
    </row>
    <row r="137" spans="1:17" x14ac:dyDescent="0.25">
      <c r="A137" s="1496" t="s">
        <v>2017</v>
      </c>
      <c r="N137" s="418"/>
      <c r="O137" s="418"/>
      <c r="P137" s="418"/>
      <c r="Q137" s="418"/>
    </row>
    <row r="138" spans="1:17" x14ac:dyDescent="0.25">
      <c r="A138" s="1496" t="s">
        <v>2018</v>
      </c>
      <c r="N138" s="418"/>
      <c r="O138" s="418"/>
      <c r="P138" s="418"/>
      <c r="Q138" s="418"/>
    </row>
    <row r="139" spans="1:17" x14ac:dyDescent="0.25">
      <c r="N139" s="418"/>
      <c r="O139" s="418"/>
      <c r="P139" s="418"/>
      <c r="Q139" s="418"/>
    </row>
    <row r="140" spans="1:17" x14ac:dyDescent="0.25">
      <c r="N140" s="418"/>
      <c r="O140" s="418"/>
      <c r="P140" s="418"/>
      <c r="Q140" s="418"/>
    </row>
    <row r="141" spans="1:17" x14ac:dyDescent="0.25">
      <c r="N141" s="418"/>
      <c r="O141" s="418"/>
      <c r="P141" s="418"/>
      <c r="Q141" s="418"/>
    </row>
    <row r="142" spans="1:17" x14ac:dyDescent="0.25">
      <c r="N142" s="418"/>
      <c r="O142" s="418"/>
      <c r="P142" s="418"/>
      <c r="Q142" s="418"/>
    </row>
    <row r="145" spans="14:17" x14ac:dyDescent="0.2">
      <c r="N145" s="287"/>
      <c r="O145" s="287"/>
      <c r="P145" s="287"/>
      <c r="Q145" s="287"/>
    </row>
    <row r="146" spans="14:17" x14ac:dyDescent="0.2">
      <c r="N146" s="287"/>
      <c r="O146" s="287"/>
      <c r="P146" s="287"/>
      <c r="Q146" s="287"/>
    </row>
    <row r="147" spans="14:17" x14ac:dyDescent="0.2">
      <c r="N147" s="287"/>
      <c r="O147" s="287"/>
      <c r="P147" s="287"/>
      <c r="Q147" s="287"/>
    </row>
    <row r="148" spans="14:17" x14ac:dyDescent="0.2">
      <c r="N148" s="802"/>
      <c r="O148" s="802"/>
      <c r="P148" s="802"/>
      <c r="Q148" s="802"/>
    </row>
    <row r="152" spans="14:17" x14ac:dyDescent="0.2">
      <c r="N152" s="287"/>
      <c r="O152" s="287"/>
      <c r="P152" s="287"/>
      <c r="Q152" s="287"/>
    </row>
    <row r="153" spans="14:17" x14ac:dyDescent="0.2">
      <c r="N153" s="802"/>
      <c r="O153" s="802"/>
      <c r="P153" s="802"/>
      <c r="Q153" s="802"/>
    </row>
  </sheetData>
  <sheetProtection algorithmName="SHA-512" hashValue="KFpT15XdeN1JRq1l7zIlkhFJO3fipfzsCtBFk77TyueZUAAIV+XHutazKREof4O232xkhwGZ8TH6T6LYqwm8wQ==" saltValue="wHekepNaQaDOVtHatmm1jg==" spinCount="100000" sheet="1" objects="1" scenarios="1"/>
  <mergeCells count="81">
    <mergeCell ref="A5:B5"/>
    <mergeCell ref="A1:B1"/>
    <mergeCell ref="C1:N1"/>
    <mergeCell ref="A2:B2"/>
    <mergeCell ref="C2:N2"/>
    <mergeCell ref="A3:N3"/>
    <mergeCell ref="M8:M9"/>
    <mergeCell ref="N8:N9"/>
    <mergeCell ref="A10:C10"/>
    <mergeCell ref="A6:B6"/>
    <mergeCell ref="A7:B7"/>
    <mergeCell ref="A8:A9"/>
    <mergeCell ref="B8:C9"/>
    <mergeCell ref="D8:E8"/>
    <mergeCell ref="F8:G8"/>
    <mergeCell ref="A15:A16"/>
    <mergeCell ref="B15:C16"/>
    <mergeCell ref="H8:I8"/>
    <mergeCell ref="J8:J9"/>
    <mergeCell ref="K8:L8"/>
    <mergeCell ref="B20:C20"/>
    <mergeCell ref="B11:C11"/>
    <mergeCell ref="B12:C12"/>
    <mergeCell ref="B13:C13"/>
    <mergeCell ref="B14:C14"/>
    <mergeCell ref="M15:M16"/>
    <mergeCell ref="N15:N16"/>
    <mergeCell ref="B17:C17"/>
    <mergeCell ref="B18:C18"/>
    <mergeCell ref="B19:C19"/>
    <mergeCell ref="A31:B31"/>
    <mergeCell ref="B21:C21"/>
    <mergeCell ref="B22:C22"/>
    <mergeCell ref="B23:C23"/>
    <mergeCell ref="A24:A26"/>
    <mergeCell ref="B24:C26"/>
    <mergeCell ref="N24:N26"/>
    <mergeCell ref="B27:C27"/>
    <mergeCell ref="B28:C28"/>
    <mergeCell ref="A30:B30"/>
    <mergeCell ref="M24:M26"/>
    <mergeCell ref="B36:C36"/>
    <mergeCell ref="A32:A33"/>
    <mergeCell ref="B32:C33"/>
    <mergeCell ref="D32:E32"/>
    <mergeCell ref="F32:G32"/>
    <mergeCell ref="K32:L32"/>
    <mergeCell ref="M32:M33"/>
    <mergeCell ref="N32:N33"/>
    <mergeCell ref="A34:C34"/>
    <mergeCell ref="B35:C35"/>
    <mergeCell ref="H32:I32"/>
    <mergeCell ref="J32:J33"/>
    <mergeCell ref="B37:C37"/>
    <mergeCell ref="B38:C38"/>
    <mergeCell ref="A40:B40"/>
    <mergeCell ref="A41:B41"/>
    <mergeCell ref="A42:A43"/>
    <mergeCell ref="B42:C43"/>
    <mergeCell ref="A52:A53"/>
    <mergeCell ref="B52:C53"/>
    <mergeCell ref="M52:M53"/>
    <mergeCell ref="N42:N43"/>
    <mergeCell ref="A44:C44"/>
    <mergeCell ref="B45:C45"/>
    <mergeCell ref="B46:C46"/>
    <mergeCell ref="A47:A48"/>
    <mergeCell ref="B47:C48"/>
    <mergeCell ref="D42:E42"/>
    <mergeCell ref="F42:G42"/>
    <mergeCell ref="H42:I42"/>
    <mergeCell ref="J42:J43"/>
    <mergeCell ref="K42:L42"/>
    <mergeCell ref="M42:M43"/>
    <mergeCell ref="N52:N53"/>
    <mergeCell ref="M47:M48"/>
    <mergeCell ref="B54:C54"/>
    <mergeCell ref="B55:C55"/>
    <mergeCell ref="B49:C49"/>
    <mergeCell ref="B50:C50"/>
    <mergeCell ref="B51:C51"/>
  </mergeCells>
  <pageMargins left="0.7" right="0.7" top="0.75" bottom="0.75" header="0.3" footer="0.3"/>
  <pageSetup paperSize="9" scale="60" fitToHeight="0" orientation="portrait" horizontalDpi="200" verticalDpi="200" r:id="rId1"/>
  <headerFooter>
    <oddHeader>&amp;R&amp;"Times New Roman,Regular"&amp;10 18.pielikums Jūrmalas pilsētas domes
2018.gada 18.decembra saistošajiem noteikumiem Nr.44
(protokols Nr.17, 2.punkts)</oddHeader>
    <oddFooter xml:space="preserve">&amp;R&amp;"Times New Roman,Regular"&amp;8&amp;P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view="pageLayout" zoomScaleNormal="100" workbookViewId="0">
      <selection activeCell="C5" sqref="C5"/>
    </sheetView>
  </sheetViews>
  <sheetFormatPr defaultRowHeight="12" x14ac:dyDescent="0.25"/>
  <cols>
    <col min="1" max="1" width="6.140625" style="349" customWidth="1"/>
    <col min="2" max="2" width="17.28515625" style="775" customWidth="1"/>
    <col min="3" max="3" width="15.28515625" style="775" customWidth="1"/>
    <col min="4" max="4" width="11.85546875" style="349" hidden="1" customWidth="1"/>
    <col min="5" max="5" width="11.140625" style="349" hidden="1" customWidth="1"/>
    <col min="6" max="6" width="10.28515625" style="349" hidden="1" customWidth="1"/>
    <col min="7" max="7" width="10.5703125" style="349" customWidth="1"/>
    <col min="8" max="8" width="9.7109375" style="349" customWidth="1"/>
    <col min="9" max="9" width="19" style="349" customWidth="1"/>
    <col min="10" max="10" width="32" style="349" hidden="1" customWidth="1"/>
    <col min="11" max="16384" width="9.140625" style="349"/>
  </cols>
  <sheetData>
    <row r="1" spans="1:10" x14ac:dyDescent="0.25">
      <c r="A1" s="1750" t="s">
        <v>124</v>
      </c>
      <c r="B1" s="1750"/>
      <c r="C1" s="1750" t="s">
        <v>125</v>
      </c>
      <c r="D1" s="1750"/>
      <c r="E1" s="1750"/>
      <c r="F1" s="1750"/>
      <c r="G1" s="1750"/>
      <c r="H1" s="1750"/>
      <c r="I1" s="1750"/>
      <c r="J1" s="1750"/>
    </row>
    <row r="2" spans="1:10" x14ac:dyDescent="0.25">
      <c r="A2" s="1750" t="s">
        <v>126</v>
      </c>
      <c r="B2" s="1750"/>
      <c r="C2" s="1750">
        <v>90000056357</v>
      </c>
      <c r="D2" s="1750"/>
      <c r="E2" s="1750"/>
      <c r="F2" s="1750"/>
      <c r="G2" s="1750"/>
      <c r="H2" s="1750"/>
      <c r="I2" s="1750"/>
      <c r="J2" s="1750"/>
    </row>
    <row r="3" spans="1:10" ht="15.75" x14ac:dyDescent="0.25">
      <c r="A3" s="1973" t="s">
        <v>3640</v>
      </c>
      <c r="B3" s="1973"/>
      <c r="C3" s="1973"/>
      <c r="D3" s="1973"/>
      <c r="E3" s="1973"/>
      <c r="F3" s="1973"/>
      <c r="G3" s="1973"/>
      <c r="H3" s="1973"/>
      <c r="I3" s="1973"/>
      <c r="J3" s="1973"/>
    </row>
    <row r="4" spans="1:10" ht="15.75" x14ac:dyDescent="0.25">
      <c r="A4" s="308"/>
      <c r="B4" s="815"/>
      <c r="C4" s="815"/>
      <c r="D4" s="308"/>
      <c r="E4" s="308"/>
      <c r="F4" s="308"/>
      <c r="G4" s="308"/>
      <c r="H4" s="308"/>
      <c r="I4" s="308"/>
      <c r="J4" s="308"/>
    </row>
    <row r="5" spans="1:10" ht="15.75" x14ac:dyDescent="0.25">
      <c r="A5" s="1750" t="s">
        <v>440</v>
      </c>
      <c r="B5" s="1750"/>
      <c r="C5" s="622" t="s">
        <v>2019</v>
      </c>
      <c r="D5" s="622"/>
      <c r="E5" s="622"/>
      <c r="F5" s="622"/>
      <c r="G5" s="622"/>
      <c r="H5" s="622"/>
      <c r="I5" s="622"/>
      <c r="J5" s="622"/>
    </row>
    <row r="6" spans="1:10" x14ac:dyDescent="0.25">
      <c r="A6" s="1750" t="s">
        <v>129</v>
      </c>
      <c r="B6" s="1750"/>
      <c r="C6" s="349" t="s">
        <v>2020</v>
      </c>
    </row>
    <row r="7" spans="1:10" x14ac:dyDescent="0.25">
      <c r="A7" s="1750" t="s">
        <v>131</v>
      </c>
      <c r="B7" s="1750"/>
      <c r="C7" s="816" t="s">
        <v>2021</v>
      </c>
      <c r="D7" s="817"/>
      <c r="E7" s="817"/>
      <c r="F7" s="817"/>
      <c r="G7" s="817"/>
      <c r="H7" s="817"/>
      <c r="I7" s="817"/>
      <c r="J7" s="817"/>
    </row>
    <row r="8" spans="1:10" ht="46.5" customHeight="1" x14ac:dyDescent="0.25">
      <c r="A8" s="312" t="s">
        <v>4</v>
      </c>
      <c r="B8" s="2073" t="s">
        <v>133</v>
      </c>
      <c r="C8" s="2073"/>
      <c r="D8" s="312" t="s">
        <v>17</v>
      </c>
      <c r="E8" s="312" t="s">
        <v>15</v>
      </c>
      <c r="F8" s="312" t="s">
        <v>134</v>
      </c>
      <c r="G8" s="312" t="s">
        <v>135</v>
      </c>
      <c r="H8" s="312" t="s">
        <v>3510</v>
      </c>
      <c r="I8" s="312" t="s">
        <v>14</v>
      </c>
      <c r="J8" s="312" t="s">
        <v>137</v>
      </c>
    </row>
    <row r="9" spans="1:10" ht="12.75" customHeight="1" x14ac:dyDescent="0.25">
      <c r="A9" s="1700" t="s">
        <v>138</v>
      </c>
      <c r="B9" s="1700"/>
      <c r="C9" s="1700"/>
      <c r="D9" s="313">
        <f>SUM(D10:D22)</f>
        <v>161010</v>
      </c>
      <c r="E9" s="313">
        <f>SUM(E10:E22)</f>
        <v>160160</v>
      </c>
      <c r="F9" s="313">
        <f>SUM(F10:F22)</f>
        <v>188163</v>
      </c>
      <c r="G9" s="313"/>
      <c r="H9" s="313">
        <f>SUM(H10:H22)</f>
        <v>174568</v>
      </c>
      <c r="I9" s="313"/>
      <c r="J9" s="315"/>
    </row>
    <row r="10" spans="1:10" ht="37.5" customHeight="1" x14ac:dyDescent="0.25">
      <c r="A10" s="320">
        <v>1</v>
      </c>
      <c r="B10" s="1695" t="s">
        <v>2022</v>
      </c>
      <c r="C10" s="1695"/>
      <c r="D10" s="342">
        <v>68000</v>
      </c>
      <c r="E10" s="342">
        <v>68000</v>
      </c>
      <c r="F10" s="342">
        <v>73000</v>
      </c>
      <c r="G10" s="323">
        <v>2239</v>
      </c>
      <c r="H10" s="322">
        <v>71400</v>
      </c>
      <c r="I10" s="379" t="s">
        <v>2023</v>
      </c>
      <c r="J10" s="321" t="s">
        <v>2024</v>
      </c>
    </row>
    <row r="11" spans="1:10" ht="24" customHeight="1" x14ac:dyDescent="0.25">
      <c r="A11" s="320">
        <v>2</v>
      </c>
      <c r="B11" s="1695" t="s">
        <v>2025</v>
      </c>
      <c r="C11" s="1695"/>
      <c r="D11" s="342">
        <v>33000</v>
      </c>
      <c r="E11" s="342">
        <v>33000</v>
      </c>
      <c r="F11" s="342">
        <v>35000</v>
      </c>
      <c r="G11" s="323">
        <v>2219</v>
      </c>
      <c r="H11" s="322">
        <v>34650</v>
      </c>
      <c r="I11" s="379" t="s">
        <v>2023</v>
      </c>
      <c r="J11" s="321" t="s">
        <v>2026</v>
      </c>
    </row>
    <row r="12" spans="1:10" ht="60" hidden="1" x14ac:dyDescent="0.25">
      <c r="A12" s="320">
        <v>3</v>
      </c>
      <c r="B12" s="1671" t="s">
        <v>2027</v>
      </c>
      <c r="C12" s="1671"/>
      <c r="D12" s="344">
        <v>0</v>
      </c>
      <c r="E12" s="344">
        <v>0</v>
      </c>
      <c r="F12" s="344">
        <v>6000</v>
      </c>
      <c r="G12" s="207">
        <v>2314</v>
      </c>
      <c r="H12" s="208"/>
      <c r="I12" s="209" t="s">
        <v>2023</v>
      </c>
      <c r="J12" s="363" t="s">
        <v>2028</v>
      </c>
    </row>
    <row r="13" spans="1:10" ht="27.75" customHeight="1" x14ac:dyDescent="0.25">
      <c r="A13" s="320">
        <v>3</v>
      </c>
      <c r="B13" s="1671" t="s">
        <v>2029</v>
      </c>
      <c r="C13" s="1671"/>
      <c r="D13" s="344">
        <v>19000</v>
      </c>
      <c r="E13" s="344">
        <v>18150</v>
      </c>
      <c r="F13" s="344">
        <v>18200</v>
      </c>
      <c r="G13" s="207">
        <v>2212</v>
      </c>
      <c r="H13" s="208">
        <v>18200</v>
      </c>
      <c r="I13" s="209" t="s">
        <v>2023</v>
      </c>
      <c r="J13" s="363" t="s">
        <v>2030</v>
      </c>
    </row>
    <row r="14" spans="1:10" ht="21" customHeight="1" x14ac:dyDescent="0.25">
      <c r="A14" s="1708">
        <v>4</v>
      </c>
      <c r="B14" s="1671" t="s">
        <v>2031</v>
      </c>
      <c r="C14" s="1671"/>
      <c r="D14" s="344">
        <v>4900</v>
      </c>
      <c r="E14" s="344">
        <v>4900</v>
      </c>
      <c r="F14" s="344">
        <v>10000</v>
      </c>
      <c r="G14" s="207">
        <v>2231</v>
      </c>
      <c r="H14" s="208">
        <v>5145</v>
      </c>
      <c r="I14" s="1696" t="s">
        <v>2032</v>
      </c>
      <c r="J14" s="391" t="s">
        <v>2033</v>
      </c>
    </row>
    <row r="15" spans="1:10" ht="23.25" customHeight="1" x14ac:dyDescent="0.25">
      <c r="A15" s="1708"/>
      <c r="B15" s="1671"/>
      <c r="C15" s="1671"/>
      <c r="D15" s="344">
        <v>1000</v>
      </c>
      <c r="E15" s="344">
        <v>1000</v>
      </c>
      <c r="F15" s="344">
        <v>2000</v>
      </c>
      <c r="G15" s="207">
        <v>2279</v>
      </c>
      <c r="H15" s="208">
        <v>1000</v>
      </c>
      <c r="I15" s="1696"/>
      <c r="J15" s="391" t="s">
        <v>2034</v>
      </c>
    </row>
    <row r="16" spans="1:10" ht="17.25" customHeight="1" x14ac:dyDescent="0.25">
      <c r="A16" s="1708"/>
      <c r="B16" s="1671"/>
      <c r="C16" s="1671"/>
      <c r="D16" s="344">
        <v>18963</v>
      </c>
      <c r="E16" s="344">
        <v>18963</v>
      </c>
      <c r="F16" s="344">
        <v>18963</v>
      </c>
      <c r="G16" s="207">
        <v>2314</v>
      </c>
      <c r="H16" s="208">
        <v>18963</v>
      </c>
      <c r="I16" s="1696"/>
      <c r="J16" s="391" t="s">
        <v>2035</v>
      </c>
    </row>
    <row r="17" spans="1:10" ht="38.25" customHeight="1" x14ac:dyDescent="0.25">
      <c r="A17" s="320">
        <v>5</v>
      </c>
      <c r="B17" s="1671" t="s">
        <v>2036</v>
      </c>
      <c r="C17" s="1671"/>
      <c r="D17" s="366">
        <v>8000</v>
      </c>
      <c r="E17" s="344">
        <v>8000</v>
      </c>
      <c r="F17" s="344">
        <v>8000</v>
      </c>
      <c r="G17" s="207">
        <v>2239</v>
      </c>
      <c r="H17" s="208">
        <v>8000</v>
      </c>
      <c r="I17" s="209" t="s">
        <v>2037</v>
      </c>
      <c r="J17" s="391" t="s">
        <v>2038</v>
      </c>
    </row>
    <row r="18" spans="1:10" ht="39" customHeight="1" x14ac:dyDescent="0.25">
      <c r="A18" s="320">
        <v>6</v>
      </c>
      <c r="B18" s="1671" t="s">
        <v>3569</v>
      </c>
      <c r="C18" s="1671"/>
      <c r="D18" s="366">
        <v>0</v>
      </c>
      <c r="E18" s="344">
        <v>0</v>
      </c>
      <c r="F18" s="344">
        <v>9500</v>
      </c>
      <c r="G18" s="207">
        <v>5140</v>
      </c>
      <c r="H18" s="208">
        <v>9500</v>
      </c>
      <c r="I18" s="209" t="s">
        <v>2039</v>
      </c>
      <c r="J18" s="391" t="s">
        <v>2040</v>
      </c>
    </row>
    <row r="19" spans="1:10" ht="40.5" customHeight="1" x14ac:dyDescent="0.25">
      <c r="A19" s="1708">
        <v>7</v>
      </c>
      <c r="B19" s="1671" t="s">
        <v>2041</v>
      </c>
      <c r="C19" s="1671"/>
      <c r="D19" s="344">
        <v>5000</v>
      </c>
      <c r="E19" s="344">
        <v>5000</v>
      </c>
      <c r="F19" s="344">
        <v>5000</v>
      </c>
      <c r="G19" s="207">
        <v>1150</v>
      </c>
      <c r="H19" s="208">
        <v>5000</v>
      </c>
      <c r="I19" s="1696" t="s">
        <v>2042</v>
      </c>
      <c r="J19" s="1738" t="s">
        <v>2043</v>
      </c>
    </row>
    <row r="20" spans="1:10" ht="30.75" customHeight="1" x14ac:dyDescent="0.25">
      <c r="A20" s="1708"/>
      <c r="B20" s="1671"/>
      <c r="C20" s="1671"/>
      <c r="D20" s="344">
        <v>1210</v>
      </c>
      <c r="E20" s="344">
        <v>1210</v>
      </c>
      <c r="F20" s="344">
        <v>1000</v>
      </c>
      <c r="G20" s="207">
        <v>1210</v>
      </c>
      <c r="H20" s="208">
        <v>1210</v>
      </c>
      <c r="I20" s="1696"/>
      <c r="J20" s="1738"/>
    </row>
    <row r="21" spans="1:10" ht="26.25" customHeight="1" x14ac:dyDescent="0.25">
      <c r="A21" s="320">
        <v>8</v>
      </c>
      <c r="B21" s="1671" t="s">
        <v>2044</v>
      </c>
      <c r="C21" s="1671"/>
      <c r="D21" s="366">
        <v>1900</v>
      </c>
      <c r="E21" s="366">
        <v>1900</v>
      </c>
      <c r="F21" s="366">
        <v>1500</v>
      </c>
      <c r="G21" s="392">
        <v>2239</v>
      </c>
      <c r="H21" s="208">
        <v>1500</v>
      </c>
      <c r="I21" s="209" t="s">
        <v>2023</v>
      </c>
      <c r="J21" s="391" t="s">
        <v>2045</v>
      </c>
    </row>
    <row r="22" spans="1:10" ht="36" hidden="1" x14ac:dyDescent="0.25">
      <c r="A22" s="320">
        <v>10</v>
      </c>
      <c r="B22" s="1671" t="s">
        <v>2046</v>
      </c>
      <c r="C22" s="1671"/>
      <c r="D22" s="344">
        <v>37</v>
      </c>
      <c r="E22" s="344">
        <v>37</v>
      </c>
      <c r="F22" s="344">
        <v>0</v>
      </c>
      <c r="G22" s="207">
        <v>2232</v>
      </c>
      <c r="H22" s="208"/>
      <c r="I22" s="209" t="s">
        <v>2047</v>
      </c>
      <c r="J22" s="363" t="s">
        <v>2048</v>
      </c>
    </row>
    <row r="23" spans="1:10" x14ac:dyDescent="0.25">
      <c r="A23" s="395"/>
      <c r="B23" s="812"/>
      <c r="C23" s="812"/>
      <c r="D23" s="395"/>
      <c r="E23" s="395"/>
      <c r="F23" s="395"/>
      <c r="G23" s="395"/>
      <c r="H23" s="416"/>
      <c r="I23" s="416"/>
      <c r="J23" s="395"/>
    </row>
    <row r="24" spans="1:10" s="306" customFormat="1" x14ac:dyDescent="0.2">
      <c r="A24" s="306" t="s">
        <v>455</v>
      </c>
      <c r="B24" s="775"/>
      <c r="C24" s="775"/>
      <c r="H24" s="305"/>
      <c r="I24" s="349"/>
    </row>
    <row r="25" spans="1:10" s="306" customFormat="1" x14ac:dyDescent="0.2">
      <c r="A25" s="278" t="s">
        <v>3571</v>
      </c>
      <c r="B25" s="274"/>
      <c r="C25" s="274"/>
      <c r="D25" s="274"/>
      <c r="E25" s="274"/>
      <c r="F25" s="274"/>
      <c r="G25" s="802"/>
      <c r="H25" s="802"/>
      <c r="I25" s="349"/>
    </row>
    <row r="26" spans="1:10" s="306" customFormat="1" x14ac:dyDescent="0.2">
      <c r="A26" s="274" t="s">
        <v>3570</v>
      </c>
      <c r="B26" s="274"/>
      <c r="C26" s="274"/>
      <c r="D26" s="274"/>
      <c r="E26" s="274"/>
      <c r="F26" s="274"/>
      <c r="G26" s="1441"/>
      <c r="H26" s="1441"/>
      <c r="I26" s="349"/>
    </row>
    <row r="27" spans="1:10" s="306" customFormat="1" x14ac:dyDescent="0.2">
      <c r="A27" s="274"/>
      <c r="B27" s="1430" t="s">
        <v>2052</v>
      </c>
      <c r="C27" s="274"/>
      <c r="D27" s="274"/>
      <c r="E27" s="274"/>
      <c r="F27" s="274"/>
      <c r="G27" s="1441"/>
      <c r="H27" s="1441"/>
      <c r="I27" s="349"/>
    </row>
    <row r="28" spans="1:10" s="306" customFormat="1" x14ac:dyDescent="0.2">
      <c r="A28" s="274"/>
      <c r="B28" s="329" t="s">
        <v>2053</v>
      </c>
      <c r="C28" s="274"/>
      <c r="D28" s="274"/>
      <c r="E28" s="274"/>
      <c r="F28" s="274"/>
      <c r="G28" s="1441"/>
      <c r="H28" s="1441"/>
      <c r="I28" s="349"/>
    </row>
    <row r="29" spans="1:10" s="306" customFormat="1" x14ac:dyDescent="0.2">
      <c r="A29" s="274"/>
      <c r="B29" s="1430" t="s">
        <v>2050</v>
      </c>
      <c r="C29" s="274"/>
      <c r="D29" s="274"/>
      <c r="E29" s="274"/>
      <c r="F29" s="274"/>
      <c r="G29" s="1441"/>
      <c r="H29" s="1441"/>
      <c r="I29" s="349"/>
    </row>
    <row r="30" spans="1:10" s="306" customFormat="1" x14ac:dyDescent="0.2">
      <c r="B30" s="1430" t="s">
        <v>2051</v>
      </c>
      <c r="C30" s="775"/>
      <c r="H30" s="305"/>
      <c r="I30" s="349"/>
    </row>
    <row r="31" spans="1:10" s="306" customFormat="1" x14ac:dyDescent="0.2">
      <c r="B31" s="1430" t="s">
        <v>2049</v>
      </c>
      <c r="C31" s="775"/>
      <c r="H31" s="305"/>
      <c r="I31" s="349"/>
    </row>
    <row r="32" spans="1:10" s="306" customFormat="1" x14ac:dyDescent="0.2">
      <c r="B32" s="1430" t="s">
        <v>2054</v>
      </c>
      <c r="C32" s="775"/>
      <c r="H32" s="305"/>
      <c r="I32" s="349"/>
    </row>
    <row r="33" spans="2:9" s="306" customFormat="1" x14ac:dyDescent="0.2">
      <c r="B33" s="1430" t="s">
        <v>2055</v>
      </c>
      <c r="C33" s="775"/>
      <c r="H33" s="305"/>
      <c r="I33" s="349"/>
    </row>
  </sheetData>
  <sheetProtection algorithmName="SHA-512" hashValue="E5sx7Mu29jgVeV7URmcpUqwPXv0b5UaO62ScgYin0ArRmeNaLdBrB/vvMwDpdG+/I0UE8NwMObB7dQ7XAWWiNQ==" saltValue="JtTu4vz5Mkql6m61TjKutA==" spinCount="100000" sheet="1" objects="1" scenarios="1"/>
  <mergeCells count="25">
    <mergeCell ref="B11:C11"/>
    <mergeCell ref="A1:B1"/>
    <mergeCell ref="C1:J1"/>
    <mergeCell ref="A2:B2"/>
    <mergeCell ref="C2:J2"/>
    <mergeCell ref="A3:J3"/>
    <mergeCell ref="A5:B5"/>
    <mergeCell ref="A6:B6"/>
    <mergeCell ref="A7:B7"/>
    <mergeCell ref="B8:C8"/>
    <mergeCell ref="A9:C9"/>
    <mergeCell ref="B10:C10"/>
    <mergeCell ref="J19:J20"/>
    <mergeCell ref="B21:C21"/>
    <mergeCell ref="B12:C12"/>
    <mergeCell ref="B13:C13"/>
    <mergeCell ref="A14:A16"/>
    <mergeCell ref="B14:C16"/>
    <mergeCell ref="I14:I16"/>
    <mergeCell ref="B17:C17"/>
    <mergeCell ref="B22:C22"/>
    <mergeCell ref="B18:C18"/>
    <mergeCell ref="A19:A20"/>
    <mergeCell ref="B19:C20"/>
    <mergeCell ref="I19:I20"/>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19.pielikums Jūrmalas pilsētas domes
2018.gada 18.decembra saistošajiem noteikumiem Nr.44
(protokols Nr.17, 2.punkts)</oddHeader>
    <oddFooter xml:space="preserve">&amp;R&amp;"Times New Roman,Regular"&amp;8&amp;P (&amp;N)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view="pageLayout" zoomScaleNormal="100" workbookViewId="0">
      <selection activeCell="P8" sqref="P8"/>
    </sheetView>
  </sheetViews>
  <sheetFormatPr defaultRowHeight="12" x14ac:dyDescent="0.2"/>
  <cols>
    <col min="1" max="1" width="4.28515625" style="274" customWidth="1"/>
    <col min="2" max="2" width="17.28515625" style="274" customWidth="1"/>
    <col min="3" max="3" width="14.5703125" style="274" customWidth="1"/>
    <col min="4" max="4" width="11.85546875" style="274" hidden="1" customWidth="1"/>
    <col min="5" max="5" width="11.140625" style="274" hidden="1" customWidth="1"/>
    <col min="6" max="6" width="10.28515625" style="274" hidden="1" customWidth="1"/>
    <col min="7" max="7" width="10.5703125" style="274" customWidth="1"/>
    <col min="8" max="8" width="8.28515625" style="274" customWidth="1"/>
    <col min="9" max="9" width="18" style="274" customWidth="1"/>
    <col min="10" max="10" width="20.140625" style="274" hidden="1" customWidth="1"/>
    <col min="11" max="16384" width="9.140625" style="274"/>
  </cols>
  <sheetData>
    <row r="1" spans="1:10" x14ac:dyDescent="0.2">
      <c r="A1" s="1903" t="s">
        <v>124</v>
      </c>
      <c r="B1" s="1903"/>
      <c r="C1" s="1903" t="s">
        <v>125</v>
      </c>
      <c r="D1" s="1903"/>
      <c r="E1" s="1903"/>
      <c r="F1" s="1903"/>
      <c r="G1" s="1903"/>
      <c r="H1" s="1903"/>
      <c r="I1" s="1903"/>
      <c r="J1" s="1903"/>
    </row>
    <row r="2" spans="1:10" x14ac:dyDescent="0.2">
      <c r="A2" s="1903" t="s">
        <v>126</v>
      </c>
      <c r="B2" s="1903"/>
      <c r="C2" s="1903">
        <v>90000056357</v>
      </c>
      <c r="D2" s="1903"/>
      <c r="E2" s="1903"/>
      <c r="F2" s="1903"/>
      <c r="G2" s="1903"/>
      <c r="H2" s="1903"/>
      <c r="I2" s="1903"/>
      <c r="J2" s="1903"/>
    </row>
    <row r="3" spans="1:10" ht="15.75" x14ac:dyDescent="0.25">
      <c r="A3" s="1905" t="s">
        <v>3640</v>
      </c>
      <c r="B3" s="1905"/>
      <c r="C3" s="1905"/>
      <c r="D3" s="1905"/>
      <c r="E3" s="1905"/>
      <c r="F3" s="1905"/>
      <c r="G3" s="1905"/>
      <c r="H3" s="1905"/>
      <c r="I3" s="1905"/>
      <c r="J3" s="1905"/>
    </row>
    <row r="4" spans="1:10" ht="15.75" x14ac:dyDescent="0.25">
      <c r="A4" s="421"/>
      <c r="B4" s="421"/>
      <c r="C4" s="421"/>
      <c r="D4" s="421"/>
      <c r="E4" s="421"/>
      <c r="F4" s="421"/>
      <c r="G4" s="421"/>
      <c r="H4" s="421"/>
      <c r="I4" s="421"/>
      <c r="J4" s="421"/>
    </row>
    <row r="5" spans="1:10" ht="15.75" x14ac:dyDescent="0.25">
      <c r="A5" s="1903" t="s">
        <v>127</v>
      </c>
      <c r="B5" s="1903"/>
      <c r="C5" s="423" t="s">
        <v>2056</v>
      </c>
      <c r="D5" s="423"/>
      <c r="E5" s="423"/>
      <c r="F5" s="423"/>
      <c r="G5" s="423"/>
      <c r="H5" s="423"/>
      <c r="I5" s="423"/>
      <c r="J5" s="423"/>
    </row>
    <row r="6" spans="1:10" x14ac:dyDescent="0.2">
      <c r="A6" s="1903" t="s">
        <v>129</v>
      </c>
      <c r="B6" s="1903"/>
      <c r="C6" s="287" t="s">
        <v>2057</v>
      </c>
      <c r="D6" s="287"/>
      <c r="E6" s="287"/>
      <c r="F6" s="287"/>
      <c r="G6" s="287"/>
      <c r="H6" s="287"/>
      <c r="I6" s="287"/>
      <c r="J6" s="287"/>
    </row>
    <row r="7" spans="1:10" x14ac:dyDescent="0.2">
      <c r="A7" s="1903" t="s">
        <v>131</v>
      </c>
      <c r="B7" s="1903"/>
      <c r="C7" s="160" t="s">
        <v>2058</v>
      </c>
      <c r="D7" s="424"/>
      <c r="E7" s="424"/>
      <c r="F7" s="424"/>
      <c r="G7" s="424"/>
      <c r="H7" s="424"/>
      <c r="I7" s="424"/>
      <c r="J7" s="424"/>
    </row>
    <row r="8" spans="1:10" ht="48" x14ac:dyDescent="0.2">
      <c r="A8" s="426" t="s">
        <v>4</v>
      </c>
      <c r="B8" s="1953" t="s">
        <v>133</v>
      </c>
      <c r="C8" s="1954"/>
      <c r="D8" s="426" t="s">
        <v>17</v>
      </c>
      <c r="E8" s="426" t="s">
        <v>15</v>
      </c>
      <c r="F8" s="426" t="s">
        <v>134</v>
      </c>
      <c r="G8" s="426" t="s">
        <v>135</v>
      </c>
      <c r="H8" s="426" t="s">
        <v>3510</v>
      </c>
      <c r="I8" s="426" t="s">
        <v>14</v>
      </c>
      <c r="J8" s="426" t="s">
        <v>137</v>
      </c>
    </row>
    <row r="9" spans="1:10" ht="12.75" customHeight="1" x14ac:dyDescent="0.2">
      <c r="A9" s="1955" t="s">
        <v>138</v>
      </c>
      <c r="B9" s="1956"/>
      <c r="C9" s="1957"/>
      <c r="D9" s="427">
        <f>SUM(D10:D11)</f>
        <v>6000</v>
      </c>
      <c r="E9" s="427">
        <f>SUM(E10:E11)</f>
        <v>0</v>
      </c>
      <c r="F9" s="427">
        <f>SUM(F10:F11)</f>
        <v>6000</v>
      </c>
      <c r="G9" s="427"/>
      <c r="H9" s="427">
        <f>SUM(H10:H11)</f>
        <v>6000</v>
      </c>
      <c r="I9" s="427"/>
      <c r="J9" s="455"/>
    </row>
    <row r="10" spans="1:10" x14ac:dyDescent="0.2">
      <c r="A10" s="470">
        <v>1</v>
      </c>
      <c r="B10" s="1757" t="s">
        <v>2059</v>
      </c>
      <c r="C10" s="1758"/>
      <c r="D10" s="483">
        <v>2000</v>
      </c>
      <c r="E10" s="483">
        <v>0</v>
      </c>
      <c r="F10" s="483">
        <v>2000</v>
      </c>
      <c r="G10" s="808">
        <v>2276</v>
      </c>
      <c r="H10" s="483">
        <v>2000</v>
      </c>
      <c r="I10" s="1894" t="s">
        <v>2066</v>
      </c>
      <c r="J10" s="455"/>
    </row>
    <row r="11" spans="1:10" ht="24" customHeight="1" x14ac:dyDescent="0.2">
      <c r="A11" s="470">
        <v>2</v>
      </c>
      <c r="B11" s="1757" t="s">
        <v>2060</v>
      </c>
      <c r="C11" s="1758"/>
      <c r="D11" s="483">
        <v>4000</v>
      </c>
      <c r="E11" s="483">
        <v>0</v>
      </c>
      <c r="F11" s="483">
        <v>4000</v>
      </c>
      <c r="G11" s="808">
        <v>2279</v>
      </c>
      <c r="H11" s="483">
        <v>4000</v>
      </c>
      <c r="I11" s="1896"/>
      <c r="J11" s="455" t="s">
        <v>2061</v>
      </c>
    </row>
    <row r="12" spans="1:10" x14ac:dyDescent="0.2">
      <c r="A12" s="616"/>
      <c r="B12" s="616"/>
      <c r="C12" s="616"/>
      <c r="D12" s="616"/>
      <c r="E12" s="616"/>
      <c r="F12" s="616"/>
      <c r="G12" s="616"/>
      <c r="H12" s="616"/>
      <c r="I12" s="616"/>
      <c r="J12" s="616"/>
    </row>
    <row r="13" spans="1:10" x14ac:dyDescent="0.2">
      <c r="A13" s="274" t="s">
        <v>455</v>
      </c>
    </row>
    <row r="14" spans="1:10" x14ac:dyDescent="0.2">
      <c r="A14" s="274" t="s">
        <v>505</v>
      </c>
    </row>
    <row r="16" spans="1:10" x14ac:dyDescent="0.2">
      <c r="A16" s="804" t="s">
        <v>117</v>
      </c>
    </row>
    <row r="17" spans="1:1" x14ac:dyDescent="0.2">
      <c r="A17" s="403" t="s">
        <v>2062</v>
      </c>
    </row>
    <row r="18" spans="1:1" x14ac:dyDescent="0.2">
      <c r="A18" s="403" t="s">
        <v>2070</v>
      </c>
    </row>
  </sheetData>
  <sheetProtection algorithmName="SHA-512" hashValue="eDOVrFuq3wzJAlZHtJ5j604s8kk7woFrHvMxRbgf2ZOiW3beLy45AT3ue0c9b3MWAkebFsLDThqmziO2NlqWsw==" saltValue="4dgrfs1soo6MnqekUTqBUw==" spinCount="100000" sheet="1" objects="1" scenarios="1"/>
  <mergeCells count="13">
    <mergeCell ref="B11:C11"/>
    <mergeCell ref="A1:B1"/>
    <mergeCell ref="C1:J1"/>
    <mergeCell ref="A2:B2"/>
    <mergeCell ref="C2:J2"/>
    <mergeCell ref="A3:J3"/>
    <mergeCell ref="A5:B5"/>
    <mergeCell ref="A6:B6"/>
    <mergeCell ref="A7:B7"/>
    <mergeCell ref="B8:C8"/>
    <mergeCell ref="A9:C9"/>
    <mergeCell ref="B10:C10"/>
    <mergeCell ref="I10:I11"/>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20.pielikums Jūrmalas pilsētas domes
2018.gada 18.decembra saistošajiem noteikumiem Nr.44
(protokols Nr.17, 2.punkts)</oddHeader>
    <oddFooter xml:space="preserve">&amp;R&amp;"Times New Roman,Regular"&amp;8&amp;P (&amp;N)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view="pageLayout" zoomScaleNormal="100" workbookViewId="0">
      <selection activeCell="O5" sqref="O5"/>
    </sheetView>
  </sheetViews>
  <sheetFormatPr defaultRowHeight="12" x14ac:dyDescent="0.25"/>
  <cols>
    <col min="1" max="1" width="6.140625" style="403" customWidth="1"/>
    <col min="2" max="2" width="17.28515625" style="403" customWidth="1"/>
    <col min="3" max="3" width="15.28515625" style="403" customWidth="1"/>
    <col min="4" max="4" width="11.85546875" style="403" hidden="1" customWidth="1"/>
    <col min="5" max="5" width="11.140625" style="403" hidden="1" customWidth="1"/>
    <col min="6" max="6" width="10.28515625" style="403" hidden="1" customWidth="1"/>
    <col min="7" max="7" width="10.5703125" style="403" customWidth="1"/>
    <col min="8" max="8" width="9.7109375" style="403" customWidth="1"/>
    <col min="9" max="9" width="17.85546875" style="403" customWidth="1"/>
    <col min="10" max="10" width="28.7109375" style="403" hidden="1" customWidth="1"/>
    <col min="11" max="256" width="9.140625" style="403"/>
    <col min="257" max="257" width="6.140625" style="403" customWidth="1"/>
    <col min="258" max="258" width="17.28515625" style="403" customWidth="1"/>
    <col min="259" max="259" width="15.28515625" style="403" customWidth="1"/>
    <col min="260" max="260" width="11.85546875" style="403" customWidth="1"/>
    <col min="261" max="261" width="11.140625" style="403" customWidth="1"/>
    <col min="262" max="262" width="10.28515625" style="403" customWidth="1"/>
    <col min="263" max="263" width="10.5703125" style="403" customWidth="1"/>
    <col min="264" max="264" width="9.7109375" style="403" customWidth="1"/>
    <col min="265" max="265" width="21" style="403" customWidth="1"/>
    <col min="266" max="266" width="28.7109375" style="403" customWidth="1"/>
    <col min="267" max="512" width="9.140625" style="403"/>
    <col min="513" max="513" width="6.140625" style="403" customWidth="1"/>
    <col min="514" max="514" width="17.28515625" style="403" customWidth="1"/>
    <col min="515" max="515" width="15.28515625" style="403" customWidth="1"/>
    <col min="516" max="516" width="11.85546875" style="403" customWidth="1"/>
    <col min="517" max="517" width="11.140625" style="403" customWidth="1"/>
    <col min="518" max="518" width="10.28515625" style="403" customWidth="1"/>
    <col min="519" max="519" width="10.5703125" style="403" customWidth="1"/>
    <col min="520" max="520" width="9.7109375" style="403" customWidth="1"/>
    <col min="521" max="521" width="21" style="403" customWidth="1"/>
    <col min="522" max="522" width="28.7109375" style="403" customWidth="1"/>
    <col min="523" max="768" width="9.140625" style="403"/>
    <col min="769" max="769" width="6.140625" style="403" customWidth="1"/>
    <col min="770" max="770" width="17.28515625" style="403" customWidth="1"/>
    <col min="771" max="771" width="15.28515625" style="403" customWidth="1"/>
    <col min="772" max="772" width="11.85546875" style="403" customWidth="1"/>
    <col min="773" max="773" width="11.140625" style="403" customWidth="1"/>
    <col min="774" max="774" width="10.28515625" style="403" customWidth="1"/>
    <col min="775" max="775" width="10.5703125" style="403" customWidth="1"/>
    <col min="776" max="776" width="9.7109375" style="403" customWidth="1"/>
    <col min="777" max="777" width="21" style="403" customWidth="1"/>
    <col min="778" max="778" width="28.7109375" style="403" customWidth="1"/>
    <col min="779" max="1024" width="9.140625" style="403"/>
    <col min="1025" max="1025" width="6.140625" style="403" customWidth="1"/>
    <col min="1026" max="1026" width="17.28515625" style="403" customWidth="1"/>
    <col min="1027" max="1027" width="15.28515625" style="403" customWidth="1"/>
    <col min="1028" max="1028" width="11.85546875" style="403" customWidth="1"/>
    <col min="1029" max="1029" width="11.140625" style="403" customWidth="1"/>
    <col min="1030" max="1030" width="10.28515625" style="403" customWidth="1"/>
    <col min="1031" max="1031" width="10.5703125" style="403" customWidth="1"/>
    <col min="1032" max="1032" width="9.7109375" style="403" customWidth="1"/>
    <col min="1033" max="1033" width="21" style="403" customWidth="1"/>
    <col min="1034" max="1034" width="28.7109375" style="403" customWidth="1"/>
    <col min="1035" max="1280" width="9.140625" style="403"/>
    <col min="1281" max="1281" width="6.140625" style="403" customWidth="1"/>
    <col min="1282" max="1282" width="17.28515625" style="403" customWidth="1"/>
    <col min="1283" max="1283" width="15.28515625" style="403" customWidth="1"/>
    <col min="1284" max="1284" width="11.85546875" style="403" customWidth="1"/>
    <col min="1285" max="1285" width="11.140625" style="403" customWidth="1"/>
    <col min="1286" max="1286" width="10.28515625" style="403" customWidth="1"/>
    <col min="1287" max="1287" width="10.5703125" style="403" customWidth="1"/>
    <col min="1288" max="1288" width="9.7109375" style="403" customWidth="1"/>
    <col min="1289" max="1289" width="21" style="403" customWidth="1"/>
    <col min="1290" max="1290" width="28.7109375" style="403" customWidth="1"/>
    <col min="1291" max="1536" width="9.140625" style="403"/>
    <col min="1537" max="1537" width="6.140625" style="403" customWidth="1"/>
    <col min="1538" max="1538" width="17.28515625" style="403" customWidth="1"/>
    <col min="1539" max="1539" width="15.28515625" style="403" customWidth="1"/>
    <col min="1540" max="1540" width="11.85546875" style="403" customWidth="1"/>
    <col min="1541" max="1541" width="11.140625" style="403" customWidth="1"/>
    <col min="1542" max="1542" width="10.28515625" style="403" customWidth="1"/>
    <col min="1543" max="1543" width="10.5703125" style="403" customWidth="1"/>
    <col min="1544" max="1544" width="9.7109375" style="403" customWidth="1"/>
    <col min="1545" max="1545" width="21" style="403" customWidth="1"/>
    <col min="1546" max="1546" width="28.7109375" style="403" customWidth="1"/>
    <col min="1547" max="1792" width="9.140625" style="403"/>
    <col min="1793" max="1793" width="6.140625" style="403" customWidth="1"/>
    <col min="1794" max="1794" width="17.28515625" style="403" customWidth="1"/>
    <col min="1795" max="1795" width="15.28515625" style="403" customWidth="1"/>
    <col min="1796" max="1796" width="11.85546875" style="403" customWidth="1"/>
    <col min="1797" max="1797" width="11.140625" style="403" customWidth="1"/>
    <col min="1798" max="1798" width="10.28515625" style="403" customWidth="1"/>
    <col min="1799" max="1799" width="10.5703125" style="403" customWidth="1"/>
    <col min="1800" max="1800" width="9.7109375" style="403" customWidth="1"/>
    <col min="1801" max="1801" width="21" style="403" customWidth="1"/>
    <col min="1802" max="1802" width="28.7109375" style="403" customWidth="1"/>
    <col min="1803" max="2048" width="9.140625" style="403"/>
    <col min="2049" max="2049" width="6.140625" style="403" customWidth="1"/>
    <col min="2050" max="2050" width="17.28515625" style="403" customWidth="1"/>
    <col min="2051" max="2051" width="15.28515625" style="403" customWidth="1"/>
    <col min="2052" max="2052" width="11.85546875" style="403" customWidth="1"/>
    <col min="2053" max="2053" width="11.140625" style="403" customWidth="1"/>
    <col min="2054" max="2054" width="10.28515625" style="403" customWidth="1"/>
    <col min="2055" max="2055" width="10.5703125" style="403" customWidth="1"/>
    <col min="2056" max="2056" width="9.7109375" style="403" customWidth="1"/>
    <col min="2057" max="2057" width="21" style="403" customWidth="1"/>
    <col min="2058" max="2058" width="28.7109375" style="403" customWidth="1"/>
    <col min="2059" max="2304" width="9.140625" style="403"/>
    <col min="2305" max="2305" width="6.140625" style="403" customWidth="1"/>
    <col min="2306" max="2306" width="17.28515625" style="403" customWidth="1"/>
    <col min="2307" max="2307" width="15.28515625" style="403" customWidth="1"/>
    <col min="2308" max="2308" width="11.85546875" style="403" customWidth="1"/>
    <col min="2309" max="2309" width="11.140625" style="403" customWidth="1"/>
    <col min="2310" max="2310" width="10.28515625" style="403" customWidth="1"/>
    <col min="2311" max="2311" width="10.5703125" style="403" customWidth="1"/>
    <col min="2312" max="2312" width="9.7109375" style="403" customWidth="1"/>
    <col min="2313" max="2313" width="21" style="403" customWidth="1"/>
    <col min="2314" max="2314" width="28.7109375" style="403" customWidth="1"/>
    <col min="2315" max="2560" width="9.140625" style="403"/>
    <col min="2561" max="2561" width="6.140625" style="403" customWidth="1"/>
    <col min="2562" max="2562" width="17.28515625" style="403" customWidth="1"/>
    <col min="2563" max="2563" width="15.28515625" style="403" customWidth="1"/>
    <col min="2564" max="2564" width="11.85546875" style="403" customWidth="1"/>
    <col min="2565" max="2565" width="11.140625" style="403" customWidth="1"/>
    <col min="2566" max="2566" width="10.28515625" style="403" customWidth="1"/>
    <col min="2567" max="2567" width="10.5703125" style="403" customWidth="1"/>
    <col min="2568" max="2568" width="9.7109375" style="403" customWidth="1"/>
    <col min="2569" max="2569" width="21" style="403" customWidth="1"/>
    <col min="2570" max="2570" width="28.7109375" style="403" customWidth="1"/>
    <col min="2571" max="2816" width="9.140625" style="403"/>
    <col min="2817" max="2817" width="6.140625" style="403" customWidth="1"/>
    <col min="2818" max="2818" width="17.28515625" style="403" customWidth="1"/>
    <col min="2819" max="2819" width="15.28515625" style="403" customWidth="1"/>
    <col min="2820" max="2820" width="11.85546875" style="403" customWidth="1"/>
    <col min="2821" max="2821" width="11.140625" style="403" customWidth="1"/>
    <col min="2822" max="2822" width="10.28515625" style="403" customWidth="1"/>
    <col min="2823" max="2823" width="10.5703125" style="403" customWidth="1"/>
    <col min="2824" max="2824" width="9.7109375" style="403" customWidth="1"/>
    <col min="2825" max="2825" width="21" style="403" customWidth="1"/>
    <col min="2826" max="2826" width="28.7109375" style="403" customWidth="1"/>
    <col min="2827" max="3072" width="9.140625" style="403"/>
    <col min="3073" max="3073" width="6.140625" style="403" customWidth="1"/>
    <col min="3074" max="3074" width="17.28515625" style="403" customWidth="1"/>
    <col min="3075" max="3075" width="15.28515625" style="403" customWidth="1"/>
    <col min="3076" max="3076" width="11.85546875" style="403" customWidth="1"/>
    <col min="3077" max="3077" width="11.140625" style="403" customWidth="1"/>
    <col min="3078" max="3078" width="10.28515625" style="403" customWidth="1"/>
    <col min="3079" max="3079" width="10.5703125" style="403" customWidth="1"/>
    <col min="3080" max="3080" width="9.7109375" style="403" customWidth="1"/>
    <col min="3081" max="3081" width="21" style="403" customWidth="1"/>
    <col min="3082" max="3082" width="28.7109375" style="403" customWidth="1"/>
    <col min="3083" max="3328" width="9.140625" style="403"/>
    <col min="3329" max="3329" width="6.140625" style="403" customWidth="1"/>
    <col min="3330" max="3330" width="17.28515625" style="403" customWidth="1"/>
    <col min="3331" max="3331" width="15.28515625" style="403" customWidth="1"/>
    <col min="3332" max="3332" width="11.85546875" style="403" customWidth="1"/>
    <col min="3333" max="3333" width="11.140625" style="403" customWidth="1"/>
    <col min="3334" max="3334" width="10.28515625" style="403" customWidth="1"/>
    <col min="3335" max="3335" width="10.5703125" style="403" customWidth="1"/>
    <col min="3336" max="3336" width="9.7109375" style="403" customWidth="1"/>
    <col min="3337" max="3337" width="21" style="403" customWidth="1"/>
    <col min="3338" max="3338" width="28.7109375" style="403" customWidth="1"/>
    <col min="3339" max="3584" width="9.140625" style="403"/>
    <col min="3585" max="3585" width="6.140625" style="403" customWidth="1"/>
    <col min="3586" max="3586" width="17.28515625" style="403" customWidth="1"/>
    <col min="3587" max="3587" width="15.28515625" style="403" customWidth="1"/>
    <col min="3588" max="3588" width="11.85546875" style="403" customWidth="1"/>
    <col min="3589" max="3589" width="11.140625" style="403" customWidth="1"/>
    <col min="3590" max="3590" width="10.28515625" style="403" customWidth="1"/>
    <col min="3591" max="3591" width="10.5703125" style="403" customWidth="1"/>
    <col min="3592" max="3592" width="9.7109375" style="403" customWidth="1"/>
    <col min="3593" max="3593" width="21" style="403" customWidth="1"/>
    <col min="3594" max="3594" width="28.7109375" style="403" customWidth="1"/>
    <col min="3595" max="3840" width="9.140625" style="403"/>
    <col min="3841" max="3841" width="6.140625" style="403" customWidth="1"/>
    <col min="3842" max="3842" width="17.28515625" style="403" customWidth="1"/>
    <col min="3843" max="3843" width="15.28515625" style="403" customWidth="1"/>
    <col min="3844" max="3844" width="11.85546875" style="403" customWidth="1"/>
    <col min="3845" max="3845" width="11.140625" style="403" customWidth="1"/>
    <col min="3846" max="3846" width="10.28515625" style="403" customWidth="1"/>
    <col min="3847" max="3847" width="10.5703125" style="403" customWidth="1"/>
    <col min="3848" max="3848" width="9.7109375" style="403" customWidth="1"/>
    <col min="3849" max="3849" width="21" style="403" customWidth="1"/>
    <col min="3850" max="3850" width="28.7109375" style="403" customWidth="1"/>
    <col min="3851" max="4096" width="9.140625" style="403"/>
    <col min="4097" max="4097" width="6.140625" style="403" customWidth="1"/>
    <col min="4098" max="4098" width="17.28515625" style="403" customWidth="1"/>
    <col min="4099" max="4099" width="15.28515625" style="403" customWidth="1"/>
    <col min="4100" max="4100" width="11.85546875" style="403" customWidth="1"/>
    <col min="4101" max="4101" width="11.140625" style="403" customWidth="1"/>
    <col min="4102" max="4102" width="10.28515625" style="403" customWidth="1"/>
    <col min="4103" max="4103" width="10.5703125" style="403" customWidth="1"/>
    <col min="4104" max="4104" width="9.7109375" style="403" customWidth="1"/>
    <col min="4105" max="4105" width="21" style="403" customWidth="1"/>
    <col min="4106" max="4106" width="28.7109375" style="403" customWidth="1"/>
    <col min="4107" max="4352" width="9.140625" style="403"/>
    <col min="4353" max="4353" width="6.140625" style="403" customWidth="1"/>
    <col min="4354" max="4354" width="17.28515625" style="403" customWidth="1"/>
    <col min="4355" max="4355" width="15.28515625" style="403" customWidth="1"/>
    <col min="4356" max="4356" width="11.85546875" style="403" customWidth="1"/>
    <col min="4357" max="4357" width="11.140625" style="403" customWidth="1"/>
    <col min="4358" max="4358" width="10.28515625" style="403" customWidth="1"/>
    <col min="4359" max="4359" width="10.5703125" style="403" customWidth="1"/>
    <col min="4360" max="4360" width="9.7109375" style="403" customWidth="1"/>
    <col min="4361" max="4361" width="21" style="403" customWidth="1"/>
    <col min="4362" max="4362" width="28.7109375" style="403" customWidth="1"/>
    <col min="4363" max="4608" width="9.140625" style="403"/>
    <col min="4609" max="4609" width="6.140625" style="403" customWidth="1"/>
    <col min="4610" max="4610" width="17.28515625" style="403" customWidth="1"/>
    <col min="4611" max="4611" width="15.28515625" style="403" customWidth="1"/>
    <col min="4612" max="4612" width="11.85546875" style="403" customWidth="1"/>
    <col min="4613" max="4613" width="11.140625" style="403" customWidth="1"/>
    <col min="4614" max="4614" width="10.28515625" style="403" customWidth="1"/>
    <col min="4615" max="4615" width="10.5703125" style="403" customWidth="1"/>
    <col min="4616" max="4616" width="9.7109375" style="403" customWidth="1"/>
    <col min="4617" max="4617" width="21" style="403" customWidth="1"/>
    <col min="4618" max="4618" width="28.7109375" style="403" customWidth="1"/>
    <col min="4619" max="4864" width="9.140625" style="403"/>
    <col min="4865" max="4865" width="6.140625" style="403" customWidth="1"/>
    <col min="4866" max="4866" width="17.28515625" style="403" customWidth="1"/>
    <col min="4867" max="4867" width="15.28515625" style="403" customWidth="1"/>
    <col min="4868" max="4868" width="11.85546875" style="403" customWidth="1"/>
    <col min="4869" max="4869" width="11.140625" style="403" customWidth="1"/>
    <col min="4870" max="4870" width="10.28515625" style="403" customWidth="1"/>
    <col min="4871" max="4871" width="10.5703125" style="403" customWidth="1"/>
    <col min="4872" max="4872" width="9.7109375" style="403" customWidth="1"/>
    <col min="4873" max="4873" width="21" style="403" customWidth="1"/>
    <col min="4874" max="4874" width="28.7109375" style="403" customWidth="1"/>
    <col min="4875" max="5120" width="9.140625" style="403"/>
    <col min="5121" max="5121" width="6.140625" style="403" customWidth="1"/>
    <col min="5122" max="5122" width="17.28515625" style="403" customWidth="1"/>
    <col min="5123" max="5123" width="15.28515625" style="403" customWidth="1"/>
    <col min="5124" max="5124" width="11.85546875" style="403" customWidth="1"/>
    <col min="5125" max="5125" width="11.140625" style="403" customWidth="1"/>
    <col min="5126" max="5126" width="10.28515625" style="403" customWidth="1"/>
    <col min="5127" max="5127" width="10.5703125" style="403" customWidth="1"/>
    <col min="5128" max="5128" width="9.7109375" style="403" customWidth="1"/>
    <col min="5129" max="5129" width="21" style="403" customWidth="1"/>
    <col min="5130" max="5130" width="28.7109375" style="403" customWidth="1"/>
    <col min="5131" max="5376" width="9.140625" style="403"/>
    <col min="5377" max="5377" width="6.140625" style="403" customWidth="1"/>
    <col min="5378" max="5378" width="17.28515625" style="403" customWidth="1"/>
    <col min="5379" max="5379" width="15.28515625" style="403" customWidth="1"/>
    <col min="5380" max="5380" width="11.85546875" style="403" customWidth="1"/>
    <col min="5381" max="5381" width="11.140625" style="403" customWidth="1"/>
    <col min="5382" max="5382" width="10.28515625" style="403" customWidth="1"/>
    <col min="5383" max="5383" width="10.5703125" style="403" customWidth="1"/>
    <col min="5384" max="5384" width="9.7109375" style="403" customWidth="1"/>
    <col min="5385" max="5385" width="21" style="403" customWidth="1"/>
    <col min="5386" max="5386" width="28.7109375" style="403" customWidth="1"/>
    <col min="5387" max="5632" width="9.140625" style="403"/>
    <col min="5633" max="5633" width="6.140625" style="403" customWidth="1"/>
    <col min="5634" max="5634" width="17.28515625" style="403" customWidth="1"/>
    <col min="5635" max="5635" width="15.28515625" style="403" customWidth="1"/>
    <col min="5636" max="5636" width="11.85546875" style="403" customWidth="1"/>
    <col min="5637" max="5637" width="11.140625" style="403" customWidth="1"/>
    <col min="5638" max="5638" width="10.28515625" style="403" customWidth="1"/>
    <col min="5639" max="5639" width="10.5703125" style="403" customWidth="1"/>
    <col min="5640" max="5640" width="9.7109375" style="403" customWidth="1"/>
    <col min="5641" max="5641" width="21" style="403" customWidth="1"/>
    <col min="5642" max="5642" width="28.7109375" style="403" customWidth="1"/>
    <col min="5643" max="5888" width="9.140625" style="403"/>
    <col min="5889" max="5889" width="6.140625" style="403" customWidth="1"/>
    <col min="5890" max="5890" width="17.28515625" style="403" customWidth="1"/>
    <col min="5891" max="5891" width="15.28515625" style="403" customWidth="1"/>
    <col min="5892" max="5892" width="11.85546875" style="403" customWidth="1"/>
    <col min="5893" max="5893" width="11.140625" style="403" customWidth="1"/>
    <col min="5894" max="5894" width="10.28515625" style="403" customWidth="1"/>
    <col min="5895" max="5895" width="10.5703125" style="403" customWidth="1"/>
    <col min="5896" max="5896" width="9.7109375" style="403" customWidth="1"/>
    <col min="5897" max="5897" width="21" style="403" customWidth="1"/>
    <col min="5898" max="5898" width="28.7109375" style="403" customWidth="1"/>
    <col min="5899" max="6144" width="9.140625" style="403"/>
    <col min="6145" max="6145" width="6.140625" style="403" customWidth="1"/>
    <col min="6146" max="6146" width="17.28515625" style="403" customWidth="1"/>
    <col min="6147" max="6147" width="15.28515625" style="403" customWidth="1"/>
    <col min="6148" max="6148" width="11.85546875" style="403" customWidth="1"/>
    <col min="6149" max="6149" width="11.140625" style="403" customWidth="1"/>
    <col min="6150" max="6150" width="10.28515625" style="403" customWidth="1"/>
    <col min="6151" max="6151" width="10.5703125" style="403" customWidth="1"/>
    <col min="6152" max="6152" width="9.7109375" style="403" customWidth="1"/>
    <col min="6153" max="6153" width="21" style="403" customWidth="1"/>
    <col min="6154" max="6154" width="28.7109375" style="403" customWidth="1"/>
    <col min="6155" max="6400" width="9.140625" style="403"/>
    <col min="6401" max="6401" width="6.140625" style="403" customWidth="1"/>
    <col min="6402" max="6402" width="17.28515625" style="403" customWidth="1"/>
    <col min="6403" max="6403" width="15.28515625" style="403" customWidth="1"/>
    <col min="6404" max="6404" width="11.85546875" style="403" customWidth="1"/>
    <col min="6405" max="6405" width="11.140625" style="403" customWidth="1"/>
    <col min="6406" max="6406" width="10.28515625" style="403" customWidth="1"/>
    <col min="6407" max="6407" width="10.5703125" style="403" customWidth="1"/>
    <col min="6408" max="6408" width="9.7109375" style="403" customWidth="1"/>
    <col min="6409" max="6409" width="21" style="403" customWidth="1"/>
    <col min="6410" max="6410" width="28.7109375" style="403" customWidth="1"/>
    <col min="6411" max="6656" width="9.140625" style="403"/>
    <col min="6657" max="6657" width="6.140625" style="403" customWidth="1"/>
    <col min="6658" max="6658" width="17.28515625" style="403" customWidth="1"/>
    <col min="6659" max="6659" width="15.28515625" style="403" customWidth="1"/>
    <col min="6660" max="6660" width="11.85546875" style="403" customWidth="1"/>
    <col min="6661" max="6661" width="11.140625" style="403" customWidth="1"/>
    <col min="6662" max="6662" width="10.28515625" style="403" customWidth="1"/>
    <col min="6663" max="6663" width="10.5703125" style="403" customWidth="1"/>
    <col min="6664" max="6664" width="9.7109375" style="403" customWidth="1"/>
    <col min="6665" max="6665" width="21" style="403" customWidth="1"/>
    <col min="6666" max="6666" width="28.7109375" style="403" customWidth="1"/>
    <col min="6667" max="6912" width="9.140625" style="403"/>
    <col min="6913" max="6913" width="6.140625" style="403" customWidth="1"/>
    <col min="6914" max="6914" width="17.28515625" style="403" customWidth="1"/>
    <col min="6915" max="6915" width="15.28515625" style="403" customWidth="1"/>
    <col min="6916" max="6916" width="11.85546875" style="403" customWidth="1"/>
    <col min="6917" max="6917" width="11.140625" style="403" customWidth="1"/>
    <col min="6918" max="6918" width="10.28515625" style="403" customWidth="1"/>
    <col min="6919" max="6919" width="10.5703125" style="403" customWidth="1"/>
    <col min="6920" max="6920" width="9.7109375" style="403" customWidth="1"/>
    <col min="6921" max="6921" width="21" style="403" customWidth="1"/>
    <col min="6922" max="6922" width="28.7109375" style="403" customWidth="1"/>
    <col min="6923" max="7168" width="9.140625" style="403"/>
    <col min="7169" max="7169" width="6.140625" style="403" customWidth="1"/>
    <col min="7170" max="7170" width="17.28515625" style="403" customWidth="1"/>
    <col min="7171" max="7171" width="15.28515625" style="403" customWidth="1"/>
    <col min="7172" max="7172" width="11.85546875" style="403" customWidth="1"/>
    <col min="7173" max="7173" width="11.140625" style="403" customWidth="1"/>
    <col min="7174" max="7174" width="10.28515625" style="403" customWidth="1"/>
    <col min="7175" max="7175" width="10.5703125" style="403" customWidth="1"/>
    <col min="7176" max="7176" width="9.7109375" style="403" customWidth="1"/>
    <col min="7177" max="7177" width="21" style="403" customWidth="1"/>
    <col min="7178" max="7178" width="28.7109375" style="403" customWidth="1"/>
    <col min="7179" max="7424" width="9.140625" style="403"/>
    <col min="7425" max="7425" width="6.140625" style="403" customWidth="1"/>
    <col min="7426" max="7426" width="17.28515625" style="403" customWidth="1"/>
    <col min="7427" max="7427" width="15.28515625" style="403" customWidth="1"/>
    <col min="7428" max="7428" width="11.85546875" style="403" customWidth="1"/>
    <col min="7429" max="7429" width="11.140625" style="403" customWidth="1"/>
    <col min="7430" max="7430" width="10.28515625" style="403" customWidth="1"/>
    <col min="7431" max="7431" width="10.5703125" style="403" customWidth="1"/>
    <col min="7432" max="7432" width="9.7109375" style="403" customWidth="1"/>
    <col min="7433" max="7433" width="21" style="403" customWidth="1"/>
    <col min="7434" max="7434" width="28.7109375" style="403" customWidth="1"/>
    <col min="7435" max="7680" width="9.140625" style="403"/>
    <col min="7681" max="7681" width="6.140625" style="403" customWidth="1"/>
    <col min="7682" max="7682" width="17.28515625" style="403" customWidth="1"/>
    <col min="7683" max="7683" width="15.28515625" style="403" customWidth="1"/>
    <col min="7684" max="7684" width="11.85546875" style="403" customWidth="1"/>
    <col min="7685" max="7685" width="11.140625" style="403" customWidth="1"/>
    <col min="7686" max="7686" width="10.28515625" style="403" customWidth="1"/>
    <col min="7687" max="7687" width="10.5703125" style="403" customWidth="1"/>
    <col min="7688" max="7688" width="9.7109375" style="403" customWidth="1"/>
    <col min="7689" max="7689" width="21" style="403" customWidth="1"/>
    <col min="7690" max="7690" width="28.7109375" style="403" customWidth="1"/>
    <col min="7691" max="7936" width="9.140625" style="403"/>
    <col min="7937" max="7937" width="6.140625" style="403" customWidth="1"/>
    <col min="7938" max="7938" width="17.28515625" style="403" customWidth="1"/>
    <col min="7939" max="7939" width="15.28515625" style="403" customWidth="1"/>
    <col min="7940" max="7940" width="11.85546875" style="403" customWidth="1"/>
    <col min="7941" max="7941" width="11.140625" style="403" customWidth="1"/>
    <col min="7942" max="7942" width="10.28515625" style="403" customWidth="1"/>
    <col min="7943" max="7943" width="10.5703125" style="403" customWidth="1"/>
    <col min="7944" max="7944" width="9.7109375" style="403" customWidth="1"/>
    <col min="7945" max="7945" width="21" style="403" customWidth="1"/>
    <col min="7946" max="7946" width="28.7109375" style="403" customWidth="1"/>
    <col min="7947" max="8192" width="9.140625" style="403"/>
    <col min="8193" max="8193" width="6.140625" style="403" customWidth="1"/>
    <col min="8194" max="8194" width="17.28515625" style="403" customWidth="1"/>
    <col min="8195" max="8195" width="15.28515625" style="403" customWidth="1"/>
    <col min="8196" max="8196" width="11.85546875" style="403" customWidth="1"/>
    <col min="8197" max="8197" width="11.140625" style="403" customWidth="1"/>
    <col min="8198" max="8198" width="10.28515625" style="403" customWidth="1"/>
    <col min="8199" max="8199" width="10.5703125" style="403" customWidth="1"/>
    <col min="8200" max="8200" width="9.7109375" style="403" customWidth="1"/>
    <col min="8201" max="8201" width="21" style="403" customWidth="1"/>
    <col min="8202" max="8202" width="28.7109375" style="403" customWidth="1"/>
    <col min="8203" max="8448" width="9.140625" style="403"/>
    <col min="8449" max="8449" width="6.140625" style="403" customWidth="1"/>
    <col min="8450" max="8450" width="17.28515625" style="403" customWidth="1"/>
    <col min="8451" max="8451" width="15.28515625" style="403" customWidth="1"/>
    <col min="8452" max="8452" width="11.85546875" style="403" customWidth="1"/>
    <col min="8453" max="8453" width="11.140625" style="403" customWidth="1"/>
    <col min="8454" max="8454" width="10.28515625" style="403" customWidth="1"/>
    <col min="8455" max="8455" width="10.5703125" style="403" customWidth="1"/>
    <col min="8456" max="8456" width="9.7109375" style="403" customWidth="1"/>
    <col min="8457" max="8457" width="21" style="403" customWidth="1"/>
    <col min="8458" max="8458" width="28.7109375" style="403" customWidth="1"/>
    <col min="8459" max="8704" width="9.140625" style="403"/>
    <col min="8705" max="8705" width="6.140625" style="403" customWidth="1"/>
    <col min="8706" max="8706" width="17.28515625" style="403" customWidth="1"/>
    <col min="8707" max="8707" width="15.28515625" style="403" customWidth="1"/>
    <col min="8708" max="8708" width="11.85546875" style="403" customWidth="1"/>
    <col min="8709" max="8709" width="11.140625" style="403" customWidth="1"/>
    <col min="8710" max="8710" width="10.28515625" style="403" customWidth="1"/>
    <col min="8711" max="8711" width="10.5703125" style="403" customWidth="1"/>
    <col min="8712" max="8712" width="9.7109375" style="403" customWidth="1"/>
    <col min="8713" max="8713" width="21" style="403" customWidth="1"/>
    <col min="8714" max="8714" width="28.7109375" style="403" customWidth="1"/>
    <col min="8715" max="8960" width="9.140625" style="403"/>
    <col min="8961" max="8961" width="6.140625" style="403" customWidth="1"/>
    <col min="8962" max="8962" width="17.28515625" style="403" customWidth="1"/>
    <col min="8963" max="8963" width="15.28515625" style="403" customWidth="1"/>
    <col min="8964" max="8964" width="11.85546875" style="403" customWidth="1"/>
    <col min="8965" max="8965" width="11.140625" style="403" customWidth="1"/>
    <col min="8966" max="8966" width="10.28515625" style="403" customWidth="1"/>
    <col min="8967" max="8967" width="10.5703125" style="403" customWidth="1"/>
    <col min="8968" max="8968" width="9.7109375" style="403" customWidth="1"/>
    <col min="8969" max="8969" width="21" style="403" customWidth="1"/>
    <col min="8970" max="8970" width="28.7109375" style="403" customWidth="1"/>
    <col min="8971" max="9216" width="9.140625" style="403"/>
    <col min="9217" max="9217" width="6.140625" style="403" customWidth="1"/>
    <col min="9218" max="9218" width="17.28515625" style="403" customWidth="1"/>
    <col min="9219" max="9219" width="15.28515625" style="403" customWidth="1"/>
    <col min="9220" max="9220" width="11.85546875" style="403" customWidth="1"/>
    <col min="9221" max="9221" width="11.140625" style="403" customWidth="1"/>
    <col min="9222" max="9222" width="10.28515625" style="403" customWidth="1"/>
    <col min="9223" max="9223" width="10.5703125" style="403" customWidth="1"/>
    <col min="9224" max="9224" width="9.7109375" style="403" customWidth="1"/>
    <col min="9225" max="9225" width="21" style="403" customWidth="1"/>
    <col min="9226" max="9226" width="28.7109375" style="403" customWidth="1"/>
    <col min="9227" max="9472" width="9.140625" style="403"/>
    <col min="9473" max="9473" width="6.140625" style="403" customWidth="1"/>
    <col min="9474" max="9474" width="17.28515625" style="403" customWidth="1"/>
    <col min="9475" max="9475" width="15.28515625" style="403" customWidth="1"/>
    <col min="9476" max="9476" width="11.85546875" style="403" customWidth="1"/>
    <col min="9477" max="9477" width="11.140625" style="403" customWidth="1"/>
    <col min="9478" max="9478" width="10.28515625" style="403" customWidth="1"/>
    <col min="9479" max="9479" width="10.5703125" style="403" customWidth="1"/>
    <col min="9480" max="9480" width="9.7109375" style="403" customWidth="1"/>
    <col min="9481" max="9481" width="21" style="403" customWidth="1"/>
    <col min="9482" max="9482" width="28.7109375" style="403" customWidth="1"/>
    <col min="9483" max="9728" width="9.140625" style="403"/>
    <col min="9729" max="9729" width="6.140625" style="403" customWidth="1"/>
    <col min="9730" max="9730" width="17.28515625" style="403" customWidth="1"/>
    <col min="9731" max="9731" width="15.28515625" style="403" customWidth="1"/>
    <col min="9732" max="9732" width="11.85546875" style="403" customWidth="1"/>
    <col min="9733" max="9733" width="11.140625" style="403" customWidth="1"/>
    <col min="9734" max="9734" width="10.28515625" style="403" customWidth="1"/>
    <col min="9735" max="9735" width="10.5703125" style="403" customWidth="1"/>
    <col min="9736" max="9736" width="9.7109375" style="403" customWidth="1"/>
    <col min="9737" max="9737" width="21" style="403" customWidth="1"/>
    <col min="9738" max="9738" width="28.7109375" style="403" customWidth="1"/>
    <col min="9739" max="9984" width="9.140625" style="403"/>
    <col min="9985" max="9985" width="6.140625" style="403" customWidth="1"/>
    <col min="9986" max="9986" width="17.28515625" style="403" customWidth="1"/>
    <col min="9987" max="9987" width="15.28515625" style="403" customWidth="1"/>
    <col min="9988" max="9988" width="11.85546875" style="403" customWidth="1"/>
    <col min="9989" max="9989" width="11.140625" style="403" customWidth="1"/>
    <col min="9990" max="9990" width="10.28515625" style="403" customWidth="1"/>
    <col min="9991" max="9991" width="10.5703125" style="403" customWidth="1"/>
    <col min="9992" max="9992" width="9.7109375" style="403" customWidth="1"/>
    <col min="9993" max="9993" width="21" style="403" customWidth="1"/>
    <col min="9994" max="9994" width="28.7109375" style="403" customWidth="1"/>
    <col min="9995" max="10240" width="9.140625" style="403"/>
    <col min="10241" max="10241" width="6.140625" style="403" customWidth="1"/>
    <col min="10242" max="10242" width="17.28515625" style="403" customWidth="1"/>
    <col min="10243" max="10243" width="15.28515625" style="403" customWidth="1"/>
    <col min="10244" max="10244" width="11.85546875" style="403" customWidth="1"/>
    <col min="10245" max="10245" width="11.140625" style="403" customWidth="1"/>
    <col min="10246" max="10246" width="10.28515625" style="403" customWidth="1"/>
    <col min="10247" max="10247" width="10.5703125" style="403" customWidth="1"/>
    <col min="10248" max="10248" width="9.7109375" style="403" customWidth="1"/>
    <col min="10249" max="10249" width="21" style="403" customWidth="1"/>
    <col min="10250" max="10250" width="28.7109375" style="403" customWidth="1"/>
    <col min="10251" max="10496" width="9.140625" style="403"/>
    <col min="10497" max="10497" width="6.140625" style="403" customWidth="1"/>
    <col min="10498" max="10498" width="17.28515625" style="403" customWidth="1"/>
    <col min="10499" max="10499" width="15.28515625" style="403" customWidth="1"/>
    <col min="10500" max="10500" width="11.85546875" style="403" customWidth="1"/>
    <col min="10501" max="10501" width="11.140625" style="403" customWidth="1"/>
    <col min="10502" max="10502" width="10.28515625" style="403" customWidth="1"/>
    <col min="10503" max="10503" width="10.5703125" style="403" customWidth="1"/>
    <col min="10504" max="10504" width="9.7109375" style="403" customWidth="1"/>
    <col min="10505" max="10505" width="21" style="403" customWidth="1"/>
    <col min="10506" max="10506" width="28.7109375" style="403" customWidth="1"/>
    <col min="10507" max="10752" width="9.140625" style="403"/>
    <col min="10753" max="10753" width="6.140625" style="403" customWidth="1"/>
    <col min="10754" max="10754" width="17.28515625" style="403" customWidth="1"/>
    <col min="10755" max="10755" width="15.28515625" style="403" customWidth="1"/>
    <col min="10756" max="10756" width="11.85546875" style="403" customWidth="1"/>
    <col min="10757" max="10757" width="11.140625" style="403" customWidth="1"/>
    <col min="10758" max="10758" width="10.28515625" style="403" customWidth="1"/>
    <col min="10759" max="10759" width="10.5703125" style="403" customWidth="1"/>
    <col min="10760" max="10760" width="9.7109375" style="403" customWidth="1"/>
    <col min="10761" max="10761" width="21" style="403" customWidth="1"/>
    <col min="10762" max="10762" width="28.7109375" style="403" customWidth="1"/>
    <col min="10763" max="11008" width="9.140625" style="403"/>
    <col min="11009" max="11009" width="6.140625" style="403" customWidth="1"/>
    <col min="11010" max="11010" width="17.28515625" style="403" customWidth="1"/>
    <col min="11011" max="11011" width="15.28515625" style="403" customWidth="1"/>
    <col min="11012" max="11012" width="11.85546875" style="403" customWidth="1"/>
    <col min="11013" max="11013" width="11.140625" style="403" customWidth="1"/>
    <col min="11014" max="11014" width="10.28515625" style="403" customWidth="1"/>
    <col min="11015" max="11015" width="10.5703125" style="403" customWidth="1"/>
    <col min="11016" max="11016" width="9.7109375" style="403" customWidth="1"/>
    <col min="11017" max="11017" width="21" style="403" customWidth="1"/>
    <col min="11018" max="11018" width="28.7109375" style="403" customWidth="1"/>
    <col min="11019" max="11264" width="9.140625" style="403"/>
    <col min="11265" max="11265" width="6.140625" style="403" customWidth="1"/>
    <col min="11266" max="11266" width="17.28515625" style="403" customWidth="1"/>
    <col min="11267" max="11267" width="15.28515625" style="403" customWidth="1"/>
    <col min="11268" max="11268" width="11.85546875" style="403" customWidth="1"/>
    <col min="11269" max="11269" width="11.140625" style="403" customWidth="1"/>
    <col min="11270" max="11270" width="10.28515625" style="403" customWidth="1"/>
    <col min="11271" max="11271" width="10.5703125" style="403" customWidth="1"/>
    <col min="11272" max="11272" width="9.7109375" style="403" customWidth="1"/>
    <col min="11273" max="11273" width="21" style="403" customWidth="1"/>
    <col min="11274" max="11274" width="28.7109375" style="403" customWidth="1"/>
    <col min="11275" max="11520" width="9.140625" style="403"/>
    <col min="11521" max="11521" width="6.140625" style="403" customWidth="1"/>
    <col min="11522" max="11522" width="17.28515625" style="403" customWidth="1"/>
    <col min="11523" max="11523" width="15.28515625" style="403" customWidth="1"/>
    <col min="11524" max="11524" width="11.85546875" style="403" customWidth="1"/>
    <col min="11525" max="11525" width="11.140625" style="403" customWidth="1"/>
    <col min="11526" max="11526" width="10.28515625" style="403" customWidth="1"/>
    <col min="11527" max="11527" width="10.5703125" style="403" customWidth="1"/>
    <col min="11528" max="11528" width="9.7109375" style="403" customWidth="1"/>
    <col min="11529" max="11529" width="21" style="403" customWidth="1"/>
    <col min="11530" max="11530" width="28.7109375" style="403" customWidth="1"/>
    <col min="11531" max="11776" width="9.140625" style="403"/>
    <col min="11777" max="11777" width="6.140625" style="403" customWidth="1"/>
    <col min="11778" max="11778" width="17.28515625" style="403" customWidth="1"/>
    <col min="11779" max="11779" width="15.28515625" style="403" customWidth="1"/>
    <col min="11780" max="11780" width="11.85546875" style="403" customWidth="1"/>
    <col min="11781" max="11781" width="11.140625" style="403" customWidth="1"/>
    <col min="11782" max="11782" width="10.28515625" style="403" customWidth="1"/>
    <col min="11783" max="11783" width="10.5703125" style="403" customWidth="1"/>
    <col min="11784" max="11784" width="9.7109375" style="403" customWidth="1"/>
    <col min="11785" max="11785" width="21" style="403" customWidth="1"/>
    <col min="11786" max="11786" width="28.7109375" style="403" customWidth="1"/>
    <col min="11787" max="12032" width="9.140625" style="403"/>
    <col min="12033" max="12033" width="6.140625" style="403" customWidth="1"/>
    <col min="12034" max="12034" width="17.28515625" style="403" customWidth="1"/>
    <col min="12035" max="12035" width="15.28515625" style="403" customWidth="1"/>
    <col min="12036" max="12036" width="11.85546875" style="403" customWidth="1"/>
    <col min="12037" max="12037" width="11.140625" style="403" customWidth="1"/>
    <col min="12038" max="12038" width="10.28515625" style="403" customWidth="1"/>
    <col min="12039" max="12039" width="10.5703125" style="403" customWidth="1"/>
    <col min="12040" max="12040" width="9.7109375" style="403" customWidth="1"/>
    <col min="12041" max="12041" width="21" style="403" customWidth="1"/>
    <col min="12042" max="12042" width="28.7109375" style="403" customWidth="1"/>
    <col min="12043" max="12288" width="9.140625" style="403"/>
    <col min="12289" max="12289" width="6.140625" style="403" customWidth="1"/>
    <col min="12290" max="12290" width="17.28515625" style="403" customWidth="1"/>
    <col min="12291" max="12291" width="15.28515625" style="403" customWidth="1"/>
    <col min="12292" max="12292" width="11.85546875" style="403" customWidth="1"/>
    <col min="12293" max="12293" width="11.140625" style="403" customWidth="1"/>
    <col min="12294" max="12294" width="10.28515625" style="403" customWidth="1"/>
    <col min="12295" max="12295" width="10.5703125" style="403" customWidth="1"/>
    <col min="12296" max="12296" width="9.7109375" style="403" customWidth="1"/>
    <col min="12297" max="12297" width="21" style="403" customWidth="1"/>
    <col min="12298" max="12298" width="28.7109375" style="403" customWidth="1"/>
    <col min="12299" max="12544" width="9.140625" style="403"/>
    <col min="12545" max="12545" width="6.140625" style="403" customWidth="1"/>
    <col min="12546" max="12546" width="17.28515625" style="403" customWidth="1"/>
    <col min="12547" max="12547" width="15.28515625" style="403" customWidth="1"/>
    <col min="12548" max="12548" width="11.85546875" style="403" customWidth="1"/>
    <col min="12549" max="12549" width="11.140625" style="403" customWidth="1"/>
    <col min="12550" max="12550" width="10.28515625" style="403" customWidth="1"/>
    <col min="12551" max="12551" width="10.5703125" style="403" customWidth="1"/>
    <col min="12552" max="12552" width="9.7109375" style="403" customWidth="1"/>
    <col min="12553" max="12553" width="21" style="403" customWidth="1"/>
    <col min="12554" max="12554" width="28.7109375" style="403" customWidth="1"/>
    <col min="12555" max="12800" width="9.140625" style="403"/>
    <col min="12801" max="12801" width="6.140625" style="403" customWidth="1"/>
    <col min="12802" max="12802" width="17.28515625" style="403" customWidth="1"/>
    <col min="12803" max="12803" width="15.28515625" style="403" customWidth="1"/>
    <col min="12804" max="12804" width="11.85546875" style="403" customWidth="1"/>
    <col min="12805" max="12805" width="11.140625" style="403" customWidth="1"/>
    <col min="12806" max="12806" width="10.28515625" style="403" customWidth="1"/>
    <col min="12807" max="12807" width="10.5703125" style="403" customWidth="1"/>
    <col min="12808" max="12808" width="9.7109375" style="403" customWidth="1"/>
    <col min="12809" max="12809" width="21" style="403" customWidth="1"/>
    <col min="12810" max="12810" width="28.7109375" style="403" customWidth="1"/>
    <col min="12811" max="13056" width="9.140625" style="403"/>
    <col min="13057" max="13057" width="6.140625" style="403" customWidth="1"/>
    <col min="13058" max="13058" width="17.28515625" style="403" customWidth="1"/>
    <col min="13059" max="13059" width="15.28515625" style="403" customWidth="1"/>
    <col min="13060" max="13060" width="11.85546875" style="403" customWidth="1"/>
    <col min="13061" max="13061" width="11.140625" style="403" customWidth="1"/>
    <col min="13062" max="13062" width="10.28515625" style="403" customWidth="1"/>
    <col min="13063" max="13063" width="10.5703125" style="403" customWidth="1"/>
    <col min="13064" max="13064" width="9.7109375" style="403" customWidth="1"/>
    <col min="13065" max="13065" width="21" style="403" customWidth="1"/>
    <col min="13066" max="13066" width="28.7109375" style="403" customWidth="1"/>
    <col min="13067" max="13312" width="9.140625" style="403"/>
    <col min="13313" max="13313" width="6.140625" style="403" customWidth="1"/>
    <col min="13314" max="13314" width="17.28515625" style="403" customWidth="1"/>
    <col min="13315" max="13315" width="15.28515625" style="403" customWidth="1"/>
    <col min="13316" max="13316" width="11.85546875" style="403" customWidth="1"/>
    <col min="13317" max="13317" width="11.140625" style="403" customWidth="1"/>
    <col min="13318" max="13318" width="10.28515625" style="403" customWidth="1"/>
    <col min="13319" max="13319" width="10.5703125" style="403" customWidth="1"/>
    <col min="13320" max="13320" width="9.7109375" style="403" customWidth="1"/>
    <col min="13321" max="13321" width="21" style="403" customWidth="1"/>
    <col min="13322" max="13322" width="28.7109375" style="403" customWidth="1"/>
    <col min="13323" max="13568" width="9.140625" style="403"/>
    <col min="13569" max="13569" width="6.140625" style="403" customWidth="1"/>
    <col min="13570" max="13570" width="17.28515625" style="403" customWidth="1"/>
    <col min="13571" max="13571" width="15.28515625" style="403" customWidth="1"/>
    <col min="13572" max="13572" width="11.85546875" style="403" customWidth="1"/>
    <col min="13573" max="13573" width="11.140625" style="403" customWidth="1"/>
    <col min="13574" max="13574" width="10.28515625" style="403" customWidth="1"/>
    <col min="13575" max="13575" width="10.5703125" style="403" customWidth="1"/>
    <col min="13576" max="13576" width="9.7109375" style="403" customWidth="1"/>
    <col min="13577" max="13577" width="21" style="403" customWidth="1"/>
    <col min="13578" max="13578" width="28.7109375" style="403" customWidth="1"/>
    <col min="13579" max="13824" width="9.140625" style="403"/>
    <col min="13825" max="13825" width="6.140625" style="403" customWidth="1"/>
    <col min="13826" max="13826" width="17.28515625" style="403" customWidth="1"/>
    <col min="13827" max="13827" width="15.28515625" style="403" customWidth="1"/>
    <col min="13828" max="13828" width="11.85546875" style="403" customWidth="1"/>
    <col min="13829" max="13829" width="11.140625" style="403" customWidth="1"/>
    <col min="13830" max="13830" width="10.28515625" style="403" customWidth="1"/>
    <col min="13831" max="13831" width="10.5703125" style="403" customWidth="1"/>
    <col min="13832" max="13832" width="9.7109375" style="403" customWidth="1"/>
    <col min="13833" max="13833" width="21" style="403" customWidth="1"/>
    <col min="13834" max="13834" width="28.7109375" style="403" customWidth="1"/>
    <col min="13835" max="14080" width="9.140625" style="403"/>
    <col min="14081" max="14081" width="6.140625" style="403" customWidth="1"/>
    <col min="14082" max="14082" width="17.28515625" style="403" customWidth="1"/>
    <col min="14083" max="14083" width="15.28515625" style="403" customWidth="1"/>
    <col min="14084" max="14084" width="11.85546875" style="403" customWidth="1"/>
    <col min="14085" max="14085" width="11.140625" style="403" customWidth="1"/>
    <col min="14086" max="14086" width="10.28515625" style="403" customWidth="1"/>
    <col min="14087" max="14087" width="10.5703125" style="403" customWidth="1"/>
    <col min="14088" max="14088" width="9.7109375" style="403" customWidth="1"/>
    <col min="14089" max="14089" width="21" style="403" customWidth="1"/>
    <col min="14090" max="14090" width="28.7109375" style="403" customWidth="1"/>
    <col min="14091" max="14336" width="9.140625" style="403"/>
    <col min="14337" max="14337" width="6.140625" style="403" customWidth="1"/>
    <col min="14338" max="14338" width="17.28515625" style="403" customWidth="1"/>
    <col min="14339" max="14339" width="15.28515625" style="403" customWidth="1"/>
    <col min="14340" max="14340" width="11.85546875" style="403" customWidth="1"/>
    <col min="14341" max="14341" width="11.140625" style="403" customWidth="1"/>
    <col min="14342" max="14342" width="10.28515625" style="403" customWidth="1"/>
    <col min="14343" max="14343" width="10.5703125" style="403" customWidth="1"/>
    <col min="14344" max="14344" width="9.7109375" style="403" customWidth="1"/>
    <col min="14345" max="14345" width="21" style="403" customWidth="1"/>
    <col min="14346" max="14346" width="28.7109375" style="403" customWidth="1"/>
    <col min="14347" max="14592" width="9.140625" style="403"/>
    <col min="14593" max="14593" width="6.140625" style="403" customWidth="1"/>
    <col min="14594" max="14594" width="17.28515625" style="403" customWidth="1"/>
    <col min="14595" max="14595" width="15.28515625" style="403" customWidth="1"/>
    <col min="14596" max="14596" width="11.85546875" style="403" customWidth="1"/>
    <col min="14597" max="14597" width="11.140625" style="403" customWidth="1"/>
    <col min="14598" max="14598" width="10.28515625" style="403" customWidth="1"/>
    <col min="14599" max="14599" width="10.5703125" style="403" customWidth="1"/>
    <col min="14600" max="14600" width="9.7109375" style="403" customWidth="1"/>
    <col min="14601" max="14601" width="21" style="403" customWidth="1"/>
    <col min="14602" max="14602" width="28.7109375" style="403" customWidth="1"/>
    <col min="14603" max="14848" width="9.140625" style="403"/>
    <col min="14849" max="14849" width="6.140625" style="403" customWidth="1"/>
    <col min="14850" max="14850" width="17.28515625" style="403" customWidth="1"/>
    <col min="14851" max="14851" width="15.28515625" style="403" customWidth="1"/>
    <col min="14852" max="14852" width="11.85546875" style="403" customWidth="1"/>
    <col min="14853" max="14853" width="11.140625" style="403" customWidth="1"/>
    <col min="14854" max="14854" width="10.28515625" style="403" customWidth="1"/>
    <col min="14855" max="14855" width="10.5703125" style="403" customWidth="1"/>
    <col min="14856" max="14856" width="9.7109375" style="403" customWidth="1"/>
    <col min="14857" max="14857" width="21" style="403" customWidth="1"/>
    <col min="14858" max="14858" width="28.7109375" style="403" customWidth="1"/>
    <col min="14859" max="15104" width="9.140625" style="403"/>
    <col min="15105" max="15105" width="6.140625" style="403" customWidth="1"/>
    <col min="15106" max="15106" width="17.28515625" style="403" customWidth="1"/>
    <col min="15107" max="15107" width="15.28515625" style="403" customWidth="1"/>
    <col min="15108" max="15108" width="11.85546875" style="403" customWidth="1"/>
    <col min="15109" max="15109" width="11.140625" style="403" customWidth="1"/>
    <col min="15110" max="15110" width="10.28515625" style="403" customWidth="1"/>
    <col min="15111" max="15111" width="10.5703125" style="403" customWidth="1"/>
    <col min="15112" max="15112" width="9.7109375" style="403" customWidth="1"/>
    <col min="15113" max="15113" width="21" style="403" customWidth="1"/>
    <col min="15114" max="15114" width="28.7109375" style="403" customWidth="1"/>
    <col min="15115" max="15360" width="9.140625" style="403"/>
    <col min="15361" max="15361" width="6.140625" style="403" customWidth="1"/>
    <col min="15362" max="15362" width="17.28515625" style="403" customWidth="1"/>
    <col min="15363" max="15363" width="15.28515625" style="403" customWidth="1"/>
    <col min="15364" max="15364" width="11.85546875" style="403" customWidth="1"/>
    <col min="15365" max="15365" width="11.140625" style="403" customWidth="1"/>
    <col min="15366" max="15366" width="10.28515625" style="403" customWidth="1"/>
    <col min="15367" max="15367" width="10.5703125" style="403" customWidth="1"/>
    <col min="15368" max="15368" width="9.7109375" style="403" customWidth="1"/>
    <col min="15369" max="15369" width="21" style="403" customWidth="1"/>
    <col min="15370" max="15370" width="28.7109375" style="403" customWidth="1"/>
    <col min="15371" max="15616" width="9.140625" style="403"/>
    <col min="15617" max="15617" width="6.140625" style="403" customWidth="1"/>
    <col min="15618" max="15618" width="17.28515625" style="403" customWidth="1"/>
    <col min="15619" max="15619" width="15.28515625" style="403" customWidth="1"/>
    <col min="15620" max="15620" width="11.85546875" style="403" customWidth="1"/>
    <col min="15621" max="15621" width="11.140625" style="403" customWidth="1"/>
    <col min="15622" max="15622" width="10.28515625" style="403" customWidth="1"/>
    <col min="15623" max="15623" width="10.5703125" style="403" customWidth="1"/>
    <col min="15624" max="15624" width="9.7109375" style="403" customWidth="1"/>
    <col min="15625" max="15625" width="21" style="403" customWidth="1"/>
    <col min="15626" max="15626" width="28.7109375" style="403" customWidth="1"/>
    <col min="15627" max="15872" width="9.140625" style="403"/>
    <col min="15873" max="15873" width="6.140625" style="403" customWidth="1"/>
    <col min="15874" max="15874" width="17.28515625" style="403" customWidth="1"/>
    <col min="15875" max="15875" width="15.28515625" style="403" customWidth="1"/>
    <col min="15876" max="15876" width="11.85546875" style="403" customWidth="1"/>
    <col min="15877" max="15877" width="11.140625" style="403" customWidth="1"/>
    <col min="15878" max="15878" width="10.28515625" style="403" customWidth="1"/>
    <col min="15879" max="15879" width="10.5703125" style="403" customWidth="1"/>
    <col min="15880" max="15880" width="9.7109375" style="403" customWidth="1"/>
    <col min="15881" max="15881" width="21" style="403" customWidth="1"/>
    <col min="15882" max="15882" width="28.7109375" style="403" customWidth="1"/>
    <col min="15883" max="16128" width="9.140625" style="403"/>
    <col min="16129" max="16129" width="6.140625" style="403" customWidth="1"/>
    <col min="16130" max="16130" width="17.28515625" style="403" customWidth="1"/>
    <col min="16131" max="16131" width="15.28515625" style="403" customWidth="1"/>
    <col min="16132" max="16132" width="11.85546875" style="403" customWidth="1"/>
    <col min="16133" max="16133" width="11.140625" style="403" customWidth="1"/>
    <col min="16134" max="16134" width="10.28515625" style="403" customWidth="1"/>
    <col min="16135" max="16135" width="10.5703125" style="403" customWidth="1"/>
    <col min="16136" max="16136" width="9.7109375" style="403" customWidth="1"/>
    <col min="16137" max="16137" width="21" style="403" customWidth="1"/>
    <col min="16138" max="16138" width="28.7109375" style="403" customWidth="1"/>
    <col min="16139" max="16384" width="9.140625" style="403"/>
  </cols>
  <sheetData>
    <row r="1" spans="1:10" x14ac:dyDescent="0.25">
      <c r="A1" s="1962" t="s">
        <v>124</v>
      </c>
      <c r="B1" s="1962"/>
      <c r="C1" s="1962" t="s">
        <v>125</v>
      </c>
      <c r="D1" s="1962"/>
      <c r="E1" s="1962"/>
      <c r="F1" s="1962"/>
      <c r="G1" s="1962"/>
      <c r="H1" s="1962"/>
      <c r="I1" s="1962"/>
      <c r="J1" s="1962"/>
    </row>
    <row r="2" spans="1:10" x14ac:dyDescent="0.25">
      <c r="A2" s="1962" t="s">
        <v>126</v>
      </c>
      <c r="B2" s="1962"/>
      <c r="C2" s="1962">
        <v>90000056357</v>
      </c>
      <c r="D2" s="1962"/>
      <c r="E2" s="1962"/>
      <c r="F2" s="1962"/>
      <c r="G2" s="1962"/>
      <c r="H2" s="1962"/>
      <c r="I2" s="1962"/>
      <c r="J2" s="1962"/>
    </row>
    <row r="3" spans="1:10" ht="15.75" x14ac:dyDescent="0.25">
      <c r="A3" s="1964" t="s">
        <v>3640</v>
      </c>
      <c r="B3" s="1964"/>
      <c r="C3" s="1964"/>
      <c r="D3" s="1964"/>
      <c r="E3" s="1964"/>
      <c r="F3" s="1964"/>
      <c r="G3" s="1964"/>
      <c r="H3" s="1964"/>
      <c r="I3" s="1964"/>
      <c r="J3" s="1964"/>
    </row>
    <row r="4" spans="1:10" ht="15.75" x14ac:dyDescent="0.25">
      <c r="A4" s="601"/>
      <c r="B4" s="601"/>
      <c r="C4" s="601"/>
      <c r="D4" s="601"/>
      <c r="E4" s="601"/>
      <c r="F4" s="601"/>
      <c r="G4" s="601"/>
      <c r="H4" s="601"/>
      <c r="I4" s="601"/>
      <c r="J4" s="601"/>
    </row>
    <row r="5" spans="1:10" ht="15.75" x14ac:dyDescent="0.25">
      <c r="A5" s="1962" t="s">
        <v>2063</v>
      </c>
      <c r="B5" s="1962"/>
      <c r="C5" s="797" t="s">
        <v>2064</v>
      </c>
      <c r="D5" s="797"/>
      <c r="E5" s="797"/>
      <c r="F5" s="797"/>
      <c r="G5" s="797"/>
      <c r="H5" s="797"/>
      <c r="I5" s="797"/>
      <c r="J5" s="797"/>
    </row>
    <row r="6" spans="1:10" x14ac:dyDescent="0.25">
      <c r="A6" s="1962" t="s">
        <v>129</v>
      </c>
      <c r="B6" s="1962"/>
      <c r="C6" s="403" t="s">
        <v>2065</v>
      </c>
    </row>
    <row r="7" spans="1:10" x14ac:dyDescent="0.25">
      <c r="A7" s="1962" t="s">
        <v>131</v>
      </c>
      <c r="B7" s="1962"/>
      <c r="C7" s="602" t="s">
        <v>2058</v>
      </c>
      <c r="D7" s="603"/>
      <c r="E7" s="603"/>
      <c r="F7" s="603"/>
      <c r="G7" s="603"/>
      <c r="H7" s="603"/>
      <c r="I7" s="603"/>
      <c r="J7" s="603"/>
    </row>
    <row r="8" spans="1:10" ht="48" x14ac:dyDescent="0.25">
      <c r="A8" s="426" t="s">
        <v>4</v>
      </c>
      <c r="B8" s="1953" t="s">
        <v>133</v>
      </c>
      <c r="C8" s="1954"/>
      <c r="D8" s="426" t="s">
        <v>17</v>
      </c>
      <c r="E8" s="426" t="s">
        <v>15</v>
      </c>
      <c r="F8" s="426" t="s">
        <v>134</v>
      </c>
      <c r="G8" s="426" t="s">
        <v>135</v>
      </c>
      <c r="H8" s="1438" t="s">
        <v>3510</v>
      </c>
      <c r="I8" s="426" t="s">
        <v>14</v>
      </c>
      <c r="J8" s="426" t="s">
        <v>137</v>
      </c>
    </row>
    <row r="9" spans="1:10" ht="12.75" customHeight="1" x14ac:dyDescent="0.25">
      <c r="A9" s="1955" t="s">
        <v>138</v>
      </c>
      <c r="B9" s="1956"/>
      <c r="C9" s="1957"/>
      <c r="D9" s="427">
        <f>SUM(D10:D14)</f>
        <v>2894845</v>
      </c>
      <c r="E9" s="427">
        <f>SUM(E10:E14)</f>
        <v>161665</v>
      </c>
      <c r="F9" s="427">
        <f>SUM(F10:F14)</f>
        <v>2894845</v>
      </c>
      <c r="G9" s="427"/>
      <c r="H9" s="427">
        <f>SUM(H10:H14)</f>
        <v>2375898</v>
      </c>
      <c r="I9" s="427"/>
      <c r="J9" s="455"/>
    </row>
    <row r="10" spans="1:10" x14ac:dyDescent="0.25">
      <c r="A10" s="470">
        <v>1</v>
      </c>
      <c r="B10" s="1757" t="s">
        <v>2059</v>
      </c>
      <c r="C10" s="1758"/>
      <c r="D10" s="483">
        <v>126545</v>
      </c>
      <c r="E10" s="483">
        <v>102855</v>
      </c>
      <c r="F10" s="483">
        <v>126545</v>
      </c>
      <c r="G10" s="808">
        <v>2276</v>
      </c>
      <c r="H10" s="483">
        <v>105000</v>
      </c>
      <c r="I10" s="1894" t="s">
        <v>2066</v>
      </c>
      <c r="J10" s="455"/>
    </row>
    <row r="11" spans="1:10" ht="12" customHeight="1" x14ac:dyDescent="0.25">
      <c r="A11" s="470">
        <v>2</v>
      </c>
      <c r="B11" s="1757" t="s">
        <v>2067</v>
      </c>
      <c r="C11" s="1758"/>
      <c r="D11" s="483">
        <v>2750000</v>
      </c>
      <c r="E11" s="604">
        <v>51702</v>
      </c>
      <c r="F11" s="818">
        <v>2750000</v>
      </c>
      <c r="G11" s="808">
        <v>2279</v>
      </c>
      <c r="H11" s="483">
        <f>2750000-486232</f>
        <v>2263768</v>
      </c>
      <c r="I11" s="1895"/>
      <c r="J11" s="455" t="s">
        <v>2068</v>
      </c>
    </row>
    <row r="12" spans="1:10" x14ac:dyDescent="0.25">
      <c r="A12" s="1762">
        <v>3</v>
      </c>
      <c r="B12" s="1764" t="s">
        <v>2069</v>
      </c>
      <c r="C12" s="1765"/>
      <c r="D12" s="483">
        <v>14000</v>
      </c>
      <c r="E12" s="483">
        <v>5000</v>
      </c>
      <c r="F12" s="483">
        <v>14000</v>
      </c>
      <c r="G12" s="808">
        <v>2519</v>
      </c>
      <c r="H12" s="483">
        <v>5000</v>
      </c>
      <c r="I12" s="1895"/>
      <c r="J12" s="455"/>
    </row>
    <row r="13" spans="1:10" x14ac:dyDescent="0.25">
      <c r="A13" s="1779"/>
      <c r="B13" s="1820"/>
      <c r="C13" s="1821"/>
      <c r="D13" s="483">
        <v>4000</v>
      </c>
      <c r="E13" s="483">
        <v>2000</v>
      </c>
      <c r="F13" s="483">
        <v>4000</v>
      </c>
      <c r="G13" s="808">
        <v>2272</v>
      </c>
      <c r="H13" s="483">
        <v>2000</v>
      </c>
      <c r="I13" s="1895"/>
      <c r="J13" s="455"/>
    </row>
    <row r="14" spans="1:10" x14ac:dyDescent="0.25">
      <c r="A14" s="470">
        <v>4</v>
      </c>
      <c r="B14" s="1757" t="s">
        <v>2046</v>
      </c>
      <c r="C14" s="1758"/>
      <c r="D14" s="483">
        <v>300</v>
      </c>
      <c r="E14" s="604">
        <v>108</v>
      </c>
      <c r="F14" s="818">
        <v>300</v>
      </c>
      <c r="G14" s="808">
        <v>2232</v>
      </c>
      <c r="H14" s="483">
        <v>130</v>
      </c>
      <c r="I14" s="1896"/>
      <c r="J14" s="455"/>
    </row>
    <row r="15" spans="1:10" x14ac:dyDescent="0.25">
      <c r="A15" s="616"/>
      <c r="B15" s="616"/>
      <c r="C15" s="616"/>
      <c r="D15" s="616"/>
      <c r="E15" s="616"/>
      <c r="F15" s="616"/>
      <c r="G15" s="616"/>
      <c r="H15" s="616"/>
      <c r="I15" s="616"/>
      <c r="J15" s="616"/>
    </row>
    <row r="16" spans="1:10" x14ac:dyDescent="0.25">
      <c r="A16" s="403" t="s">
        <v>455</v>
      </c>
    </row>
    <row r="17" spans="1:11" x14ac:dyDescent="0.25">
      <c r="A17" s="403" t="s">
        <v>505</v>
      </c>
    </row>
    <row r="19" spans="1:11" x14ac:dyDescent="0.25">
      <c r="A19" s="804" t="s">
        <v>117</v>
      </c>
    </row>
    <row r="20" spans="1:11" x14ac:dyDescent="0.25">
      <c r="A20" s="403" t="s">
        <v>2062</v>
      </c>
    </row>
    <row r="21" spans="1:11" x14ac:dyDescent="0.25">
      <c r="A21" s="403" t="s">
        <v>2070</v>
      </c>
      <c r="J21" s="621"/>
      <c r="K21" s="621"/>
    </row>
    <row r="22" spans="1:11" ht="11.25" customHeight="1" x14ac:dyDescent="0.25">
      <c r="J22" s="621"/>
      <c r="K22" s="621"/>
    </row>
    <row r="23" spans="1:11" ht="11.25" customHeight="1" x14ac:dyDescent="0.25">
      <c r="J23" s="621"/>
      <c r="K23" s="621"/>
    </row>
  </sheetData>
  <sheetProtection algorithmName="SHA-512" hashValue="alN1DZPDS9kufy+ZQGipbaAWQN+O9VtO+KGlP9y7SLVyOdoOG29WqFBkE3RQpowKKaA0+f3yXAtJfrMmpKLGOw==" saltValue="QZGe4ziDz48VQZRcoKCqmA==" spinCount="100000" sheet="1" objects="1" scenarios="1"/>
  <mergeCells count="16">
    <mergeCell ref="I10:I14"/>
    <mergeCell ref="A5:B5"/>
    <mergeCell ref="A1:B1"/>
    <mergeCell ref="C1:J1"/>
    <mergeCell ref="A2:B2"/>
    <mergeCell ref="C2:J2"/>
    <mergeCell ref="A3:J3"/>
    <mergeCell ref="A12:A13"/>
    <mergeCell ref="B12:C13"/>
    <mergeCell ref="B14:C14"/>
    <mergeCell ref="A6:B6"/>
    <mergeCell ref="A7:B7"/>
    <mergeCell ref="B8:C8"/>
    <mergeCell ref="A9:C9"/>
    <mergeCell ref="B10:C10"/>
    <mergeCell ref="B11:C11"/>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21.pielikums Jūrmalas pilsētas domes
2018.gada 18.decembra saistošajiem noteikumiem Nr.44
(protokols Nr.17, 2.punkts)</oddHeader>
    <oddFooter xml:space="preserve">&amp;R&amp;"Times New Roman,Regular"&amp;8&amp;P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7"/>
  <sheetViews>
    <sheetView view="pageLayout" zoomScaleNormal="100" workbookViewId="0">
      <selection activeCell="O5" sqref="O5"/>
    </sheetView>
  </sheetViews>
  <sheetFormatPr defaultColWidth="9.140625" defaultRowHeight="12" x14ac:dyDescent="0.2"/>
  <cols>
    <col min="1" max="1" width="6.140625" style="156" customWidth="1"/>
    <col min="2" max="2" width="17.28515625" style="156" customWidth="1"/>
    <col min="3" max="3" width="18.7109375" style="156" customWidth="1"/>
    <col min="4" max="4" width="11.85546875" style="156" hidden="1" customWidth="1"/>
    <col min="5" max="5" width="10.5703125" style="156" hidden="1" customWidth="1"/>
    <col min="6" max="6" width="10.28515625" style="201" hidden="1" customWidth="1"/>
    <col min="7" max="7" width="10.5703125" style="156" customWidth="1"/>
    <col min="8" max="8" width="9.7109375" style="156" customWidth="1"/>
    <col min="9" max="9" width="21.85546875" style="156" customWidth="1"/>
    <col min="10" max="10" width="35.42578125" style="259" hidden="1" customWidth="1"/>
    <col min="11" max="16384" width="9.140625" style="156"/>
  </cols>
  <sheetData>
    <row r="1" spans="1:10" x14ac:dyDescent="0.2">
      <c r="A1" s="1651" t="s">
        <v>124</v>
      </c>
      <c r="B1" s="1651"/>
      <c r="C1" s="1651" t="s">
        <v>125</v>
      </c>
      <c r="D1" s="1651"/>
      <c r="E1" s="154"/>
      <c r="F1" s="155"/>
      <c r="G1" s="1676"/>
      <c r="H1" s="1676"/>
      <c r="I1" s="1676"/>
      <c r="J1" s="1676"/>
    </row>
    <row r="2" spans="1:10" x14ac:dyDescent="0.2">
      <c r="A2" s="1651" t="s">
        <v>126</v>
      </c>
      <c r="B2" s="1651"/>
      <c r="C2" s="1651">
        <v>90000056357</v>
      </c>
      <c r="D2" s="1651"/>
      <c r="E2" s="1651"/>
      <c r="F2" s="1651"/>
      <c r="G2" s="1651"/>
      <c r="H2" s="1651"/>
      <c r="I2" s="1651"/>
      <c r="J2" s="1651"/>
    </row>
    <row r="3" spans="1:10" ht="15.75" x14ac:dyDescent="0.2">
      <c r="A3" s="1677" t="s">
        <v>3639</v>
      </c>
      <c r="B3" s="1677"/>
      <c r="C3" s="1677"/>
      <c r="D3" s="1677"/>
      <c r="E3" s="1677"/>
      <c r="F3" s="1677"/>
      <c r="G3" s="1677"/>
      <c r="H3" s="1677"/>
      <c r="I3" s="1677"/>
      <c r="J3" s="1677"/>
    </row>
    <row r="4" spans="1:10" ht="15.75" x14ac:dyDescent="0.25">
      <c r="A4" s="157"/>
      <c r="B4" s="157"/>
      <c r="C4" s="157"/>
      <c r="D4" s="157"/>
      <c r="E4" s="157"/>
      <c r="F4" s="158"/>
      <c r="G4" s="157"/>
      <c r="H4" s="157"/>
      <c r="I4" s="157"/>
      <c r="J4" s="159"/>
    </row>
    <row r="5" spans="1:10" ht="15.75" x14ac:dyDescent="0.25">
      <c r="A5" s="1651" t="s">
        <v>127</v>
      </c>
      <c r="B5" s="1651"/>
      <c r="C5" s="289" t="s">
        <v>128</v>
      </c>
      <c r="D5" s="289"/>
      <c r="E5" s="289"/>
      <c r="F5" s="289"/>
      <c r="G5" s="289"/>
      <c r="H5" s="289"/>
      <c r="I5" s="289"/>
      <c r="J5" s="289"/>
    </row>
    <row r="6" spans="1:10" hidden="1" x14ac:dyDescent="0.2">
      <c r="A6" s="1651" t="s">
        <v>129</v>
      </c>
      <c r="B6" s="1651"/>
      <c r="C6" s="1651" t="s">
        <v>130</v>
      </c>
      <c r="D6" s="1651"/>
      <c r="E6" s="1651"/>
      <c r="F6" s="1651"/>
      <c r="G6" s="1651"/>
      <c r="H6" s="1651"/>
      <c r="I6" s="1651"/>
      <c r="J6" s="1651"/>
    </row>
    <row r="7" spans="1:10" hidden="1" x14ac:dyDescent="0.2">
      <c r="A7" s="1651" t="s">
        <v>131</v>
      </c>
      <c r="B7" s="1651"/>
      <c r="C7" s="160" t="s">
        <v>132</v>
      </c>
      <c r="D7" s="160"/>
      <c r="E7" s="160"/>
      <c r="F7" s="160"/>
      <c r="G7" s="160"/>
      <c r="H7" s="160"/>
      <c r="I7" s="160"/>
      <c r="J7" s="160"/>
    </row>
    <row r="8" spans="1:10" ht="48" hidden="1" x14ac:dyDescent="0.2">
      <c r="A8" s="161" t="s">
        <v>4</v>
      </c>
      <c r="B8" s="1646" t="s">
        <v>133</v>
      </c>
      <c r="C8" s="1646"/>
      <c r="D8" s="161" t="s">
        <v>17</v>
      </c>
      <c r="E8" s="161" t="s">
        <v>15</v>
      </c>
      <c r="F8" s="162" t="s">
        <v>134</v>
      </c>
      <c r="G8" s="161" t="s">
        <v>135</v>
      </c>
      <c r="H8" s="161" t="s">
        <v>3465</v>
      </c>
      <c r="I8" s="161" t="s">
        <v>14</v>
      </c>
      <c r="J8" s="161" t="s">
        <v>137</v>
      </c>
    </row>
    <row r="9" spans="1:10" ht="12" hidden="1" customHeight="1" x14ac:dyDescent="0.2">
      <c r="A9" s="1647" t="s">
        <v>138</v>
      </c>
      <c r="B9" s="1647"/>
      <c r="C9" s="1647"/>
      <c r="D9" s="163">
        <f>SUM(D10:D11)</f>
        <v>10925</v>
      </c>
      <c r="E9" s="163">
        <f>SUM(E10:E11)</f>
        <v>10925</v>
      </c>
      <c r="F9" s="163">
        <f>SUM(F10:F11)</f>
        <v>0</v>
      </c>
      <c r="G9" s="163"/>
      <c r="H9" s="163">
        <f>SUM(H10:H11)</f>
        <v>0</v>
      </c>
      <c r="I9" s="164"/>
      <c r="J9" s="165"/>
    </row>
    <row r="10" spans="1:10" ht="12" hidden="1" customHeight="1" x14ac:dyDescent="0.2">
      <c r="A10" s="1674">
        <v>1</v>
      </c>
      <c r="B10" s="1659" t="s">
        <v>139</v>
      </c>
      <c r="C10" s="1660"/>
      <c r="D10" s="166">
        <v>10376</v>
      </c>
      <c r="E10" s="166">
        <v>10376</v>
      </c>
      <c r="F10" s="166">
        <v>0</v>
      </c>
      <c r="G10" s="167">
        <v>5250</v>
      </c>
      <c r="H10" s="166"/>
      <c r="I10" s="1648" t="s">
        <v>140</v>
      </c>
      <c r="J10" s="168" t="s">
        <v>141</v>
      </c>
    </row>
    <row r="11" spans="1:10" ht="12" hidden="1" customHeight="1" x14ac:dyDescent="0.2">
      <c r="A11" s="1675"/>
      <c r="B11" s="1663"/>
      <c r="C11" s="1664"/>
      <c r="D11" s="166">
        <v>549</v>
      </c>
      <c r="E11" s="169">
        <v>549</v>
      </c>
      <c r="F11" s="166">
        <v>0</v>
      </c>
      <c r="G11" s="167">
        <v>2241</v>
      </c>
      <c r="H11" s="166"/>
      <c r="I11" s="1648"/>
      <c r="J11" s="170" t="s">
        <v>141</v>
      </c>
    </row>
    <row r="12" spans="1:10" hidden="1" x14ac:dyDescent="0.2">
      <c r="A12" s="171"/>
      <c r="B12" s="172"/>
      <c r="C12" s="172"/>
      <c r="D12" s="173"/>
      <c r="E12" s="173"/>
      <c r="F12" s="174"/>
      <c r="G12" s="175"/>
      <c r="H12" s="173"/>
      <c r="I12" s="173"/>
      <c r="J12" s="176"/>
    </row>
    <row r="13" spans="1:10" hidden="1" x14ac:dyDescent="0.2">
      <c r="A13" s="1651" t="s">
        <v>129</v>
      </c>
      <c r="B13" s="1651"/>
      <c r="C13" s="177" t="s">
        <v>142</v>
      </c>
      <c r="D13" s="177"/>
      <c r="E13" s="177"/>
      <c r="F13" s="178"/>
      <c r="G13" s="179"/>
      <c r="H13" s="177"/>
      <c r="I13" s="177"/>
      <c r="J13" s="180"/>
    </row>
    <row r="14" spans="1:10" hidden="1" x14ac:dyDescent="0.2">
      <c r="A14" s="1651" t="s">
        <v>131</v>
      </c>
      <c r="B14" s="1651"/>
      <c r="C14" s="181" t="s">
        <v>143</v>
      </c>
      <c r="D14" s="182"/>
      <c r="E14" s="182"/>
      <c r="F14" s="183"/>
      <c r="G14" s="184"/>
      <c r="H14" s="182"/>
      <c r="I14" s="182"/>
      <c r="J14" s="185"/>
    </row>
    <row r="15" spans="1:10" ht="48" hidden="1" x14ac:dyDescent="0.2">
      <c r="A15" s="161" t="s">
        <v>4</v>
      </c>
      <c r="B15" s="1646" t="s">
        <v>133</v>
      </c>
      <c r="C15" s="1646"/>
      <c r="D15" s="161" t="s">
        <v>17</v>
      </c>
      <c r="E15" s="161" t="s">
        <v>15</v>
      </c>
      <c r="F15" s="162" t="s">
        <v>134</v>
      </c>
      <c r="G15" s="161" t="s">
        <v>135</v>
      </c>
      <c r="H15" s="1388" t="s">
        <v>3465</v>
      </c>
      <c r="I15" s="161" t="s">
        <v>14</v>
      </c>
      <c r="J15" s="161" t="s">
        <v>137</v>
      </c>
    </row>
    <row r="16" spans="1:10" hidden="1" x14ac:dyDescent="0.2">
      <c r="A16" s="1647" t="s">
        <v>138</v>
      </c>
      <c r="B16" s="1647"/>
      <c r="C16" s="1647"/>
      <c r="D16" s="163">
        <f>SUM(D17:D17)</f>
        <v>15000</v>
      </c>
      <c r="E16" s="163">
        <f>SUM(E17:E17)</f>
        <v>1797</v>
      </c>
      <c r="F16" s="163">
        <f>SUM(F17:F17)</f>
        <v>0</v>
      </c>
      <c r="G16" s="186"/>
      <c r="H16" s="163">
        <f>SUM(H17:H17)</f>
        <v>0</v>
      </c>
      <c r="I16" s="166"/>
      <c r="J16" s="170"/>
    </row>
    <row r="17" spans="1:10" ht="25.5" hidden="1" customHeight="1" x14ac:dyDescent="0.2">
      <c r="A17" s="187">
        <v>1</v>
      </c>
      <c r="B17" s="1645" t="s">
        <v>144</v>
      </c>
      <c r="C17" s="1645"/>
      <c r="D17" s="166">
        <v>15000</v>
      </c>
      <c r="E17" s="166">
        <v>1797</v>
      </c>
      <c r="F17" s="166">
        <v>0</v>
      </c>
      <c r="G17" s="167">
        <v>5250</v>
      </c>
      <c r="H17" s="166"/>
      <c r="I17" s="188" t="s">
        <v>145</v>
      </c>
      <c r="J17" s="170" t="s">
        <v>141</v>
      </c>
    </row>
    <row r="18" spans="1:10" hidden="1" x14ac:dyDescent="0.2">
      <c r="A18" s="189"/>
      <c r="B18" s="190"/>
      <c r="C18" s="190"/>
      <c r="D18" s="191"/>
      <c r="E18" s="191"/>
      <c r="F18" s="191"/>
      <c r="G18" s="192"/>
      <c r="H18" s="191"/>
      <c r="I18" s="193"/>
      <c r="J18" s="194"/>
    </row>
    <row r="19" spans="1:10" hidden="1" x14ac:dyDescent="0.2">
      <c r="A19" s="1651" t="s">
        <v>129</v>
      </c>
      <c r="B19" s="1651"/>
      <c r="C19" s="177" t="s">
        <v>146</v>
      </c>
      <c r="D19" s="177"/>
      <c r="E19" s="177"/>
      <c r="F19" s="178"/>
      <c r="G19" s="179"/>
      <c r="H19" s="177"/>
      <c r="I19" s="177"/>
      <c r="J19" s="180"/>
    </row>
    <row r="20" spans="1:10" hidden="1" x14ac:dyDescent="0.2">
      <c r="A20" s="1651" t="s">
        <v>131</v>
      </c>
      <c r="B20" s="1651"/>
      <c r="C20" s="181" t="s">
        <v>147</v>
      </c>
      <c r="D20" s="182"/>
      <c r="E20" s="182"/>
      <c r="F20" s="183"/>
      <c r="G20" s="184"/>
      <c r="H20" s="182"/>
      <c r="I20" s="182"/>
      <c r="J20" s="185"/>
    </row>
    <row r="21" spans="1:10" ht="48" hidden="1" x14ac:dyDescent="0.2">
      <c r="A21" s="161" t="s">
        <v>4</v>
      </c>
      <c r="B21" s="1646" t="s">
        <v>133</v>
      </c>
      <c r="C21" s="1646"/>
      <c r="D21" s="161" t="s">
        <v>17</v>
      </c>
      <c r="E21" s="161" t="s">
        <v>15</v>
      </c>
      <c r="F21" s="162" t="s">
        <v>134</v>
      </c>
      <c r="G21" s="161" t="s">
        <v>135</v>
      </c>
      <c r="H21" s="1388" t="s">
        <v>3465</v>
      </c>
      <c r="I21" s="161" t="s">
        <v>14</v>
      </c>
      <c r="J21" s="161" t="s">
        <v>137</v>
      </c>
    </row>
    <row r="22" spans="1:10" hidden="1" x14ac:dyDescent="0.2">
      <c r="A22" s="1647" t="s">
        <v>138</v>
      </c>
      <c r="B22" s="1647"/>
      <c r="C22" s="1647"/>
      <c r="D22" s="163">
        <f>SUM(D23:D25)</f>
        <v>16315</v>
      </c>
      <c r="E22" s="163">
        <f>SUM(E23:E25)</f>
        <v>1150</v>
      </c>
      <c r="F22" s="163">
        <f>F23</f>
        <v>0</v>
      </c>
      <c r="G22" s="186"/>
      <c r="H22" s="163">
        <f>H23</f>
        <v>0</v>
      </c>
      <c r="I22" s="166"/>
      <c r="J22" s="170"/>
    </row>
    <row r="23" spans="1:10" ht="46.5" hidden="1" customHeight="1" x14ac:dyDescent="0.2">
      <c r="A23" s="1644">
        <v>1</v>
      </c>
      <c r="B23" s="1642" t="s">
        <v>148</v>
      </c>
      <c r="C23" s="1642"/>
      <c r="D23" s="166">
        <v>16315</v>
      </c>
      <c r="E23" s="166">
        <v>1150</v>
      </c>
      <c r="F23" s="166">
        <f>SUM(F24:F25)</f>
        <v>0</v>
      </c>
      <c r="G23" s="167">
        <v>5250</v>
      </c>
      <c r="H23" s="166"/>
      <c r="I23" s="1648" t="s">
        <v>149</v>
      </c>
      <c r="J23" s="195" t="s">
        <v>150</v>
      </c>
    </row>
    <row r="24" spans="1:10" ht="69" hidden="1" customHeight="1" x14ac:dyDescent="0.2">
      <c r="A24" s="1644"/>
      <c r="B24" s="1642"/>
      <c r="C24" s="1642"/>
      <c r="D24" s="166"/>
      <c r="E24" s="166"/>
      <c r="F24" s="196">
        <v>0</v>
      </c>
      <c r="G24" s="197"/>
      <c r="H24" s="166"/>
      <c r="I24" s="1648"/>
      <c r="J24" s="170" t="s">
        <v>151</v>
      </c>
    </row>
    <row r="25" spans="1:10" ht="66" hidden="1" customHeight="1" x14ac:dyDescent="0.2">
      <c r="A25" s="1644"/>
      <c r="B25" s="1642"/>
      <c r="C25" s="1642"/>
      <c r="D25" s="166"/>
      <c r="E25" s="166"/>
      <c r="F25" s="196">
        <v>0</v>
      </c>
      <c r="G25" s="197"/>
      <c r="H25" s="166"/>
      <c r="I25" s="1648"/>
      <c r="J25" s="170" t="s">
        <v>152</v>
      </c>
    </row>
    <row r="26" spans="1:10" hidden="1" x14ac:dyDescent="0.2">
      <c r="A26" s="171"/>
      <c r="B26" s="172"/>
      <c r="C26" s="172"/>
      <c r="D26" s="191"/>
      <c r="E26" s="191"/>
      <c r="F26" s="198"/>
      <c r="G26" s="199"/>
      <c r="H26" s="191"/>
      <c r="I26" s="191"/>
      <c r="J26" s="194"/>
    </row>
    <row r="27" spans="1:10" x14ac:dyDescent="0.2">
      <c r="A27" s="1651" t="s">
        <v>129</v>
      </c>
      <c r="B27" s="1651"/>
      <c r="C27" s="177" t="s">
        <v>153</v>
      </c>
      <c r="D27" s="177"/>
      <c r="E27" s="177"/>
      <c r="F27" s="178"/>
      <c r="G27" s="177"/>
      <c r="H27" s="177"/>
      <c r="I27" s="177"/>
      <c r="J27" s="180"/>
    </row>
    <row r="28" spans="1:10" x14ac:dyDescent="0.2">
      <c r="A28" s="1651" t="s">
        <v>131</v>
      </c>
      <c r="B28" s="1651"/>
      <c r="C28" s="181" t="s">
        <v>154</v>
      </c>
      <c r="D28" s="182"/>
      <c r="E28" s="182"/>
      <c r="F28" s="183"/>
      <c r="G28" s="182"/>
      <c r="H28" s="182"/>
      <c r="I28" s="182"/>
      <c r="J28" s="185"/>
    </row>
    <row r="29" spans="1:10" ht="48" x14ac:dyDescent="0.2">
      <c r="A29" s="161" t="s">
        <v>4</v>
      </c>
      <c r="B29" s="1646" t="s">
        <v>133</v>
      </c>
      <c r="C29" s="1646"/>
      <c r="D29" s="161" t="s">
        <v>17</v>
      </c>
      <c r="E29" s="161" t="s">
        <v>15</v>
      </c>
      <c r="F29" s="162" t="s">
        <v>134</v>
      </c>
      <c r="G29" s="161" t="s">
        <v>135</v>
      </c>
      <c r="H29" s="1388" t="s">
        <v>3465</v>
      </c>
      <c r="I29" s="161" t="s">
        <v>14</v>
      </c>
      <c r="J29" s="161" t="s">
        <v>137</v>
      </c>
    </row>
    <row r="30" spans="1:10" x14ac:dyDescent="0.2">
      <c r="A30" s="1647" t="s">
        <v>138</v>
      </c>
      <c r="B30" s="1647"/>
      <c r="C30" s="1647"/>
      <c r="D30" s="163">
        <f>SUM(D31:D47)</f>
        <v>4291125.8899999997</v>
      </c>
      <c r="E30" s="163">
        <f>SUM(E31:E47)</f>
        <v>3726282.89</v>
      </c>
      <c r="F30" s="163">
        <f>F31+F33+F35+F36+F37+F38+F40+F41+F47+F32+F34+F42+F43</f>
        <v>398808</v>
      </c>
      <c r="G30" s="163"/>
      <c r="H30" s="163">
        <f>H31+H33+H35+H36+H37+H38+H40+H41+H47+H32+H34+H42+H43</f>
        <v>398808</v>
      </c>
      <c r="I30" s="164"/>
      <c r="J30" s="170"/>
    </row>
    <row r="31" spans="1:10" ht="17.25" customHeight="1" x14ac:dyDescent="0.2">
      <c r="A31" s="1644">
        <v>1</v>
      </c>
      <c r="B31" s="1645" t="s">
        <v>155</v>
      </c>
      <c r="C31" s="1645"/>
      <c r="D31" s="166">
        <v>2288455</v>
      </c>
      <c r="E31" s="166">
        <v>2038407</v>
      </c>
      <c r="F31" s="166">
        <v>224415</v>
      </c>
      <c r="G31" s="200">
        <v>5240</v>
      </c>
      <c r="H31" s="166">
        <v>224415</v>
      </c>
      <c r="I31" s="1648" t="s">
        <v>156</v>
      </c>
      <c r="J31" s="1672" t="s">
        <v>157</v>
      </c>
    </row>
    <row r="32" spans="1:10" ht="18" customHeight="1" x14ac:dyDescent="0.2">
      <c r="A32" s="1644"/>
      <c r="B32" s="1645"/>
      <c r="C32" s="1645"/>
      <c r="D32" s="166">
        <v>1782358</v>
      </c>
      <c r="E32" s="166">
        <v>1612581</v>
      </c>
      <c r="F32" s="166">
        <v>106312</v>
      </c>
      <c r="G32" s="167">
        <v>5250</v>
      </c>
      <c r="H32" s="166">
        <v>106312</v>
      </c>
      <c r="I32" s="1648"/>
      <c r="J32" s="1673"/>
    </row>
    <row r="33" spans="1:10" ht="12" hidden="1" customHeight="1" x14ac:dyDescent="0.2">
      <c r="A33" s="1644">
        <v>2</v>
      </c>
      <c r="B33" s="1645" t="s">
        <v>158</v>
      </c>
      <c r="C33" s="1645"/>
      <c r="D33" s="166">
        <v>4104</v>
      </c>
      <c r="E33" s="166">
        <v>4104</v>
      </c>
      <c r="F33" s="166">
        <v>0</v>
      </c>
      <c r="G33" s="167">
        <v>5250</v>
      </c>
      <c r="H33" s="166"/>
      <c r="I33" s="1648" t="s">
        <v>159</v>
      </c>
      <c r="J33" s="170" t="s">
        <v>141</v>
      </c>
    </row>
    <row r="34" spans="1:10" ht="15" hidden="1" customHeight="1" x14ac:dyDescent="0.2">
      <c r="A34" s="1644"/>
      <c r="B34" s="1645"/>
      <c r="C34" s="1645"/>
      <c r="D34" s="166">
        <v>2432</v>
      </c>
      <c r="E34" s="166">
        <v>2432</v>
      </c>
      <c r="F34" s="166">
        <v>0</v>
      </c>
      <c r="G34" s="167">
        <v>2241</v>
      </c>
      <c r="H34" s="166"/>
      <c r="I34" s="1648"/>
      <c r="J34" s="170" t="s">
        <v>141</v>
      </c>
    </row>
    <row r="35" spans="1:10" hidden="1" x14ac:dyDescent="0.2">
      <c r="A35" s="202">
        <v>3</v>
      </c>
      <c r="B35" s="1645" t="s">
        <v>160</v>
      </c>
      <c r="C35" s="1645"/>
      <c r="D35" s="166">
        <v>4300</v>
      </c>
      <c r="E35" s="166">
        <v>4300</v>
      </c>
      <c r="F35" s="166">
        <v>0</v>
      </c>
      <c r="G35" s="167">
        <v>2241</v>
      </c>
      <c r="H35" s="166"/>
      <c r="I35" s="188" t="s">
        <v>161</v>
      </c>
      <c r="J35" s="170" t="s">
        <v>141</v>
      </c>
    </row>
    <row r="36" spans="1:10" hidden="1" x14ac:dyDescent="0.2">
      <c r="A36" s="187">
        <v>4</v>
      </c>
      <c r="B36" s="1645" t="s">
        <v>162</v>
      </c>
      <c r="C36" s="1645"/>
      <c r="D36" s="166">
        <v>426</v>
      </c>
      <c r="E36" s="166">
        <v>426</v>
      </c>
      <c r="F36" s="166">
        <v>0</v>
      </c>
      <c r="G36" s="167">
        <v>2239</v>
      </c>
      <c r="H36" s="166"/>
      <c r="I36" s="188" t="s">
        <v>163</v>
      </c>
      <c r="J36" s="170" t="s">
        <v>141</v>
      </c>
    </row>
    <row r="37" spans="1:10" ht="24" hidden="1" customHeight="1" x14ac:dyDescent="0.2">
      <c r="A37" s="187">
        <v>5</v>
      </c>
      <c r="B37" s="1645" t="s">
        <v>164</v>
      </c>
      <c r="C37" s="1645"/>
      <c r="D37" s="203">
        <v>10648</v>
      </c>
      <c r="E37" s="203">
        <v>10648</v>
      </c>
      <c r="F37" s="203">
        <v>0</v>
      </c>
      <c r="G37" s="204">
        <v>5250</v>
      </c>
      <c r="H37" s="203"/>
      <c r="I37" s="205" t="s">
        <v>165</v>
      </c>
      <c r="J37" s="170" t="s">
        <v>141</v>
      </c>
    </row>
    <row r="38" spans="1:10" ht="37.5" customHeight="1" x14ac:dyDescent="0.2">
      <c r="A38" s="1641">
        <v>2</v>
      </c>
      <c r="B38" s="1642" t="s">
        <v>166</v>
      </c>
      <c r="C38" s="1642"/>
      <c r="D38" s="203">
        <v>74899</v>
      </c>
      <c r="E38" s="203">
        <v>5881</v>
      </c>
      <c r="F38" s="203">
        <f>SUM(F39)</f>
        <v>5445</v>
      </c>
      <c r="G38" s="204">
        <v>5240</v>
      </c>
      <c r="H38" s="203">
        <v>5445</v>
      </c>
      <c r="I38" s="1643" t="s">
        <v>167</v>
      </c>
      <c r="J38" s="195" t="s">
        <v>168</v>
      </c>
    </row>
    <row r="39" spans="1:10" ht="168" hidden="1" customHeight="1" x14ac:dyDescent="0.2">
      <c r="A39" s="1641"/>
      <c r="B39" s="1642"/>
      <c r="C39" s="1642"/>
      <c r="D39" s="203"/>
      <c r="E39" s="203"/>
      <c r="F39" s="206">
        <v>5445</v>
      </c>
      <c r="G39" s="204"/>
      <c r="H39" s="203"/>
      <c r="I39" s="1643"/>
      <c r="J39" s="170" t="s">
        <v>169</v>
      </c>
    </row>
    <row r="40" spans="1:10" ht="24" hidden="1" customHeight="1" x14ac:dyDescent="0.2">
      <c r="A40" s="187">
        <v>7</v>
      </c>
      <c r="B40" s="1645" t="s">
        <v>170</v>
      </c>
      <c r="C40" s="1645"/>
      <c r="D40" s="166">
        <v>45688.89</v>
      </c>
      <c r="E40" s="203">
        <v>45688.89</v>
      </c>
      <c r="F40" s="166">
        <v>0</v>
      </c>
      <c r="G40" s="204">
        <v>5250</v>
      </c>
      <c r="H40" s="203"/>
      <c r="I40" s="188" t="s">
        <v>171</v>
      </c>
      <c r="J40" s="170" t="s">
        <v>141</v>
      </c>
    </row>
    <row r="41" spans="1:10" hidden="1" x14ac:dyDescent="0.2">
      <c r="A41" s="187">
        <v>8</v>
      </c>
      <c r="B41" s="1645" t="s">
        <v>172</v>
      </c>
      <c r="C41" s="1645"/>
      <c r="D41" s="166">
        <v>1815</v>
      </c>
      <c r="E41" s="166">
        <v>1815</v>
      </c>
      <c r="F41" s="166">
        <v>0</v>
      </c>
      <c r="G41" s="167">
        <v>5250</v>
      </c>
      <c r="H41" s="166"/>
      <c r="I41" s="188" t="s">
        <v>159</v>
      </c>
      <c r="J41" s="170" t="s">
        <v>141</v>
      </c>
    </row>
    <row r="42" spans="1:10" ht="13.5" customHeight="1" x14ac:dyDescent="0.2">
      <c r="A42" s="187">
        <v>3</v>
      </c>
      <c r="B42" s="1671" t="s">
        <v>173</v>
      </c>
      <c r="C42" s="1671"/>
      <c r="D42" s="166"/>
      <c r="E42" s="166"/>
      <c r="F42" s="166">
        <v>557</v>
      </c>
      <c r="G42" s="207">
        <v>5240</v>
      </c>
      <c r="H42" s="208">
        <v>557</v>
      </c>
      <c r="I42" s="209" t="s">
        <v>174</v>
      </c>
      <c r="J42" s="210" t="s">
        <v>175</v>
      </c>
    </row>
    <row r="43" spans="1:10" ht="25.5" customHeight="1" x14ac:dyDescent="0.2">
      <c r="A43" s="1656">
        <v>4</v>
      </c>
      <c r="B43" s="1665" t="s">
        <v>176</v>
      </c>
      <c r="C43" s="1666"/>
      <c r="D43" s="166">
        <v>49000</v>
      </c>
      <c r="E43" s="166"/>
      <c r="F43" s="166">
        <f>SUM(F44:F46)</f>
        <v>62079</v>
      </c>
      <c r="G43" s="207">
        <v>5250</v>
      </c>
      <c r="H43" s="208">
        <f>SUM(H44:H46)</f>
        <v>62079</v>
      </c>
      <c r="I43" s="1643" t="s">
        <v>177</v>
      </c>
      <c r="J43" s="211" t="s">
        <v>178</v>
      </c>
    </row>
    <row r="44" spans="1:10" ht="24" hidden="1" customHeight="1" x14ac:dyDescent="0.2">
      <c r="A44" s="1657"/>
      <c r="B44" s="1667"/>
      <c r="C44" s="1668"/>
      <c r="D44" s="166"/>
      <c r="E44" s="166"/>
      <c r="F44" s="212">
        <v>49610</v>
      </c>
      <c r="G44" s="207"/>
      <c r="H44" s="213">
        <v>49610</v>
      </c>
      <c r="I44" s="1643"/>
      <c r="J44" s="214" t="s">
        <v>179</v>
      </c>
    </row>
    <row r="45" spans="1:10" ht="24" hidden="1" customHeight="1" x14ac:dyDescent="0.2">
      <c r="A45" s="1657"/>
      <c r="B45" s="1667"/>
      <c r="C45" s="1668"/>
      <c r="D45" s="166"/>
      <c r="E45" s="166"/>
      <c r="F45" s="212">
        <v>12099</v>
      </c>
      <c r="G45" s="207"/>
      <c r="H45" s="213">
        <v>12099</v>
      </c>
      <c r="I45" s="1643"/>
      <c r="J45" s="214" t="s">
        <v>180</v>
      </c>
    </row>
    <row r="46" spans="1:10" ht="24" hidden="1" customHeight="1" x14ac:dyDescent="0.2">
      <c r="A46" s="1658"/>
      <c r="B46" s="1669"/>
      <c r="C46" s="1670"/>
      <c r="D46" s="166"/>
      <c r="E46" s="166"/>
      <c r="F46" s="212">
        <v>370</v>
      </c>
      <c r="G46" s="207"/>
      <c r="H46" s="213">
        <v>370</v>
      </c>
      <c r="I46" s="1643"/>
      <c r="J46" s="214" t="s">
        <v>181</v>
      </c>
    </row>
    <row r="47" spans="1:10" ht="26.25" hidden="1" customHeight="1" x14ac:dyDescent="0.2">
      <c r="A47" s="187">
        <v>11</v>
      </c>
      <c r="B47" s="1645" t="s">
        <v>182</v>
      </c>
      <c r="C47" s="1645"/>
      <c r="D47" s="169">
        <v>27000</v>
      </c>
      <c r="E47" s="169">
        <v>0</v>
      </c>
      <c r="F47" s="166">
        <v>0</v>
      </c>
      <c r="G47" s="167">
        <v>5250</v>
      </c>
      <c r="H47" s="166"/>
      <c r="I47" s="188" t="s">
        <v>183</v>
      </c>
      <c r="J47" s="168" t="s">
        <v>141</v>
      </c>
    </row>
    <row r="48" spans="1:10" x14ac:dyDescent="0.2">
      <c r="A48" s="249"/>
      <c r="B48" s="1423"/>
      <c r="C48" s="1423"/>
      <c r="D48" s="215"/>
      <c r="E48" s="215"/>
      <c r="F48" s="216"/>
      <c r="G48" s="217"/>
      <c r="H48" s="215"/>
      <c r="I48" s="1424"/>
      <c r="J48" s="218"/>
    </row>
    <row r="49" spans="1:10" x14ac:dyDescent="0.2">
      <c r="A49" s="1649" t="s">
        <v>129</v>
      </c>
      <c r="B49" s="1649"/>
      <c r="C49" s="1649" t="s">
        <v>184</v>
      </c>
      <c r="D49" s="1649"/>
      <c r="E49" s="1649"/>
      <c r="F49" s="1649"/>
      <c r="G49" s="1649"/>
      <c r="H49" s="1649"/>
      <c r="I49" s="1649"/>
      <c r="J49" s="1649"/>
    </row>
    <row r="50" spans="1:10" x14ac:dyDescent="0.2">
      <c r="A50" s="1650" t="s">
        <v>131</v>
      </c>
      <c r="B50" s="1650"/>
      <c r="C50" s="219" t="s">
        <v>185</v>
      </c>
      <c r="D50" s="220"/>
      <c r="E50" s="220"/>
      <c r="F50" s="221"/>
      <c r="G50" s="222"/>
      <c r="H50" s="222"/>
      <c r="I50" s="222"/>
      <c r="J50" s="222"/>
    </row>
    <row r="51" spans="1:10" ht="48" x14ac:dyDescent="0.2">
      <c r="A51" s="161" t="s">
        <v>4</v>
      </c>
      <c r="B51" s="1646" t="s">
        <v>133</v>
      </c>
      <c r="C51" s="1646"/>
      <c r="D51" s="161" t="s">
        <v>17</v>
      </c>
      <c r="E51" s="161" t="s">
        <v>15</v>
      </c>
      <c r="F51" s="162" t="s">
        <v>134</v>
      </c>
      <c r="G51" s="161" t="s">
        <v>135</v>
      </c>
      <c r="H51" s="1388" t="s">
        <v>3465</v>
      </c>
      <c r="I51" s="161" t="s">
        <v>14</v>
      </c>
      <c r="J51" s="161" t="s">
        <v>137</v>
      </c>
    </row>
    <row r="52" spans="1:10" x14ac:dyDescent="0.2">
      <c r="A52" s="1647" t="s">
        <v>138</v>
      </c>
      <c r="B52" s="1647"/>
      <c r="C52" s="1647"/>
      <c r="D52" s="163">
        <f>SUM(D53:D69)</f>
        <v>789285</v>
      </c>
      <c r="E52" s="163">
        <f>SUM(E53:E69)</f>
        <v>409683</v>
      </c>
      <c r="F52" s="163">
        <f>F53+F57+F58+F60+F65+F67+F69</f>
        <v>583769.34</v>
      </c>
      <c r="G52" s="163"/>
      <c r="H52" s="163">
        <f>H53+H57+H58+H60+H65+H67+H69</f>
        <v>583769</v>
      </c>
      <c r="I52" s="186"/>
      <c r="J52" s="168"/>
    </row>
    <row r="53" spans="1:10" ht="24" customHeight="1" x14ac:dyDescent="0.2">
      <c r="A53" s="1644">
        <v>1</v>
      </c>
      <c r="B53" s="1645" t="s">
        <v>186</v>
      </c>
      <c r="C53" s="1645"/>
      <c r="D53" s="166">
        <v>283405</v>
      </c>
      <c r="E53" s="166">
        <f>363+424</f>
        <v>787</v>
      </c>
      <c r="F53" s="166">
        <f>SUM(F54:F56)</f>
        <v>282535</v>
      </c>
      <c r="G53" s="167">
        <v>5240</v>
      </c>
      <c r="H53" s="166">
        <f>SUM(H54:H56)</f>
        <v>282535</v>
      </c>
      <c r="I53" s="1648" t="s">
        <v>187</v>
      </c>
      <c r="J53" s="223" t="s">
        <v>188</v>
      </c>
    </row>
    <row r="54" spans="1:10" ht="33.75" hidden="1" x14ac:dyDescent="0.2">
      <c r="A54" s="1644"/>
      <c r="B54" s="1645"/>
      <c r="C54" s="1645"/>
      <c r="D54" s="166"/>
      <c r="E54" s="166"/>
      <c r="F54" s="224">
        <v>265595</v>
      </c>
      <c r="G54" s="167"/>
      <c r="H54" s="166">
        <v>265595</v>
      </c>
      <c r="I54" s="1648"/>
      <c r="J54" s="170" t="s">
        <v>189</v>
      </c>
    </row>
    <row r="55" spans="1:10" ht="67.5" hidden="1" customHeight="1" x14ac:dyDescent="0.2">
      <c r="A55" s="1644"/>
      <c r="B55" s="1645"/>
      <c r="C55" s="1645"/>
      <c r="D55" s="166"/>
      <c r="E55" s="166"/>
      <c r="F55" s="224">
        <v>0</v>
      </c>
      <c r="G55" s="167"/>
      <c r="H55" s="166"/>
      <c r="I55" s="1648"/>
      <c r="J55" s="170" t="s">
        <v>190</v>
      </c>
    </row>
    <row r="56" spans="1:10" ht="33.75" hidden="1" x14ac:dyDescent="0.2">
      <c r="A56" s="1644"/>
      <c r="B56" s="1645"/>
      <c r="C56" s="1645"/>
      <c r="D56" s="166"/>
      <c r="E56" s="166"/>
      <c r="F56" s="224">
        <f>ROUND((14000*1.21),2)</f>
        <v>16940</v>
      </c>
      <c r="G56" s="167"/>
      <c r="H56" s="166">
        <v>16940</v>
      </c>
      <c r="I56" s="1648"/>
      <c r="J56" s="170" t="s">
        <v>191</v>
      </c>
    </row>
    <row r="57" spans="1:10" ht="27" hidden="1" customHeight="1" x14ac:dyDescent="0.2">
      <c r="A57" s="187">
        <f>A53+1</f>
        <v>2</v>
      </c>
      <c r="B57" s="1645" t="s">
        <v>192</v>
      </c>
      <c r="C57" s="1645"/>
      <c r="D57" s="166">
        <v>50000</v>
      </c>
      <c r="E57" s="166">
        <v>10951</v>
      </c>
      <c r="F57" s="166">
        <f>SUM(0)</f>
        <v>0</v>
      </c>
      <c r="G57" s="167">
        <v>5240</v>
      </c>
      <c r="H57" s="166"/>
      <c r="I57" s="188" t="s">
        <v>193</v>
      </c>
      <c r="J57" s="223" t="s">
        <v>194</v>
      </c>
    </row>
    <row r="58" spans="1:10" ht="45" hidden="1" customHeight="1" x14ac:dyDescent="0.2">
      <c r="A58" s="1644">
        <f>A57+1</f>
        <v>3</v>
      </c>
      <c r="B58" s="1645" t="s">
        <v>195</v>
      </c>
      <c r="C58" s="1645"/>
      <c r="D58" s="166">
        <f>195536+1089</f>
        <v>196625</v>
      </c>
      <c r="E58" s="166">
        <v>195536</v>
      </c>
      <c r="F58" s="166">
        <f>SUM(F59:F59)</f>
        <v>0</v>
      </c>
      <c r="G58" s="167">
        <v>5250</v>
      </c>
      <c r="H58" s="166"/>
      <c r="I58" s="1648" t="s">
        <v>196</v>
      </c>
      <c r="J58" s="223" t="s">
        <v>197</v>
      </c>
    </row>
    <row r="59" spans="1:10" ht="67.5" hidden="1" customHeight="1" x14ac:dyDescent="0.2">
      <c r="A59" s="1644"/>
      <c r="B59" s="1645"/>
      <c r="C59" s="1645"/>
      <c r="D59" s="166"/>
      <c r="E59" s="166"/>
      <c r="F59" s="224">
        <v>0</v>
      </c>
      <c r="G59" s="167"/>
      <c r="H59" s="166"/>
      <c r="I59" s="1648"/>
      <c r="J59" s="168" t="s">
        <v>198</v>
      </c>
    </row>
    <row r="60" spans="1:10" ht="49.5" customHeight="1" x14ac:dyDescent="0.2">
      <c r="A60" s="1644">
        <v>2</v>
      </c>
      <c r="B60" s="1645" t="s">
        <v>199</v>
      </c>
      <c r="C60" s="1645"/>
      <c r="D60" s="166">
        <f>190551+605</f>
        <v>191156</v>
      </c>
      <c r="E60" s="166">
        <v>134310</v>
      </c>
      <c r="F60" s="166">
        <f>SUM(F61:F64)</f>
        <v>301234.33999999997</v>
      </c>
      <c r="G60" s="167">
        <v>5240</v>
      </c>
      <c r="H60" s="166">
        <f>SUM(H61:H64)</f>
        <v>301234</v>
      </c>
      <c r="I60" s="1648" t="s">
        <v>200</v>
      </c>
      <c r="J60" s="223" t="s">
        <v>178</v>
      </c>
    </row>
    <row r="61" spans="1:10" ht="56.25" hidden="1" x14ac:dyDescent="0.2">
      <c r="A61" s="1644"/>
      <c r="B61" s="1645"/>
      <c r="C61" s="1645"/>
      <c r="D61" s="166"/>
      <c r="E61" s="166"/>
      <c r="F61" s="224">
        <v>228690</v>
      </c>
      <c r="G61" s="167"/>
      <c r="H61" s="166">
        <v>228690</v>
      </c>
      <c r="I61" s="1648"/>
      <c r="J61" s="168" t="s">
        <v>201</v>
      </c>
    </row>
    <row r="62" spans="1:10" ht="56.25" hidden="1" x14ac:dyDescent="0.2">
      <c r="A62" s="1644"/>
      <c r="B62" s="1645"/>
      <c r="C62" s="1645"/>
      <c r="D62" s="166"/>
      <c r="E62" s="166"/>
      <c r="F62" s="224">
        <f>ROUND((18954*1.21),2)</f>
        <v>22934.34</v>
      </c>
      <c r="G62" s="167"/>
      <c r="H62" s="166">
        <v>22934</v>
      </c>
      <c r="I62" s="1648"/>
      <c r="J62" s="168" t="s">
        <v>202</v>
      </c>
    </row>
    <row r="63" spans="1:10" ht="22.5" hidden="1" x14ac:dyDescent="0.2">
      <c r="A63" s="1644"/>
      <c r="B63" s="1645"/>
      <c r="C63" s="1645"/>
      <c r="D63" s="166"/>
      <c r="E63" s="166"/>
      <c r="F63" s="224">
        <f>ROUND((41000*1.21),0)</f>
        <v>49610</v>
      </c>
      <c r="G63" s="167"/>
      <c r="H63" s="166">
        <v>49610</v>
      </c>
      <c r="I63" s="1648"/>
      <c r="J63" s="168" t="s">
        <v>203</v>
      </c>
    </row>
    <row r="64" spans="1:10" ht="67.5" hidden="1" customHeight="1" x14ac:dyDescent="0.2">
      <c r="A64" s="1644"/>
      <c r="B64" s="1645"/>
      <c r="C64" s="1645"/>
      <c r="D64" s="166"/>
      <c r="E64" s="166"/>
      <c r="F64" s="224">
        <v>0</v>
      </c>
      <c r="G64" s="167"/>
      <c r="H64" s="166"/>
      <c r="I64" s="1648"/>
      <c r="J64" s="168" t="s">
        <v>204</v>
      </c>
    </row>
    <row r="65" spans="1:10" ht="45.75" hidden="1" customHeight="1" x14ac:dyDescent="0.2">
      <c r="A65" s="1652">
        <f>A60+1</f>
        <v>3</v>
      </c>
      <c r="B65" s="1645" t="s">
        <v>205</v>
      </c>
      <c r="C65" s="1645"/>
      <c r="D65" s="166">
        <v>31944</v>
      </c>
      <c r="E65" s="166">
        <v>31944</v>
      </c>
      <c r="F65" s="166">
        <f>SUM(F66:F66)</f>
        <v>0</v>
      </c>
      <c r="G65" s="167">
        <v>5250</v>
      </c>
      <c r="H65" s="166"/>
      <c r="I65" s="1648" t="s">
        <v>206</v>
      </c>
      <c r="J65" s="225" t="s">
        <v>207</v>
      </c>
    </row>
    <row r="66" spans="1:10" ht="55.5" hidden="1" customHeight="1" x14ac:dyDescent="0.2">
      <c r="A66" s="1652"/>
      <c r="B66" s="1645"/>
      <c r="C66" s="1645"/>
      <c r="D66" s="166"/>
      <c r="E66" s="166"/>
      <c r="F66" s="196">
        <v>0</v>
      </c>
      <c r="G66" s="167"/>
      <c r="H66" s="166"/>
      <c r="I66" s="1648"/>
      <c r="J66" s="168" t="s">
        <v>208</v>
      </c>
    </row>
    <row r="67" spans="1:10" ht="47.25" hidden="1" customHeight="1" x14ac:dyDescent="0.2">
      <c r="A67" s="1652">
        <f>A65+1</f>
        <v>4</v>
      </c>
      <c r="B67" s="1645" t="s">
        <v>209</v>
      </c>
      <c r="C67" s="1645"/>
      <c r="D67" s="166">
        <v>27104</v>
      </c>
      <c r="E67" s="166">
        <v>27104</v>
      </c>
      <c r="F67" s="166">
        <f>SUM(F68:F68)</f>
        <v>0</v>
      </c>
      <c r="G67" s="167">
        <v>5240</v>
      </c>
      <c r="H67" s="166"/>
      <c r="I67" s="1648" t="s">
        <v>210</v>
      </c>
      <c r="J67" s="223" t="s">
        <v>211</v>
      </c>
    </row>
    <row r="68" spans="1:10" ht="69.75" hidden="1" customHeight="1" x14ac:dyDescent="0.2">
      <c r="A68" s="1652"/>
      <c r="B68" s="1645"/>
      <c r="C68" s="1645"/>
      <c r="D68" s="166"/>
      <c r="E68" s="166"/>
      <c r="F68" s="224">
        <v>0</v>
      </c>
      <c r="G68" s="167"/>
      <c r="H68" s="166"/>
      <c r="I68" s="1648"/>
      <c r="J68" s="168" t="s">
        <v>212</v>
      </c>
    </row>
    <row r="69" spans="1:10" ht="15" hidden="1" customHeight="1" x14ac:dyDescent="0.2">
      <c r="A69" s="187">
        <f>A67+1</f>
        <v>5</v>
      </c>
      <c r="B69" s="1645" t="s">
        <v>213</v>
      </c>
      <c r="C69" s="1645"/>
      <c r="D69" s="169">
        <v>9051</v>
      </c>
      <c r="E69" s="169">
        <v>9051</v>
      </c>
      <c r="F69" s="166">
        <v>0</v>
      </c>
      <c r="G69" s="167">
        <v>5250</v>
      </c>
      <c r="H69" s="166"/>
      <c r="I69" s="188" t="s">
        <v>214</v>
      </c>
      <c r="J69" s="168" t="s">
        <v>141</v>
      </c>
    </row>
    <row r="70" spans="1:10" x14ac:dyDescent="0.2">
      <c r="A70" s="226"/>
      <c r="B70" s="227"/>
      <c r="C70" s="227"/>
      <c r="D70" s="228"/>
      <c r="E70" s="228"/>
      <c r="F70" s="229"/>
      <c r="G70" s="230"/>
      <c r="H70" s="228"/>
      <c r="I70" s="231"/>
      <c r="J70" s="232"/>
    </row>
    <row r="71" spans="1:10" hidden="1" x14ac:dyDescent="0.2">
      <c r="A71" s="1649" t="s">
        <v>129</v>
      </c>
      <c r="B71" s="1649"/>
      <c r="C71" s="233" t="s">
        <v>215</v>
      </c>
      <c r="D71" s="233"/>
      <c r="E71" s="233"/>
      <c r="F71" s="234"/>
      <c r="G71" s="233"/>
      <c r="H71" s="233"/>
      <c r="I71" s="233"/>
      <c r="J71" s="235"/>
    </row>
    <row r="72" spans="1:10" hidden="1" x14ac:dyDescent="0.2">
      <c r="A72" s="1650" t="s">
        <v>131</v>
      </c>
      <c r="B72" s="1650"/>
      <c r="C72" s="219" t="s">
        <v>216</v>
      </c>
      <c r="D72" s="220"/>
      <c r="E72" s="220"/>
      <c r="F72" s="221"/>
      <c r="G72" s="220"/>
      <c r="H72" s="220"/>
      <c r="I72" s="220"/>
      <c r="J72" s="236"/>
    </row>
    <row r="73" spans="1:10" ht="48" hidden="1" x14ac:dyDescent="0.2">
      <c r="A73" s="161" t="s">
        <v>4</v>
      </c>
      <c r="B73" s="1646" t="s">
        <v>133</v>
      </c>
      <c r="C73" s="1646"/>
      <c r="D73" s="161" t="s">
        <v>17</v>
      </c>
      <c r="E73" s="161" t="s">
        <v>15</v>
      </c>
      <c r="F73" s="162" t="s">
        <v>134</v>
      </c>
      <c r="G73" s="161" t="s">
        <v>135</v>
      </c>
      <c r="H73" s="1388" t="s">
        <v>3465</v>
      </c>
      <c r="I73" s="161" t="s">
        <v>14</v>
      </c>
      <c r="J73" s="161" t="s">
        <v>137</v>
      </c>
    </row>
    <row r="74" spans="1:10" hidden="1" x14ac:dyDescent="0.2">
      <c r="A74" s="1647" t="s">
        <v>138</v>
      </c>
      <c r="B74" s="1647"/>
      <c r="C74" s="1647"/>
      <c r="D74" s="163">
        <f>SUM(D75:D75)</f>
        <v>1290</v>
      </c>
      <c r="E74" s="163">
        <f>SUM(E75:E75)</f>
        <v>1290</v>
      </c>
      <c r="F74" s="163">
        <f>F75</f>
        <v>0</v>
      </c>
      <c r="G74" s="163"/>
      <c r="H74" s="163">
        <f>SUM(H75:H75)</f>
        <v>0</v>
      </c>
      <c r="I74" s="188"/>
      <c r="J74" s="168"/>
    </row>
    <row r="75" spans="1:10" ht="24" hidden="1" x14ac:dyDescent="0.2">
      <c r="A75" s="187">
        <v>1</v>
      </c>
      <c r="B75" s="1645" t="s">
        <v>217</v>
      </c>
      <c r="C75" s="1645"/>
      <c r="D75" s="166">
        <v>1290</v>
      </c>
      <c r="E75" s="166">
        <v>1290</v>
      </c>
      <c r="F75" s="166">
        <v>0</v>
      </c>
      <c r="G75" s="167">
        <v>2241</v>
      </c>
      <c r="H75" s="166"/>
      <c r="I75" s="188" t="s">
        <v>218</v>
      </c>
      <c r="J75" s="168" t="s">
        <v>141</v>
      </c>
    </row>
    <row r="76" spans="1:10" ht="6.75" hidden="1" customHeight="1" x14ac:dyDescent="0.2">
      <c r="A76" s="189"/>
      <c r="B76" s="190"/>
      <c r="C76" s="190"/>
      <c r="D76" s="191"/>
      <c r="E76" s="191"/>
      <c r="F76" s="191"/>
      <c r="G76" s="192"/>
      <c r="H76" s="191"/>
      <c r="I76" s="191"/>
      <c r="J76" s="194"/>
    </row>
    <row r="77" spans="1:10" hidden="1" x14ac:dyDescent="0.2">
      <c r="A77" s="1651" t="s">
        <v>129</v>
      </c>
      <c r="B77" s="1651"/>
      <c r="C77" s="177" t="s">
        <v>219</v>
      </c>
      <c r="D77" s="177"/>
      <c r="E77" s="177"/>
      <c r="F77" s="178"/>
      <c r="G77" s="179"/>
      <c r="H77" s="177"/>
      <c r="I77" s="177"/>
      <c r="J77" s="180"/>
    </row>
    <row r="78" spans="1:10" hidden="1" x14ac:dyDescent="0.2">
      <c r="A78" s="1651" t="s">
        <v>131</v>
      </c>
      <c r="B78" s="1651"/>
      <c r="C78" s="181" t="s">
        <v>220</v>
      </c>
      <c r="D78" s="182"/>
      <c r="E78" s="182"/>
      <c r="F78" s="183"/>
      <c r="G78" s="184"/>
      <c r="H78" s="182"/>
      <c r="I78" s="182"/>
      <c r="J78" s="185"/>
    </row>
    <row r="79" spans="1:10" ht="48" hidden="1" x14ac:dyDescent="0.2">
      <c r="A79" s="161" t="s">
        <v>4</v>
      </c>
      <c r="B79" s="1646" t="s">
        <v>133</v>
      </c>
      <c r="C79" s="1646"/>
      <c r="D79" s="161" t="s">
        <v>17</v>
      </c>
      <c r="E79" s="161" t="s">
        <v>15</v>
      </c>
      <c r="F79" s="162" t="s">
        <v>134</v>
      </c>
      <c r="G79" s="161" t="s">
        <v>135</v>
      </c>
      <c r="H79" s="1388" t="s">
        <v>3465</v>
      </c>
      <c r="I79" s="161" t="s">
        <v>14</v>
      </c>
      <c r="J79" s="161" t="s">
        <v>137</v>
      </c>
    </row>
    <row r="80" spans="1:10" ht="19.5" hidden="1" customHeight="1" x14ac:dyDescent="0.2">
      <c r="A80" s="1647" t="s">
        <v>138</v>
      </c>
      <c r="B80" s="1647"/>
      <c r="C80" s="1647"/>
      <c r="D80" s="163">
        <f>SUM(D81:D81)</f>
        <v>4994</v>
      </c>
      <c r="E80" s="163">
        <f>SUM(E81:E81)</f>
        <v>4653</v>
      </c>
      <c r="F80" s="163">
        <f>F81</f>
        <v>0</v>
      </c>
      <c r="G80" s="186"/>
      <c r="H80" s="163">
        <f>SUM(H81:H81)</f>
        <v>0</v>
      </c>
      <c r="I80" s="169"/>
      <c r="J80" s="223"/>
    </row>
    <row r="81" spans="1:10" ht="23.25" hidden="1" customHeight="1" x14ac:dyDescent="0.2">
      <c r="A81" s="187">
        <v>1</v>
      </c>
      <c r="B81" s="1645" t="s">
        <v>221</v>
      </c>
      <c r="C81" s="1645"/>
      <c r="D81" s="166">
        <v>4994</v>
      </c>
      <c r="E81" s="166">
        <v>4653</v>
      </c>
      <c r="F81" s="166">
        <v>0</v>
      </c>
      <c r="G81" s="167">
        <v>5250</v>
      </c>
      <c r="H81" s="166"/>
      <c r="I81" s="188" t="s">
        <v>222</v>
      </c>
      <c r="J81" s="168" t="s">
        <v>223</v>
      </c>
    </row>
    <row r="82" spans="1:10" hidden="1" x14ac:dyDescent="0.2">
      <c r="A82" s="237"/>
      <c r="B82" s="227"/>
      <c r="C82" s="227"/>
      <c r="D82" s="228"/>
      <c r="E82" s="228"/>
      <c r="F82" s="238"/>
      <c r="G82" s="239"/>
      <c r="H82" s="228"/>
      <c r="I82" s="230"/>
      <c r="J82" s="240"/>
    </row>
    <row r="83" spans="1:10" x14ac:dyDescent="0.2">
      <c r="A83" s="1649" t="s">
        <v>129</v>
      </c>
      <c r="B83" s="1649"/>
      <c r="C83" s="233" t="s">
        <v>224</v>
      </c>
      <c r="D83" s="233"/>
      <c r="E83" s="233"/>
      <c r="F83" s="234"/>
      <c r="G83" s="241"/>
      <c r="H83" s="233"/>
      <c r="I83" s="233"/>
      <c r="J83" s="242"/>
    </row>
    <row r="84" spans="1:10" x14ac:dyDescent="0.2">
      <c r="A84" s="1650" t="s">
        <v>131</v>
      </c>
      <c r="B84" s="1650"/>
      <c r="C84" s="219" t="s">
        <v>225</v>
      </c>
      <c r="D84" s="220"/>
      <c r="E84" s="220"/>
      <c r="F84" s="221"/>
      <c r="G84" s="243"/>
      <c r="H84" s="220"/>
      <c r="I84" s="220"/>
      <c r="J84" s="244"/>
    </row>
    <row r="85" spans="1:10" ht="48" x14ac:dyDescent="0.2">
      <c r="A85" s="161" t="s">
        <v>4</v>
      </c>
      <c r="B85" s="1646" t="s">
        <v>133</v>
      </c>
      <c r="C85" s="1646"/>
      <c r="D85" s="161" t="s">
        <v>17</v>
      </c>
      <c r="E85" s="161" t="s">
        <v>15</v>
      </c>
      <c r="F85" s="162" t="s">
        <v>134</v>
      </c>
      <c r="G85" s="161" t="s">
        <v>135</v>
      </c>
      <c r="H85" s="1388" t="s">
        <v>3465</v>
      </c>
      <c r="I85" s="161" t="s">
        <v>14</v>
      </c>
      <c r="J85" s="161" t="s">
        <v>137</v>
      </c>
    </row>
    <row r="86" spans="1:10" x14ac:dyDescent="0.2">
      <c r="A86" s="1647" t="s">
        <v>138</v>
      </c>
      <c r="B86" s="1647"/>
      <c r="C86" s="1647"/>
      <c r="D86" s="163">
        <f>SUM(D87:D87)</f>
        <v>15000</v>
      </c>
      <c r="E86" s="163">
        <f>SUM(E87:E87)</f>
        <v>0</v>
      </c>
      <c r="F86" s="163">
        <f>SUM(F87:F87)</f>
        <v>45140</v>
      </c>
      <c r="G86" s="186"/>
      <c r="H86" s="163">
        <f>SUM(H87:H87)</f>
        <v>45140</v>
      </c>
      <c r="I86" s="188"/>
      <c r="J86" s="245"/>
    </row>
    <row r="87" spans="1:10" ht="51" customHeight="1" x14ac:dyDescent="0.2">
      <c r="A87" s="1644">
        <v>1</v>
      </c>
      <c r="B87" s="1645" t="s">
        <v>226</v>
      </c>
      <c r="C87" s="1645"/>
      <c r="D87" s="166">
        <v>15000</v>
      </c>
      <c r="E87" s="166">
        <v>0</v>
      </c>
      <c r="F87" s="166">
        <f>SUM(F88:F90)</f>
        <v>45140</v>
      </c>
      <c r="G87" s="167">
        <v>5250</v>
      </c>
      <c r="H87" s="166">
        <f>SUM(H88:H90)</f>
        <v>45140</v>
      </c>
      <c r="I87" s="1648" t="s">
        <v>227</v>
      </c>
      <c r="J87" s="246" t="s">
        <v>178</v>
      </c>
    </row>
    <row r="88" spans="1:10" ht="22.5" hidden="1" x14ac:dyDescent="0.2">
      <c r="A88" s="1644"/>
      <c r="B88" s="1645"/>
      <c r="C88" s="1645"/>
      <c r="D88" s="166"/>
      <c r="E88" s="166"/>
      <c r="F88" s="196">
        <v>38720</v>
      </c>
      <c r="G88" s="197"/>
      <c r="H88" s="212">
        <v>38720</v>
      </c>
      <c r="I88" s="1648"/>
      <c r="J88" s="247" t="s">
        <v>228</v>
      </c>
    </row>
    <row r="89" spans="1:10" ht="22.5" hidden="1" x14ac:dyDescent="0.2">
      <c r="A89" s="1644"/>
      <c r="B89" s="1645"/>
      <c r="C89" s="1645"/>
      <c r="D89" s="166"/>
      <c r="E89" s="166"/>
      <c r="F89" s="248">
        <f>ROUND((5000*1.21),0)</f>
        <v>6050</v>
      </c>
      <c r="G89" s="197"/>
      <c r="H89" s="212">
        <v>6050</v>
      </c>
      <c r="I89" s="1648"/>
      <c r="J89" s="247" t="s">
        <v>229</v>
      </c>
    </row>
    <row r="90" spans="1:10" ht="23.25" hidden="1" customHeight="1" x14ac:dyDescent="0.2">
      <c r="A90" s="1644"/>
      <c r="B90" s="1645"/>
      <c r="C90" s="1645"/>
      <c r="D90" s="166"/>
      <c r="E90" s="166"/>
      <c r="F90" s="248">
        <v>370</v>
      </c>
      <c r="G90" s="197"/>
      <c r="H90" s="212">
        <v>370</v>
      </c>
      <c r="I90" s="1648"/>
      <c r="J90" s="247" t="s">
        <v>181</v>
      </c>
    </row>
    <row r="91" spans="1:10" ht="7.5" customHeight="1" x14ac:dyDescent="0.2">
      <c r="A91" s="249"/>
      <c r="B91" s="1423"/>
      <c r="C91" s="1423"/>
      <c r="D91" s="215"/>
      <c r="E91" s="215"/>
      <c r="F91" s="216"/>
      <c r="G91" s="217"/>
      <c r="H91" s="215"/>
      <c r="I91" s="1424"/>
      <c r="J91" s="218"/>
    </row>
    <row r="92" spans="1:10" x14ac:dyDescent="0.2">
      <c r="A92" s="1649" t="s">
        <v>129</v>
      </c>
      <c r="B92" s="1649"/>
      <c r="C92" s="233" t="s">
        <v>230</v>
      </c>
      <c r="D92" s="233"/>
      <c r="E92" s="233"/>
      <c r="F92" s="234"/>
      <c r="G92" s="233"/>
      <c r="H92" s="233"/>
      <c r="I92" s="233"/>
      <c r="J92" s="242"/>
    </row>
    <row r="93" spans="1:10" x14ac:dyDescent="0.2">
      <c r="A93" s="1650" t="s">
        <v>131</v>
      </c>
      <c r="B93" s="1650"/>
      <c r="C93" s="219" t="s">
        <v>231</v>
      </c>
      <c r="D93" s="220"/>
      <c r="E93" s="220"/>
      <c r="F93" s="221"/>
      <c r="G93" s="220"/>
      <c r="H93" s="220"/>
      <c r="I93" s="220"/>
      <c r="J93" s="244"/>
    </row>
    <row r="94" spans="1:10" ht="48" x14ac:dyDescent="0.2">
      <c r="A94" s="161" t="s">
        <v>4</v>
      </c>
      <c r="B94" s="1646" t="s">
        <v>133</v>
      </c>
      <c r="C94" s="1646"/>
      <c r="D94" s="161" t="s">
        <v>17</v>
      </c>
      <c r="E94" s="161" t="s">
        <v>15</v>
      </c>
      <c r="F94" s="162" t="s">
        <v>134</v>
      </c>
      <c r="G94" s="161" t="s">
        <v>135</v>
      </c>
      <c r="H94" s="1388" t="s">
        <v>3465</v>
      </c>
      <c r="I94" s="161" t="s">
        <v>14</v>
      </c>
      <c r="J94" s="161" t="s">
        <v>137</v>
      </c>
    </row>
    <row r="95" spans="1:10" x14ac:dyDescent="0.2">
      <c r="A95" s="1647" t="s">
        <v>138</v>
      </c>
      <c r="B95" s="1647"/>
      <c r="C95" s="1647"/>
      <c r="D95" s="163">
        <f>SUM(D96:D96)</f>
        <v>0</v>
      </c>
      <c r="E95" s="163">
        <f>SUM(E96:E96)</f>
        <v>0</v>
      </c>
      <c r="F95" s="163">
        <f>SUM(F96:F96)</f>
        <v>15161</v>
      </c>
      <c r="G95" s="186"/>
      <c r="H95" s="163">
        <f>SUM(H96:H96)</f>
        <v>15161</v>
      </c>
      <c r="I95" s="188"/>
      <c r="J95" s="245"/>
    </row>
    <row r="96" spans="1:10" x14ac:dyDescent="0.2">
      <c r="A96" s="1644">
        <v>1</v>
      </c>
      <c r="B96" s="1645" t="s">
        <v>232</v>
      </c>
      <c r="C96" s="1645"/>
      <c r="D96" s="166">
        <v>0</v>
      </c>
      <c r="E96" s="166">
        <v>0</v>
      </c>
      <c r="F96" s="166">
        <f>SUM(F97:F98)</f>
        <v>15161</v>
      </c>
      <c r="G96" s="167">
        <v>5250</v>
      </c>
      <c r="H96" s="166">
        <f>SUM(H97:H98)</f>
        <v>15161</v>
      </c>
      <c r="I96" s="1648" t="s">
        <v>233</v>
      </c>
      <c r="J96" s="168"/>
    </row>
    <row r="97" spans="1:10" ht="156" hidden="1" customHeight="1" x14ac:dyDescent="0.2">
      <c r="A97" s="1644"/>
      <c r="B97" s="1645"/>
      <c r="C97" s="1645"/>
      <c r="D97" s="166"/>
      <c r="E97" s="166"/>
      <c r="F97" s="196">
        <v>641</v>
      </c>
      <c r="G97" s="167"/>
      <c r="H97" s="166">
        <v>641</v>
      </c>
      <c r="I97" s="1648"/>
      <c r="J97" s="168" t="s">
        <v>234</v>
      </c>
    </row>
    <row r="98" spans="1:10" ht="135" hidden="1" customHeight="1" x14ac:dyDescent="0.2">
      <c r="A98" s="1644"/>
      <c r="B98" s="1645"/>
      <c r="C98" s="1645"/>
      <c r="D98" s="166"/>
      <c r="E98" s="166"/>
      <c r="F98" s="248">
        <f>ROUND((12000*1.21),0)</f>
        <v>14520</v>
      </c>
      <c r="G98" s="167"/>
      <c r="H98" s="166">
        <v>14520</v>
      </c>
      <c r="I98" s="1648"/>
      <c r="J98" s="168" t="s">
        <v>235</v>
      </c>
    </row>
    <row r="99" spans="1:10" x14ac:dyDescent="0.2">
      <c r="A99" s="249"/>
      <c r="B99" s="1423"/>
      <c r="C99" s="1423"/>
      <c r="D99" s="215"/>
      <c r="E99" s="215"/>
      <c r="F99" s="216"/>
      <c r="G99" s="250"/>
      <c r="H99" s="215"/>
      <c r="I99" s="1424"/>
      <c r="J99" s="218"/>
    </row>
    <row r="100" spans="1:10" x14ac:dyDescent="0.2">
      <c r="A100" s="1651" t="s">
        <v>129</v>
      </c>
      <c r="B100" s="1651"/>
      <c r="C100" s="177" t="s">
        <v>236</v>
      </c>
      <c r="D100" s="177"/>
      <c r="E100" s="177"/>
      <c r="F100" s="178"/>
      <c r="G100" s="179"/>
      <c r="H100" s="199"/>
      <c r="I100" s="199"/>
      <c r="J100" s="251"/>
    </row>
    <row r="101" spans="1:10" x14ac:dyDescent="0.2">
      <c r="A101" s="1651" t="s">
        <v>131</v>
      </c>
      <c r="B101" s="1651"/>
      <c r="C101" s="181" t="s">
        <v>237</v>
      </c>
      <c r="D101" s="182"/>
      <c r="E101" s="182"/>
      <c r="F101" s="183"/>
      <c r="G101" s="184"/>
      <c r="H101" s="182"/>
      <c r="I101" s="182"/>
      <c r="J101" s="185"/>
    </row>
    <row r="102" spans="1:10" ht="48" x14ac:dyDescent="0.2">
      <c r="A102" s="161" t="s">
        <v>4</v>
      </c>
      <c r="B102" s="1646" t="s">
        <v>133</v>
      </c>
      <c r="C102" s="1646"/>
      <c r="D102" s="161" t="s">
        <v>17</v>
      </c>
      <c r="E102" s="161" t="s">
        <v>15</v>
      </c>
      <c r="F102" s="162" t="s">
        <v>134</v>
      </c>
      <c r="G102" s="161" t="s">
        <v>135</v>
      </c>
      <c r="H102" s="1388" t="s">
        <v>3465</v>
      </c>
      <c r="I102" s="161" t="s">
        <v>14</v>
      </c>
      <c r="J102" s="161" t="s">
        <v>137</v>
      </c>
    </row>
    <row r="103" spans="1:10" x14ac:dyDescent="0.2">
      <c r="A103" s="1647" t="s">
        <v>138</v>
      </c>
      <c r="B103" s="1647"/>
      <c r="C103" s="1647"/>
      <c r="D103" s="163">
        <f>SUM(D104:D118)</f>
        <v>89740</v>
      </c>
      <c r="E103" s="163">
        <f>SUM(E104:E118)</f>
        <v>18195</v>
      </c>
      <c r="F103" s="163">
        <f>F104+F105+F114+F118</f>
        <v>1664308</v>
      </c>
      <c r="G103" s="186"/>
      <c r="H103" s="163">
        <f>H104+H105+H114+H118</f>
        <v>1664308</v>
      </c>
      <c r="I103" s="188"/>
      <c r="J103" s="168"/>
    </row>
    <row r="104" spans="1:10" x14ac:dyDescent="0.2">
      <c r="A104" s="161">
        <v>1</v>
      </c>
      <c r="B104" s="1645" t="s">
        <v>238</v>
      </c>
      <c r="C104" s="1645"/>
      <c r="D104" s="166">
        <v>4063</v>
      </c>
      <c r="E104" s="252">
        <v>4063</v>
      </c>
      <c r="F104" s="253">
        <v>0</v>
      </c>
      <c r="G104" s="167">
        <v>2241</v>
      </c>
      <c r="H104" s="163"/>
      <c r="I104" s="1389" t="s">
        <v>239</v>
      </c>
      <c r="J104" s="168" t="s">
        <v>141</v>
      </c>
    </row>
    <row r="105" spans="1:10" ht="22.5" x14ac:dyDescent="0.2">
      <c r="A105" s="1644">
        <v>2</v>
      </c>
      <c r="B105" s="1645" t="s">
        <v>240</v>
      </c>
      <c r="C105" s="1645"/>
      <c r="D105" s="166">
        <f>51955+5545</f>
        <v>57500</v>
      </c>
      <c r="E105" s="166">
        <v>8591</v>
      </c>
      <c r="F105" s="166">
        <f>SUM(F106:F107)</f>
        <v>1642763</v>
      </c>
      <c r="G105" s="167">
        <v>5250</v>
      </c>
      <c r="H105" s="166">
        <f>SUM(H106:H107)</f>
        <v>1642763</v>
      </c>
      <c r="I105" s="1648" t="s">
        <v>241</v>
      </c>
      <c r="J105" s="246" t="s">
        <v>242</v>
      </c>
    </row>
    <row r="106" spans="1:10" ht="22.5" hidden="1" x14ac:dyDescent="0.2">
      <c r="A106" s="1644"/>
      <c r="B106" s="1645"/>
      <c r="C106" s="1645"/>
      <c r="D106" s="203"/>
      <c r="E106" s="203"/>
      <c r="F106" s="203">
        <f>SUM(F108,F109)</f>
        <v>46463</v>
      </c>
      <c r="G106" s="167" t="s">
        <v>23</v>
      </c>
      <c r="H106" s="203">
        <f>SUM(H108,H109)</f>
        <v>46463</v>
      </c>
      <c r="I106" s="1648"/>
      <c r="J106" s="247" t="s">
        <v>243</v>
      </c>
    </row>
    <row r="107" spans="1:10" ht="22.5" hidden="1" x14ac:dyDescent="0.2">
      <c r="A107" s="1644"/>
      <c r="B107" s="1645"/>
      <c r="C107" s="1645"/>
      <c r="D107" s="203"/>
      <c r="E107" s="203"/>
      <c r="F107" s="203">
        <f>SUM(F110,F111,F112)</f>
        <v>1596300</v>
      </c>
      <c r="G107" s="1180" t="s">
        <v>22</v>
      </c>
      <c r="H107" s="203">
        <f>SUM(H110,H111,H112)</f>
        <v>1596300</v>
      </c>
      <c r="I107" s="1648"/>
      <c r="J107" s="247" t="s">
        <v>244</v>
      </c>
    </row>
    <row r="108" spans="1:10" ht="57.75" hidden="1" customHeight="1" x14ac:dyDescent="0.2">
      <c r="A108" s="1644"/>
      <c r="B108" s="1645"/>
      <c r="C108" s="1645"/>
      <c r="D108" s="166"/>
      <c r="E108" s="166"/>
      <c r="F108" s="196">
        <v>34364</v>
      </c>
      <c r="G108" s="167"/>
      <c r="H108" s="255">
        <v>34364</v>
      </c>
      <c r="I108" s="1648"/>
      <c r="J108" s="247" t="s">
        <v>245</v>
      </c>
    </row>
    <row r="109" spans="1:10" ht="22.5" hidden="1" x14ac:dyDescent="0.2">
      <c r="A109" s="1644"/>
      <c r="B109" s="1645"/>
      <c r="C109" s="1645"/>
      <c r="D109" s="166"/>
      <c r="E109" s="166"/>
      <c r="F109" s="196">
        <f>ROUND((9999*1.21),0)</f>
        <v>12099</v>
      </c>
      <c r="G109" s="167"/>
      <c r="H109" s="255">
        <v>12099</v>
      </c>
      <c r="I109" s="1648"/>
      <c r="J109" s="247" t="s">
        <v>180</v>
      </c>
    </row>
    <row r="110" spans="1:10" ht="90" hidden="1" x14ac:dyDescent="0.2">
      <c r="A110" s="1644"/>
      <c r="B110" s="1645"/>
      <c r="C110" s="1645"/>
      <c r="D110" s="166"/>
      <c r="E110" s="166"/>
      <c r="F110" s="196">
        <v>1560000</v>
      </c>
      <c r="G110" s="167"/>
      <c r="H110" s="255">
        <v>1560000</v>
      </c>
      <c r="I110" s="1648"/>
      <c r="J110" s="247" t="s">
        <v>246</v>
      </c>
    </row>
    <row r="111" spans="1:10" ht="90" hidden="1" x14ac:dyDescent="0.2">
      <c r="A111" s="1644"/>
      <c r="B111" s="1645"/>
      <c r="C111" s="1645"/>
      <c r="D111" s="166"/>
      <c r="E111" s="166"/>
      <c r="F111" s="196">
        <v>31460</v>
      </c>
      <c r="G111" s="167"/>
      <c r="H111" s="255">
        <v>31460</v>
      </c>
      <c r="I111" s="1648"/>
      <c r="J111" s="247" t="s">
        <v>247</v>
      </c>
    </row>
    <row r="112" spans="1:10" ht="45" hidden="1" x14ac:dyDescent="0.2">
      <c r="A112" s="1644"/>
      <c r="B112" s="1645"/>
      <c r="C112" s="1645"/>
      <c r="D112" s="166"/>
      <c r="E112" s="166"/>
      <c r="F112" s="196">
        <v>4840</v>
      </c>
      <c r="G112" s="167"/>
      <c r="H112" s="255">
        <v>4840</v>
      </c>
      <c r="I112" s="1648"/>
      <c r="J112" s="247" t="s">
        <v>248</v>
      </c>
    </row>
    <row r="113" spans="1:10" ht="33.75" hidden="1" x14ac:dyDescent="0.2">
      <c r="A113" s="1644"/>
      <c r="B113" s="1645"/>
      <c r="C113" s="1645"/>
      <c r="D113" s="166"/>
      <c r="E113" s="166"/>
      <c r="F113" s="196">
        <v>0</v>
      </c>
      <c r="G113" s="167"/>
      <c r="H113" s="163"/>
      <c r="I113" s="1648"/>
      <c r="J113" s="247" t="s">
        <v>249</v>
      </c>
    </row>
    <row r="114" spans="1:10" ht="35.25" customHeight="1" x14ac:dyDescent="0.2">
      <c r="A114" s="1646">
        <v>3</v>
      </c>
      <c r="B114" s="1645" t="s">
        <v>250</v>
      </c>
      <c r="C114" s="1645"/>
      <c r="D114" s="166">
        <v>22636</v>
      </c>
      <c r="E114" s="166">
        <v>0</v>
      </c>
      <c r="F114" s="253">
        <f>SUM(F115:F117)</f>
        <v>21545</v>
      </c>
      <c r="G114" s="167">
        <v>5250</v>
      </c>
      <c r="H114" s="252">
        <f>SUM(H115:H117)</f>
        <v>21545</v>
      </c>
      <c r="I114" s="1653" t="s">
        <v>251</v>
      </c>
      <c r="J114" s="246" t="s">
        <v>178</v>
      </c>
    </row>
    <row r="115" spans="1:10" ht="22.5" hidden="1" x14ac:dyDescent="0.2">
      <c r="A115" s="1646"/>
      <c r="B115" s="1645"/>
      <c r="C115" s="1645"/>
      <c r="D115" s="166"/>
      <c r="E115" s="166"/>
      <c r="F115" s="206">
        <f>ROUND((15000*1.21),0)</f>
        <v>18150</v>
      </c>
      <c r="G115" s="167"/>
      <c r="H115" s="252">
        <v>18150</v>
      </c>
      <c r="I115" s="1653"/>
      <c r="J115" s="247" t="s">
        <v>252</v>
      </c>
    </row>
    <row r="116" spans="1:10" ht="22.5" hidden="1" x14ac:dyDescent="0.2">
      <c r="A116" s="1646"/>
      <c r="B116" s="1645"/>
      <c r="C116" s="1645"/>
      <c r="D116" s="166"/>
      <c r="E116" s="166"/>
      <c r="F116" s="206">
        <f>ROUND((2500*1.21),0)</f>
        <v>3025</v>
      </c>
      <c r="G116" s="167"/>
      <c r="H116" s="252">
        <v>3025</v>
      </c>
      <c r="I116" s="1653"/>
      <c r="J116" s="247" t="s">
        <v>253</v>
      </c>
    </row>
    <row r="117" spans="1:10" ht="22.5" hidden="1" x14ac:dyDescent="0.2">
      <c r="A117" s="1646"/>
      <c r="B117" s="1645"/>
      <c r="C117" s="1645"/>
      <c r="D117" s="166">
        <v>0</v>
      </c>
      <c r="E117" s="166">
        <v>0</v>
      </c>
      <c r="F117" s="206">
        <v>370</v>
      </c>
      <c r="G117" s="167"/>
      <c r="H117" s="252">
        <v>370</v>
      </c>
      <c r="I117" s="1653"/>
      <c r="J117" s="247" t="s">
        <v>181</v>
      </c>
    </row>
    <row r="118" spans="1:10" ht="24" hidden="1" x14ac:dyDescent="0.2">
      <c r="A118" s="187">
        <v>4</v>
      </c>
      <c r="B118" s="1645" t="s">
        <v>254</v>
      </c>
      <c r="C118" s="1645"/>
      <c r="D118" s="166">
        <v>5541</v>
      </c>
      <c r="E118" s="166">
        <v>5541</v>
      </c>
      <c r="F118" s="253">
        <v>0</v>
      </c>
      <c r="G118" s="167">
        <v>5250</v>
      </c>
      <c r="H118" s="166"/>
      <c r="I118" s="188" t="s">
        <v>241</v>
      </c>
      <c r="J118" s="256"/>
    </row>
    <row r="119" spans="1:10" x14ac:dyDescent="0.2">
      <c r="A119" s="226"/>
      <c r="B119" s="227"/>
      <c r="C119" s="227"/>
      <c r="D119" s="191"/>
      <c r="E119" s="191"/>
      <c r="F119" s="257"/>
      <c r="G119" s="258"/>
      <c r="H119" s="191"/>
      <c r="I119" s="228"/>
      <c r="J119" s="235"/>
    </row>
    <row r="120" spans="1:10" x14ac:dyDescent="0.2">
      <c r="A120" s="1651" t="s">
        <v>129</v>
      </c>
      <c r="B120" s="1651"/>
      <c r="C120" s="177" t="s">
        <v>255</v>
      </c>
      <c r="D120" s="177"/>
      <c r="E120" s="177"/>
      <c r="F120" s="178"/>
      <c r="G120" s="179"/>
      <c r="H120" s="177"/>
    </row>
    <row r="121" spans="1:10" x14ac:dyDescent="0.2">
      <c r="A121" s="1651" t="s">
        <v>131</v>
      </c>
      <c r="B121" s="1651"/>
      <c r="C121" s="181" t="s">
        <v>256</v>
      </c>
      <c r="D121" s="182"/>
      <c r="E121" s="182"/>
      <c r="F121" s="183"/>
      <c r="G121" s="184"/>
      <c r="H121" s="182"/>
    </row>
    <row r="122" spans="1:10" ht="48" x14ac:dyDescent="0.2">
      <c r="A122" s="161" t="s">
        <v>4</v>
      </c>
      <c r="B122" s="1646" t="s">
        <v>133</v>
      </c>
      <c r="C122" s="1646"/>
      <c r="D122" s="161" t="s">
        <v>17</v>
      </c>
      <c r="E122" s="161" t="s">
        <v>15</v>
      </c>
      <c r="F122" s="162" t="s">
        <v>134</v>
      </c>
      <c r="G122" s="161" t="s">
        <v>135</v>
      </c>
      <c r="H122" s="1388" t="s">
        <v>3465</v>
      </c>
      <c r="I122" s="161" t="s">
        <v>14</v>
      </c>
      <c r="J122" s="161" t="s">
        <v>137</v>
      </c>
    </row>
    <row r="123" spans="1:10" x14ac:dyDescent="0.2">
      <c r="A123" s="1647" t="s">
        <v>138</v>
      </c>
      <c r="B123" s="1647"/>
      <c r="C123" s="1647"/>
      <c r="D123" s="163">
        <f>SUM(D124:D151)</f>
        <v>505370</v>
      </c>
      <c r="E123" s="163">
        <f>SUM(E124:E151)</f>
        <v>143857</v>
      </c>
      <c r="F123" s="163">
        <f>F124+F125+F126+F130+F134+F143+F144+F147+F148+F149+F150+F151+F139+F140</f>
        <v>487859</v>
      </c>
      <c r="G123" s="186"/>
      <c r="H123" s="163">
        <f>H124+H125+H126+H130+H134+H139+H140+H143+H144+H147+H148+H149+H150+H151</f>
        <v>487859</v>
      </c>
      <c r="I123" s="188"/>
      <c r="J123" s="168"/>
    </row>
    <row r="124" spans="1:10" hidden="1" x14ac:dyDescent="0.2">
      <c r="A124" s="187">
        <v>1</v>
      </c>
      <c r="B124" s="1645" t="s">
        <v>238</v>
      </c>
      <c r="C124" s="1645"/>
      <c r="D124" s="166">
        <v>6703</v>
      </c>
      <c r="E124" s="166">
        <v>6703</v>
      </c>
      <c r="F124" s="253">
        <v>0</v>
      </c>
      <c r="G124" s="167">
        <v>2241</v>
      </c>
      <c r="H124" s="166"/>
      <c r="I124" s="188" t="s">
        <v>257</v>
      </c>
      <c r="J124" s="168" t="s">
        <v>141</v>
      </c>
    </row>
    <row r="125" spans="1:10" ht="36" hidden="1" x14ac:dyDescent="0.2">
      <c r="A125" s="161">
        <v>2</v>
      </c>
      <c r="B125" s="1645" t="s">
        <v>258</v>
      </c>
      <c r="C125" s="1645"/>
      <c r="D125" s="166">
        <v>1640</v>
      </c>
      <c r="E125" s="166">
        <v>1640</v>
      </c>
      <c r="F125" s="253">
        <v>0</v>
      </c>
      <c r="G125" s="167">
        <v>5250</v>
      </c>
      <c r="H125" s="163"/>
      <c r="I125" s="188" t="s">
        <v>259</v>
      </c>
      <c r="J125" s="168" t="s">
        <v>141</v>
      </c>
    </row>
    <row r="126" spans="1:10" ht="39" customHeight="1" x14ac:dyDescent="0.2">
      <c r="A126" s="1644">
        <v>1</v>
      </c>
      <c r="B126" s="1645" t="s">
        <v>260</v>
      </c>
      <c r="C126" s="1645"/>
      <c r="D126" s="166">
        <v>82716</v>
      </c>
      <c r="E126" s="166">
        <f>32065+315+726</f>
        <v>33106</v>
      </c>
      <c r="F126" s="253">
        <f>SUM(F127:F129)</f>
        <v>49610</v>
      </c>
      <c r="G126" s="167">
        <v>5250</v>
      </c>
      <c r="H126" s="252">
        <f>SUM(H127:H129)</f>
        <v>49610</v>
      </c>
      <c r="I126" s="1648" t="s">
        <v>261</v>
      </c>
      <c r="J126" s="223" t="s">
        <v>262</v>
      </c>
    </row>
    <row r="127" spans="1:10" ht="67.5" hidden="1" x14ac:dyDescent="0.2">
      <c r="A127" s="1644"/>
      <c r="B127" s="1645"/>
      <c r="C127" s="1645"/>
      <c r="D127" s="166"/>
      <c r="E127" s="166"/>
      <c r="F127" s="248">
        <v>32065</v>
      </c>
      <c r="G127" s="167"/>
      <c r="H127" s="255">
        <v>32065</v>
      </c>
      <c r="I127" s="1648"/>
      <c r="J127" s="168" t="s">
        <v>263</v>
      </c>
    </row>
    <row r="128" spans="1:10" ht="33.75" hidden="1" x14ac:dyDescent="0.2">
      <c r="A128" s="1644"/>
      <c r="B128" s="1645"/>
      <c r="C128" s="1645"/>
      <c r="D128" s="166"/>
      <c r="E128" s="166"/>
      <c r="F128" s="248">
        <v>17545</v>
      </c>
      <c r="G128" s="167"/>
      <c r="H128" s="255">
        <v>17545</v>
      </c>
      <c r="I128" s="1648"/>
      <c r="J128" s="168" t="s">
        <v>264</v>
      </c>
    </row>
    <row r="129" spans="1:10" ht="67.5" hidden="1" x14ac:dyDescent="0.2">
      <c r="A129" s="1644"/>
      <c r="B129" s="1645"/>
      <c r="C129" s="1645"/>
      <c r="D129" s="166"/>
      <c r="E129" s="166"/>
      <c r="F129" s="248">
        <v>0</v>
      </c>
      <c r="G129" s="167"/>
      <c r="H129" s="163"/>
      <c r="I129" s="1648"/>
      <c r="J129" s="168" t="s">
        <v>265</v>
      </c>
    </row>
    <row r="130" spans="1:10" ht="50.25" customHeight="1" x14ac:dyDescent="0.2">
      <c r="A130" s="1644">
        <v>2</v>
      </c>
      <c r="B130" s="1645" t="s">
        <v>266</v>
      </c>
      <c r="C130" s="1645"/>
      <c r="D130" s="166">
        <v>139546</v>
      </c>
      <c r="E130" s="166">
        <v>0</v>
      </c>
      <c r="F130" s="253">
        <f>SUM(F131:F133)</f>
        <v>223010</v>
      </c>
      <c r="G130" s="167">
        <v>5240</v>
      </c>
      <c r="H130" s="166">
        <f>SUM(H131:H133)</f>
        <v>223010</v>
      </c>
      <c r="I130" s="1648" t="s">
        <v>3468</v>
      </c>
      <c r="J130" s="223" t="s">
        <v>242</v>
      </c>
    </row>
    <row r="131" spans="1:10" ht="22.5" hidden="1" x14ac:dyDescent="0.2">
      <c r="A131" s="1644"/>
      <c r="B131" s="1645"/>
      <c r="C131" s="1645"/>
      <c r="D131" s="166"/>
      <c r="E131" s="166"/>
      <c r="F131" s="206">
        <f>ROUND((170000*1.21),0)</f>
        <v>205700</v>
      </c>
      <c r="G131" s="167"/>
      <c r="H131" s="212">
        <v>205700</v>
      </c>
      <c r="I131" s="1648"/>
      <c r="J131" s="247" t="s">
        <v>267</v>
      </c>
    </row>
    <row r="132" spans="1:10" ht="22.5" hidden="1" x14ac:dyDescent="0.2">
      <c r="A132" s="1644"/>
      <c r="B132" s="1645"/>
      <c r="C132" s="1645"/>
      <c r="D132" s="166"/>
      <c r="E132" s="166"/>
      <c r="F132" s="206">
        <f>ROUND((14000*1.21),0)</f>
        <v>16940</v>
      </c>
      <c r="G132" s="167"/>
      <c r="H132" s="212">
        <v>16940</v>
      </c>
      <c r="I132" s="1648"/>
      <c r="J132" s="247" t="s">
        <v>268</v>
      </c>
    </row>
    <row r="133" spans="1:10" ht="22.5" hidden="1" x14ac:dyDescent="0.2">
      <c r="A133" s="1644"/>
      <c r="B133" s="1645"/>
      <c r="C133" s="1645"/>
      <c r="D133" s="166"/>
      <c r="E133" s="166"/>
      <c r="F133" s="206">
        <v>370</v>
      </c>
      <c r="G133" s="167"/>
      <c r="H133" s="212">
        <v>370</v>
      </c>
      <c r="I133" s="1648"/>
      <c r="J133" s="247" t="s">
        <v>181</v>
      </c>
    </row>
    <row r="134" spans="1:10" ht="41.25" customHeight="1" x14ac:dyDescent="0.2">
      <c r="A134" s="1644">
        <v>3</v>
      </c>
      <c r="B134" s="1645" t="s">
        <v>269</v>
      </c>
      <c r="C134" s="1645"/>
      <c r="D134" s="166">
        <v>117299</v>
      </c>
      <c r="E134" s="166">
        <f>1133</f>
        <v>1133</v>
      </c>
      <c r="F134" s="253">
        <f>SUM(F135:F138)</f>
        <v>113239</v>
      </c>
      <c r="G134" s="167">
        <v>5250</v>
      </c>
      <c r="H134" s="166">
        <f>SUM(H135:H138)</f>
        <v>113239</v>
      </c>
      <c r="I134" s="1653" t="s">
        <v>259</v>
      </c>
      <c r="J134" s="223" t="s">
        <v>270</v>
      </c>
    </row>
    <row r="135" spans="1:10" ht="56.25" hidden="1" x14ac:dyDescent="0.2">
      <c r="A135" s="1644"/>
      <c r="B135" s="1645"/>
      <c r="C135" s="1645"/>
      <c r="D135" s="166"/>
      <c r="E135" s="166"/>
      <c r="F135" s="206">
        <v>95929</v>
      </c>
      <c r="G135" s="167"/>
      <c r="H135" s="255">
        <v>95929</v>
      </c>
      <c r="I135" s="1653"/>
      <c r="J135" s="247" t="s">
        <v>271</v>
      </c>
    </row>
    <row r="136" spans="1:10" ht="33.75" hidden="1" x14ac:dyDescent="0.2">
      <c r="A136" s="1644"/>
      <c r="B136" s="1645"/>
      <c r="C136" s="1645"/>
      <c r="D136" s="166"/>
      <c r="E136" s="166"/>
      <c r="F136" s="206">
        <v>16940</v>
      </c>
      <c r="G136" s="167"/>
      <c r="H136" s="255">
        <v>16940</v>
      </c>
      <c r="I136" s="1653"/>
      <c r="J136" s="247" t="s">
        <v>272</v>
      </c>
    </row>
    <row r="137" spans="1:10" ht="22.5" hidden="1" x14ac:dyDescent="0.2">
      <c r="A137" s="1644"/>
      <c r="B137" s="1645"/>
      <c r="C137" s="1645"/>
      <c r="D137" s="166"/>
      <c r="E137" s="166"/>
      <c r="F137" s="206">
        <v>370</v>
      </c>
      <c r="G137" s="167"/>
      <c r="H137" s="255">
        <v>370</v>
      </c>
      <c r="I137" s="1653"/>
      <c r="J137" s="247" t="s">
        <v>181</v>
      </c>
    </row>
    <row r="138" spans="1:10" ht="67.5" hidden="1" x14ac:dyDescent="0.2">
      <c r="A138" s="1644"/>
      <c r="B138" s="1645"/>
      <c r="C138" s="1645"/>
      <c r="D138" s="166"/>
      <c r="E138" s="166"/>
      <c r="F138" s="206">
        <v>0</v>
      </c>
      <c r="G138" s="167"/>
      <c r="H138" s="255"/>
      <c r="I138" s="1653"/>
      <c r="J138" s="247" t="s">
        <v>273</v>
      </c>
    </row>
    <row r="139" spans="1:10" ht="38.25" customHeight="1" x14ac:dyDescent="0.2">
      <c r="A139" s="187">
        <v>4</v>
      </c>
      <c r="B139" s="1654" t="s">
        <v>274</v>
      </c>
      <c r="C139" s="1655"/>
      <c r="D139" s="166"/>
      <c r="E139" s="166"/>
      <c r="F139" s="203">
        <f>52000+50000</f>
        <v>102000</v>
      </c>
      <c r="G139" s="167">
        <v>5250</v>
      </c>
      <c r="H139" s="261">
        <v>102000</v>
      </c>
      <c r="I139" s="1392" t="s">
        <v>259</v>
      </c>
      <c r="J139" s="168" t="s">
        <v>275</v>
      </c>
    </row>
    <row r="140" spans="1:10" hidden="1" x14ac:dyDescent="0.2">
      <c r="A140" s="1656">
        <v>7</v>
      </c>
      <c r="B140" s="1659"/>
      <c r="C140" s="1660"/>
      <c r="D140" s="166"/>
      <c r="E140" s="166"/>
      <c r="F140" s="203"/>
      <c r="G140" s="167">
        <v>5250</v>
      </c>
      <c r="H140" s="261"/>
      <c r="I140" s="162"/>
      <c r="J140" s="168"/>
    </row>
    <row r="141" spans="1:10" hidden="1" x14ac:dyDescent="0.2">
      <c r="A141" s="1657"/>
      <c r="B141" s="1661"/>
      <c r="C141" s="1662"/>
      <c r="D141" s="166"/>
      <c r="E141" s="166"/>
      <c r="F141" s="262"/>
      <c r="G141" s="167"/>
      <c r="H141" s="260"/>
      <c r="I141" s="162"/>
      <c r="J141" s="168"/>
    </row>
    <row r="142" spans="1:10" hidden="1" x14ac:dyDescent="0.2">
      <c r="A142" s="1658"/>
      <c r="B142" s="1663"/>
      <c r="C142" s="1664"/>
      <c r="D142" s="166"/>
      <c r="E142" s="166"/>
      <c r="F142" s="262"/>
      <c r="G142" s="167"/>
      <c r="H142" s="260"/>
      <c r="I142" s="162"/>
      <c r="J142" s="168"/>
    </row>
    <row r="143" spans="1:10" ht="67.5" hidden="1" x14ac:dyDescent="0.2">
      <c r="A143" s="202">
        <v>8</v>
      </c>
      <c r="B143" s="1645" t="s">
        <v>276</v>
      </c>
      <c r="C143" s="1645"/>
      <c r="D143" s="166">
        <v>24601</v>
      </c>
      <c r="E143" s="166">
        <f>14601+3809</f>
        <v>18410</v>
      </c>
      <c r="F143" s="253">
        <v>0</v>
      </c>
      <c r="G143" s="167">
        <v>5250</v>
      </c>
      <c r="H143" s="166"/>
      <c r="I143" s="162" t="s">
        <v>277</v>
      </c>
      <c r="J143" s="246" t="s">
        <v>278</v>
      </c>
    </row>
    <row r="144" spans="1:10" ht="45" hidden="1" x14ac:dyDescent="0.2">
      <c r="A144" s="1652">
        <v>9</v>
      </c>
      <c r="B144" s="1645" t="s">
        <v>279</v>
      </c>
      <c r="C144" s="1645"/>
      <c r="D144" s="166">
        <v>58392</v>
      </c>
      <c r="E144" s="166">
        <v>58392</v>
      </c>
      <c r="F144" s="253">
        <f>SUM(F145:F146)</f>
        <v>0</v>
      </c>
      <c r="G144" s="167">
        <v>5250</v>
      </c>
      <c r="H144" s="166"/>
      <c r="I144" s="1648" t="s">
        <v>280</v>
      </c>
      <c r="J144" s="223" t="s">
        <v>281</v>
      </c>
    </row>
    <row r="145" spans="1:10" ht="78.75" hidden="1" x14ac:dyDescent="0.2">
      <c r="A145" s="1652"/>
      <c r="B145" s="1645"/>
      <c r="C145" s="1645"/>
      <c r="D145" s="166"/>
      <c r="E145" s="166"/>
      <c r="F145" s="196">
        <v>0</v>
      </c>
      <c r="G145" s="167"/>
      <c r="H145" s="163"/>
      <c r="I145" s="1648"/>
      <c r="J145" s="168" t="s">
        <v>282</v>
      </c>
    </row>
    <row r="146" spans="1:10" ht="67.5" hidden="1" x14ac:dyDescent="0.2">
      <c r="A146" s="1652"/>
      <c r="B146" s="1645"/>
      <c r="C146" s="1645"/>
      <c r="D146" s="166"/>
      <c r="E146" s="166"/>
      <c r="F146" s="196">
        <v>0</v>
      </c>
      <c r="G146" s="167"/>
      <c r="H146" s="163"/>
      <c r="I146" s="1648"/>
      <c r="J146" s="168" t="s">
        <v>283</v>
      </c>
    </row>
    <row r="147" spans="1:10" ht="27.75" hidden="1" customHeight="1" x14ac:dyDescent="0.2">
      <c r="A147" s="1644">
        <v>10</v>
      </c>
      <c r="B147" s="1645" t="s">
        <v>284</v>
      </c>
      <c r="C147" s="1645"/>
      <c r="D147" s="166">
        <v>12040</v>
      </c>
      <c r="E147" s="166">
        <v>12040</v>
      </c>
      <c r="F147" s="253">
        <v>0</v>
      </c>
      <c r="G147" s="167">
        <v>2239</v>
      </c>
      <c r="H147" s="166"/>
      <c r="I147" s="1648" t="s">
        <v>261</v>
      </c>
      <c r="J147" s="168" t="s">
        <v>141</v>
      </c>
    </row>
    <row r="148" spans="1:10" ht="15" hidden="1" customHeight="1" x14ac:dyDescent="0.2">
      <c r="A148" s="1644"/>
      <c r="B148" s="1645"/>
      <c r="C148" s="1645"/>
      <c r="D148" s="166">
        <v>3388</v>
      </c>
      <c r="E148" s="166">
        <v>3388</v>
      </c>
      <c r="F148" s="253">
        <v>0</v>
      </c>
      <c r="G148" s="167">
        <v>5250</v>
      </c>
      <c r="H148" s="166"/>
      <c r="I148" s="1648"/>
      <c r="J148" s="245" t="s">
        <v>141</v>
      </c>
    </row>
    <row r="149" spans="1:10" ht="36" hidden="1" x14ac:dyDescent="0.2">
      <c r="A149" s="187">
        <v>11</v>
      </c>
      <c r="B149" s="1645" t="s">
        <v>285</v>
      </c>
      <c r="C149" s="1645"/>
      <c r="D149" s="166">
        <v>1936</v>
      </c>
      <c r="E149" s="166">
        <v>1936</v>
      </c>
      <c r="F149" s="253">
        <v>0</v>
      </c>
      <c r="G149" s="167">
        <v>5250</v>
      </c>
      <c r="H149" s="166"/>
      <c r="I149" s="188" t="s">
        <v>259</v>
      </c>
      <c r="J149" s="168" t="s">
        <v>141</v>
      </c>
    </row>
    <row r="150" spans="1:10" ht="36" hidden="1" x14ac:dyDescent="0.2">
      <c r="A150" s="202">
        <v>12</v>
      </c>
      <c r="B150" s="1645" t="s">
        <v>286</v>
      </c>
      <c r="C150" s="1645"/>
      <c r="D150" s="166">
        <v>50000</v>
      </c>
      <c r="E150" s="166">
        <v>0</v>
      </c>
      <c r="F150" s="253">
        <v>0</v>
      </c>
      <c r="G150" s="167">
        <v>5240</v>
      </c>
      <c r="H150" s="166"/>
      <c r="I150" s="188" t="s">
        <v>259</v>
      </c>
      <c r="J150" s="168" t="s">
        <v>287</v>
      </c>
    </row>
    <row r="151" spans="1:10" ht="24" hidden="1" x14ac:dyDescent="0.2">
      <c r="A151" s="202">
        <v>13</v>
      </c>
      <c r="B151" s="1645" t="s">
        <v>288</v>
      </c>
      <c r="C151" s="1645"/>
      <c r="D151" s="166">
        <v>7109</v>
      </c>
      <c r="E151" s="166">
        <v>7109</v>
      </c>
      <c r="F151" s="253">
        <v>0</v>
      </c>
      <c r="G151" s="167">
        <v>5250</v>
      </c>
      <c r="H151" s="166"/>
      <c r="I151" s="188" t="s">
        <v>289</v>
      </c>
      <c r="J151" s="168" t="s">
        <v>141</v>
      </c>
    </row>
    <row r="152" spans="1:10" hidden="1" x14ac:dyDescent="0.2">
      <c r="A152" s="263"/>
      <c r="B152" s="172"/>
      <c r="C152" s="172"/>
      <c r="D152" s="191"/>
      <c r="E152" s="191"/>
      <c r="F152" s="264"/>
      <c r="G152" s="258"/>
      <c r="H152" s="191"/>
      <c r="I152" s="265"/>
      <c r="J152" s="235"/>
    </row>
    <row r="153" spans="1:10" hidden="1" x14ac:dyDescent="0.2">
      <c r="A153" s="1651" t="s">
        <v>129</v>
      </c>
      <c r="B153" s="1651"/>
      <c r="C153" s="177" t="s">
        <v>290</v>
      </c>
      <c r="D153" s="177"/>
      <c r="E153" s="177"/>
      <c r="F153" s="178"/>
      <c r="G153" s="179"/>
      <c r="H153" s="177"/>
      <c r="I153" s="177"/>
      <c r="J153" s="180"/>
    </row>
    <row r="154" spans="1:10" hidden="1" x14ac:dyDescent="0.2">
      <c r="A154" s="1650" t="s">
        <v>131</v>
      </c>
      <c r="B154" s="1650"/>
      <c r="C154" s="182" t="s">
        <v>291</v>
      </c>
      <c r="D154" s="182"/>
      <c r="E154" s="182"/>
      <c r="F154" s="183"/>
      <c r="G154" s="184"/>
      <c r="H154" s="182"/>
      <c r="I154" s="182"/>
      <c r="J154" s="185"/>
    </row>
    <row r="155" spans="1:10" ht="48" hidden="1" x14ac:dyDescent="0.2">
      <c r="A155" s="161" t="s">
        <v>4</v>
      </c>
      <c r="B155" s="1646" t="s">
        <v>133</v>
      </c>
      <c r="C155" s="1646"/>
      <c r="D155" s="161" t="s">
        <v>17</v>
      </c>
      <c r="E155" s="161" t="s">
        <v>15</v>
      </c>
      <c r="F155" s="162" t="s">
        <v>134</v>
      </c>
      <c r="G155" s="161" t="s">
        <v>135</v>
      </c>
      <c r="H155" s="161" t="s">
        <v>136</v>
      </c>
      <c r="I155" s="161" t="s">
        <v>14</v>
      </c>
      <c r="J155" s="161" t="s">
        <v>137</v>
      </c>
    </row>
    <row r="156" spans="1:10" hidden="1" x14ac:dyDescent="0.2">
      <c r="A156" s="1647" t="s">
        <v>138</v>
      </c>
      <c r="B156" s="1647"/>
      <c r="C156" s="1647"/>
      <c r="D156" s="163">
        <f>SUM(D157:D158)</f>
        <v>54095</v>
      </c>
      <c r="E156" s="163">
        <f>SUM(E157:E158)</f>
        <v>47069</v>
      </c>
      <c r="F156" s="163">
        <f>F157</f>
        <v>0</v>
      </c>
      <c r="G156" s="186"/>
      <c r="H156" s="163">
        <f>H157</f>
        <v>0</v>
      </c>
      <c r="I156" s="169"/>
      <c r="J156" s="168"/>
    </row>
    <row r="157" spans="1:10" ht="33.75" hidden="1" x14ac:dyDescent="0.2">
      <c r="A157" s="1644">
        <v>1</v>
      </c>
      <c r="B157" s="1645" t="s">
        <v>292</v>
      </c>
      <c r="C157" s="1645"/>
      <c r="D157" s="166">
        <v>54095</v>
      </c>
      <c r="E157" s="166">
        <v>47069</v>
      </c>
      <c r="F157" s="253">
        <f>SUM(F158:F158)</f>
        <v>0</v>
      </c>
      <c r="G157" s="167">
        <v>5250</v>
      </c>
      <c r="H157" s="253">
        <f>SUM(H158:H158)</f>
        <v>0</v>
      </c>
      <c r="I157" s="1648" t="s">
        <v>293</v>
      </c>
      <c r="J157" s="223" t="s">
        <v>294</v>
      </c>
    </row>
    <row r="158" spans="1:10" ht="67.5" hidden="1" x14ac:dyDescent="0.2">
      <c r="A158" s="1644"/>
      <c r="B158" s="1645"/>
      <c r="C158" s="1645"/>
      <c r="D158" s="166"/>
      <c r="E158" s="166"/>
      <c r="F158" s="206">
        <v>0</v>
      </c>
      <c r="G158" s="167"/>
      <c r="H158" s="166"/>
      <c r="I158" s="1648"/>
      <c r="J158" s="168" t="s">
        <v>295</v>
      </c>
    </row>
    <row r="159" spans="1:10" ht="101.25" customHeight="1" x14ac:dyDescent="0.2">
      <c r="A159" s="226"/>
      <c r="B159" s="227"/>
      <c r="C159" s="227"/>
      <c r="D159" s="228"/>
      <c r="E159" s="228"/>
      <c r="F159" s="238"/>
      <c r="G159" s="239"/>
      <c r="H159" s="228"/>
      <c r="I159" s="228"/>
      <c r="J159" s="266"/>
    </row>
    <row r="160" spans="1:10" x14ac:dyDescent="0.2">
      <c r="A160" s="1649" t="s">
        <v>129</v>
      </c>
      <c r="B160" s="1649"/>
      <c r="C160" s="233" t="s">
        <v>296</v>
      </c>
      <c r="D160" s="233"/>
      <c r="E160" s="233"/>
      <c r="F160" s="234"/>
      <c r="G160" s="241"/>
      <c r="H160" s="233"/>
      <c r="I160" s="233"/>
      <c r="J160" s="235"/>
    </row>
    <row r="161" spans="1:10" x14ac:dyDescent="0.2">
      <c r="A161" s="1650" t="s">
        <v>131</v>
      </c>
      <c r="B161" s="1650"/>
      <c r="C161" s="219" t="s">
        <v>297</v>
      </c>
      <c r="D161" s="220"/>
      <c r="E161" s="220"/>
      <c r="F161" s="221"/>
      <c r="G161" s="243"/>
      <c r="H161" s="220"/>
      <c r="I161" s="220"/>
      <c r="J161" s="236"/>
    </row>
    <row r="162" spans="1:10" ht="48" x14ac:dyDescent="0.2">
      <c r="A162" s="161" t="s">
        <v>4</v>
      </c>
      <c r="B162" s="1646" t="s">
        <v>133</v>
      </c>
      <c r="C162" s="1646"/>
      <c r="D162" s="161" t="s">
        <v>17</v>
      </c>
      <c r="E162" s="161" t="s">
        <v>15</v>
      </c>
      <c r="F162" s="162" t="s">
        <v>134</v>
      </c>
      <c r="G162" s="161" t="s">
        <v>135</v>
      </c>
      <c r="H162" s="1388" t="s">
        <v>3465</v>
      </c>
      <c r="I162" s="161" t="s">
        <v>14</v>
      </c>
      <c r="J162" s="161" t="s">
        <v>137</v>
      </c>
    </row>
    <row r="163" spans="1:10" x14ac:dyDescent="0.2">
      <c r="A163" s="1647" t="s">
        <v>138</v>
      </c>
      <c r="B163" s="1647"/>
      <c r="C163" s="1647"/>
      <c r="D163" s="163">
        <f>SUM(D164:D193)</f>
        <v>507637</v>
      </c>
      <c r="E163" s="163">
        <f>SUM(E164:E193)</f>
        <v>168595</v>
      </c>
      <c r="F163" s="163">
        <f>F164+F165+F169+F170+F178+F182+F186+F190</f>
        <v>1033178</v>
      </c>
      <c r="G163" s="186"/>
      <c r="H163" s="163">
        <f>H164+H165+H169+H170+H178+H182+H186+H190</f>
        <v>1033178</v>
      </c>
      <c r="I163" s="188"/>
      <c r="J163" s="168"/>
    </row>
    <row r="164" spans="1:10" ht="24" hidden="1" x14ac:dyDescent="0.2">
      <c r="A164" s="187">
        <v>1</v>
      </c>
      <c r="B164" s="1645" t="s">
        <v>298</v>
      </c>
      <c r="C164" s="1645"/>
      <c r="D164" s="166">
        <v>11992</v>
      </c>
      <c r="E164" s="166">
        <v>11992</v>
      </c>
      <c r="F164" s="253">
        <v>0</v>
      </c>
      <c r="G164" s="167">
        <v>5250</v>
      </c>
      <c r="H164" s="166"/>
      <c r="I164" s="188" t="s">
        <v>299</v>
      </c>
      <c r="J164" s="168" t="s">
        <v>141</v>
      </c>
    </row>
    <row r="165" spans="1:10" ht="48" customHeight="1" x14ac:dyDescent="0.2">
      <c r="A165" s="1644">
        <v>1</v>
      </c>
      <c r="B165" s="1645" t="s">
        <v>300</v>
      </c>
      <c r="C165" s="1645"/>
      <c r="D165" s="166">
        <v>35085</v>
      </c>
      <c r="E165" s="166">
        <v>0</v>
      </c>
      <c r="F165" s="253">
        <f>SUM(F166:F168)</f>
        <v>97775</v>
      </c>
      <c r="G165" s="1393">
        <v>5250</v>
      </c>
      <c r="H165" s="166">
        <f>SUM(H166:H168)</f>
        <v>97775</v>
      </c>
      <c r="I165" s="1646" t="s">
        <v>301</v>
      </c>
      <c r="J165" s="223" t="s">
        <v>178</v>
      </c>
    </row>
    <row r="166" spans="1:10" ht="67.5" hidden="1" x14ac:dyDescent="0.2">
      <c r="A166" s="1644"/>
      <c r="B166" s="1645"/>
      <c r="C166" s="1645"/>
      <c r="D166" s="169"/>
      <c r="E166" s="169"/>
      <c r="F166" s="196">
        <f>ROUND((68500*1.21),0)</f>
        <v>82885</v>
      </c>
      <c r="G166" s="200"/>
      <c r="H166" s="267">
        <v>82885</v>
      </c>
      <c r="I166" s="1646"/>
      <c r="J166" s="247" t="s">
        <v>302</v>
      </c>
    </row>
    <row r="167" spans="1:10" ht="22.5" hidden="1" x14ac:dyDescent="0.2">
      <c r="A167" s="1644"/>
      <c r="B167" s="1645"/>
      <c r="C167" s="1645"/>
      <c r="D167" s="166"/>
      <c r="E167" s="166"/>
      <c r="F167" s="196">
        <f>ROUND((12000*1.21),0)</f>
        <v>14520</v>
      </c>
      <c r="G167" s="1393"/>
      <c r="H167" s="212">
        <v>14520</v>
      </c>
      <c r="I167" s="1646"/>
      <c r="J167" s="247" t="s">
        <v>303</v>
      </c>
    </row>
    <row r="168" spans="1:10" ht="22.5" hidden="1" x14ac:dyDescent="0.2">
      <c r="A168" s="1644"/>
      <c r="B168" s="1645"/>
      <c r="C168" s="1645"/>
      <c r="D168" s="166"/>
      <c r="E168" s="166"/>
      <c r="F168" s="196">
        <v>370</v>
      </c>
      <c r="G168" s="1393"/>
      <c r="H168" s="212">
        <v>370</v>
      </c>
      <c r="I168" s="1646"/>
      <c r="J168" s="247" t="s">
        <v>181</v>
      </c>
    </row>
    <row r="169" spans="1:10" ht="29.25" hidden="1" customHeight="1" x14ac:dyDescent="0.2">
      <c r="A169" s="187">
        <v>3</v>
      </c>
      <c r="B169" s="1645" t="s">
        <v>304</v>
      </c>
      <c r="C169" s="1645"/>
      <c r="D169" s="166">
        <v>9216</v>
      </c>
      <c r="E169" s="166">
        <v>9216</v>
      </c>
      <c r="F169" s="253">
        <v>0</v>
      </c>
      <c r="G169" s="167">
        <v>5250</v>
      </c>
      <c r="H169" s="166"/>
      <c r="I169" s="188" t="s">
        <v>301</v>
      </c>
      <c r="J169" s="168" t="s">
        <v>141</v>
      </c>
    </row>
    <row r="170" spans="1:10" ht="27" customHeight="1" x14ac:dyDescent="0.2">
      <c r="A170" s="1641">
        <v>2</v>
      </c>
      <c r="B170" s="1642" t="s">
        <v>305</v>
      </c>
      <c r="C170" s="1642"/>
      <c r="D170" s="203">
        <v>407216</v>
      </c>
      <c r="E170" s="203">
        <v>147387</v>
      </c>
      <c r="F170" s="203">
        <f>SUM(F171:F172)</f>
        <v>776995</v>
      </c>
      <c r="G170" s="1393">
        <v>5250</v>
      </c>
      <c r="H170" s="203">
        <f>SUM(H171:H172)</f>
        <v>776995</v>
      </c>
      <c r="I170" s="1643" t="s">
        <v>306</v>
      </c>
      <c r="J170" s="246" t="s">
        <v>307</v>
      </c>
    </row>
    <row r="171" spans="1:10" ht="45" hidden="1" x14ac:dyDescent="0.2">
      <c r="A171" s="1641"/>
      <c r="B171" s="1642"/>
      <c r="C171" s="1642"/>
      <c r="D171" s="203"/>
      <c r="E171" s="203"/>
      <c r="F171" s="203">
        <f>F174+F177+F175+F176</f>
        <v>14479</v>
      </c>
      <c r="G171" s="1393" t="s">
        <v>23</v>
      </c>
      <c r="H171" s="203">
        <f>H174+H177+H175+H176</f>
        <v>14479</v>
      </c>
      <c r="I171" s="1643"/>
      <c r="J171" s="247" t="s">
        <v>308</v>
      </c>
    </row>
    <row r="172" spans="1:10" hidden="1" x14ac:dyDescent="0.2">
      <c r="A172" s="1641"/>
      <c r="B172" s="1642"/>
      <c r="C172" s="1642"/>
      <c r="D172" s="203"/>
      <c r="E172" s="203"/>
      <c r="F172" s="203">
        <f>F173</f>
        <v>762516</v>
      </c>
      <c r="G172" s="1393" t="s">
        <v>22</v>
      </c>
      <c r="H172" s="203">
        <f>H173</f>
        <v>762516</v>
      </c>
      <c r="I172" s="1643"/>
      <c r="J172" s="247" t="s">
        <v>309</v>
      </c>
    </row>
    <row r="173" spans="1:10" ht="67.5" hidden="1" x14ac:dyDescent="0.2">
      <c r="A173" s="1641"/>
      <c r="B173" s="1642"/>
      <c r="C173" s="1642"/>
      <c r="D173" s="203"/>
      <c r="E173" s="203"/>
      <c r="F173" s="206">
        <v>762516</v>
      </c>
      <c r="G173" s="1393"/>
      <c r="H173" s="262">
        <v>762516</v>
      </c>
      <c r="I173" s="1643"/>
      <c r="J173" s="247" t="s">
        <v>310</v>
      </c>
    </row>
    <row r="174" spans="1:10" ht="56.25" hidden="1" x14ac:dyDescent="0.2">
      <c r="A174" s="1641"/>
      <c r="B174" s="1642"/>
      <c r="C174" s="1642"/>
      <c r="D174" s="203"/>
      <c r="E174" s="203"/>
      <c r="F174" s="196">
        <v>2420</v>
      </c>
      <c r="G174" s="204"/>
      <c r="H174" s="262">
        <v>2420</v>
      </c>
      <c r="I174" s="1643"/>
      <c r="J174" s="247" t="s">
        <v>311</v>
      </c>
    </row>
    <row r="175" spans="1:10" ht="67.5" hidden="1" x14ac:dyDescent="0.2">
      <c r="A175" s="1641"/>
      <c r="B175" s="1642"/>
      <c r="C175" s="1642"/>
      <c r="D175" s="203"/>
      <c r="E175" s="203"/>
      <c r="F175" s="196">
        <v>8059</v>
      </c>
      <c r="G175" s="200"/>
      <c r="H175" s="267">
        <v>8059</v>
      </c>
      <c r="I175" s="1643"/>
      <c r="J175" s="247" t="s">
        <v>312</v>
      </c>
    </row>
    <row r="176" spans="1:10" ht="22.5" hidden="1" x14ac:dyDescent="0.2">
      <c r="A176" s="1641"/>
      <c r="B176" s="1642"/>
      <c r="C176" s="1642"/>
      <c r="D176" s="203"/>
      <c r="E176" s="203"/>
      <c r="F176" s="196">
        <v>1500</v>
      </c>
      <c r="G176" s="200"/>
      <c r="H176" s="267">
        <v>1500</v>
      </c>
      <c r="I176" s="1643"/>
      <c r="J176" s="247" t="s">
        <v>313</v>
      </c>
    </row>
    <row r="177" spans="1:10" ht="33.75" hidden="1" x14ac:dyDescent="0.2">
      <c r="A177" s="1641"/>
      <c r="B177" s="1642"/>
      <c r="C177" s="1642"/>
      <c r="D177" s="203"/>
      <c r="E177" s="203"/>
      <c r="F177" s="196">
        <v>2500</v>
      </c>
      <c r="G177" s="200"/>
      <c r="H177" s="267">
        <v>2500</v>
      </c>
      <c r="I177" s="1643"/>
      <c r="J177" s="247" t="s">
        <v>249</v>
      </c>
    </row>
    <row r="178" spans="1:10" ht="35.25" customHeight="1" x14ac:dyDescent="0.2">
      <c r="A178" s="1644">
        <v>3</v>
      </c>
      <c r="B178" s="1645" t="s">
        <v>314</v>
      </c>
      <c r="C178" s="1645"/>
      <c r="D178" s="166">
        <v>32029</v>
      </c>
      <c r="E178" s="166">
        <v>0</v>
      </c>
      <c r="F178" s="253">
        <f>SUM(F179:F181)</f>
        <v>60870</v>
      </c>
      <c r="G178" s="167">
        <v>5240</v>
      </c>
      <c r="H178" s="166">
        <f>SUM(H179:H181)</f>
        <v>60870</v>
      </c>
      <c r="I178" s="1643" t="s">
        <v>315</v>
      </c>
      <c r="J178" s="223" t="s">
        <v>178</v>
      </c>
    </row>
    <row r="179" spans="1:10" ht="27.75" hidden="1" customHeight="1" x14ac:dyDescent="0.2">
      <c r="A179" s="1644"/>
      <c r="B179" s="1645"/>
      <c r="C179" s="1645"/>
      <c r="D179" s="166"/>
      <c r="E179" s="166"/>
      <c r="F179" s="196">
        <v>49610</v>
      </c>
      <c r="G179" s="167"/>
      <c r="H179" s="212">
        <v>49610</v>
      </c>
      <c r="I179" s="1643"/>
      <c r="J179" s="247" t="s">
        <v>316</v>
      </c>
    </row>
    <row r="180" spans="1:10" ht="27" hidden="1" customHeight="1" x14ac:dyDescent="0.2">
      <c r="A180" s="1644"/>
      <c r="B180" s="1645"/>
      <c r="C180" s="1645"/>
      <c r="D180" s="166"/>
      <c r="E180" s="166"/>
      <c r="F180" s="196">
        <v>10890</v>
      </c>
      <c r="G180" s="167"/>
      <c r="H180" s="212">
        <v>10890</v>
      </c>
      <c r="I180" s="1643"/>
      <c r="J180" s="247" t="s">
        <v>317</v>
      </c>
    </row>
    <row r="181" spans="1:10" ht="24.75" hidden="1" customHeight="1" x14ac:dyDescent="0.2">
      <c r="A181" s="1644"/>
      <c r="B181" s="1645"/>
      <c r="C181" s="1645"/>
      <c r="D181" s="166"/>
      <c r="E181" s="166"/>
      <c r="F181" s="196">
        <v>370</v>
      </c>
      <c r="G181" s="167"/>
      <c r="H181" s="212">
        <v>370</v>
      </c>
      <c r="I181" s="1643"/>
      <c r="J181" s="247" t="s">
        <v>181</v>
      </c>
    </row>
    <row r="182" spans="1:10" ht="22.5" hidden="1" x14ac:dyDescent="0.2">
      <c r="A182" s="1644">
        <v>6</v>
      </c>
      <c r="B182" s="1645" t="s">
        <v>318</v>
      </c>
      <c r="C182" s="1645"/>
      <c r="D182" s="166">
        <v>12099</v>
      </c>
      <c r="E182" s="166">
        <v>0</v>
      </c>
      <c r="F182" s="253">
        <f>SUM(F183:F185)</f>
        <v>0</v>
      </c>
      <c r="G182" s="167">
        <v>5240</v>
      </c>
      <c r="H182" s="166"/>
      <c r="I182" s="1643" t="s">
        <v>319</v>
      </c>
      <c r="J182" s="223" t="s">
        <v>178</v>
      </c>
    </row>
    <row r="183" spans="1:10" ht="22.5" hidden="1" x14ac:dyDescent="0.2">
      <c r="A183" s="1644"/>
      <c r="B183" s="1645"/>
      <c r="C183" s="1645"/>
      <c r="D183" s="166"/>
      <c r="E183" s="166"/>
      <c r="F183" s="196"/>
      <c r="G183" s="167"/>
      <c r="H183" s="166"/>
      <c r="I183" s="1643"/>
      <c r="J183" s="247" t="s">
        <v>320</v>
      </c>
    </row>
    <row r="184" spans="1:10" ht="22.5" hidden="1" x14ac:dyDescent="0.2">
      <c r="A184" s="1644"/>
      <c r="B184" s="1645"/>
      <c r="C184" s="1645"/>
      <c r="D184" s="166"/>
      <c r="E184" s="166"/>
      <c r="F184" s="196"/>
      <c r="G184" s="167"/>
      <c r="H184" s="166"/>
      <c r="I184" s="1643"/>
      <c r="J184" s="247" t="s">
        <v>321</v>
      </c>
    </row>
    <row r="185" spans="1:10" ht="22.5" hidden="1" x14ac:dyDescent="0.2">
      <c r="A185" s="1644"/>
      <c r="B185" s="1645"/>
      <c r="C185" s="1645"/>
      <c r="D185" s="166"/>
      <c r="E185" s="166"/>
      <c r="F185" s="196"/>
      <c r="G185" s="167"/>
      <c r="H185" s="166"/>
      <c r="I185" s="1643"/>
      <c r="J185" s="247" t="s">
        <v>181</v>
      </c>
    </row>
    <row r="186" spans="1:10" ht="35.25" customHeight="1" x14ac:dyDescent="0.2">
      <c r="A186" s="1644">
        <v>4</v>
      </c>
      <c r="B186" s="1645" t="s">
        <v>322</v>
      </c>
      <c r="C186" s="1645"/>
      <c r="D186" s="166">
        <v>0</v>
      </c>
      <c r="E186" s="166">
        <v>0</v>
      </c>
      <c r="F186" s="253">
        <f>SUM(F187:F189)</f>
        <v>48769</v>
      </c>
      <c r="G186" s="167">
        <v>5240</v>
      </c>
      <c r="H186" s="166">
        <f>SUM(H187:H189)</f>
        <v>48769</v>
      </c>
      <c r="I186" s="1643" t="s">
        <v>323</v>
      </c>
      <c r="J186" s="223" t="s">
        <v>178</v>
      </c>
    </row>
    <row r="187" spans="1:10" ht="22.5" hidden="1" x14ac:dyDescent="0.2">
      <c r="A187" s="1644"/>
      <c r="B187" s="1645"/>
      <c r="C187" s="1645"/>
      <c r="D187" s="166"/>
      <c r="E187" s="166"/>
      <c r="F187" s="196">
        <f>ROUND((30000*1.21),0)</f>
        <v>36300</v>
      </c>
      <c r="G187" s="167"/>
      <c r="H187" s="212">
        <v>36300</v>
      </c>
      <c r="I187" s="1643"/>
      <c r="J187" s="247" t="s">
        <v>324</v>
      </c>
    </row>
    <row r="188" spans="1:10" ht="22.5" hidden="1" x14ac:dyDescent="0.2">
      <c r="A188" s="1644"/>
      <c r="B188" s="1645"/>
      <c r="C188" s="1645"/>
      <c r="D188" s="166"/>
      <c r="E188" s="166"/>
      <c r="F188" s="196">
        <f>ROUND((9999*1.21),0)</f>
        <v>12099</v>
      </c>
      <c r="G188" s="167"/>
      <c r="H188" s="212">
        <v>12099</v>
      </c>
      <c r="I188" s="1643"/>
      <c r="J188" s="247" t="s">
        <v>180</v>
      </c>
    </row>
    <row r="189" spans="1:10" ht="22.5" hidden="1" x14ac:dyDescent="0.2">
      <c r="A189" s="1644"/>
      <c r="B189" s="1645"/>
      <c r="C189" s="1645"/>
      <c r="D189" s="166"/>
      <c r="E189" s="166"/>
      <c r="F189" s="196">
        <v>370</v>
      </c>
      <c r="G189" s="167"/>
      <c r="H189" s="212">
        <v>370</v>
      </c>
      <c r="I189" s="1643"/>
      <c r="J189" s="247" t="s">
        <v>181</v>
      </c>
    </row>
    <row r="190" spans="1:10" ht="34.5" customHeight="1" x14ac:dyDescent="0.2">
      <c r="A190" s="1641">
        <v>5</v>
      </c>
      <c r="B190" s="1642" t="s">
        <v>325</v>
      </c>
      <c r="C190" s="1642"/>
      <c r="D190" s="203">
        <v>0</v>
      </c>
      <c r="E190" s="203">
        <v>0</v>
      </c>
      <c r="F190" s="203">
        <f>SUM(F191:F193)</f>
        <v>48769</v>
      </c>
      <c r="G190" s="204">
        <v>5240</v>
      </c>
      <c r="H190" s="203">
        <f>SUM(H191:H193)</f>
        <v>48769</v>
      </c>
      <c r="I190" s="1643" t="s">
        <v>319</v>
      </c>
      <c r="J190" s="223" t="s">
        <v>178</v>
      </c>
    </row>
    <row r="191" spans="1:10" ht="22.5" hidden="1" x14ac:dyDescent="0.2">
      <c r="A191" s="1641"/>
      <c r="B191" s="1642"/>
      <c r="C191" s="1642"/>
      <c r="D191" s="203"/>
      <c r="E191" s="203"/>
      <c r="F191" s="196">
        <f>ROUND((30000*1.21),0)</f>
        <v>36300</v>
      </c>
      <c r="G191" s="204"/>
      <c r="H191" s="268">
        <v>36300</v>
      </c>
      <c r="I191" s="1643"/>
      <c r="J191" s="247" t="s">
        <v>324</v>
      </c>
    </row>
    <row r="192" spans="1:10" ht="22.5" hidden="1" x14ac:dyDescent="0.2">
      <c r="A192" s="1641"/>
      <c r="B192" s="1642"/>
      <c r="C192" s="1642"/>
      <c r="D192" s="203"/>
      <c r="E192" s="203"/>
      <c r="F192" s="196">
        <f>ROUND((9999*1.21),0)</f>
        <v>12099</v>
      </c>
      <c r="G192" s="204"/>
      <c r="H192" s="268">
        <v>12099</v>
      </c>
      <c r="I192" s="1643"/>
      <c r="J192" s="247" t="s">
        <v>180</v>
      </c>
    </row>
    <row r="193" spans="1:10" ht="22.5" hidden="1" x14ac:dyDescent="0.2">
      <c r="A193" s="1641"/>
      <c r="B193" s="1642"/>
      <c r="C193" s="1642"/>
      <c r="D193" s="203"/>
      <c r="E193" s="203"/>
      <c r="F193" s="196">
        <v>370</v>
      </c>
      <c r="G193" s="200"/>
      <c r="H193" s="269">
        <v>370</v>
      </c>
      <c r="I193" s="1643"/>
      <c r="J193" s="247" t="s">
        <v>181</v>
      </c>
    </row>
    <row r="194" spans="1:10" x14ac:dyDescent="0.2">
      <c r="A194" s="1456"/>
      <c r="B194" s="1456"/>
      <c r="C194" s="1456"/>
      <c r="D194" s="1456"/>
      <c r="E194" s="1456"/>
      <c r="F194" s="1457"/>
      <c r="G194" s="1456"/>
      <c r="H194" s="1456"/>
      <c r="I194" s="1456"/>
      <c r="J194" s="272"/>
    </row>
    <row r="195" spans="1:10" s="274" customFormat="1" x14ac:dyDescent="0.2">
      <c r="A195" s="278" t="s">
        <v>326</v>
      </c>
      <c r="I195" s="275"/>
      <c r="J195" s="273"/>
    </row>
    <row r="196" spans="1:10" s="274" customFormat="1" x14ac:dyDescent="0.2">
      <c r="A196" s="277" t="s">
        <v>327</v>
      </c>
      <c r="I196" s="275"/>
      <c r="J196" s="273"/>
    </row>
    <row r="197" spans="1:10" s="274" customFormat="1" x14ac:dyDescent="0.2">
      <c r="A197" s="274" t="s">
        <v>329</v>
      </c>
      <c r="I197" s="275"/>
      <c r="J197" s="273"/>
    </row>
    <row r="198" spans="1:10" s="274" customFormat="1" x14ac:dyDescent="0.2">
      <c r="A198" s="274" t="s">
        <v>3469</v>
      </c>
      <c r="I198" s="275"/>
      <c r="J198" s="273"/>
    </row>
    <row r="199" spans="1:10" s="274" customFormat="1" x14ac:dyDescent="0.2">
      <c r="A199" s="274" t="s">
        <v>333</v>
      </c>
      <c r="I199" s="275"/>
      <c r="J199" s="273"/>
    </row>
    <row r="200" spans="1:10" s="274" customFormat="1" x14ac:dyDescent="0.2">
      <c r="A200" s="274" t="s">
        <v>334</v>
      </c>
      <c r="I200" s="275"/>
      <c r="J200" s="273"/>
    </row>
    <row r="201" spans="1:10" s="274" customFormat="1" x14ac:dyDescent="0.2">
      <c r="A201" s="274" t="s">
        <v>335</v>
      </c>
      <c r="I201" s="275"/>
      <c r="J201" s="273"/>
    </row>
    <row r="202" spans="1:10" s="274" customFormat="1" x14ac:dyDescent="0.2">
      <c r="A202" s="274" t="s">
        <v>474</v>
      </c>
      <c r="I202" s="275"/>
      <c r="J202" s="273"/>
    </row>
    <row r="203" spans="1:10" s="274" customFormat="1" x14ac:dyDescent="0.2">
      <c r="A203" s="274" t="s">
        <v>336</v>
      </c>
      <c r="I203" s="275"/>
      <c r="J203" s="273"/>
    </row>
    <row r="204" spans="1:10" s="274" customFormat="1" x14ac:dyDescent="0.2">
      <c r="A204" s="274" t="s">
        <v>337</v>
      </c>
      <c r="I204" s="275"/>
      <c r="J204" s="273"/>
    </row>
    <row r="205" spans="1:10" s="274" customFormat="1" x14ac:dyDescent="0.2">
      <c r="A205" s="274" t="s">
        <v>338</v>
      </c>
      <c r="I205" s="275"/>
      <c r="J205" s="273"/>
    </row>
    <row r="206" spans="1:10" s="274" customFormat="1" x14ac:dyDescent="0.2">
      <c r="A206" s="274" t="s">
        <v>339</v>
      </c>
      <c r="I206" s="275"/>
      <c r="J206" s="273"/>
    </row>
    <row r="207" spans="1:10" s="277" customFormat="1" x14ac:dyDescent="0.2">
      <c r="A207" s="277" t="s">
        <v>340</v>
      </c>
      <c r="I207" s="1458"/>
      <c r="J207" s="276"/>
    </row>
    <row r="208" spans="1:10" s="274" customFormat="1" x14ac:dyDescent="0.2">
      <c r="A208" s="274" t="s">
        <v>341</v>
      </c>
      <c r="I208" s="275"/>
      <c r="J208" s="273"/>
    </row>
    <row r="209" spans="1:10" s="274" customFormat="1" x14ac:dyDescent="0.2">
      <c r="A209" s="274" t="s">
        <v>342</v>
      </c>
      <c r="I209" s="275"/>
      <c r="J209" s="273"/>
    </row>
    <row r="210" spans="1:10" s="274" customFormat="1" x14ac:dyDescent="0.2">
      <c r="A210" s="274" t="s">
        <v>346</v>
      </c>
      <c r="I210" s="275"/>
      <c r="J210" s="273"/>
    </row>
    <row r="211" spans="1:10" s="274" customFormat="1" x14ac:dyDescent="0.2">
      <c r="A211" s="274" t="s">
        <v>347</v>
      </c>
      <c r="I211" s="275"/>
      <c r="J211" s="273"/>
    </row>
    <row r="212" spans="1:10" s="274" customFormat="1" x14ac:dyDescent="0.2">
      <c r="A212" s="274" t="s">
        <v>348</v>
      </c>
      <c r="I212" s="275"/>
      <c r="J212" s="273"/>
    </row>
    <row r="213" spans="1:10" s="274" customFormat="1" x14ac:dyDescent="0.2">
      <c r="A213" s="156" t="s">
        <v>3511</v>
      </c>
      <c r="I213" s="275"/>
      <c r="J213" s="273"/>
    </row>
    <row r="214" spans="1:10" s="274" customFormat="1" x14ac:dyDescent="0.2">
      <c r="A214" s="274" t="s">
        <v>349</v>
      </c>
      <c r="I214" s="275"/>
      <c r="J214" s="273"/>
    </row>
    <row r="215" spans="1:10" s="274" customFormat="1" x14ac:dyDescent="0.2">
      <c r="A215" s="274" t="s">
        <v>350</v>
      </c>
      <c r="I215" s="275"/>
      <c r="J215" s="273"/>
    </row>
    <row r="216" spans="1:10" s="274" customFormat="1" x14ac:dyDescent="0.2">
      <c r="A216" s="274" t="s">
        <v>351</v>
      </c>
      <c r="I216" s="275"/>
      <c r="J216" s="273"/>
    </row>
    <row r="217" spans="1:10" s="274" customFormat="1" x14ac:dyDescent="0.2">
      <c r="A217" s="274" t="s">
        <v>352</v>
      </c>
      <c r="I217" s="275"/>
      <c r="J217" s="273"/>
    </row>
    <row r="218" spans="1:10" s="274" customFormat="1" x14ac:dyDescent="0.2">
      <c r="A218" s="274" t="s">
        <v>353</v>
      </c>
      <c r="I218" s="275"/>
      <c r="J218" s="273"/>
    </row>
    <row r="219" spans="1:10" s="274" customFormat="1" x14ac:dyDescent="0.2">
      <c r="A219" s="274" t="s">
        <v>354</v>
      </c>
      <c r="I219" s="275"/>
      <c r="J219" s="273"/>
    </row>
    <row r="220" spans="1:10" s="277" customFormat="1" x14ac:dyDescent="0.2">
      <c r="A220" s="277" t="s">
        <v>355</v>
      </c>
      <c r="I220" s="1458"/>
      <c r="J220" s="276"/>
    </row>
    <row r="221" spans="1:10" s="274" customFormat="1" x14ac:dyDescent="0.2">
      <c r="A221" s="274" t="s">
        <v>356</v>
      </c>
      <c r="I221" s="275"/>
      <c r="J221" s="273"/>
    </row>
    <row r="222" spans="1:10" s="274" customFormat="1" x14ac:dyDescent="0.2">
      <c r="A222" s="274" t="s">
        <v>357</v>
      </c>
      <c r="I222" s="275"/>
      <c r="J222" s="273"/>
    </row>
    <row r="223" spans="1:10" s="274" customFormat="1" x14ac:dyDescent="0.2">
      <c r="A223" s="274" t="s">
        <v>358</v>
      </c>
      <c r="I223" s="275"/>
      <c r="J223" s="273"/>
    </row>
    <row r="224" spans="1:10" s="274" customFormat="1" x14ac:dyDescent="0.2">
      <c r="A224" s="274" t="s">
        <v>359</v>
      </c>
      <c r="I224" s="275"/>
      <c r="J224" s="273"/>
    </row>
    <row r="225" spans="1:10" s="274" customFormat="1" x14ac:dyDescent="0.2">
      <c r="A225" s="274" t="s">
        <v>360</v>
      </c>
      <c r="I225" s="275"/>
      <c r="J225" s="273"/>
    </row>
    <row r="226" spans="1:10" s="274" customFormat="1" x14ac:dyDescent="0.2">
      <c r="A226" s="274" t="s">
        <v>361</v>
      </c>
      <c r="I226" s="275"/>
      <c r="J226" s="273"/>
    </row>
    <row r="227" spans="1:10" s="274" customFormat="1" x14ac:dyDescent="0.2">
      <c r="A227" s="274" t="s">
        <v>362</v>
      </c>
      <c r="I227" s="275"/>
      <c r="J227" s="273"/>
    </row>
    <row r="228" spans="1:10" s="274" customFormat="1" x14ac:dyDescent="0.2">
      <c r="A228" s="274" t="s">
        <v>363</v>
      </c>
      <c r="I228" s="275"/>
      <c r="J228" s="273"/>
    </row>
    <row r="229" spans="1:10" s="274" customFormat="1" x14ac:dyDescent="0.2">
      <c r="A229" s="274" t="s">
        <v>364</v>
      </c>
      <c r="I229" s="275"/>
      <c r="J229" s="273"/>
    </row>
    <row r="230" spans="1:10" s="274" customFormat="1" x14ac:dyDescent="0.2">
      <c r="A230" s="274" t="s">
        <v>365</v>
      </c>
      <c r="I230" s="275"/>
      <c r="J230" s="273"/>
    </row>
    <row r="231" spans="1:10" s="274" customFormat="1" x14ac:dyDescent="0.2">
      <c r="A231" s="274" t="s">
        <v>366</v>
      </c>
      <c r="I231" s="275"/>
      <c r="J231" s="273"/>
    </row>
    <row r="232" spans="1:10" s="274" customFormat="1" x14ac:dyDescent="0.2">
      <c r="A232" s="274" t="s">
        <v>3470</v>
      </c>
      <c r="I232" s="275"/>
      <c r="J232" s="273"/>
    </row>
    <row r="233" spans="1:10" s="274" customFormat="1" x14ac:dyDescent="0.2">
      <c r="A233" s="274" t="s">
        <v>367</v>
      </c>
      <c r="I233" s="275"/>
      <c r="J233" s="273"/>
    </row>
    <row r="234" spans="1:10" s="274" customFormat="1" x14ac:dyDescent="0.2">
      <c r="A234" s="274" t="s">
        <v>368</v>
      </c>
      <c r="I234" s="275"/>
      <c r="J234" s="273"/>
    </row>
    <row r="235" spans="1:10" s="274" customFormat="1" x14ac:dyDescent="0.2">
      <c r="A235" s="274" t="s">
        <v>369</v>
      </c>
      <c r="I235" s="275"/>
      <c r="J235" s="273"/>
    </row>
    <row r="236" spans="1:10" s="274" customFormat="1" x14ac:dyDescent="0.2">
      <c r="A236" s="274" t="s">
        <v>370</v>
      </c>
      <c r="I236" s="275"/>
      <c r="J236" s="273"/>
    </row>
    <row r="237" spans="1:10" s="274" customFormat="1" x14ac:dyDescent="0.2">
      <c r="A237" s="274" t="s">
        <v>3471</v>
      </c>
      <c r="I237" s="275"/>
      <c r="J237" s="273"/>
    </row>
    <row r="238" spans="1:10" s="274" customFormat="1" x14ac:dyDescent="0.2">
      <c r="A238" s="274" t="s">
        <v>371</v>
      </c>
      <c r="I238" s="275"/>
      <c r="J238" s="273"/>
    </row>
    <row r="239" spans="1:10" s="274" customFormat="1" x14ac:dyDescent="0.2">
      <c r="A239" s="274" t="s">
        <v>372</v>
      </c>
      <c r="I239" s="275"/>
      <c r="J239" s="273"/>
    </row>
    <row r="240" spans="1:10" s="274" customFormat="1" x14ac:dyDescent="0.2">
      <c r="A240" s="274" t="s">
        <v>373</v>
      </c>
      <c r="I240" s="275"/>
      <c r="J240" s="273"/>
    </row>
    <row r="241" spans="1:10" s="274" customFormat="1" x14ac:dyDescent="0.2">
      <c r="A241" s="274" t="s">
        <v>374</v>
      </c>
      <c r="I241" s="275"/>
      <c r="J241" s="273"/>
    </row>
    <row r="242" spans="1:10" s="274" customFormat="1" x14ac:dyDescent="0.2">
      <c r="A242" s="274" t="s">
        <v>375</v>
      </c>
      <c r="I242" s="275"/>
      <c r="J242" s="273"/>
    </row>
    <row r="243" spans="1:10" s="274" customFormat="1" x14ac:dyDescent="0.2">
      <c r="A243" s="274" t="s">
        <v>376</v>
      </c>
      <c r="I243" s="275"/>
      <c r="J243" s="273"/>
    </row>
    <row r="244" spans="1:10" s="274" customFormat="1" x14ac:dyDescent="0.2">
      <c r="A244" s="274" t="s">
        <v>377</v>
      </c>
      <c r="I244" s="275"/>
      <c r="J244" s="273"/>
    </row>
    <row r="245" spans="1:10" s="274" customFormat="1" x14ac:dyDescent="0.2">
      <c r="A245" s="274" t="s">
        <v>378</v>
      </c>
      <c r="I245" s="275"/>
      <c r="J245" s="273"/>
    </row>
    <row r="246" spans="1:10" s="274" customFormat="1" x14ac:dyDescent="0.2">
      <c r="A246" s="274" t="s">
        <v>379</v>
      </c>
      <c r="I246" s="275"/>
      <c r="J246" s="273"/>
    </row>
    <row r="247" spans="1:10" s="274" customFormat="1" x14ac:dyDescent="0.2">
      <c r="I247" s="275"/>
      <c r="J247" s="273"/>
    </row>
    <row r="248" spans="1:10" s="274" customFormat="1" x14ac:dyDescent="0.2">
      <c r="A248" s="278" t="s">
        <v>380</v>
      </c>
      <c r="B248" s="278"/>
      <c r="C248" s="278"/>
      <c r="D248" s="278"/>
      <c r="I248" s="275"/>
      <c r="J248" s="273"/>
    </row>
    <row r="249" spans="1:10" s="279" customFormat="1" x14ac:dyDescent="0.2">
      <c r="A249" s="279" t="s">
        <v>384</v>
      </c>
      <c r="I249" s="280"/>
      <c r="J249" s="281"/>
    </row>
    <row r="250" spans="1:10" s="279" customFormat="1" x14ac:dyDescent="0.2">
      <c r="A250" s="279" t="s">
        <v>385</v>
      </c>
      <c r="I250" s="280"/>
      <c r="J250" s="281"/>
    </row>
    <row r="251" spans="1:10" s="279" customFormat="1" x14ac:dyDescent="0.2">
      <c r="A251" s="279" t="s">
        <v>386</v>
      </c>
      <c r="I251" s="280"/>
      <c r="J251" s="281"/>
    </row>
    <row r="252" spans="1:10" s="274" customFormat="1" x14ac:dyDescent="0.2">
      <c r="I252" s="275"/>
      <c r="J252" s="273"/>
    </row>
    <row r="253" spans="1:10" s="274" customFormat="1" x14ac:dyDescent="0.2">
      <c r="A253" s="278" t="s">
        <v>387</v>
      </c>
      <c r="I253" s="275"/>
      <c r="J253" s="273"/>
    </row>
    <row r="254" spans="1:10" s="279" customFormat="1" x14ac:dyDescent="0.2">
      <c r="A254" s="279" t="s">
        <v>388</v>
      </c>
      <c r="I254" s="280"/>
      <c r="J254" s="281"/>
    </row>
    <row r="255" spans="1:10" s="279" customFormat="1" x14ac:dyDescent="0.2">
      <c r="A255" s="279" t="s">
        <v>389</v>
      </c>
      <c r="I255" s="280"/>
      <c r="J255" s="281"/>
    </row>
    <row r="256" spans="1:10" s="279" customFormat="1" x14ac:dyDescent="0.2">
      <c r="A256" s="279" t="s">
        <v>390</v>
      </c>
      <c r="I256" s="280"/>
      <c r="J256" s="281"/>
    </row>
    <row r="257" spans="1:10" s="279" customFormat="1" x14ac:dyDescent="0.2">
      <c r="A257" s="279" t="s">
        <v>391</v>
      </c>
      <c r="I257" s="280"/>
      <c r="J257" s="281"/>
    </row>
    <row r="258" spans="1:10" s="279" customFormat="1" x14ac:dyDescent="0.2">
      <c r="A258" s="279" t="s">
        <v>392</v>
      </c>
      <c r="I258" s="280"/>
      <c r="J258" s="281"/>
    </row>
    <row r="259" spans="1:10" s="274" customFormat="1" x14ac:dyDescent="0.2">
      <c r="I259" s="275"/>
      <c r="J259" s="273"/>
    </row>
    <row r="260" spans="1:10" s="274" customFormat="1" x14ac:dyDescent="0.2">
      <c r="A260" s="278" t="s">
        <v>393</v>
      </c>
      <c r="I260" s="275"/>
      <c r="J260" s="273"/>
    </row>
    <row r="261" spans="1:10" s="274" customFormat="1" x14ac:dyDescent="0.2">
      <c r="A261" s="282" t="s">
        <v>394</v>
      </c>
      <c r="I261" s="275"/>
      <c r="J261" s="273"/>
    </row>
    <row r="262" spans="1:10" s="274" customFormat="1" x14ac:dyDescent="0.2">
      <c r="A262" s="283" t="s">
        <v>395</v>
      </c>
      <c r="I262" s="275"/>
      <c r="J262" s="273"/>
    </row>
    <row r="263" spans="1:10" s="274" customFormat="1" x14ac:dyDescent="0.2">
      <c r="A263" s="282" t="s">
        <v>397</v>
      </c>
      <c r="I263" s="275"/>
      <c r="J263" s="273"/>
    </row>
    <row r="264" spans="1:10" s="274" customFormat="1" x14ac:dyDescent="0.2">
      <c r="A264" s="283" t="s">
        <v>400</v>
      </c>
      <c r="I264" s="275"/>
      <c r="J264" s="273"/>
    </row>
    <row r="265" spans="1:10" s="274" customFormat="1" x14ac:dyDescent="0.2">
      <c r="A265" s="282" t="s">
        <v>401</v>
      </c>
      <c r="I265" s="275"/>
      <c r="J265" s="273"/>
    </row>
    <row r="266" spans="1:10" s="279" customFormat="1" x14ac:dyDescent="0.2">
      <c r="A266" s="284" t="s">
        <v>405</v>
      </c>
      <c r="I266" s="280"/>
      <c r="J266" s="281"/>
    </row>
    <row r="267" spans="1:10" s="274" customFormat="1" x14ac:dyDescent="0.2">
      <c r="A267" s="278"/>
      <c r="I267" s="275"/>
      <c r="J267" s="273"/>
    </row>
    <row r="268" spans="1:10" s="274" customFormat="1" x14ac:dyDescent="0.2">
      <c r="A268" s="278" t="s">
        <v>406</v>
      </c>
      <c r="I268" s="275"/>
      <c r="J268" s="273"/>
    </row>
    <row r="269" spans="1:10" s="274" customFormat="1" x14ac:dyDescent="0.2">
      <c r="A269" s="277" t="s">
        <v>340</v>
      </c>
      <c r="I269" s="275"/>
      <c r="J269" s="273"/>
    </row>
    <row r="270" spans="1:10" s="274" customFormat="1" x14ac:dyDescent="0.2">
      <c r="A270" s="283" t="s">
        <v>407</v>
      </c>
      <c r="I270" s="275"/>
      <c r="J270" s="273"/>
    </row>
    <row r="271" spans="1:10" s="274" customFormat="1" x14ac:dyDescent="0.2">
      <c r="A271" s="282" t="s">
        <v>408</v>
      </c>
      <c r="I271" s="275"/>
      <c r="J271" s="273"/>
    </row>
    <row r="272" spans="1:10" s="274" customFormat="1" x14ac:dyDescent="0.2">
      <c r="A272" s="283" t="s">
        <v>409</v>
      </c>
      <c r="I272" s="275"/>
      <c r="J272" s="273"/>
    </row>
    <row r="273" spans="1:14" s="274" customFormat="1" x14ac:dyDescent="0.2">
      <c r="A273" s="277" t="s">
        <v>401</v>
      </c>
      <c r="I273" s="275"/>
      <c r="J273" s="273"/>
    </row>
    <row r="274" spans="1:14" s="279" customFormat="1" x14ac:dyDescent="0.2">
      <c r="A274" s="284" t="s">
        <v>411</v>
      </c>
      <c r="I274" s="280"/>
      <c r="J274" s="281"/>
    </row>
    <row r="275" spans="1:14" s="274" customFormat="1" x14ac:dyDescent="0.2">
      <c r="A275" s="283"/>
      <c r="I275" s="275"/>
      <c r="J275" s="273"/>
    </row>
    <row r="276" spans="1:14" s="274" customFormat="1" x14ac:dyDescent="0.2">
      <c r="A276" s="285" t="s">
        <v>413</v>
      </c>
      <c r="I276" s="275"/>
      <c r="J276" s="273"/>
    </row>
    <row r="277" spans="1:14" s="279" customFormat="1" x14ac:dyDescent="0.2">
      <c r="A277" s="286" t="s">
        <v>340</v>
      </c>
      <c r="I277" s="280"/>
      <c r="J277" s="281"/>
    </row>
    <row r="278" spans="1:14" s="279" customFormat="1" x14ac:dyDescent="0.2">
      <c r="A278" s="284" t="s">
        <v>349</v>
      </c>
      <c r="I278" s="280"/>
      <c r="J278" s="281"/>
    </row>
    <row r="279" spans="1:14" s="279" customFormat="1" x14ac:dyDescent="0.2">
      <c r="A279" s="284" t="s">
        <v>350</v>
      </c>
      <c r="I279" s="280"/>
      <c r="J279" s="281"/>
    </row>
    <row r="280" spans="1:14" s="279" customFormat="1" x14ac:dyDescent="0.2">
      <c r="A280" s="284"/>
      <c r="I280" s="280"/>
      <c r="J280" s="281"/>
    </row>
    <row r="281" spans="1:14" s="274" customFormat="1" x14ac:dyDescent="0.2">
      <c r="A281" s="278" t="s">
        <v>417</v>
      </c>
      <c r="I281" s="275"/>
      <c r="J281" s="273"/>
    </row>
    <row r="282" spans="1:14" s="279" customFormat="1" x14ac:dyDescent="0.2">
      <c r="A282" s="288" t="s">
        <v>418</v>
      </c>
      <c r="B282" s="279" t="s">
        <v>419</v>
      </c>
      <c r="I282" s="280"/>
      <c r="J282" s="281"/>
    </row>
    <row r="283" spans="1:14" s="279" customFormat="1" x14ac:dyDescent="0.2">
      <c r="A283" s="279" t="s">
        <v>420</v>
      </c>
      <c r="I283" s="280"/>
      <c r="J283" s="281"/>
    </row>
    <row r="284" spans="1:14" s="279" customFormat="1" x14ac:dyDescent="0.2">
      <c r="A284" s="279" t="s">
        <v>421</v>
      </c>
      <c r="I284" s="280"/>
      <c r="J284" s="281"/>
    </row>
    <row r="285" spans="1:14" s="279" customFormat="1" ht="10.5" customHeight="1" x14ac:dyDescent="0.2">
      <c r="A285" s="1640" t="s">
        <v>422</v>
      </c>
      <c r="B285" s="1640"/>
      <c r="C285" s="1640"/>
      <c r="D285" s="1640"/>
      <c r="E285" s="1640"/>
      <c r="F285" s="1640"/>
      <c r="G285" s="1640"/>
      <c r="H285" s="1640"/>
      <c r="I285" s="1640"/>
      <c r="J285" s="1640"/>
      <c r="K285" s="1640"/>
      <c r="L285" s="1640"/>
      <c r="M285" s="1640"/>
      <c r="N285" s="1640"/>
    </row>
    <row r="286" spans="1:14" s="279" customFormat="1" ht="26.25" customHeight="1" x14ac:dyDescent="0.2">
      <c r="A286" s="1640"/>
      <c r="B286" s="1640"/>
      <c r="C286" s="1640"/>
      <c r="D286" s="1640"/>
      <c r="E286" s="1640"/>
      <c r="F286" s="1640"/>
      <c r="G286" s="1640"/>
      <c r="H286" s="1640"/>
      <c r="I286" s="1640"/>
      <c r="J286" s="1640"/>
      <c r="K286" s="1640"/>
      <c r="L286" s="1640"/>
      <c r="M286" s="1640"/>
      <c r="N286" s="1640"/>
    </row>
    <row r="287" spans="1:14" x14ac:dyDescent="0.2">
      <c r="A287" s="259"/>
      <c r="B287" s="259"/>
      <c r="C287" s="259"/>
      <c r="D287" s="259"/>
      <c r="E287" s="259"/>
      <c r="F287" s="270"/>
      <c r="G287" s="259"/>
      <c r="H287" s="259"/>
      <c r="I287" s="271"/>
      <c r="J287" s="272"/>
    </row>
  </sheetData>
  <sheetProtection algorithmName="SHA-512" hashValue="xSV6R7Z551y1w5+vZMeTSwjoIx1/AhYIDy7LcnhHTdLxdMq1QsjW5fFk7D+Ty2KvIO8G3zU3TQfG0jPn2Devog==" saltValue="Gz1KzS7bc0FfS7GMtAuqVA==" spinCount="100000" sheet="1" objects="1" scenarios="1"/>
  <mergeCells count="169">
    <mergeCell ref="A1:B1"/>
    <mergeCell ref="C1:D1"/>
    <mergeCell ref="G1:J1"/>
    <mergeCell ref="A2:B2"/>
    <mergeCell ref="C2:J2"/>
    <mergeCell ref="A3:J3"/>
    <mergeCell ref="I10:I11"/>
    <mergeCell ref="A13:B13"/>
    <mergeCell ref="A14:B14"/>
    <mergeCell ref="A5:B5"/>
    <mergeCell ref="A6:B6"/>
    <mergeCell ref="C6:J6"/>
    <mergeCell ref="A7:B7"/>
    <mergeCell ref="B8:C8"/>
    <mergeCell ref="B15:C15"/>
    <mergeCell ref="A16:C16"/>
    <mergeCell ref="B17:C17"/>
    <mergeCell ref="A19:B19"/>
    <mergeCell ref="A20:B20"/>
    <mergeCell ref="B21:C21"/>
    <mergeCell ref="A9:C9"/>
    <mergeCell ref="A10:A11"/>
    <mergeCell ref="B10:C11"/>
    <mergeCell ref="B29:C29"/>
    <mergeCell ref="A30:C30"/>
    <mergeCell ref="A31:A32"/>
    <mergeCell ref="B31:C32"/>
    <mergeCell ref="I31:I32"/>
    <mergeCell ref="J31:J32"/>
    <mergeCell ref="A22:C22"/>
    <mergeCell ref="A23:A25"/>
    <mergeCell ref="B23:C25"/>
    <mergeCell ref="I23:I25"/>
    <mergeCell ref="A27:B27"/>
    <mergeCell ref="A28:B28"/>
    <mergeCell ref="A38:A39"/>
    <mergeCell ref="B38:C39"/>
    <mergeCell ref="I38:I39"/>
    <mergeCell ref="B40:C40"/>
    <mergeCell ref="B41:C41"/>
    <mergeCell ref="B42:C42"/>
    <mergeCell ref="A33:A34"/>
    <mergeCell ref="B33:C34"/>
    <mergeCell ref="I33:I34"/>
    <mergeCell ref="B35:C35"/>
    <mergeCell ref="B36:C36"/>
    <mergeCell ref="B37:C37"/>
    <mergeCell ref="A50:B50"/>
    <mergeCell ref="B51:C51"/>
    <mergeCell ref="A52:C52"/>
    <mergeCell ref="A53:A56"/>
    <mergeCell ref="B53:C56"/>
    <mergeCell ref="I53:I56"/>
    <mergeCell ref="A43:A46"/>
    <mergeCell ref="B43:C46"/>
    <mergeCell ref="I43:I46"/>
    <mergeCell ref="B47:C47"/>
    <mergeCell ref="A49:B49"/>
    <mergeCell ref="C49:J49"/>
    <mergeCell ref="A65:A66"/>
    <mergeCell ref="B65:C66"/>
    <mergeCell ref="I65:I66"/>
    <mergeCell ref="A67:A68"/>
    <mergeCell ref="B67:C68"/>
    <mergeCell ref="I67:I68"/>
    <mergeCell ref="B57:C57"/>
    <mergeCell ref="A58:A59"/>
    <mergeCell ref="B58:C59"/>
    <mergeCell ref="I58:I59"/>
    <mergeCell ref="A60:A64"/>
    <mergeCell ref="B60:C64"/>
    <mergeCell ref="I60:I64"/>
    <mergeCell ref="I87:I90"/>
    <mergeCell ref="A77:B77"/>
    <mergeCell ref="A78:B78"/>
    <mergeCell ref="B79:C79"/>
    <mergeCell ref="A80:C80"/>
    <mergeCell ref="B81:C81"/>
    <mergeCell ref="A83:B83"/>
    <mergeCell ref="B69:C69"/>
    <mergeCell ref="A71:B71"/>
    <mergeCell ref="A72:B72"/>
    <mergeCell ref="B73:C73"/>
    <mergeCell ref="A74:C74"/>
    <mergeCell ref="B75:C75"/>
    <mergeCell ref="A92:B92"/>
    <mergeCell ref="A93:B93"/>
    <mergeCell ref="B94:C94"/>
    <mergeCell ref="A95:C95"/>
    <mergeCell ref="A96:A98"/>
    <mergeCell ref="B96:C98"/>
    <mergeCell ref="A84:B84"/>
    <mergeCell ref="B85:C85"/>
    <mergeCell ref="A86:C86"/>
    <mergeCell ref="A87:A90"/>
    <mergeCell ref="B87:C90"/>
    <mergeCell ref="A105:A113"/>
    <mergeCell ref="B105:C113"/>
    <mergeCell ref="I105:I113"/>
    <mergeCell ref="A114:A117"/>
    <mergeCell ref="B114:C117"/>
    <mergeCell ref="I114:I117"/>
    <mergeCell ref="I96:I98"/>
    <mergeCell ref="A100:B100"/>
    <mergeCell ref="A101:B101"/>
    <mergeCell ref="B102:C102"/>
    <mergeCell ref="A103:C103"/>
    <mergeCell ref="B104:C104"/>
    <mergeCell ref="B125:C125"/>
    <mergeCell ref="A126:A129"/>
    <mergeCell ref="B126:C129"/>
    <mergeCell ref="I126:I129"/>
    <mergeCell ref="A130:A133"/>
    <mergeCell ref="B130:C133"/>
    <mergeCell ref="I130:I133"/>
    <mergeCell ref="B118:C118"/>
    <mergeCell ref="A120:B120"/>
    <mergeCell ref="A121:B121"/>
    <mergeCell ref="B122:C122"/>
    <mergeCell ref="A123:C123"/>
    <mergeCell ref="B124:C124"/>
    <mergeCell ref="B143:C143"/>
    <mergeCell ref="A144:A146"/>
    <mergeCell ref="B144:C146"/>
    <mergeCell ref="I144:I146"/>
    <mergeCell ref="A147:A148"/>
    <mergeCell ref="B147:C148"/>
    <mergeCell ref="I147:I148"/>
    <mergeCell ref="A134:A138"/>
    <mergeCell ref="B134:C138"/>
    <mergeCell ref="I134:I138"/>
    <mergeCell ref="B139:C139"/>
    <mergeCell ref="A140:A142"/>
    <mergeCell ref="B140:C142"/>
    <mergeCell ref="A156:C156"/>
    <mergeCell ref="A157:A158"/>
    <mergeCell ref="B157:C158"/>
    <mergeCell ref="I157:I158"/>
    <mergeCell ref="A160:B160"/>
    <mergeCell ref="A161:B161"/>
    <mergeCell ref="B149:C149"/>
    <mergeCell ref="B150:C150"/>
    <mergeCell ref="B151:C151"/>
    <mergeCell ref="A153:B153"/>
    <mergeCell ref="A154:B154"/>
    <mergeCell ref="B155:C155"/>
    <mergeCell ref="B169:C169"/>
    <mergeCell ref="A170:A177"/>
    <mergeCell ref="B170:C177"/>
    <mergeCell ref="I170:I177"/>
    <mergeCell ref="A178:A181"/>
    <mergeCell ref="B178:C181"/>
    <mergeCell ref="I178:I181"/>
    <mergeCell ref="B162:C162"/>
    <mergeCell ref="A163:C163"/>
    <mergeCell ref="B164:C164"/>
    <mergeCell ref="A165:A168"/>
    <mergeCell ref="B165:C168"/>
    <mergeCell ref="I165:I168"/>
    <mergeCell ref="A285:N286"/>
    <mergeCell ref="A190:A193"/>
    <mergeCell ref="B190:C193"/>
    <mergeCell ref="I190:I193"/>
    <mergeCell ref="A182:A185"/>
    <mergeCell ref="B182:C185"/>
    <mergeCell ref="I182:I185"/>
    <mergeCell ref="A186:A189"/>
    <mergeCell ref="B186:C189"/>
    <mergeCell ref="I186:I189"/>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4.pielikums Jūrmalas pilsētas domes
2018.gada 18.decembra saistošajiem noteikumiem Nr.44
(protokols Nr.17, 2.punkts)</oddHeader>
    <oddFooter xml:space="preserve">&amp;R&amp;"Times New Roman,Regular"&amp;8&amp;P (&amp;N)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7"/>
  <sheetViews>
    <sheetView view="pageLayout" zoomScaleNormal="100" workbookViewId="0">
      <selection activeCell="O7" sqref="O7"/>
    </sheetView>
  </sheetViews>
  <sheetFormatPr defaultRowHeight="12" x14ac:dyDescent="0.25"/>
  <cols>
    <col min="1" max="1" width="6.140625" style="403" customWidth="1"/>
    <col min="2" max="2" width="17.28515625" style="403" customWidth="1"/>
    <col min="3" max="3" width="16.7109375" style="403" customWidth="1"/>
    <col min="4" max="4" width="11.85546875" style="403" hidden="1" customWidth="1"/>
    <col min="5" max="5" width="11.140625" style="403" hidden="1" customWidth="1"/>
    <col min="6" max="6" width="10.28515625" style="403" hidden="1" customWidth="1"/>
    <col min="7" max="7" width="10.5703125" style="403" customWidth="1"/>
    <col min="8" max="8" width="9.7109375" style="403" customWidth="1"/>
    <col min="9" max="9" width="22.42578125" style="403" customWidth="1"/>
    <col min="10" max="10" width="35" style="403" hidden="1" customWidth="1"/>
    <col min="11" max="16384" width="9.140625" style="403"/>
  </cols>
  <sheetData>
    <row r="1" spans="1:10" x14ac:dyDescent="0.25">
      <c r="A1" s="1962" t="s">
        <v>124</v>
      </c>
      <c r="B1" s="1962"/>
      <c r="C1" s="1962" t="s">
        <v>125</v>
      </c>
      <c r="D1" s="1962"/>
      <c r="E1" s="1962"/>
      <c r="F1" s="1962"/>
      <c r="G1" s="1962"/>
      <c r="H1" s="1962"/>
      <c r="I1" s="1962"/>
      <c r="J1" s="1962"/>
    </row>
    <row r="2" spans="1:10" x14ac:dyDescent="0.25">
      <c r="A2" s="1962" t="s">
        <v>126</v>
      </c>
      <c r="B2" s="1962"/>
      <c r="C2" s="1962">
        <v>90000056357</v>
      </c>
      <c r="D2" s="1962"/>
      <c r="E2" s="1962"/>
      <c r="F2" s="1962"/>
      <c r="G2" s="1962"/>
      <c r="H2" s="1962"/>
      <c r="I2" s="1962"/>
      <c r="J2" s="1962"/>
    </row>
    <row r="3" spans="1:10" ht="15.75" x14ac:dyDescent="0.25">
      <c r="A3" s="1964" t="s">
        <v>3640</v>
      </c>
      <c r="B3" s="1964"/>
      <c r="C3" s="1964"/>
      <c r="D3" s="1964"/>
      <c r="E3" s="1964"/>
      <c r="F3" s="1964"/>
      <c r="G3" s="1964"/>
      <c r="H3" s="1964"/>
      <c r="I3" s="1964"/>
      <c r="J3" s="1964"/>
    </row>
    <row r="4" spans="1:10" ht="15.75" x14ac:dyDescent="0.25">
      <c r="A4" s="601"/>
      <c r="B4" s="601"/>
      <c r="C4" s="601"/>
      <c r="D4" s="601"/>
      <c r="E4" s="601"/>
      <c r="F4" s="601"/>
      <c r="G4" s="601"/>
      <c r="H4" s="601"/>
      <c r="I4" s="601"/>
      <c r="J4" s="601"/>
    </row>
    <row r="5" spans="1:10" ht="15.75" x14ac:dyDescent="0.25">
      <c r="A5" s="1962" t="s">
        <v>127</v>
      </c>
      <c r="B5" s="1962"/>
      <c r="C5" s="1963" t="s">
        <v>2071</v>
      </c>
      <c r="D5" s="1963"/>
      <c r="E5" s="1963"/>
      <c r="F5" s="1963"/>
      <c r="G5" s="1963"/>
      <c r="H5" s="1963"/>
      <c r="I5" s="1963"/>
      <c r="J5" s="1963"/>
    </row>
    <row r="6" spans="1:10" x14ac:dyDescent="0.25">
      <c r="A6" s="1962" t="s">
        <v>129</v>
      </c>
      <c r="B6" s="1962"/>
      <c r="C6" s="1962" t="s">
        <v>1269</v>
      </c>
      <c r="D6" s="1962"/>
      <c r="E6" s="1962"/>
      <c r="F6" s="1962"/>
      <c r="G6" s="1962"/>
      <c r="H6" s="1962"/>
      <c r="I6" s="1962"/>
      <c r="J6" s="1962"/>
    </row>
    <row r="7" spans="1:10" x14ac:dyDescent="0.25">
      <c r="A7" s="1962" t="s">
        <v>131</v>
      </c>
      <c r="B7" s="1962"/>
      <c r="C7" s="602" t="s">
        <v>2072</v>
      </c>
      <c r="D7" s="603"/>
      <c r="E7" s="603"/>
      <c r="F7" s="603"/>
      <c r="G7" s="603"/>
      <c r="H7" s="603"/>
      <c r="I7" s="603"/>
      <c r="J7" s="603"/>
    </row>
    <row r="8" spans="1:10" ht="48" x14ac:dyDescent="0.25">
      <c r="A8" s="426" t="s">
        <v>4</v>
      </c>
      <c r="B8" s="1953" t="s">
        <v>133</v>
      </c>
      <c r="C8" s="1954"/>
      <c r="D8" s="426" t="s">
        <v>17</v>
      </c>
      <c r="E8" s="426" t="s">
        <v>15</v>
      </c>
      <c r="F8" s="426" t="s">
        <v>134</v>
      </c>
      <c r="G8" s="426" t="s">
        <v>135</v>
      </c>
      <c r="H8" s="1438" t="s">
        <v>3510</v>
      </c>
      <c r="I8" s="426" t="s">
        <v>14</v>
      </c>
      <c r="J8" s="426" t="s">
        <v>137</v>
      </c>
    </row>
    <row r="9" spans="1:10" x14ac:dyDescent="0.25">
      <c r="A9" s="1955" t="s">
        <v>138</v>
      </c>
      <c r="B9" s="1956"/>
      <c r="C9" s="1957"/>
      <c r="D9" s="427">
        <f>SUM(D10:D12)</f>
        <v>53058</v>
      </c>
      <c r="E9" s="427">
        <f>SUM(E10:E12)</f>
        <v>43906</v>
      </c>
      <c r="F9" s="427">
        <f>SUM(F10:F12)</f>
        <v>51000</v>
      </c>
      <c r="G9" s="427"/>
      <c r="H9" s="427">
        <f>SUM(H10:H12)</f>
        <v>46000</v>
      </c>
      <c r="I9" s="428"/>
      <c r="J9" s="455"/>
    </row>
    <row r="10" spans="1:10" ht="27.75" customHeight="1" x14ac:dyDescent="0.25">
      <c r="A10" s="819" t="s">
        <v>3575</v>
      </c>
      <c r="B10" s="1757" t="s">
        <v>2073</v>
      </c>
      <c r="C10" s="1758"/>
      <c r="D10" s="483">
        <v>20000</v>
      </c>
      <c r="E10" s="483">
        <v>10848</v>
      </c>
      <c r="F10" s="483">
        <v>11000</v>
      </c>
      <c r="G10" s="605">
        <v>2239</v>
      </c>
      <c r="H10" s="483">
        <v>11000</v>
      </c>
      <c r="I10" s="496" t="s">
        <v>3572</v>
      </c>
      <c r="J10" s="455" t="s">
        <v>2074</v>
      </c>
    </row>
    <row r="11" spans="1:10" ht="26.25" customHeight="1" x14ac:dyDescent="0.25">
      <c r="A11" s="819" t="s">
        <v>3576</v>
      </c>
      <c r="B11" s="1757" t="s">
        <v>2075</v>
      </c>
      <c r="C11" s="1758"/>
      <c r="D11" s="483">
        <v>33058</v>
      </c>
      <c r="E11" s="483">
        <v>33058</v>
      </c>
      <c r="F11" s="483">
        <v>35000</v>
      </c>
      <c r="G11" s="605">
        <v>5240</v>
      </c>
      <c r="H11" s="483">
        <v>35000</v>
      </c>
      <c r="I11" s="820" t="s">
        <v>3573</v>
      </c>
      <c r="J11" s="821" t="s">
        <v>2076</v>
      </c>
    </row>
    <row r="12" spans="1:10" ht="26.25" hidden="1" customHeight="1" x14ac:dyDescent="0.25">
      <c r="A12" s="819" t="s">
        <v>2077</v>
      </c>
      <c r="B12" s="1757" t="s">
        <v>2078</v>
      </c>
      <c r="C12" s="1758"/>
      <c r="D12" s="483">
        <v>0</v>
      </c>
      <c r="E12" s="166">
        <v>0</v>
      </c>
      <c r="F12" s="483">
        <v>5000</v>
      </c>
      <c r="G12" s="605">
        <v>2279</v>
      </c>
      <c r="H12" s="483"/>
      <c r="I12" s="1447" t="s">
        <v>3574</v>
      </c>
      <c r="J12" s="821" t="s">
        <v>2079</v>
      </c>
    </row>
    <row r="13" spans="1:10" x14ac:dyDescent="0.25">
      <c r="A13" s="616"/>
      <c r="B13" s="616"/>
      <c r="C13" s="616"/>
      <c r="D13" s="616"/>
      <c r="E13" s="616"/>
      <c r="F13" s="616"/>
      <c r="G13" s="616"/>
      <c r="H13" s="616"/>
      <c r="I13" s="616"/>
      <c r="J13" s="616"/>
    </row>
    <row r="14" spans="1:10" hidden="1" x14ac:dyDescent="0.25">
      <c r="A14" s="2074" t="s">
        <v>1421</v>
      </c>
      <c r="B14" s="2074"/>
      <c r="C14" s="2074"/>
      <c r="D14" s="616"/>
      <c r="E14" s="616"/>
      <c r="F14" s="616"/>
      <c r="G14" s="616"/>
      <c r="H14" s="616"/>
      <c r="I14" s="616"/>
      <c r="J14" s="616"/>
    </row>
    <row r="15" spans="1:10" ht="48" hidden="1" x14ac:dyDescent="0.25">
      <c r="A15" s="426" t="s">
        <v>4</v>
      </c>
      <c r="B15" s="1953" t="s">
        <v>133</v>
      </c>
      <c r="C15" s="1954"/>
      <c r="D15" s="426" t="s">
        <v>17</v>
      </c>
      <c r="E15" s="426" t="s">
        <v>15</v>
      </c>
      <c r="F15" s="426" t="s">
        <v>134</v>
      </c>
      <c r="G15" s="426" t="s">
        <v>135</v>
      </c>
      <c r="H15" s="426" t="s">
        <v>136</v>
      </c>
      <c r="I15" s="426" t="s">
        <v>14</v>
      </c>
      <c r="J15" s="426" t="s">
        <v>137</v>
      </c>
    </row>
    <row r="16" spans="1:10" hidden="1" x14ac:dyDescent="0.25">
      <c r="A16" s="1955" t="s">
        <v>138</v>
      </c>
      <c r="B16" s="1956"/>
      <c r="C16" s="1957"/>
      <c r="D16" s="427">
        <f>SUM(D17:D20)</f>
        <v>37315</v>
      </c>
      <c r="E16" s="427">
        <f>SUM(E17:E20)</f>
        <v>37000</v>
      </c>
      <c r="F16" s="427">
        <f>SUM(F17:F20)</f>
        <v>37500</v>
      </c>
      <c r="G16" s="427"/>
      <c r="H16" s="427">
        <f>SUM(H17:H20)</f>
        <v>0</v>
      </c>
      <c r="I16" s="427"/>
      <c r="J16" s="455"/>
    </row>
    <row r="17" spans="1:10" ht="27" hidden="1" customHeight="1" x14ac:dyDescent="0.25">
      <c r="A17" s="470">
        <v>1</v>
      </c>
      <c r="B17" s="1757" t="s">
        <v>2080</v>
      </c>
      <c r="C17" s="1758"/>
      <c r="D17" s="2075">
        <v>37315</v>
      </c>
      <c r="E17" s="455">
        <v>16000</v>
      </c>
      <c r="F17" s="455">
        <v>16000</v>
      </c>
      <c r="G17" s="483"/>
      <c r="H17" s="483"/>
      <c r="I17" s="483"/>
      <c r="J17" s="455"/>
    </row>
    <row r="18" spans="1:10" ht="18" hidden="1" customHeight="1" x14ac:dyDescent="0.25">
      <c r="A18" s="470">
        <v>2</v>
      </c>
      <c r="B18" s="1757" t="s">
        <v>2081</v>
      </c>
      <c r="C18" s="1758"/>
      <c r="D18" s="2076"/>
      <c r="E18" s="455">
        <v>4000</v>
      </c>
      <c r="F18" s="455">
        <v>4500</v>
      </c>
      <c r="G18" s="483"/>
      <c r="H18" s="483"/>
      <c r="I18" s="483"/>
      <c r="J18" s="455"/>
    </row>
    <row r="19" spans="1:10" ht="18" hidden="1" customHeight="1" x14ac:dyDescent="0.25">
      <c r="A19" s="470">
        <v>3</v>
      </c>
      <c r="B19" s="1757" t="s">
        <v>2082</v>
      </c>
      <c r="C19" s="1758"/>
      <c r="D19" s="2076"/>
      <c r="E19" s="455">
        <v>4500</v>
      </c>
      <c r="F19" s="455">
        <v>5000</v>
      </c>
      <c r="G19" s="483"/>
      <c r="H19" s="483"/>
      <c r="I19" s="483"/>
      <c r="J19" s="455"/>
    </row>
    <row r="20" spans="1:10" ht="18" hidden="1" customHeight="1" x14ac:dyDescent="0.25">
      <c r="A20" s="470">
        <v>4</v>
      </c>
      <c r="B20" s="1757" t="s">
        <v>2083</v>
      </c>
      <c r="C20" s="1758"/>
      <c r="D20" s="2077"/>
      <c r="E20" s="455">
        <v>12500</v>
      </c>
      <c r="F20" s="455">
        <v>12000</v>
      </c>
      <c r="G20" s="483"/>
      <c r="H20" s="483"/>
      <c r="I20" s="483"/>
      <c r="J20" s="455"/>
    </row>
    <row r="21" spans="1:10" hidden="1" x14ac:dyDescent="0.25">
      <c r="A21" s="616"/>
      <c r="B21" s="616"/>
      <c r="C21" s="616"/>
      <c r="D21" s="616"/>
      <c r="E21" s="616"/>
      <c r="F21" s="616"/>
      <c r="G21" s="616"/>
      <c r="H21" s="617"/>
      <c r="I21" s="617"/>
      <c r="J21" s="616"/>
    </row>
    <row r="22" spans="1:10" x14ac:dyDescent="0.25">
      <c r="A22" s="403" t="s">
        <v>455</v>
      </c>
    </row>
    <row r="23" spans="1:10" x14ac:dyDescent="0.25">
      <c r="A23" s="403" t="s">
        <v>505</v>
      </c>
    </row>
    <row r="25" spans="1:10" s="274" customFormat="1" x14ac:dyDescent="0.2">
      <c r="A25" s="1553" t="s">
        <v>2084</v>
      </c>
    </row>
    <row r="26" spans="1:10" s="274" customFormat="1" x14ac:dyDescent="0.2">
      <c r="A26" s="822" t="s">
        <v>2085</v>
      </c>
    </row>
    <row r="27" spans="1:10" s="274" customFormat="1" x14ac:dyDescent="0.2">
      <c r="A27" s="1554" t="s">
        <v>2086</v>
      </c>
      <c r="B27" s="1554"/>
      <c r="C27" s="822"/>
      <c r="D27" s="822"/>
      <c r="E27" s="822"/>
      <c r="F27" s="822"/>
      <c r="G27" s="822"/>
      <c r="H27" s="822"/>
      <c r="I27" s="822"/>
      <c r="J27" s="822"/>
    </row>
    <row r="28" spans="1:10" s="274" customFormat="1" x14ac:dyDescent="0.2">
      <c r="A28" s="1554" t="s">
        <v>2087</v>
      </c>
      <c r="B28" s="1554"/>
      <c r="C28" s="822"/>
      <c r="D28" s="822"/>
      <c r="E28" s="822"/>
      <c r="F28" s="822"/>
      <c r="G28" s="822"/>
      <c r="H28" s="822"/>
      <c r="I28" s="822"/>
      <c r="J28" s="822"/>
    </row>
    <row r="29" spans="1:10" s="274" customFormat="1" x14ac:dyDescent="0.2">
      <c r="A29" s="1554" t="s">
        <v>3578</v>
      </c>
      <c r="B29" s="1554"/>
      <c r="C29" s="822"/>
      <c r="D29" s="822"/>
      <c r="E29" s="822"/>
      <c r="F29" s="822"/>
      <c r="G29" s="822"/>
      <c r="H29" s="822"/>
      <c r="I29" s="822"/>
      <c r="J29" s="822"/>
    </row>
    <row r="30" spans="1:10" s="274" customFormat="1" x14ac:dyDescent="0.2">
      <c r="A30" s="1554"/>
      <c r="B30" s="1554" t="s">
        <v>3577</v>
      </c>
      <c r="C30" s="1448"/>
      <c r="D30" s="1448"/>
      <c r="E30" s="1448"/>
      <c r="F30" s="1448"/>
      <c r="G30" s="1448"/>
      <c r="H30" s="1448"/>
      <c r="I30" s="1448"/>
      <c r="J30" s="1448"/>
    </row>
    <row r="31" spans="1:10" s="274" customFormat="1" x14ac:dyDescent="0.2">
      <c r="A31" s="1554" t="s">
        <v>2088</v>
      </c>
      <c r="B31" s="1554"/>
      <c r="C31" s="1448"/>
      <c r="D31" s="1448"/>
      <c r="E31" s="1448"/>
      <c r="F31" s="1448"/>
      <c r="G31" s="1448"/>
      <c r="H31" s="1448"/>
      <c r="I31" s="1448"/>
      <c r="J31" s="1448"/>
    </row>
    <row r="32" spans="1:10" s="274" customFormat="1" x14ac:dyDescent="0.2">
      <c r="A32" s="154" t="s">
        <v>3580</v>
      </c>
      <c r="B32" s="154"/>
      <c r="C32" s="154"/>
      <c r="D32" s="154"/>
      <c r="E32" s="154"/>
      <c r="F32" s="154"/>
      <c r="G32" s="154"/>
      <c r="H32" s="154"/>
      <c r="I32" s="154"/>
      <c r="J32" s="1545"/>
    </row>
    <row r="33" spans="1:10" s="274" customFormat="1" x14ac:dyDescent="0.2">
      <c r="A33" s="154"/>
      <c r="B33" s="154" t="s">
        <v>3579</v>
      </c>
      <c r="C33" s="154"/>
      <c r="D33" s="154"/>
      <c r="E33" s="154"/>
      <c r="F33" s="154"/>
      <c r="G33" s="154"/>
      <c r="H33" s="154"/>
      <c r="I33" s="154"/>
      <c r="J33" s="1545"/>
    </row>
    <row r="34" spans="1:10" s="274" customFormat="1" x14ac:dyDescent="0.2">
      <c r="A34" s="1553" t="s">
        <v>2089</v>
      </c>
      <c r="C34" s="156"/>
      <c r="D34" s="156"/>
      <c r="E34" s="156"/>
      <c r="F34" s="156"/>
      <c r="G34" s="156"/>
      <c r="H34" s="156"/>
      <c r="I34" s="156"/>
    </row>
    <row r="35" spans="1:10" s="274" customFormat="1" x14ac:dyDescent="0.2">
      <c r="A35" s="822" t="s">
        <v>2090</v>
      </c>
    </row>
    <row r="36" spans="1:10" s="274" customFormat="1" x14ac:dyDescent="0.2">
      <c r="A36" s="287" t="s">
        <v>3582</v>
      </c>
      <c r="B36" s="287"/>
      <c r="C36" s="287"/>
      <c r="D36" s="287"/>
      <c r="E36" s="287"/>
      <c r="F36" s="287"/>
      <c r="G36" s="287"/>
      <c r="H36" s="287"/>
      <c r="I36" s="287"/>
      <c r="J36" s="287"/>
    </row>
    <row r="37" spans="1:10" x14ac:dyDescent="0.25">
      <c r="B37" s="403" t="s">
        <v>3581</v>
      </c>
    </row>
  </sheetData>
  <sheetProtection algorithmName="SHA-512" hashValue="LpuJiq4wKxfARWiyUjt1WoyHshlPXXKY5BuknBLA5fx1q7PP8EU+GkbilP8c6ks3+yBx977IZOtMRhqNMCYpag==" saltValue="Fc4pULCHVAbwGZyFavNQRw==" spinCount="100000" sheet="1" objects="1" scenarios="1"/>
  <mergeCells count="23">
    <mergeCell ref="B10:C10"/>
    <mergeCell ref="A1:B1"/>
    <mergeCell ref="C1:J1"/>
    <mergeCell ref="A2:B2"/>
    <mergeCell ref="C2:J2"/>
    <mergeCell ref="A3:J3"/>
    <mergeCell ref="A5:B5"/>
    <mergeCell ref="C5:J5"/>
    <mergeCell ref="A6:B6"/>
    <mergeCell ref="C6:J6"/>
    <mergeCell ref="A7:B7"/>
    <mergeCell ref="B8:C8"/>
    <mergeCell ref="A9:C9"/>
    <mergeCell ref="B17:C17"/>
    <mergeCell ref="D17:D20"/>
    <mergeCell ref="B18:C18"/>
    <mergeCell ref="B19:C19"/>
    <mergeCell ref="B20:C20"/>
    <mergeCell ref="B11:C11"/>
    <mergeCell ref="B12:C12"/>
    <mergeCell ref="A14:C14"/>
    <mergeCell ref="B15:C15"/>
    <mergeCell ref="A16:C16"/>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22.pielikums Jūrmalas pilsētas domes
2018.gada 18.decembra saistošajiem noteikumiem Nr.44
(protokols Nr.17, 2.punkts)</oddHeader>
    <oddFooter xml:space="preserve">&amp;R&amp;"Times New Roman,Regular"&amp;8&amp;P (&amp;N)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3"/>
  <sheetViews>
    <sheetView view="pageLayout" zoomScaleNormal="100" workbookViewId="0">
      <selection activeCell="N8" sqref="N8"/>
    </sheetView>
  </sheetViews>
  <sheetFormatPr defaultColWidth="9.140625" defaultRowHeight="12" x14ac:dyDescent="0.2"/>
  <cols>
    <col min="1" max="1" width="6.14062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12.28515625" style="274" customWidth="1"/>
    <col min="8" max="8" width="19.140625" style="274" customWidth="1"/>
    <col min="9" max="9" width="28.7109375" style="274" hidden="1" customWidth="1"/>
    <col min="10" max="16384" width="9.140625" style="274"/>
  </cols>
  <sheetData>
    <row r="1" spans="1:9" x14ac:dyDescent="0.2">
      <c r="A1" s="1903" t="s">
        <v>438</v>
      </c>
      <c r="B1" s="1903"/>
      <c r="C1" s="2083" t="s">
        <v>125</v>
      </c>
      <c r="D1" s="2083"/>
      <c r="E1" s="2083"/>
      <c r="F1" s="2083"/>
      <c r="G1" s="2083"/>
      <c r="H1" s="2083"/>
      <c r="I1" s="2083"/>
    </row>
    <row r="2" spans="1:9" x14ac:dyDescent="0.2">
      <c r="A2" s="1903" t="s">
        <v>439</v>
      </c>
      <c r="B2" s="1903"/>
      <c r="C2" s="2084">
        <v>90000056357</v>
      </c>
      <c r="D2" s="2084"/>
      <c r="E2" s="2084"/>
      <c r="F2" s="2084"/>
      <c r="G2" s="2084"/>
      <c r="H2" s="2084"/>
      <c r="I2" s="2084"/>
    </row>
    <row r="3" spans="1:9" ht="15.75" x14ac:dyDescent="0.25">
      <c r="A3" s="2085" t="s">
        <v>3639</v>
      </c>
      <c r="B3" s="2085"/>
      <c r="C3" s="2085"/>
      <c r="D3" s="2085"/>
      <c r="E3" s="2085"/>
      <c r="F3" s="2085"/>
      <c r="G3" s="2085"/>
      <c r="H3" s="2085"/>
      <c r="I3" s="2085"/>
    </row>
    <row r="4" spans="1:9" ht="15.75" x14ac:dyDescent="0.25">
      <c r="A4" s="421"/>
      <c r="B4" s="421"/>
      <c r="C4" s="421"/>
      <c r="D4" s="421"/>
      <c r="E4" s="421"/>
      <c r="F4" s="421"/>
      <c r="G4" s="421"/>
      <c r="H4" s="421"/>
      <c r="I4" s="421"/>
    </row>
    <row r="5" spans="1:9" ht="15.75" x14ac:dyDescent="0.25">
      <c r="A5" s="287" t="s">
        <v>440</v>
      </c>
      <c r="B5" s="287"/>
      <c r="C5" s="2087" t="s">
        <v>2091</v>
      </c>
      <c r="D5" s="2087"/>
      <c r="E5" s="2087"/>
      <c r="F5" s="2087"/>
      <c r="G5" s="2087"/>
      <c r="H5" s="2087"/>
      <c r="I5" s="2087"/>
    </row>
    <row r="6" spans="1:9" x14ac:dyDescent="0.2">
      <c r="A6" s="287" t="s">
        <v>129</v>
      </c>
      <c r="B6" s="287"/>
      <c r="C6" s="2083" t="s">
        <v>2092</v>
      </c>
      <c r="D6" s="2083"/>
      <c r="E6" s="2083"/>
      <c r="F6" s="2083"/>
      <c r="G6" s="2083"/>
      <c r="H6" s="2083"/>
      <c r="I6" s="2083"/>
    </row>
    <row r="7" spans="1:9" x14ac:dyDescent="0.2">
      <c r="A7" s="287" t="s">
        <v>131</v>
      </c>
      <c r="B7" s="287"/>
      <c r="C7" s="2088" t="s">
        <v>2093</v>
      </c>
      <c r="D7" s="2088"/>
      <c r="E7" s="2088"/>
      <c r="F7" s="2088"/>
      <c r="G7" s="2088"/>
      <c r="H7" s="2088"/>
      <c r="I7" s="2088"/>
    </row>
    <row r="8" spans="1:9" ht="48" x14ac:dyDescent="0.2">
      <c r="A8" s="426" t="s">
        <v>4</v>
      </c>
      <c r="B8" s="426" t="s">
        <v>133</v>
      </c>
      <c r="C8" s="426" t="s">
        <v>17</v>
      </c>
      <c r="D8" s="426" t="s">
        <v>15</v>
      </c>
      <c r="E8" s="426" t="s">
        <v>134</v>
      </c>
      <c r="F8" s="426" t="s">
        <v>135</v>
      </c>
      <c r="G8" s="1438" t="s">
        <v>3510</v>
      </c>
      <c r="H8" s="426" t="s">
        <v>14</v>
      </c>
      <c r="I8" s="426" t="s">
        <v>137</v>
      </c>
    </row>
    <row r="9" spans="1:9" ht="12.75" customHeight="1" x14ac:dyDescent="0.2">
      <c r="A9" s="1761" t="s">
        <v>138</v>
      </c>
      <c r="B9" s="1761"/>
      <c r="C9" s="427">
        <f>SUM(C10:C74)</f>
        <v>938472</v>
      </c>
      <c r="D9" s="427">
        <f>SUM(D10:D74)</f>
        <v>890061</v>
      </c>
      <c r="E9" s="427">
        <f>SUM(E10:E74)</f>
        <v>1067058</v>
      </c>
      <c r="F9" s="427"/>
      <c r="G9" s="427">
        <f>SUM(G10:G74)</f>
        <v>986282</v>
      </c>
      <c r="H9" s="427"/>
      <c r="I9" s="455"/>
    </row>
    <row r="10" spans="1:9" s="418" customFormat="1" ht="26.25" customHeight="1" x14ac:dyDescent="0.25">
      <c r="A10" s="1773">
        <v>1</v>
      </c>
      <c r="B10" s="1822" t="s">
        <v>2094</v>
      </c>
      <c r="C10" s="291">
        <v>3619</v>
      </c>
      <c r="D10" s="2082">
        <v>6453</v>
      </c>
      <c r="E10" s="823">
        <v>8569</v>
      </c>
      <c r="F10" s="824">
        <v>2275</v>
      </c>
      <c r="G10" s="166">
        <v>12587</v>
      </c>
      <c r="H10" s="2089" t="s">
        <v>3583</v>
      </c>
      <c r="I10" s="2086" t="s">
        <v>2095</v>
      </c>
    </row>
    <row r="11" spans="1:9" s="418" customFormat="1" ht="12.75" hidden="1" customHeight="1" x14ac:dyDescent="0.25">
      <c r="A11" s="1773"/>
      <c r="B11" s="1822"/>
      <c r="C11" s="291">
        <v>181</v>
      </c>
      <c r="D11" s="2082"/>
      <c r="E11" s="823">
        <v>429</v>
      </c>
      <c r="F11" s="824">
        <v>1210</v>
      </c>
      <c r="G11" s="806"/>
      <c r="H11" s="2089"/>
      <c r="I11" s="2086"/>
    </row>
    <row r="12" spans="1:9" s="418" customFormat="1" ht="12.75" hidden="1" customHeight="1" x14ac:dyDescent="0.25">
      <c r="A12" s="1773"/>
      <c r="B12" s="1822"/>
      <c r="C12" s="291">
        <v>791</v>
      </c>
      <c r="D12" s="2082"/>
      <c r="E12" s="823">
        <v>2452</v>
      </c>
      <c r="F12" s="824">
        <v>2279</v>
      </c>
      <c r="G12" s="806"/>
      <c r="H12" s="2089"/>
      <c r="I12" s="2086"/>
    </row>
    <row r="13" spans="1:9" s="418" customFormat="1" ht="12.75" hidden="1" customHeight="1" x14ac:dyDescent="0.25">
      <c r="A13" s="1773"/>
      <c r="B13" s="1822"/>
      <c r="C13" s="291">
        <v>863</v>
      </c>
      <c r="D13" s="2082"/>
      <c r="E13" s="823">
        <v>900</v>
      </c>
      <c r="F13" s="824">
        <v>2264</v>
      </c>
      <c r="G13" s="806"/>
      <c r="H13" s="2089"/>
      <c r="I13" s="2086"/>
    </row>
    <row r="14" spans="1:9" s="418" customFormat="1" ht="12.75" hidden="1" customHeight="1" x14ac:dyDescent="0.25">
      <c r="A14" s="1773"/>
      <c r="B14" s="1822"/>
      <c r="C14" s="291">
        <v>484</v>
      </c>
      <c r="D14" s="2082"/>
      <c r="E14" s="823">
        <v>3500</v>
      </c>
      <c r="F14" s="824">
        <v>2231</v>
      </c>
      <c r="G14" s="806"/>
      <c r="H14" s="2089"/>
      <c r="I14" s="2086"/>
    </row>
    <row r="15" spans="1:9" s="418" customFormat="1" ht="12.75" hidden="1" customHeight="1" x14ac:dyDescent="0.25">
      <c r="A15" s="1773"/>
      <c r="B15" s="1822"/>
      <c r="C15" s="291"/>
      <c r="D15" s="2082"/>
      <c r="E15" s="823"/>
      <c r="F15" s="824">
        <v>2275</v>
      </c>
      <c r="G15" s="166"/>
      <c r="H15" s="2089"/>
      <c r="I15" s="2086"/>
    </row>
    <row r="16" spans="1:9" s="418" customFormat="1" ht="12.75" hidden="1" customHeight="1" x14ac:dyDescent="0.25">
      <c r="A16" s="1773"/>
      <c r="B16" s="1822"/>
      <c r="C16" s="291">
        <v>516</v>
      </c>
      <c r="D16" s="2082"/>
      <c r="E16" s="823">
        <v>3150</v>
      </c>
      <c r="F16" s="824">
        <v>2314</v>
      </c>
      <c r="G16" s="806"/>
      <c r="H16" s="2089"/>
      <c r="I16" s="2086"/>
    </row>
    <row r="17" spans="1:9" s="418" customFormat="1" hidden="1" x14ac:dyDescent="0.25">
      <c r="A17" s="1773"/>
      <c r="B17" s="1822"/>
      <c r="C17" s="291">
        <v>0</v>
      </c>
      <c r="D17" s="2082"/>
      <c r="E17" s="823">
        <v>800</v>
      </c>
      <c r="F17" s="824">
        <v>2262</v>
      </c>
      <c r="G17" s="806"/>
      <c r="H17" s="2089"/>
      <c r="I17" s="2086"/>
    </row>
    <row r="18" spans="1:9" ht="16.5" customHeight="1" x14ac:dyDescent="0.2">
      <c r="A18" s="1644">
        <v>2</v>
      </c>
      <c r="B18" s="1645" t="s">
        <v>2096</v>
      </c>
      <c r="C18" s="604">
        <v>0</v>
      </c>
      <c r="D18" s="2082">
        <v>142375</v>
      </c>
      <c r="E18" s="291">
        <f>150000-1380-8681</f>
        <v>139939</v>
      </c>
      <c r="F18" s="605">
        <v>2275</v>
      </c>
      <c r="G18" s="483">
        <v>139939</v>
      </c>
      <c r="H18" s="2057" t="s">
        <v>2097</v>
      </c>
      <c r="I18" s="1822"/>
    </row>
    <row r="19" spans="1:9" ht="16.5" hidden="1" customHeight="1" x14ac:dyDescent="0.2">
      <c r="A19" s="1644"/>
      <c r="B19" s="1645"/>
      <c r="C19" s="604">
        <v>32261</v>
      </c>
      <c r="D19" s="2082"/>
      <c r="E19" s="291">
        <v>0</v>
      </c>
      <c r="F19" s="605">
        <v>3261</v>
      </c>
      <c r="G19" s="483"/>
      <c r="H19" s="2057"/>
      <c r="I19" s="1822"/>
    </row>
    <row r="20" spans="1:9" ht="23.25" customHeight="1" x14ac:dyDescent="0.2">
      <c r="A20" s="1644"/>
      <c r="B20" s="1645"/>
      <c r="C20" s="604">
        <v>6899</v>
      </c>
      <c r="D20" s="2082"/>
      <c r="E20" s="291">
        <v>1380</v>
      </c>
      <c r="F20" s="605">
        <v>3262</v>
      </c>
      <c r="G20" s="483">
        <v>1380</v>
      </c>
      <c r="H20" s="2057"/>
      <c r="I20" s="1822"/>
    </row>
    <row r="21" spans="1:9" ht="21" customHeight="1" x14ac:dyDescent="0.2">
      <c r="A21" s="1644"/>
      <c r="B21" s="1645"/>
      <c r="C21" s="604">
        <v>103215</v>
      </c>
      <c r="D21" s="2082"/>
      <c r="E21" s="291">
        <v>8681</v>
      </c>
      <c r="F21" s="605">
        <v>3263</v>
      </c>
      <c r="G21" s="483">
        <v>8681</v>
      </c>
      <c r="H21" s="2057"/>
      <c r="I21" s="1822"/>
    </row>
    <row r="22" spans="1:9" ht="51" customHeight="1" x14ac:dyDescent="0.2">
      <c r="A22" s="1644">
        <v>3</v>
      </c>
      <c r="B22" s="1645" t="s">
        <v>2098</v>
      </c>
      <c r="C22" s="604">
        <v>0</v>
      </c>
      <c r="D22" s="2082">
        <v>16737</v>
      </c>
      <c r="E22" s="823">
        <v>0</v>
      </c>
      <c r="F22" s="605">
        <v>3263</v>
      </c>
      <c r="G22" s="483">
        <v>17000</v>
      </c>
      <c r="H22" s="2057" t="s">
        <v>2099</v>
      </c>
      <c r="I22" s="607"/>
    </row>
    <row r="23" spans="1:9" ht="29.25" hidden="1" customHeight="1" x14ac:dyDescent="0.2">
      <c r="A23" s="1644"/>
      <c r="B23" s="1645"/>
      <c r="C23" s="604">
        <v>16737</v>
      </c>
      <c r="D23" s="2082"/>
      <c r="E23" s="823">
        <v>17000</v>
      </c>
      <c r="F23" s="605">
        <v>2275</v>
      </c>
      <c r="G23" s="483"/>
      <c r="H23" s="2057"/>
      <c r="I23" s="607"/>
    </row>
    <row r="24" spans="1:9" ht="15" customHeight="1" x14ac:dyDescent="0.2">
      <c r="A24" s="1644">
        <v>4</v>
      </c>
      <c r="B24" s="1645" t="s">
        <v>2100</v>
      </c>
      <c r="C24" s="604">
        <v>0</v>
      </c>
      <c r="D24" s="2082">
        <v>66225</v>
      </c>
      <c r="E24" s="291">
        <f>92438-4080-3707</f>
        <v>84651</v>
      </c>
      <c r="F24" s="605">
        <v>2275</v>
      </c>
      <c r="G24" s="483">
        <v>50000</v>
      </c>
      <c r="H24" s="2057" t="s">
        <v>2101</v>
      </c>
      <c r="I24" s="1645" t="s">
        <v>2102</v>
      </c>
    </row>
    <row r="25" spans="1:9" ht="15" hidden="1" customHeight="1" x14ac:dyDescent="0.2">
      <c r="A25" s="1644"/>
      <c r="B25" s="1645"/>
      <c r="C25" s="604">
        <v>6319</v>
      </c>
      <c r="D25" s="2082"/>
      <c r="E25" s="291">
        <v>0</v>
      </c>
      <c r="F25" s="605">
        <v>3261</v>
      </c>
      <c r="G25" s="483"/>
      <c r="H25" s="2057"/>
      <c r="I25" s="1645"/>
    </row>
    <row r="26" spans="1:9" ht="29.25" customHeight="1" x14ac:dyDescent="0.2">
      <c r="A26" s="1644"/>
      <c r="B26" s="1645"/>
      <c r="C26" s="604">
        <v>32073</v>
      </c>
      <c r="D26" s="2082"/>
      <c r="E26" s="291">
        <v>4080</v>
      </c>
      <c r="F26" s="605">
        <v>3262</v>
      </c>
      <c r="G26" s="483">
        <v>4080</v>
      </c>
      <c r="H26" s="2057"/>
      <c r="I26" s="1645"/>
    </row>
    <row r="27" spans="1:9" ht="15.75" customHeight="1" x14ac:dyDescent="0.2">
      <c r="A27" s="1644"/>
      <c r="B27" s="1645"/>
      <c r="C27" s="604">
        <v>49683</v>
      </c>
      <c r="D27" s="2082"/>
      <c r="E27" s="291">
        <v>3707</v>
      </c>
      <c r="F27" s="605">
        <v>3263</v>
      </c>
      <c r="G27" s="483">
        <v>3707</v>
      </c>
      <c r="H27" s="2057"/>
      <c r="I27" s="1645"/>
    </row>
    <row r="28" spans="1:9" x14ac:dyDescent="0.2">
      <c r="A28" s="1773">
        <v>5</v>
      </c>
      <c r="B28" s="1822" t="s">
        <v>2103</v>
      </c>
      <c r="C28" s="825">
        <v>375</v>
      </c>
      <c r="D28" s="2079"/>
      <c r="E28" s="826">
        <v>380</v>
      </c>
      <c r="F28" s="605">
        <v>1150</v>
      </c>
      <c r="G28" s="827">
        <v>380</v>
      </c>
      <c r="H28" s="2057" t="s">
        <v>2104</v>
      </c>
      <c r="I28" s="1822"/>
    </row>
    <row r="29" spans="1:9" x14ac:dyDescent="0.2">
      <c r="A29" s="1773"/>
      <c r="B29" s="1822"/>
      <c r="C29" s="604">
        <v>19</v>
      </c>
      <c r="D29" s="2079"/>
      <c r="E29" s="826">
        <v>19</v>
      </c>
      <c r="F29" s="605">
        <v>1210</v>
      </c>
      <c r="G29" s="827">
        <v>19</v>
      </c>
      <c r="H29" s="2057"/>
      <c r="I29" s="1822"/>
    </row>
    <row r="30" spans="1:9" ht="15" hidden="1" customHeight="1" x14ac:dyDescent="0.2">
      <c r="A30" s="1773"/>
      <c r="B30" s="1822"/>
      <c r="C30" s="604">
        <v>0</v>
      </c>
      <c r="D30" s="2079"/>
      <c r="E30" s="826">
        <v>0</v>
      </c>
      <c r="F30" s="605">
        <v>2231</v>
      </c>
      <c r="G30" s="827"/>
      <c r="H30" s="2057"/>
      <c r="I30" s="1822"/>
    </row>
    <row r="31" spans="1:9" ht="15" hidden="1" customHeight="1" x14ac:dyDescent="0.2">
      <c r="A31" s="1773"/>
      <c r="B31" s="1822"/>
      <c r="C31" s="604">
        <v>100</v>
      </c>
      <c r="D31" s="2079"/>
      <c r="E31" s="826">
        <v>0</v>
      </c>
      <c r="F31" s="605">
        <v>2279</v>
      </c>
      <c r="G31" s="827"/>
      <c r="H31" s="2057"/>
      <c r="I31" s="1822"/>
    </row>
    <row r="32" spans="1:9" x14ac:dyDescent="0.2">
      <c r="A32" s="1773"/>
      <c r="B32" s="1822"/>
      <c r="C32" s="604">
        <v>510</v>
      </c>
      <c r="D32" s="2079"/>
      <c r="E32" s="826">
        <v>501</v>
      </c>
      <c r="F32" s="605">
        <v>2262</v>
      </c>
      <c r="G32" s="827">
        <v>501</v>
      </c>
      <c r="H32" s="2057"/>
      <c r="I32" s="1822"/>
    </row>
    <row r="33" spans="1:9" ht="100.5" customHeight="1" x14ac:dyDescent="0.2">
      <c r="A33" s="1773">
        <v>6</v>
      </c>
      <c r="B33" s="1822" t="s">
        <v>2105</v>
      </c>
      <c r="C33" s="604">
        <v>183070</v>
      </c>
      <c r="D33" s="2082">
        <v>183658</v>
      </c>
      <c r="E33" s="826">
        <v>250000</v>
      </c>
      <c r="F33" s="605">
        <v>2279</v>
      </c>
      <c r="G33" s="827">
        <v>250000</v>
      </c>
      <c r="H33" s="2057" t="s">
        <v>2106</v>
      </c>
      <c r="I33" s="1822" t="s">
        <v>2107</v>
      </c>
    </row>
    <row r="34" spans="1:9" ht="35.25" hidden="1" customHeight="1" x14ac:dyDescent="0.2">
      <c r="A34" s="1773"/>
      <c r="B34" s="1822"/>
      <c r="C34" s="604">
        <v>29</v>
      </c>
      <c r="D34" s="2082"/>
      <c r="E34" s="826">
        <v>0</v>
      </c>
      <c r="F34" s="605">
        <v>1210</v>
      </c>
      <c r="G34" s="827"/>
      <c r="H34" s="2057"/>
      <c r="I34" s="1822"/>
    </row>
    <row r="35" spans="1:9" ht="35.25" hidden="1" customHeight="1" x14ac:dyDescent="0.2">
      <c r="A35" s="1773"/>
      <c r="B35" s="1822"/>
      <c r="C35" s="604">
        <v>561</v>
      </c>
      <c r="D35" s="2082"/>
      <c r="E35" s="826">
        <v>0</v>
      </c>
      <c r="F35" s="605">
        <v>1150</v>
      </c>
      <c r="G35" s="827"/>
      <c r="H35" s="2057"/>
      <c r="I35" s="1822"/>
    </row>
    <row r="36" spans="1:9" ht="58.5" customHeight="1" x14ac:dyDescent="0.2">
      <c r="A36" s="1773">
        <v>7</v>
      </c>
      <c r="B36" s="1822" t="s">
        <v>2108</v>
      </c>
      <c r="C36" s="604">
        <v>249285</v>
      </c>
      <c r="D36" s="2082">
        <v>249260</v>
      </c>
      <c r="E36" s="604">
        <v>240000</v>
      </c>
      <c r="F36" s="605">
        <v>2279</v>
      </c>
      <c r="G36" s="827">
        <v>240000</v>
      </c>
      <c r="H36" s="2057" t="s">
        <v>2109</v>
      </c>
      <c r="I36" s="1822"/>
    </row>
    <row r="37" spans="1:9" ht="22.5" hidden="1" customHeight="1" x14ac:dyDescent="0.2">
      <c r="A37" s="1773"/>
      <c r="B37" s="1822"/>
      <c r="C37" s="604">
        <v>611</v>
      </c>
      <c r="D37" s="2082"/>
      <c r="E37" s="604">
        <v>0</v>
      </c>
      <c r="F37" s="605">
        <v>1210</v>
      </c>
      <c r="G37" s="827"/>
      <c r="H37" s="2057"/>
      <c r="I37" s="1822"/>
    </row>
    <row r="38" spans="1:9" ht="22.5" hidden="1" customHeight="1" x14ac:dyDescent="0.2">
      <c r="A38" s="1773"/>
      <c r="B38" s="1822"/>
      <c r="C38" s="604">
        <v>0</v>
      </c>
      <c r="D38" s="2082"/>
      <c r="E38" s="604">
        <v>0</v>
      </c>
      <c r="F38" s="605">
        <v>1150</v>
      </c>
      <c r="G38" s="827"/>
      <c r="H38" s="2057"/>
      <c r="I38" s="1822"/>
    </row>
    <row r="39" spans="1:9" x14ac:dyDescent="0.2">
      <c r="A39" s="1787">
        <v>8</v>
      </c>
      <c r="B39" s="1822" t="s">
        <v>2110</v>
      </c>
      <c r="C39" s="604">
        <v>4806</v>
      </c>
      <c r="D39" s="2080">
        <v>22577</v>
      </c>
      <c r="E39" s="604">
        <v>3508</v>
      </c>
      <c r="F39" s="605">
        <v>6422</v>
      </c>
      <c r="G39" s="483">
        <v>3508</v>
      </c>
      <c r="H39" s="2057" t="s">
        <v>2111</v>
      </c>
      <c r="I39" s="1822"/>
    </row>
    <row r="40" spans="1:9" x14ac:dyDescent="0.2">
      <c r="A40" s="1787"/>
      <c r="B40" s="1822"/>
      <c r="C40" s="604">
        <v>5262</v>
      </c>
      <c r="D40" s="2080"/>
      <c r="E40" s="604">
        <v>5500</v>
      </c>
      <c r="F40" s="605">
        <v>1150</v>
      </c>
      <c r="G40" s="483">
        <v>3000</v>
      </c>
      <c r="H40" s="2057"/>
      <c r="I40" s="1822"/>
    </row>
    <row r="41" spans="1:9" x14ac:dyDescent="0.2">
      <c r="A41" s="1787"/>
      <c r="B41" s="1822"/>
      <c r="C41" s="604">
        <v>264</v>
      </c>
      <c r="D41" s="2080"/>
      <c r="E41" s="604">
        <v>275</v>
      </c>
      <c r="F41" s="605">
        <v>1210</v>
      </c>
      <c r="G41" s="483">
        <v>275</v>
      </c>
      <c r="H41" s="2057"/>
      <c r="I41" s="1822"/>
    </row>
    <row r="42" spans="1:9" x14ac:dyDescent="0.2">
      <c r="A42" s="1787"/>
      <c r="B42" s="1822"/>
      <c r="C42" s="604">
        <v>4700</v>
      </c>
      <c r="D42" s="2080"/>
      <c r="E42" s="604">
        <v>5000</v>
      </c>
      <c r="F42" s="605">
        <v>2231</v>
      </c>
      <c r="G42" s="483">
        <v>4700</v>
      </c>
      <c r="H42" s="2057"/>
      <c r="I42" s="1822"/>
    </row>
    <row r="43" spans="1:9" x14ac:dyDescent="0.2">
      <c r="A43" s="1787"/>
      <c r="B43" s="1822"/>
      <c r="C43" s="604">
        <v>1880</v>
      </c>
      <c r="D43" s="2080"/>
      <c r="E43" s="604">
        <v>1000</v>
      </c>
      <c r="F43" s="605">
        <v>2264</v>
      </c>
      <c r="G43" s="483">
        <v>1000</v>
      </c>
      <c r="H43" s="2057"/>
      <c r="I43" s="1822"/>
    </row>
    <row r="44" spans="1:9" x14ac:dyDescent="0.2">
      <c r="A44" s="1787"/>
      <c r="B44" s="1822"/>
      <c r="C44" s="604">
        <v>585</v>
      </c>
      <c r="D44" s="2080"/>
      <c r="E44" s="604">
        <v>1100</v>
      </c>
      <c r="F44" s="605">
        <v>2314</v>
      </c>
      <c r="G44" s="483">
        <v>1100</v>
      </c>
      <c r="H44" s="2057"/>
      <c r="I44" s="1822"/>
    </row>
    <row r="45" spans="1:9" x14ac:dyDescent="0.2">
      <c r="A45" s="1787"/>
      <c r="B45" s="1822"/>
      <c r="C45" s="799">
        <v>5082</v>
      </c>
      <c r="D45" s="2080"/>
      <c r="E45" s="799">
        <v>6194</v>
      </c>
      <c r="F45" s="800">
        <v>2279</v>
      </c>
      <c r="G45" s="483">
        <v>5082</v>
      </c>
      <c r="H45" s="2057"/>
      <c r="I45" s="1822"/>
    </row>
    <row r="46" spans="1:9" ht="60.75" customHeight="1" x14ac:dyDescent="0.2">
      <c r="A46" s="798">
        <v>9</v>
      </c>
      <c r="B46" s="607" t="s">
        <v>2112</v>
      </c>
      <c r="C46" s="799">
        <v>50000</v>
      </c>
      <c r="D46" s="799">
        <v>50000</v>
      </c>
      <c r="E46" s="799">
        <v>50000</v>
      </c>
      <c r="F46" s="800">
        <v>2279</v>
      </c>
      <c r="G46" s="483">
        <v>50000</v>
      </c>
      <c r="H46" s="496" t="s">
        <v>2113</v>
      </c>
      <c r="I46" s="828"/>
    </row>
    <row r="47" spans="1:9" ht="30" customHeight="1" x14ac:dyDescent="0.2">
      <c r="A47" s="1773">
        <v>10</v>
      </c>
      <c r="B47" s="1822" t="s">
        <v>2114</v>
      </c>
      <c r="C47" s="825">
        <v>3773</v>
      </c>
      <c r="D47" s="2081">
        <v>42000</v>
      </c>
      <c r="E47" s="823">
        <v>3773</v>
      </c>
      <c r="F47" s="605">
        <v>2275</v>
      </c>
      <c r="G47" s="483">
        <v>27000</v>
      </c>
      <c r="H47" s="1648" t="s">
        <v>2115</v>
      </c>
      <c r="I47" s="1822"/>
    </row>
    <row r="48" spans="1:9" ht="12.6" hidden="1" customHeight="1" x14ac:dyDescent="0.2">
      <c r="A48" s="1773"/>
      <c r="B48" s="1822"/>
      <c r="C48" s="823">
        <v>189</v>
      </c>
      <c r="D48" s="2081"/>
      <c r="E48" s="823">
        <v>189</v>
      </c>
      <c r="F48" s="605">
        <v>1210</v>
      </c>
      <c r="G48" s="483"/>
      <c r="H48" s="1648"/>
      <c r="I48" s="1822"/>
    </row>
    <row r="49" spans="1:10" ht="12.6" hidden="1" customHeight="1" x14ac:dyDescent="0.2">
      <c r="A49" s="1773"/>
      <c r="B49" s="1822"/>
      <c r="C49" s="823">
        <v>0</v>
      </c>
      <c r="D49" s="2081"/>
      <c r="E49" s="823">
        <v>0</v>
      </c>
      <c r="F49" s="605">
        <v>2243</v>
      </c>
      <c r="G49" s="483"/>
      <c r="H49" s="1648"/>
      <c r="I49" s="1822"/>
    </row>
    <row r="50" spans="1:10" ht="12.6" hidden="1" customHeight="1" x14ac:dyDescent="0.2">
      <c r="A50" s="1773"/>
      <c r="B50" s="1822"/>
      <c r="C50" s="823"/>
      <c r="D50" s="2081"/>
      <c r="E50" s="823"/>
      <c r="F50" s="605">
        <v>2275</v>
      </c>
      <c r="G50" s="483"/>
      <c r="H50" s="1648"/>
      <c r="I50" s="1822"/>
    </row>
    <row r="51" spans="1:10" ht="12.6" hidden="1" customHeight="1" x14ac:dyDescent="0.2">
      <c r="A51" s="1773"/>
      <c r="B51" s="1822"/>
      <c r="C51" s="823">
        <v>15912</v>
      </c>
      <c r="D51" s="2081"/>
      <c r="E51" s="823">
        <v>15912</v>
      </c>
      <c r="F51" s="605">
        <v>2264</v>
      </c>
      <c r="G51" s="483"/>
      <c r="H51" s="1648"/>
      <c r="I51" s="1822"/>
    </row>
    <row r="52" spans="1:10" ht="12.6" hidden="1" customHeight="1" x14ac:dyDescent="0.2">
      <c r="A52" s="1773"/>
      <c r="B52" s="1822"/>
      <c r="C52" s="823">
        <v>21521</v>
      </c>
      <c r="D52" s="2081"/>
      <c r="E52" s="823">
        <v>21521</v>
      </c>
      <c r="F52" s="605">
        <v>2279</v>
      </c>
      <c r="G52" s="483"/>
      <c r="H52" s="1648"/>
      <c r="I52" s="1822"/>
    </row>
    <row r="53" spans="1:10" ht="12.6" hidden="1" customHeight="1" x14ac:dyDescent="0.2">
      <c r="A53" s="1773"/>
      <c r="B53" s="1822"/>
      <c r="C53" s="823">
        <v>605</v>
      </c>
      <c r="D53" s="2081"/>
      <c r="E53" s="823">
        <v>605</v>
      </c>
      <c r="F53" s="605">
        <v>2314</v>
      </c>
      <c r="G53" s="483"/>
      <c r="H53" s="1648"/>
      <c r="I53" s="1822"/>
    </row>
    <row r="54" spans="1:10" ht="12.6" customHeight="1" x14ac:dyDescent="0.2">
      <c r="A54" s="1773">
        <v>11</v>
      </c>
      <c r="B54" s="1822" t="s">
        <v>2116</v>
      </c>
      <c r="C54" s="823">
        <v>742</v>
      </c>
      <c r="D54" s="2079">
        <v>1500</v>
      </c>
      <c r="E54" s="823">
        <v>742</v>
      </c>
      <c r="F54" s="605">
        <v>2261</v>
      </c>
      <c r="G54" s="483">
        <v>742</v>
      </c>
      <c r="H54" s="2057" t="s">
        <v>2117</v>
      </c>
      <c r="I54" s="1822"/>
    </row>
    <row r="55" spans="1:10" ht="12.75" customHeight="1" x14ac:dyDescent="0.2">
      <c r="A55" s="1773"/>
      <c r="B55" s="1822"/>
      <c r="C55" s="826">
        <v>758</v>
      </c>
      <c r="D55" s="2079"/>
      <c r="E55" s="826">
        <v>758</v>
      </c>
      <c r="F55" s="605">
        <v>6423</v>
      </c>
      <c r="G55" s="483">
        <v>758</v>
      </c>
      <c r="H55" s="2057"/>
      <c r="I55" s="1822"/>
    </row>
    <row r="56" spans="1:10" ht="12.75" hidden="1" customHeight="1" x14ac:dyDescent="0.2">
      <c r="A56" s="1773">
        <v>12</v>
      </c>
      <c r="B56" s="1822" t="s">
        <v>2118</v>
      </c>
      <c r="C56" s="826">
        <v>0</v>
      </c>
      <c r="D56" s="2079">
        <v>46157</v>
      </c>
      <c r="E56" s="2079">
        <v>0</v>
      </c>
      <c r="F56" s="605">
        <v>2275</v>
      </c>
      <c r="G56" s="496"/>
      <c r="H56" s="1773" t="s">
        <v>2119</v>
      </c>
      <c r="I56" s="1822"/>
      <c r="J56" s="459"/>
    </row>
    <row r="57" spans="1:10" ht="12.75" hidden="1" customHeight="1" x14ac:dyDescent="0.2">
      <c r="A57" s="1773"/>
      <c r="B57" s="1822"/>
      <c r="C57" s="826">
        <v>20776</v>
      </c>
      <c r="D57" s="2079"/>
      <c r="E57" s="2079"/>
      <c r="F57" s="605">
        <v>5239</v>
      </c>
      <c r="G57" s="496"/>
      <c r="H57" s="1773"/>
      <c r="I57" s="1822"/>
      <c r="J57" s="459"/>
    </row>
    <row r="58" spans="1:10" ht="12.75" hidden="1" customHeight="1" x14ac:dyDescent="0.2">
      <c r="A58" s="1773"/>
      <c r="B58" s="1822"/>
      <c r="C58" s="826">
        <v>3211</v>
      </c>
      <c r="D58" s="2079"/>
      <c r="E58" s="2079"/>
      <c r="F58" s="605">
        <v>2312</v>
      </c>
      <c r="G58" s="496"/>
      <c r="H58" s="1773"/>
      <c r="I58" s="1822"/>
      <c r="J58" s="459"/>
    </row>
    <row r="59" spans="1:10" ht="12.75" hidden="1" customHeight="1" x14ac:dyDescent="0.2">
      <c r="A59" s="1773"/>
      <c r="B59" s="1822"/>
      <c r="C59" s="826">
        <v>6240</v>
      </c>
      <c r="D59" s="2079"/>
      <c r="E59" s="2079"/>
      <c r="F59" s="605">
        <v>1150</v>
      </c>
      <c r="G59" s="496"/>
      <c r="H59" s="1773"/>
      <c r="I59" s="1822"/>
      <c r="J59" s="459"/>
    </row>
    <row r="60" spans="1:10" ht="12.75" hidden="1" customHeight="1" x14ac:dyDescent="0.2">
      <c r="A60" s="1773"/>
      <c r="B60" s="1822"/>
      <c r="C60" s="826">
        <v>312</v>
      </c>
      <c r="D60" s="2079"/>
      <c r="E60" s="2079"/>
      <c r="F60" s="605">
        <v>1210</v>
      </c>
      <c r="G60" s="496"/>
      <c r="H60" s="1773"/>
      <c r="I60" s="1822"/>
      <c r="J60" s="459"/>
    </row>
    <row r="61" spans="1:10" ht="12.75" hidden="1" customHeight="1" x14ac:dyDescent="0.2">
      <c r="A61" s="1773"/>
      <c r="B61" s="1822"/>
      <c r="C61" s="826">
        <v>9496</v>
      </c>
      <c r="D61" s="2079"/>
      <c r="E61" s="2079"/>
      <c r="F61" s="605">
        <v>2279</v>
      </c>
      <c r="G61" s="496"/>
      <c r="H61" s="1773"/>
      <c r="I61" s="1822"/>
      <c r="J61" s="459"/>
    </row>
    <row r="62" spans="1:10" ht="12.75" hidden="1" customHeight="1" x14ac:dyDescent="0.2">
      <c r="A62" s="1773"/>
      <c r="B62" s="1822"/>
      <c r="C62" s="826">
        <v>35</v>
      </c>
      <c r="D62" s="2079"/>
      <c r="E62" s="2079"/>
      <c r="F62" s="605">
        <v>2248</v>
      </c>
      <c r="G62" s="496"/>
      <c r="H62" s="1773"/>
      <c r="I62" s="1822"/>
      <c r="J62" s="459"/>
    </row>
    <row r="63" spans="1:10" ht="12.75" hidden="1" customHeight="1" x14ac:dyDescent="0.2">
      <c r="A63" s="1773"/>
      <c r="B63" s="1822"/>
      <c r="C63" s="826">
        <v>300</v>
      </c>
      <c r="D63" s="2079"/>
      <c r="E63" s="2079"/>
      <c r="F63" s="605">
        <v>2231</v>
      </c>
      <c r="G63" s="496"/>
      <c r="H63" s="1773"/>
      <c r="I63" s="1822"/>
      <c r="J63" s="459"/>
    </row>
    <row r="64" spans="1:10" ht="12.75" hidden="1" customHeight="1" x14ac:dyDescent="0.2">
      <c r="A64" s="1773"/>
      <c r="B64" s="1822"/>
      <c r="C64" s="826">
        <v>4758</v>
      </c>
      <c r="D64" s="2079"/>
      <c r="E64" s="2079"/>
      <c r="F64" s="605">
        <v>2314</v>
      </c>
      <c r="G64" s="496"/>
      <c r="H64" s="1773"/>
      <c r="I64" s="1822"/>
      <c r="J64" s="459"/>
    </row>
    <row r="65" spans="1:10" ht="12.75" hidden="1" customHeight="1" x14ac:dyDescent="0.2">
      <c r="A65" s="1773"/>
      <c r="B65" s="1822"/>
      <c r="C65" s="826">
        <v>1841</v>
      </c>
      <c r="D65" s="2079"/>
      <c r="E65" s="2079"/>
      <c r="F65" s="605">
        <v>2264</v>
      </c>
      <c r="G65" s="606"/>
      <c r="H65" s="1773"/>
      <c r="I65" s="1822"/>
      <c r="J65" s="275"/>
    </row>
    <row r="66" spans="1:10" ht="60" hidden="1" x14ac:dyDescent="0.2">
      <c r="A66" s="470">
        <v>13</v>
      </c>
      <c r="B66" s="607" t="s">
        <v>2120</v>
      </c>
      <c r="C66" s="826">
        <v>3261</v>
      </c>
      <c r="D66" s="826">
        <v>0</v>
      </c>
      <c r="E66" s="826">
        <v>0</v>
      </c>
      <c r="F66" s="807">
        <v>5140</v>
      </c>
      <c r="G66" s="606"/>
      <c r="H66" s="470" t="s">
        <v>2121</v>
      </c>
      <c r="I66" s="607"/>
    </row>
    <row r="67" spans="1:10" ht="36" x14ac:dyDescent="0.2">
      <c r="A67" s="470">
        <v>12</v>
      </c>
      <c r="B67" s="607" t="s">
        <v>2122</v>
      </c>
      <c r="C67" s="829">
        <v>18071</v>
      </c>
      <c r="D67" s="826">
        <v>7228</v>
      </c>
      <c r="E67" s="826">
        <v>10843</v>
      </c>
      <c r="F67" s="807">
        <v>5240</v>
      </c>
      <c r="G67" s="604">
        <v>10843</v>
      </c>
      <c r="H67" s="470" t="s">
        <v>2123</v>
      </c>
      <c r="I67" s="607" t="s">
        <v>2124</v>
      </c>
    </row>
    <row r="68" spans="1:10" ht="39" customHeight="1" x14ac:dyDescent="0.2">
      <c r="A68" s="470">
        <v>13</v>
      </c>
      <c r="B68" s="607" t="s">
        <v>2125</v>
      </c>
      <c r="C68" s="291">
        <v>10000</v>
      </c>
      <c r="D68" s="826">
        <v>0</v>
      </c>
      <c r="E68" s="604">
        <v>20000</v>
      </c>
      <c r="F68" s="807">
        <v>5240</v>
      </c>
      <c r="G68" s="604">
        <v>20000</v>
      </c>
      <c r="H68" s="470" t="s">
        <v>2123</v>
      </c>
      <c r="I68" s="607" t="s">
        <v>2126</v>
      </c>
    </row>
    <row r="69" spans="1:10" ht="38.25" customHeight="1" x14ac:dyDescent="0.2">
      <c r="A69" s="470">
        <v>14</v>
      </c>
      <c r="B69" s="607" t="s">
        <v>2127</v>
      </c>
      <c r="C69" s="829">
        <v>50819</v>
      </c>
      <c r="D69" s="826">
        <v>50819</v>
      </c>
      <c r="E69" s="604">
        <v>100000</v>
      </c>
      <c r="F69" s="807">
        <v>2279</v>
      </c>
      <c r="G69" s="604">
        <v>100000</v>
      </c>
      <c r="H69" s="470" t="s">
        <v>2128</v>
      </c>
      <c r="I69" s="607"/>
    </row>
    <row r="70" spans="1:10" ht="48" hidden="1" x14ac:dyDescent="0.2">
      <c r="A70" s="470">
        <v>17</v>
      </c>
      <c r="B70" s="607" t="s">
        <v>2129</v>
      </c>
      <c r="C70" s="829">
        <v>300</v>
      </c>
      <c r="D70" s="826">
        <v>300</v>
      </c>
      <c r="E70" s="826">
        <v>0</v>
      </c>
      <c r="F70" s="807">
        <v>2314</v>
      </c>
      <c r="G70" s="606"/>
      <c r="H70" s="188" t="s">
        <v>2130</v>
      </c>
      <c r="I70" s="607"/>
    </row>
    <row r="71" spans="1:10" ht="36" hidden="1" x14ac:dyDescent="0.2">
      <c r="A71" s="470">
        <v>18</v>
      </c>
      <c r="B71" s="607" t="s">
        <v>2131</v>
      </c>
      <c r="C71" s="826">
        <v>172</v>
      </c>
      <c r="D71" s="826">
        <v>172</v>
      </c>
      <c r="E71" s="826">
        <v>0</v>
      </c>
      <c r="F71" s="807">
        <v>2279</v>
      </c>
      <c r="G71" s="606"/>
      <c r="H71" s="188" t="s">
        <v>2132</v>
      </c>
      <c r="I71" s="607"/>
    </row>
    <row r="72" spans="1:10" ht="36" hidden="1" x14ac:dyDescent="0.2">
      <c r="A72" s="470">
        <v>19</v>
      </c>
      <c r="B72" s="607" t="s">
        <v>2133</v>
      </c>
      <c r="C72" s="826">
        <v>3200</v>
      </c>
      <c r="D72" s="826">
        <v>3200</v>
      </c>
      <c r="E72" s="826">
        <v>0</v>
      </c>
      <c r="F72" s="807">
        <v>2314</v>
      </c>
      <c r="G72" s="606"/>
      <c r="H72" s="188" t="s">
        <v>2134</v>
      </c>
      <c r="I72" s="607"/>
    </row>
    <row r="73" spans="1:10" hidden="1" x14ac:dyDescent="0.2">
      <c r="A73" s="470">
        <v>20</v>
      </c>
      <c r="B73" s="607" t="s">
        <v>2135</v>
      </c>
      <c r="C73" s="826">
        <v>1400</v>
      </c>
      <c r="D73" s="826">
        <v>1400</v>
      </c>
      <c r="E73" s="826">
        <v>0</v>
      </c>
      <c r="F73" s="807">
        <v>5238</v>
      </c>
      <c r="G73" s="606"/>
      <c r="H73" s="188" t="s">
        <v>2136</v>
      </c>
      <c r="I73" s="607"/>
    </row>
    <row r="74" spans="1:10" ht="36" x14ac:dyDescent="0.2">
      <c r="A74" s="470">
        <v>15</v>
      </c>
      <c r="B74" s="607" t="s">
        <v>2137</v>
      </c>
      <c r="C74" s="826">
        <v>0</v>
      </c>
      <c r="D74" s="826">
        <v>0</v>
      </c>
      <c r="E74" s="826">
        <v>50000</v>
      </c>
      <c r="F74" s="807">
        <v>2275</v>
      </c>
      <c r="G74" s="483">
        <v>30000</v>
      </c>
      <c r="H74" s="187" t="s">
        <v>3585</v>
      </c>
      <c r="I74" s="607"/>
    </row>
    <row r="75" spans="1:10" x14ac:dyDescent="0.2">
      <c r="A75" s="403"/>
      <c r="B75" s="403"/>
      <c r="C75" s="830"/>
      <c r="D75" s="830"/>
      <c r="E75" s="830"/>
      <c r="F75" s="403"/>
      <c r="G75" s="830"/>
      <c r="H75" s="830"/>
      <c r="I75" s="795"/>
    </row>
    <row r="76" spans="1:10" x14ac:dyDescent="0.2">
      <c r="A76" s="403" t="s">
        <v>455</v>
      </c>
      <c r="B76" s="403"/>
      <c r="C76" s="403"/>
      <c r="D76" s="403"/>
      <c r="E76" s="403"/>
      <c r="F76" s="403"/>
      <c r="G76" s="403"/>
      <c r="H76" s="403"/>
      <c r="I76" s="795"/>
    </row>
    <row r="77" spans="1:10" x14ac:dyDescent="0.2">
      <c r="A77" s="403" t="s">
        <v>505</v>
      </c>
      <c r="B77" s="403"/>
      <c r="C77" s="403"/>
      <c r="D77" s="403"/>
      <c r="E77" s="403"/>
      <c r="F77" s="403"/>
      <c r="G77" s="403"/>
      <c r="H77" s="403"/>
      <c r="I77" s="795"/>
    </row>
    <row r="78" spans="1:10" x14ac:dyDescent="0.2">
      <c r="A78" s="1553" t="s">
        <v>2084</v>
      </c>
      <c r="B78" s="403"/>
      <c r="C78" s="403"/>
      <c r="D78" s="403"/>
      <c r="E78" s="403"/>
      <c r="F78" s="403"/>
      <c r="G78" s="403"/>
      <c r="H78" s="403"/>
      <c r="I78" s="1443"/>
    </row>
    <row r="79" spans="1:10" x14ac:dyDescent="0.2">
      <c r="A79" s="403" t="s">
        <v>2138</v>
      </c>
      <c r="B79" s="403"/>
      <c r="C79" s="403"/>
      <c r="D79" s="403"/>
      <c r="E79" s="403"/>
      <c r="F79" s="403"/>
      <c r="G79" s="830"/>
      <c r="H79" s="403"/>
      <c r="I79" s="795"/>
      <c r="J79" s="275"/>
    </row>
    <row r="80" spans="1:10" x14ac:dyDescent="0.2">
      <c r="A80" s="418"/>
      <c r="B80" s="418" t="s">
        <v>2139</v>
      </c>
      <c r="C80" s="418"/>
      <c r="D80" s="418"/>
      <c r="E80" s="418"/>
      <c r="F80" s="418"/>
      <c r="G80" s="1097"/>
      <c r="H80" s="418"/>
      <c r="I80" s="795"/>
      <c r="J80" s="275"/>
    </row>
    <row r="81" spans="1:10" x14ac:dyDescent="0.2">
      <c r="A81" s="418" t="s">
        <v>1896</v>
      </c>
      <c r="B81" s="418"/>
      <c r="C81" s="418"/>
      <c r="D81" s="418"/>
      <c r="E81" s="418"/>
      <c r="F81" s="418"/>
      <c r="G81" s="418"/>
      <c r="H81" s="418"/>
      <c r="I81" s="795"/>
      <c r="J81" s="831"/>
    </row>
    <row r="82" spans="1:10" x14ac:dyDescent="0.2">
      <c r="A82" s="418"/>
      <c r="B82" s="418" t="s">
        <v>2140</v>
      </c>
      <c r="C82" s="418"/>
      <c r="D82" s="418"/>
      <c r="E82" s="418"/>
      <c r="F82" s="418"/>
      <c r="G82" s="418"/>
      <c r="H82" s="418"/>
      <c r="I82" s="795"/>
      <c r="J82" s="809"/>
    </row>
    <row r="83" spans="1:10" x14ac:dyDescent="0.2">
      <c r="A83" s="418"/>
      <c r="B83" s="418" t="s">
        <v>2141</v>
      </c>
      <c r="C83" s="418"/>
      <c r="D83" s="418"/>
      <c r="E83" s="418"/>
      <c r="F83" s="418"/>
      <c r="G83" s="418"/>
      <c r="H83" s="418"/>
      <c r="I83" s="795"/>
      <c r="J83" s="809"/>
    </row>
    <row r="84" spans="1:10" x14ac:dyDescent="0.2">
      <c r="A84" s="418" t="s">
        <v>2142</v>
      </c>
      <c r="B84" s="418"/>
      <c r="C84" s="418"/>
      <c r="D84" s="418"/>
      <c r="E84" s="418"/>
      <c r="F84" s="418"/>
      <c r="G84" s="418"/>
      <c r="H84" s="418"/>
      <c r="I84" s="795"/>
      <c r="J84" s="809"/>
    </row>
    <row r="85" spans="1:10" x14ac:dyDescent="0.2">
      <c r="A85" s="418"/>
      <c r="B85" s="418" t="s">
        <v>2143</v>
      </c>
      <c r="C85" s="418"/>
      <c r="D85" s="418"/>
      <c r="E85" s="418"/>
      <c r="F85" s="418"/>
      <c r="G85" s="418"/>
      <c r="H85" s="418"/>
      <c r="I85" s="795"/>
      <c r="J85" s="809"/>
    </row>
    <row r="86" spans="1:10" x14ac:dyDescent="0.2">
      <c r="A86" s="418"/>
      <c r="B86" s="418" t="s">
        <v>2145</v>
      </c>
      <c r="C86" s="418"/>
      <c r="D86" s="418"/>
      <c r="E86" s="418"/>
      <c r="F86" s="418"/>
      <c r="G86" s="418"/>
      <c r="H86" s="418"/>
      <c r="I86" s="1443"/>
      <c r="J86" s="809"/>
    </row>
    <row r="87" spans="1:10" x14ac:dyDescent="0.2">
      <c r="A87" s="418"/>
      <c r="B87" s="418" t="s">
        <v>3587</v>
      </c>
      <c r="C87" s="418"/>
      <c r="D87" s="418"/>
      <c r="E87" s="418"/>
      <c r="F87" s="418"/>
      <c r="G87" s="418"/>
      <c r="H87" s="418"/>
      <c r="I87" s="1443"/>
      <c r="J87" s="809"/>
    </row>
    <row r="88" spans="1:10" x14ac:dyDescent="0.2">
      <c r="A88" s="418"/>
      <c r="B88" s="418" t="s">
        <v>2144</v>
      </c>
      <c r="C88" s="418"/>
      <c r="D88" s="418"/>
      <c r="E88" s="418"/>
      <c r="F88" s="418"/>
      <c r="G88" s="418"/>
      <c r="H88" s="418"/>
      <c r="I88" s="795"/>
      <c r="J88" s="809"/>
    </row>
    <row r="89" spans="1:10" x14ac:dyDescent="0.2">
      <c r="A89" s="418"/>
      <c r="B89" s="418"/>
      <c r="C89" s="418"/>
      <c r="D89" s="418"/>
      <c r="E89" s="418"/>
      <c r="F89" s="418"/>
      <c r="G89" s="418"/>
      <c r="H89" s="418"/>
      <c r="I89" s="1443"/>
      <c r="J89" s="809"/>
    </row>
    <row r="90" spans="1:10" x14ac:dyDescent="0.2">
      <c r="A90" s="2078" t="s">
        <v>3586</v>
      </c>
      <c r="B90" s="2078"/>
      <c r="C90" s="2078"/>
      <c r="D90" s="2078"/>
      <c r="E90" s="2078"/>
      <c r="F90" s="2078"/>
      <c r="G90" s="2078"/>
      <c r="H90" s="2078"/>
      <c r="I90" s="795"/>
      <c r="J90" s="403"/>
    </row>
    <row r="91" spans="1:10" x14ac:dyDescent="0.2">
      <c r="A91" s="418" t="s">
        <v>2146</v>
      </c>
      <c r="B91" s="418"/>
      <c r="C91" s="418"/>
      <c r="D91" s="418"/>
      <c r="E91" s="418"/>
      <c r="F91" s="418"/>
      <c r="G91" s="418"/>
      <c r="H91" s="418"/>
      <c r="I91" s="795"/>
      <c r="J91" s="403"/>
    </row>
    <row r="92" spans="1:10" x14ac:dyDescent="0.2">
      <c r="A92" s="418"/>
      <c r="B92" s="418" t="s">
        <v>2147</v>
      </c>
      <c r="C92" s="418"/>
      <c r="D92" s="418"/>
      <c r="E92" s="418"/>
      <c r="F92" s="418"/>
      <c r="G92" s="418"/>
      <c r="H92" s="418"/>
      <c r="I92" s="795"/>
      <c r="J92" s="403"/>
    </row>
    <row r="93" spans="1:10" x14ac:dyDescent="0.2">
      <c r="A93" s="418"/>
      <c r="B93" s="418" t="s">
        <v>2148</v>
      </c>
      <c r="C93" s="418"/>
      <c r="D93" s="418"/>
      <c r="E93" s="418"/>
      <c r="F93" s="418"/>
      <c r="G93" s="418"/>
      <c r="H93" s="418"/>
      <c r="I93" s="795"/>
      <c r="J93" s="403"/>
    </row>
    <row r="94" spans="1:10" x14ac:dyDescent="0.2">
      <c r="A94" s="418" t="s">
        <v>2013</v>
      </c>
      <c r="B94" s="418"/>
      <c r="C94" s="418"/>
      <c r="D94" s="418"/>
      <c r="E94" s="418"/>
      <c r="F94" s="418"/>
      <c r="G94" s="418"/>
      <c r="H94" s="418"/>
      <c r="I94" s="795"/>
      <c r="J94" s="403"/>
    </row>
    <row r="95" spans="1:10" x14ac:dyDescent="0.2">
      <c r="A95" s="418"/>
      <c r="B95" s="418" t="s">
        <v>2149</v>
      </c>
      <c r="C95" s="418"/>
      <c r="D95" s="418"/>
      <c r="E95" s="418"/>
      <c r="F95" s="418"/>
      <c r="G95" s="418"/>
      <c r="H95" s="418"/>
      <c r="I95" s="795"/>
      <c r="J95" s="403"/>
    </row>
    <row r="96" spans="1:10" x14ac:dyDescent="0.2">
      <c r="A96" s="418"/>
      <c r="B96" s="418" t="s">
        <v>3590</v>
      </c>
      <c r="C96" s="418"/>
      <c r="D96" s="418"/>
      <c r="E96" s="418"/>
      <c r="F96" s="418"/>
      <c r="G96" s="418"/>
      <c r="H96" s="418"/>
      <c r="I96" s="795"/>
      <c r="J96" s="403"/>
    </row>
    <row r="97" spans="1:10" x14ac:dyDescent="0.2">
      <c r="A97" s="418"/>
      <c r="B97" s="418" t="s">
        <v>2150</v>
      </c>
      <c r="C97" s="418"/>
      <c r="D97" s="418"/>
      <c r="E97" s="418"/>
      <c r="F97" s="418"/>
      <c r="G97" s="418"/>
      <c r="H97" s="418"/>
      <c r="I97" s="795"/>
      <c r="J97" s="403"/>
    </row>
    <row r="98" spans="1:10" x14ac:dyDescent="0.2">
      <c r="A98" s="418" t="s">
        <v>2151</v>
      </c>
      <c r="B98" s="418"/>
      <c r="C98" s="418"/>
      <c r="D98" s="418"/>
      <c r="E98" s="418"/>
      <c r="F98" s="418"/>
      <c r="G98" s="418"/>
      <c r="H98" s="418"/>
      <c r="I98" s="795"/>
      <c r="J98" s="403"/>
    </row>
    <row r="99" spans="1:10" x14ac:dyDescent="0.2">
      <c r="A99" s="418"/>
      <c r="B99" s="418" t="s">
        <v>2152</v>
      </c>
      <c r="C99" s="418"/>
      <c r="D99" s="418"/>
      <c r="E99" s="418"/>
      <c r="F99" s="418"/>
      <c r="G99" s="418"/>
      <c r="H99" s="418"/>
      <c r="I99" s="795"/>
      <c r="J99" s="403"/>
    </row>
    <row r="100" spans="1:10" x14ac:dyDescent="0.2">
      <c r="A100" s="418"/>
      <c r="B100" s="418" t="s">
        <v>2153</v>
      </c>
      <c r="C100" s="418"/>
      <c r="D100" s="418"/>
      <c r="E100" s="418"/>
      <c r="F100" s="418"/>
      <c r="G100" s="418"/>
      <c r="H100" s="418"/>
      <c r="I100" s="795"/>
      <c r="J100" s="403"/>
    </row>
    <row r="101" spans="1:10" x14ac:dyDescent="0.2">
      <c r="A101" s="418"/>
      <c r="B101" s="418" t="s">
        <v>2154</v>
      </c>
      <c r="C101" s="418"/>
      <c r="D101" s="418"/>
      <c r="E101" s="418"/>
      <c r="F101" s="418"/>
      <c r="G101" s="418"/>
      <c r="H101" s="418"/>
      <c r="I101" s="795"/>
      <c r="J101" s="403"/>
    </row>
    <row r="102" spans="1:10" x14ac:dyDescent="0.2">
      <c r="A102" s="418"/>
      <c r="B102" s="418" t="s">
        <v>2155</v>
      </c>
      <c r="C102" s="418"/>
      <c r="D102" s="418"/>
      <c r="E102" s="418"/>
      <c r="F102" s="418"/>
      <c r="G102" s="418"/>
      <c r="H102" s="418"/>
      <c r="I102" s="795"/>
      <c r="J102" s="403"/>
    </row>
    <row r="103" spans="1:10" x14ac:dyDescent="0.2">
      <c r="A103" s="418" t="s">
        <v>2156</v>
      </c>
      <c r="B103" s="418"/>
      <c r="C103" s="418"/>
      <c r="D103" s="418"/>
      <c r="E103" s="418"/>
      <c r="F103" s="418"/>
      <c r="G103" s="418"/>
      <c r="H103" s="418"/>
      <c r="I103" s="795"/>
      <c r="J103" s="403"/>
    </row>
    <row r="104" spans="1:10" x14ac:dyDescent="0.2">
      <c r="A104" s="418"/>
      <c r="B104" s="418" t="s">
        <v>2157</v>
      </c>
      <c r="C104" s="418"/>
      <c r="D104" s="418"/>
      <c r="E104" s="418"/>
      <c r="F104" s="418"/>
      <c r="G104" s="418"/>
      <c r="H104" s="418"/>
      <c r="I104" s="795"/>
      <c r="J104" s="403"/>
    </row>
    <row r="105" spans="1:10" x14ac:dyDescent="0.2">
      <c r="A105" s="418"/>
      <c r="B105" s="418" t="s">
        <v>2158</v>
      </c>
      <c r="C105" s="418"/>
      <c r="D105" s="418"/>
      <c r="E105" s="418"/>
      <c r="F105" s="418"/>
      <c r="G105" s="418"/>
      <c r="H105" s="418"/>
      <c r="I105" s="795"/>
      <c r="J105" s="403"/>
    </row>
    <row r="106" spans="1:10" x14ac:dyDescent="0.2">
      <c r="A106" s="418" t="s">
        <v>2159</v>
      </c>
      <c r="B106" s="418"/>
      <c r="C106" s="418"/>
      <c r="D106" s="418"/>
      <c r="E106" s="418"/>
      <c r="F106" s="418"/>
      <c r="G106" s="418"/>
      <c r="H106" s="418"/>
      <c r="I106" s="795"/>
      <c r="J106" s="403"/>
    </row>
    <row r="107" spans="1:10" x14ac:dyDescent="0.2">
      <c r="A107" s="418"/>
      <c r="B107" s="418" t="s">
        <v>2160</v>
      </c>
      <c r="C107" s="418"/>
      <c r="D107" s="418"/>
      <c r="E107" s="418"/>
      <c r="F107" s="418"/>
      <c r="G107" s="418"/>
      <c r="H107" s="418"/>
      <c r="I107" s="795"/>
      <c r="J107" s="403"/>
    </row>
    <row r="108" spans="1:10" x14ac:dyDescent="0.2">
      <c r="A108" s="418"/>
      <c r="B108" s="418" t="s">
        <v>2161</v>
      </c>
      <c r="C108" s="418"/>
      <c r="D108" s="418"/>
      <c r="E108" s="418"/>
      <c r="F108" s="418"/>
      <c r="G108" s="418"/>
      <c r="H108" s="418"/>
      <c r="I108" s="795"/>
      <c r="J108" s="403"/>
    </row>
    <row r="109" spans="1:10" x14ac:dyDescent="0.2">
      <c r="A109" s="418"/>
      <c r="B109" s="418" t="s">
        <v>2162</v>
      </c>
      <c r="C109" s="418"/>
      <c r="D109" s="418"/>
      <c r="E109" s="418"/>
      <c r="F109" s="418"/>
      <c r="G109" s="418"/>
      <c r="H109" s="418"/>
      <c r="I109" s="795"/>
      <c r="J109" s="403"/>
    </row>
    <row r="110" spans="1:10" x14ac:dyDescent="0.2">
      <c r="A110" s="418"/>
      <c r="B110" s="418"/>
      <c r="C110" s="418"/>
      <c r="D110" s="418"/>
      <c r="E110" s="418"/>
      <c r="F110" s="418"/>
      <c r="G110" s="418"/>
      <c r="H110" s="418"/>
      <c r="I110" s="403"/>
      <c r="J110" s="403"/>
    </row>
    <row r="111" spans="1:10" x14ac:dyDescent="0.2">
      <c r="A111" s="804" t="s">
        <v>3584</v>
      </c>
      <c r="B111" s="403"/>
      <c r="C111" s="403"/>
      <c r="D111" s="403"/>
      <c r="E111" s="403"/>
      <c r="F111" s="403"/>
      <c r="G111" s="403"/>
      <c r="H111" s="403"/>
      <c r="I111" s="403"/>
      <c r="J111" s="403"/>
    </row>
    <row r="112" spans="1:10" x14ac:dyDescent="0.2">
      <c r="B112" s="274" t="s">
        <v>3589</v>
      </c>
    </row>
    <row r="113" spans="2:2" x14ac:dyDescent="0.2">
      <c r="B113" s="274" t="s">
        <v>3588</v>
      </c>
    </row>
  </sheetData>
  <sheetProtection algorithmName="SHA-512" hashValue="eZx+lTeKW5yNj2CdtU9vwnVXFKuUCQFZfIahBlYteYx+/YUae3cN61r0rQcyvw3Z0ysN8iLwKj0TCtidYCob/Q==" saltValue="Dt1wUi472aFQnMvW1OSKDw==" spinCount="100000" sheet="1" objects="1" scenarios="1"/>
  <mergeCells count="65">
    <mergeCell ref="I10:I17"/>
    <mergeCell ref="D22:D23"/>
    <mergeCell ref="H22:H23"/>
    <mergeCell ref="A18:A21"/>
    <mergeCell ref="C5:I5"/>
    <mergeCell ref="C6:I6"/>
    <mergeCell ref="C7:I7"/>
    <mergeCell ref="A9:B9"/>
    <mergeCell ref="A10:A17"/>
    <mergeCell ref="B10:B17"/>
    <mergeCell ref="D10:D17"/>
    <mergeCell ref="H10:H17"/>
    <mergeCell ref="B18:B21"/>
    <mergeCell ref="D18:D21"/>
    <mergeCell ref="H18:H21"/>
    <mergeCell ref="I18:I21"/>
    <mergeCell ref="A1:B1"/>
    <mergeCell ref="C1:I1"/>
    <mergeCell ref="A2:B2"/>
    <mergeCell ref="C2:I2"/>
    <mergeCell ref="A3:I3"/>
    <mergeCell ref="I24:I27"/>
    <mergeCell ref="A28:A32"/>
    <mergeCell ref="B28:B32"/>
    <mergeCell ref="D28:D32"/>
    <mergeCell ref="H28:H32"/>
    <mergeCell ref="I28:I32"/>
    <mergeCell ref="A22:A23"/>
    <mergeCell ref="B22:B23"/>
    <mergeCell ref="I36:I38"/>
    <mergeCell ref="A33:A35"/>
    <mergeCell ref="B33:B35"/>
    <mergeCell ref="D33:D35"/>
    <mergeCell ref="H33:H35"/>
    <mergeCell ref="I33:I35"/>
    <mergeCell ref="A36:A38"/>
    <mergeCell ref="B36:B38"/>
    <mergeCell ref="D36:D38"/>
    <mergeCell ref="H36:H38"/>
    <mergeCell ref="A24:A27"/>
    <mergeCell ref="B24:B27"/>
    <mergeCell ref="D24:D27"/>
    <mergeCell ref="H24:H27"/>
    <mergeCell ref="A47:A53"/>
    <mergeCell ref="B47:B53"/>
    <mergeCell ref="D47:D53"/>
    <mergeCell ref="H47:H53"/>
    <mergeCell ref="I47:I53"/>
    <mergeCell ref="A39:A45"/>
    <mergeCell ref="B39:B45"/>
    <mergeCell ref="D39:D45"/>
    <mergeCell ref="H39:H45"/>
    <mergeCell ref="I39:I45"/>
    <mergeCell ref="I56:I65"/>
    <mergeCell ref="A90:H90"/>
    <mergeCell ref="A54:A55"/>
    <mergeCell ref="B54:B55"/>
    <mergeCell ref="D54:D55"/>
    <mergeCell ref="H54:H55"/>
    <mergeCell ref="I54:I55"/>
    <mergeCell ref="A56:A65"/>
    <mergeCell ref="B56:B65"/>
    <mergeCell ref="D56:D65"/>
    <mergeCell ref="E56:E65"/>
    <mergeCell ref="H56:H65"/>
  </mergeCells>
  <pageMargins left="0.78740157480314965" right="0.39370078740157483" top="0.59055118110236227" bottom="0.39370078740157483" header="0.23622047244094491" footer="0.23622047244094491"/>
  <pageSetup paperSize="9" scale="65" fitToHeight="0" orientation="portrait" verticalDpi="200" r:id="rId1"/>
  <headerFooter>
    <oddHeader>&amp;R&amp;"Times New Roman,Regular"&amp;10 23.pielikums Jūrmalas pilsētas domes
2018.gada 18.decembra saistošajiem noteikumiem Nr.44
(protokols Nr.17, 2.punkts)</oddHeader>
    <oddFooter xml:space="preserve">&amp;R&amp;"Times New Roman,Regular"&amp;8&amp;P (&amp;N)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0"/>
  <sheetViews>
    <sheetView view="pageLayout" zoomScaleNormal="100" workbookViewId="0">
      <selection activeCell="Q8" sqref="Q8"/>
    </sheetView>
  </sheetViews>
  <sheetFormatPr defaultRowHeight="12" x14ac:dyDescent="0.2"/>
  <cols>
    <col min="1" max="1" width="6.140625" style="306" customWidth="1"/>
    <col min="2" max="2" width="17.28515625" style="306" customWidth="1"/>
    <col min="3" max="3" width="10.28515625" style="306" customWidth="1"/>
    <col min="4" max="4" width="11.85546875" style="306" hidden="1" customWidth="1"/>
    <col min="5" max="5" width="11.140625" style="306" hidden="1" customWidth="1"/>
    <col min="6" max="6" width="10.28515625" style="306" hidden="1" customWidth="1"/>
    <col min="7" max="7" width="10.5703125" style="306" customWidth="1"/>
    <col min="8" max="8" width="9.7109375" style="306" customWidth="1"/>
    <col min="9" max="9" width="18.7109375" style="306" customWidth="1"/>
    <col min="10" max="10" width="41" style="306" hidden="1" customWidth="1"/>
    <col min="11" max="16384" width="9.140625" style="306"/>
  </cols>
  <sheetData>
    <row r="1" spans="1:10" x14ac:dyDescent="0.2">
      <c r="A1" s="1692" t="s">
        <v>124</v>
      </c>
      <c r="B1" s="1692"/>
      <c r="C1" s="309" t="s">
        <v>125</v>
      </c>
      <c r="D1" s="309"/>
      <c r="E1" s="309"/>
      <c r="F1" s="309"/>
      <c r="G1" s="309"/>
      <c r="H1" s="309"/>
      <c r="I1" s="309"/>
      <c r="J1" s="309"/>
    </row>
    <row r="2" spans="1:10" x14ac:dyDescent="0.2">
      <c r="A2" s="1692" t="s">
        <v>126</v>
      </c>
      <c r="B2" s="1692"/>
      <c r="C2" s="305">
        <v>90000056357</v>
      </c>
      <c r="D2" s="309"/>
      <c r="E2" s="309"/>
      <c r="F2" s="309"/>
      <c r="G2" s="309"/>
      <c r="H2" s="309"/>
      <c r="I2" s="309"/>
      <c r="J2" s="309"/>
    </row>
    <row r="3" spans="1:10" ht="15.75" x14ac:dyDescent="0.25">
      <c r="A3" s="1693" t="s">
        <v>3640</v>
      </c>
      <c r="B3" s="1693"/>
      <c r="C3" s="1693"/>
      <c r="D3" s="1693"/>
      <c r="E3" s="1693"/>
      <c r="F3" s="1693"/>
      <c r="G3" s="1693"/>
      <c r="H3" s="1693"/>
      <c r="I3" s="1693"/>
      <c r="J3" s="1693"/>
    </row>
    <row r="4" spans="1:10" ht="15.75" x14ac:dyDescent="0.25">
      <c r="A4" s="307"/>
      <c r="B4" s="307"/>
      <c r="C4" s="307"/>
      <c r="D4" s="307"/>
      <c r="E4" s="307"/>
      <c r="F4" s="307"/>
      <c r="G4" s="307"/>
      <c r="H4" s="307"/>
      <c r="I4" s="307"/>
      <c r="J4" s="307"/>
    </row>
    <row r="5" spans="1:10" ht="15.75" x14ac:dyDescent="0.25">
      <c r="A5" s="1692" t="s">
        <v>440</v>
      </c>
      <c r="B5" s="1692"/>
      <c r="C5" s="310" t="s">
        <v>2163</v>
      </c>
      <c r="D5" s="310"/>
      <c r="E5" s="310"/>
      <c r="F5" s="310"/>
      <c r="G5" s="310"/>
      <c r="H5" s="310"/>
      <c r="I5" s="310"/>
      <c r="J5" s="310"/>
    </row>
    <row r="6" spans="1:10" x14ac:dyDescent="0.2">
      <c r="A6" s="1692" t="s">
        <v>129</v>
      </c>
      <c r="B6" s="1692"/>
      <c r="C6" s="309" t="s">
        <v>1269</v>
      </c>
      <c r="D6" s="309"/>
      <c r="E6" s="309"/>
      <c r="F6" s="309"/>
      <c r="G6" s="309"/>
      <c r="H6" s="309"/>
      <c r="I6" s="309"/>
      <c r="J6" s="309"/>
    </row>
    <row r="7" spans="1:10" x14ac:dyDescent="0.2">
      <c r="A7" s="1692" t="s">
        <v>131</v>
      </c>
      <c r="B7" s="1692"/>
      <c r="C7" s="832" t="s">
        <v>2072</v>
      </c>
      <c r="D7" s="311"/>
      <c r="E7" s="311"/>
      <c r="F7" s="311"/>
      <c r="G7" s="311"/>
      <c r="H7" s="311"/>
      <c r="I7" s="311"/>
      <c r="J7" s="311"/>
    </row>
    <row r="8" spans="1:10" ht="51" customHeight="1" x14ac:dyDescent="0.2">
      <c r="A8" s="312" t="s">
        <v>4</v>
      </c>
      <c r="B8" s="1707" t="s">
        <v>133</v>
      </c>
      <c r="C8" s="1707"/>
      <c r="D8" s="312" t="s">
        <v>17</v>
      </c>
      <c r="E8" s="312" t="s">
        <v>15</v>
      </c>
      <c r="F8" s="312" t="s">
        <v>134</v>
      </c>
      <c r="G8" s="312" t="s">
        <v>135</v>
      </c>
      <c r="H8" s="1438" t="s">
        <v>3510</v>
      </c>
      <c r="I8" s="312" t="s">
        <v>14</v>
      </c>
      <c r="J8" s="312" t="s">
        <v>137</v>
      </c>
    </row>
    <row r="9" spans="1:10" ht="12.75" customHeight="1" x14ac:dyDescent="0.2">
      <c r="A9" s="1700" t="s">
        <v>138</v>
      </c>
      <c r="B9" s="1700"/>
      <c r="C9" s="1700"/>
      <c r="D9" s="313">
        <f>SUM(D10:D17)</f>
        <v>102053</v>
      </c>
      <c r="E9" s="313">
        <f>SUM(E10:E17)</f>
        <v>77868</v>
      </c>
      <c r="F9" s="313">
        <f>SUM(F10:F17)</f>
        <v>136187</v>
      </c>
      <c r="G9" s="313"/>
      <c r="H9" s="313">
        <f>SUM(H10:H17)</f>
        <v>152563</v>
      </c>
      <c r="I9" s="313"/>
      <c r="J9" s="833"/>
    </row>
    <row r="10" spans="1:10" x14ac:dyDescent="0.2">
      <c r="A10" s="1708">
        <v>1</v>
      </c>
      <c r="B10" s="1695" t="s">
        <v>2164</v>
      </c>
      <c r="C10" s="1695"/>
      <c r="D10" s="2102">
        <v>92058</v>
      </c>
      <c r="E10" s="322">
        <v>33106</v>
      </c>
      <c r="F10" s="834"/>
      <c r="G10" s="2101">
        <v>5110</v>
      </c>
      <c r="H10" s="2095">
        <f>16587+17600+13376+30000</f>
        <v>77563</v>
      </c>
      <c r="I10" s="2098" t="s">
        <v>3591</v>
      </c>
      <c r="J10" s="315" t="s">
        <v>2166</v>
      </c>
    </row>
    <row r="11" spans="1:10" ht="12.75" customHeight="1" x14ac:dyDescent="0.2">
      <c r="A11" s="1708"/>
      <c r="B11" s="1695"/>
      <c r="C11" s="1695"/>
      <c r="D11" s="2102"/>
      <c r="E11" s="322">
        <v>21780</v>
      </c>
      <c r="F11" s="834"/>
      <c r="G11" s="2101"/>
      <c r="H11" s="2096"/>
      <c r="I11" s="2099"/>
      <c r="J11" s="315" t="s">
        <v>2167</v>
      </c>
    </row>
    <row r="12" spans="1:10" ht="72" hidden="1" x14ac:dyDescent="0.2">
      <c r="A12" s="1708"/>
      <c r="B12" s="1695"/>
      <c r="C12" s="1695"/>
      <c r="D12" s="2102"/>
      <c r="E12" s="208">
        <v>8587</v>
      </c>
      <c r="F12" s="208">
        <v>16587</v>
      </c>
      <c r="G12" s="2101"/>
      <c r="H12" s="2096"/>
      <c r="I12" s="2099"/>
      <c r="J12" s="210" t="s">
        <v>2168</v>
      </c>
    </row>
    <row r="13" spans="1:10" ht="60" hidden="1" x14ac:dyDescent="0.2">
      <c r="A13" s="1708"/>
      <c r="B13" s="1695"/>
      <c r="C13" s="1695"/>
      <c r="D13" s="2102"/>
      <c r="E13" s="208">
        <v>4400</v>
      </c>
      <c r="F13" s="208">
        <v>17600</v>
      </c>
      <c r="G13" s="2101"/>
      <c r="H13" s="2097"/>
      <c r="I13" s="2100"/>
      <c r="J13" s="210" t="s">
        <v>2169</v>
      </c>
    </row>
    <row r="14" spans="1:10" ht="24.75" customHeight="1" x14ac:dyDescent="0.2">
      <c r="A14" s="320">
        <v>2</v>
      </c>
      <c r="B14" s="1695" t="s">
        <v>2170</v>
      </c>
      <c r="C14" s="1695"/>
      <c r="D14" s="342">
        <v>0</v>
      </c>
      <c r="E14" s="342">
        <v>0</v>
      </c>
      <c r="F14" s="322">
        <v>75000</v>
      </c>
      <c r="G14" s="323">
        <v>5110</v>
      </c>
      <c r="H14" s="322">
        <v>75000</v>
      </c>
      <c r="I14" s="1437" t="s">
        <v>3591</v>
      </c>
      <c r="J14" s="315" t="s">
        <v>2171</v>
      </c>
    </row>
    <row r="15" spans="1:10" ht="36" hidden="1" x14ac:dyDescent="0.2">
      <c r="A15" s="320">
        <v>3</v>
      </c>
      <c r="B15" s="1695" t="s">
        <v>2172</v>
      </c>
      <c r="C15" s="1695"/>
      <c r="D15" s="322">
        <v>0</v>
      </c>
      <c r="E15" s="322">
        <v>0</v>
      </c>
      <c r="F15" s="322">
        <v>2000</v>
      </c>
      <c r="G15" s="323">
        <v>5110</v>
      </c>
      <c r="H15" s="322"/>
      <c r="I15" s="1437" t="s">
        <v>2165</v>
      </c>
      <c r="J15" s="315" t="s">
        <v>2173</v>
      </c>
    </row>
    <row r="16" spans="1:10" hidden="1" x14ac:dyDescent="0.2">
      <c r="A16" s="374">
        <v>4</v>
      </c>
      <c r="B16" s="1671" t="s">
        <v>173</v>
      </c>
      <c r="C16" s="1671"/>
      <c r="D16" s="322">
        <v>9995</v>
      </c>
      <c r="E16" s="322">
        <v>9995</v>
      </c>
      <c r="F16" s="322">
        <v>0</v>
      </c>
      <c r="G16" s="323">
        <v>5240</v>
      </c>
      <c r="H16" s="322"/>
      <c r="I16" s="1437" t="s">
        <v>174</v>
      </c>
      <c r="J16" s="315"/>
    </row>
    <row r="17" spans="1:10" ht="84" hidden="1" x14ac:dyDescent="0.2">
      <c r="A17" s="390">
        <v>5</v>
      </c>
      <c r="B17" s="1695" t="s">
        <v>2174</v>
      </c>
      <c r="C17" s="1695"/>
      <c r="D17" s="361">
        <v>0</v>
      </c>
      <c r="E17" s="361">
        <v>0</v>
      </c>
      <c r="F17" s="361">
        <v>25000</v>
      </c>
      <c r="G17" s="414">
        <v>5110</v>
      </c>
      <c r="H17" s="322"/>
      <c r="I17" s="1436" t="s">
        <v>2175</v>
      </c>
      <c r="J17" s="321" t="s">
        <v>2176</v>
      </c>
    </row>
    <row r="18" spans="1:10" x14ac:dyDescent="0.2">
      <c r="A18" s="395"/>
      <c r="B18" s="395"/>
      <c r="C18" s="395"/>
      <c r="D18" s="395"/>
      <c r="E18" s="395"/>
      <c r="F18" s="395"/>
      <c r="G18" s="325"/>
      <c r="H18" s="395"/>
      <c r="I18" s="395"/>
      <c r="J18" s="395"/>
    </row>
    <row r="19" spans="1:10" x14ac:dyDescent="0.2">
      <c r="A19" s="1750" t="s">
        <v>129</v>
      </c>
      <c r="B19" s="1750"/>
      <c r="C19" s="349" t="s">
        <v>2177</v>
      </c>
      <c r="D19" s="349"/>
      <c r="E19" s="349"/>
      <c r="F19" s="349"/>
      <c r="G19" s="326"/>
      <c r="H19" s="349"/>
      <c r="I19" s="349"/>
      <c r="J19" s="349"/>
    </row>
    <row r="20" spans="1:10" x14ac:dyDescent="0.2">
      <c r="A20" s="1750" t="s">
        <v>131</v>
      </c>
      <c r="B20" s="1750"/>
      <c r="C20" s="816" t="s">
        <v>154</v>
      </c>
      <c r="D20" s="817"/>
      <c r="E20" s="817"/>
      <c r="F20" s="817"/>
      <c r="G20" s="835"/>
      <c r="H20" s="817"/>
      <c r="I20" s="817"/>
      <c r="J20" s="817"/>
    </row>
    <row r="21" spans="1:10" ht="48" x14ac:dyDescent="0.2">
      <c r="A21" s="312" t="s">
        <v>4</v>
      </c>
      <c r="B21" s="1707" t="s">
        <v>133</v>
      </c>
      <c r="C21" s="1707"/>
      <c r="D21" s="312" t="s">
        <v>17</v>
      </c>
      <c r="E21" s="312" t="s">
        <v>15</v>
      </c>
      <c r="F21" s="312" t="s">
        <v>134</v>
      </c>
      <c r="G21" s="312" t="s">
        <v>135</v>
      </c>
      <c r="H21" s="1438" t="s">
        <v>3510</v>
      </c>
      <c r="I21" s="312" t="s">
        <v>14</v>
      </c>
      <c r="J21" s="312" t="s">
        <v>137</v>
      </c>
    </row>
    <row r="22" spans="1:10" x14ac:dyDescent="0.2">
      <c r="A22" s="1700" t="s">
        <v>138</v>
      </c>
      <c r="B22" s="1700"/>
      <c r="C22" s="1700"/>
      <c r="D22" s="313">
        <f>SUM(D23:D34)</f>
        <v>230082</v>
      </c>
      <c r="E22" s="313">
        <f>SUM(E23:E34)</f>
        <v>230082</v>
      </c>
      <c r="F22" s="313">
        <f>SUM(F23:F34)</f>
        <v>280682</v>
      </c>
      <c r="G22" s="314"/>
      <c r="H22" s="313">
        <f>SUM(H23:H34)</f>
        <v>186882</v>
      </c>
      <c r="I22" s="313"/>
      <c r="J22" s="315"/>
    </row>
    <row r="23" spans="1:10" ht="36" customHeight="1" x14ac:dyDescent="0.2">
      <c r="A23" s="320">
        <v>1</v>
      </c>
      <c r="B23" s="2065" t="s">
        <v>2178</v>
      </c>
      <c r="C23" s="2065"/>
      <c r="D23" s="322">
        <v>38500</v>
      </c>
      <c r="E23" s="322">
        <v>38500</v>
      </c>
      <c r="F23" s="208">
        <v>38500</v>
      </c>
      <c r="G23" s="414">
        <v>2279</v>
      </c>
      <c r="H23" s="322">
        <v>38500</v>
      </c>
      <c r="I23" s="379" t="s">
        <v>2179</v>
      </c>
      <c r="J23" s="315" t="s">
        <v>2180</v>
      </c>
    </row>
    <row r="24" spans="1:10" ht="24" customHeight="1" x14ac:dyDescent="0.2">
      <c r="A24" s="320">
        <v>2</v>
      </c>
      <c r="B24" s="2065" t="s">
        <v>2181</v>
      </c>
      <c r="C24" s="2065"/>
      <c r="D24" s="322">
        <v>10000</v>
      </c>
      <c r="E24" s="322">
        <v>10000</v>
      </c>
      <c r="F24" s="208">
        <v>10000</v>
      </c>
      <c r="G24" s="414">
        <v>2279</v>
      </c>
      <c r="H24" s="322">
        <v>10000</v>
      </c>
      <c r="I24" s="379" t="s">
        <v>2179</v>
      </c>
      <c r="J24" s="315" t="s">
        <v>2182</v>
      </c>
    </row>
    <row r="25" spans="1:10" ht="12.75" customHeight="1" x14ac:dyDescent="0.2">
      <c r="A25" s="1708">
        <v>3</v>
      </c>
      <c r="B25" s="2065" t="s">
        <v>2183</v>
      </c>
      <c r="C25" s="2065"/>
      <c r="D25" s="322">
        <v>4000</v>
      </c>
      <c r="E25" s="322">
        <v>4000</v>
      </c>
      <c r="F25" s="208">
        <v>7600</v>
      </c>
      <c r="G25" s="414">
        <v>2279</v>
      </c>
      <c r="H25" s="322">
        <v>4800</v>
      </c>
      <c r="I25" s="1731" t="s">
        <v>2179</v>
      </c>
      <c r="J25" s="315" t="s">
        <v>2184</v>
      </c>
    </row>
    <row r="26" spans="1:10" ht="12.75" customHeight="1" x14ac:dyDescent="0.2">
      <c r="A26" s="1708"/>
      <c r="B26" s="2065"/>
      <c r="C26" s="2065"/>
      <c r="D26" s="322">
        <v>4535</v>
      </c>
      <c r="E26" s="322">
        <v>4535</v>
      </c>
      <c r="F26" s="208">
        <v>10000</v>
      </c>
      <c r="G26" s="414">
        <v>2312</v>
      </c>
      <c r="H26" s="322">
        <v>7000</v>
      </c>
      <c r="I26" s="1731"/>
      <c r="J26" s="315" t="s">
        <v>2185</v>
      </c>
    </row>
    <row r="27" spans="1:10" ht="12.75" customHeight="1" x14ac:dyDescent="0.2">
      <c r="A27" s="1708"/>
      <c r="B27" s="2065"/>
      <c r="C27" s="2065"/>
      <c r="D27" s="322">
        <v>465</v>
      </c>
      <c r="E27" s="322">
        <v>465</v>
      </c>
      <c r="F27" s="208">
        <v>2000</v>
      </c>
      <c r="G27" s="414">
        <v>2390</v>
      </c>
      <c r="H27" s="322">
        <v>2000</v>
      </c>
      <c r="I27" s="1731"/>
      <c r="J27" s="315" t="s">
        <v>2186</v>
      </c>
    </row>
    <row r="28" spans="1:10" ht="12.75" customHeight="1" x14ac:dyDescent="0.2">
      <c r="A28" s="1708"/>
      <c r="B28" s="2065"/>
      <c r="C28" s="2065"/>
      <c r="D28" s="322">
        <v>14000</v>
      </c>
      <c r="E28" s="322">
        <v>14000</v>
      </c>
      <c r="F28" s="208">
        <v>14000</v>
      </c>
      <c r="G28" s="414">
        <v>5240</v>
      </c>
      <c r="H28" s="322">
        <v>14000</v>
      </c>
      <c r="I28" s="1731"/>
      <c r="J28" s="315" t="s">
        <v>2187</v>
      </c>
    </row>
    <row r="29" spans="1:10" x14ac:dyDescent="0.2">
      <c r="A29" s="1708">
        <v>4</v>
      </c>
      <c r="B29" s="2065" t="s">
        <v>2188</v>
      </c>
      <c r="C29" s="2065"/>
      <c r="D29" s="322">
        <v>1300</v>
      </c>
      <c r="E29" s="322">
        <v>1300</v>
      </c>
      <c r="F29" s="208">
        <v>1300</v>
      </c>
      <c r="G29" s="414">
        <v>2231</v>
      </c>
      <c r="H29" s="322">
        <v>1300</v>
      </c>
      <c r="I29" s="1731" t="s">
        <v>2179</v>
      </c>
      <c r="J29" s="315" t="s">
        <v>2189</v>
      </c>
    </row>
    <row r="30" spans="1:10" ht="26.25" customHeight="1" x14ac:dyDescent="0.2">
      <c r="A30" s="1708"/>
      <c r="B30" s="2065"/>
      <c r="C30" s="2065"/>
      <c r="D30" s="322">
        <v>2282</v>
      </c>
      <c r="E30" s="322">
        <v>2282</v>
      </c>
      <c r="F30" s="208">
        <v>2282</v>
      </c>
      <c r="G30" s="414">
        <v>2314</v>
      </c>
      <c r="H30" s="322">
        <v>2282</v>
      </c>
      <c r="I30" s="1731"/>
      <c r="J30" s="315" t="s">
        <v>2190</v>
      </c>
    </row>
    <row r="31" spans="1:10" ht="24" x14ac:dyDescent="0.2">
      <c r="A31" s="390">
        <v>5</v>
      </c>
      <c r="B31" s="2093" t="s">
        <v>2191</v>
      </c>
      <c r="C31" s="2093"/>
      <c r="D31" s="361">
        <v>100000</v>
      </c>
      <c r="E31" s="361">
        <v>100000</v>
      </c>
      <c r="F31" s="366">
        <v>100000</v>
      </c>
      <c r="G31" s="414">
        <v>5240</v>
      </c>
      <c r="H31" s="322">
        <v>50000</v>
      </c>
      <c r="I31" s="379" t="s">
        <v>2179</v>
      </c>
      <c r="J31" s="321" t="s">
        <v>2192</v>
      </c>
    </row>
    <row r="32" spans="1:10" ht="39.75" customHeight="1" x14ac:dyDescent="0.2">
      <c r="A32" s="390">
        <v>6</v>
      </c>
      <c r="B32" s="2093" t="s">
        <v>2193</v>
      </c>
      <c r="C32" s="2093"/>
      <c r="D32" s="361">
        <v>5000</v>
      </c>
      <c r="E32" s="361">
        <v>5000</v>
      </c>
      <c r="F32" s="366">
        <v>5000</v>
      </c>
      <c r="G32" s="414">
        <v>5240</v>
      </c>
      <c r="H32" s="322">
        <v>5000</v>
      </c>
      <c r="I32" s="725" t="s">
        <v>2194</v>
      </c>
      <c r="J32" s="321" t="s">
        <v>2195</v>
      </c>
    </row>
    <row r="33" spans="1:10" ht="21" customHeight="1" x14ac:dyDescent="0.2">
      <c r="A33" s="1708">
        <v>7</v>
      </c>
      <c r="B33" s="2093" t="s">
        <v>2196</v>
      </c>
      <c r="C33" s="2093"/>
      <c r="D33" s="322">
        <v>10000</v>
      </c>
      <c r="E33" s="322">
        <v>10000</v>
      </c>
      <c r="F33" s="836">
        <v>40000</v>
      </c>
      <c r="G33" s="414">
        <v>2243</v>
      </c>
      <c r="H33" s="322">
        <v>12000</v>
      </c>
      <c r="I33" s="1731" t="s">
        <v>2197</v>
      </c>
      <c r="J33" s="315" t="s">
        <v>2198</v>
      </c>
    </row>
    <row r="34" spans="1:10" ht="17.25" customHeight="1" x14ac:dyDescent="0.2">
      <c r="A34" s="1708"/>
      <c r="B34" s="2093"/>
      <c r="C34" s="2093"/>
      <c r="D34" s="361">
        <v>40000</v>
      </c>
      <c r="E34" s="361">
        <v>40000</v>
      </c>
      <c r="F34" s="836">
        <v>50000</v>
      </c>
      <c r="G34" s="414">
        <v>5240</v>
      </c>
      <c r="H34" s="322">
        <v>40000</v>
      </c>
      <c r="I34" s="1731"/>
      <c r="J34" s="837" t="s">
        <v>2199</v>
      </c>
    </row>
    <row r="35" spans="1:10" x14ac:dyDescent="0.2">
      <c r="A35" s="367"/>
      <c r="B35" s="2094"/>
      <c r="C35" s="2094"/>
      <c r="D35" s="773"/>
      <c r="E35" s="773"/>
      <c r="F35" s="349"/>
      <c r="G35" s="372"/>
      <c r="H35" s="380"/>
      <c r="I35" s="369"/>
      <c r="J35" s="531"/>
    </row>
    <row r="36" spans="1:10" x14ac:dyDescent="0.2">
      <c r="A36" s="1750" t="s">
        <v>129</v>
      </c>
      <c r="B36" s="1750"/>
      <c r="C36" s="349" t="s">
        <v>2200</v>
      </c>
      <c r="D36" s="349"/>
      <c r="E36" s="349"/>
      <c r="F36" s="349"/>
      <c r="G36" s="326"/>
      <c r="H36" s="349"/>
      <c r="I36" s="349"/>
      <c r="J36" s="349"/>
    </row>
    <row r="37" spans="1:10" x14ac:dyDescent="0.2">
      <c r="A37" s="1750" t="s">
        <v>131</v>
      </c>
      <c r="B37" s="1750"/>
      <c r="C37" s="816" t="s">
        <v>2201</v>
      </c>
      <c r="D37" s="817"/>
      <c r="E37" s="817"/>
      <c r="F37" s="817"/>
      <c r="G37" s="835"/>
      <c r="H37" s="817"/>
      <c r="I37" s="817"/>
      <c r="J37" s="817"/>
    </row>
    <row r="38" spans="1:10" ht="51.75" customHeight="1" x14ac:dyDescent="0.2">
      <c r="A38" s="312" t="s">
        <v>4</v>
      </c>
      <c r="B38" s="1707" t="s">
        <v>133</v>
      </c>
      <c r="C38" s="1707"/>
      <c r="D38" s="312" t="s">
        <v>17</v>
      </c>
      <c r="E38" s="312" t="s">
        <v>15</v>
      </c>
      <c r="F38" s="312" t="s">
        <v>134</v>
      </c>
      <c r="G38" s="312" t="s">
        <v>135</v>
      </c>
      <c r="H38" s="1438" t="s">
        <v>3510</v>
      </c>
      <c r="I38" s="312" t="s">
        <v>14</v>
      </c>
      <c r="J38" s="312" t="s">
        <v>137</v>
      </c>
    </row>
    <row r="39" spans="1:10" x14ac:dyDescent="0.2">
      <c r="A39" s="1700" t="s">
        <v>138</v>
      </c>
      <c r="B39" s="1700"/>
      <c r="C39" s="1700"/>
      <c r="D39" s="313">
        <f>SUM(D40:D42)</f>
        <v>30000</v>
      </c>
      <c r="E39" s="313">
        <f>SUM(E40:E42)</f>
        <v>26249.98</v>
      </c>
      <c r="F39" s="313">
        <f>SUM(F40:F42)</f>
        <v>64000</v>
      </c>
      <c r="G39" s="314"/>
      <c r="H39" s="313">
        <f>SUM(H40:H42)</f>
        <v>30000</v>
      </c>
      <c r="I39" s="313"/>
      <c r="J39" s="315"/>
    </row>
    <row r="40" spans="1:10" ht="48.75" customHeight="1" x14ac:dyDescent="0.2">
      <c r="A40" s="320">
        <v>1</v>
      </c>
      <c r="B40" s="1695" t="s">
        <v>2202</v>
      </c>
      <c r="C40" s="1695"/>
      <c r="D40" s="322">
        <v>30000</v>
      </c>
      <c r="E40" s="322">
        <v>26249.98</v>
      </c>
      <c r="F40" s="322">
        <v>40000</v>
      </c>
      <c r="G40" s="323">
        <v>3263</v>
      </c>
      <c r="H40" s="322">
        <v>30000</v>
      </c>
      <c r="I40" s="1436" t="s">
        <v>2203</v>
      </c>
      <c r="J40" s="315"/>
    </row>
    <row r="41" spans="1:10" s="329" customFormat="1" ht="60" hidden="1" x14ac:dyDescent="0.2">
      <c r="A41" s="374">
        <v>2</v>
      </c>
      <c r="B41" s="1671" t="s">
        <v>2204</v>
      </c>
      <c r="C41" s="1671"/>
      <c r="D41" s="208">
        <v>0</v>
      </c>
      <c r="E41" s="208">
        <v>0</v>
      </c>
      <c r="F41" s="208">
        <v>16000</v>
      </c>
      <c r="G41" s="207">
        <v>5110</v>
      </c>
      <c r="H41" s="208"/>
      <c r="I41" s="208" t="s">
        <v>2205</v>
      </c>
      <c r="J41" s="210" t="s">
        <v>2206</v>
      </c>
    </row>
    <row r="42" spans="1:10" s="329" customFormat="1" ht="47.25" hidden="1" customHeight="1" x14ac:dyDescent="0.2">
      <c r="A42" s="374">
        <v>3</v>
      </c>
      <c r="B42" s="1671" t="s">
        <v>2207</v>
      </c>
      <c r="C42" s="1671"/>
      <c r="D42" s="208">
        <v>0</v>
      </c>
      <c r="E42" s="208">
        <v>0</v>
      </c>
      <c r="F42" s="208">
        <v>8000</v>
      </c>
      <c r="G42" s="207">
        <v>2314</v>
      </c>
      <c r="H42" s="208"/>
      <c r="I42" s="208" t="s">
        <v>2205</v>
      </c>
      <c r="J42" s="210" t="s">
        <v>2208</v>
      </c>
    </row>
    <row r="43" spans="1:10" x14ac:dyDescent="0.2">
      <c r="A43" s="349"/>
      <c r="B43" s="349"/>
      <c r="C43" s="349"/>
      <c r="D43" s="417"/>
      <c r="E43" s="417"/>
      <c r="F43" s="417"/>
      <c r="G43" s="349"/>
      <c r="H43" s="417"/>
      <c r="I43" s="417"/>
      <c r="J43" s="349"/>
    </row>
    <row r="44" spans="1:10" x14ac:dyDescent="0.2">
      <c r="A44" s="349" t="s">
        <v>455</v>
      </c>
      <c r="B44" s="349"/>
      <c r="C44" s="349"/>
      <c r="D44" s="349"/>
      <c r="E44" s="349"/>
      <c r="F44" s="349"/>
      <c r="G44" s="349"/>
      <c r="H44" s="349"/>
      <c r="I44" s="349"/>
      <c r="J44" s="349"/>
    </row>
    <row r="45" spans="1:10" x14ac:dyDescent="0.2">
      <c r="A45" s="349" t="s">
        <v>505</v>
      </c>
      <c r="B45" s="349"/>
      <c r="C45" s="349"/>
      <c r="D45" s="349"/>
      <c r="E45" s="349"/>
      <c r="F45" s="349"/>
      <c r="G45" s="349"/>
      <c r="H45" s="349"/>
      <c r="I45" s="349"/>
      <c r="J45" s="349"/>
    </row>
    <row r="46" spans="1:10" x14ac:dyDescent="0.2">
      <c r="A46" s="804" t="s">
        <v>2209</v>
      </c>
      <c r="B46" s="403"/>
      <c r="C46" s="838"/>
      <c r="D46" s="403"/>
      <c r="E46" s="403"/>
      <c r="F46" s="403"/>
      <c r="G46" s="403"/>
    </row>
    <row r="47" spans="1:10" x14ac:dyDescent="0.2">
      <c r="A47" s="403"/>
      <c r="B47" s="403" t="s">
        <v>2210</v>
      </c>
      <c r="C47" s="838"/>
      <c r="D47" s="403"/>
      <c r="E47" s="403"/>
      <c r="F47" s="403"/>
      <c r="G47" s="403"/>
    </row>
    <row r="48" spans="1:10" x14ac:dyDescent="0.2">
      <c r="A48" s="403"/>
      <c r="B48" s="418"/>
      <c r="C48" s="418" t="s">
        <v>2211</v>
      </c>
      <c r="D48" s="418"/>
      <c r="E48" s="418"/>
      <c r="F48" s="418"/>
      <c r="G48" s="418"/>
    </row>
    <row r="49" spans="1:11" x14ac:dyDescent="0.2">
      <c r="A49" s="403"/>
      <c r="B49" s="418" t="s">
        <v>2212</v>
      </c>
      <c r="C49" s="418"/>
      <c r="D49" s="418"/>
      <c r="E49" s="418"/>
      <c r="F49" s="418"/>
      <c r="G49" s="418"/>
    </row>
    <row r="50" spans="1:11" x14ac:dyDescent="0.2">
      <c r="A50" s="403"/>
      <c r="B50" s="418"/>
      <c r="C50" s="418" t="s">
        <v>2213</v>
      </c>
      <c r="D50" s="418"/>
      <c r="E50" s="418"/>
      <c r="F50" s="418"/>
      <c r="G50" s="418"/>
    </row>
    <row r="51" spans="1:11" x14ac:dyDescent="0.2">
      <c r="A51" s="403"/>
      <c r="B51" s="418" t="s">
        <v>2214</v>
      </c>
      <c r="C51" s="418"/>
      <c r="D51" s="418"/>
      <c r="E51" s="418"/>
      <c r="F51" s="418"/>
      <c r="G51" s="418"/>
      <c r="H51" s="335"/>
      <c r="I51" s="335"/>
      <c r="K51" s="335"/>
    </row>
    <row r="52" spans="1:11" x14ac:dyDescent="0.2">
      <c r="A52" s="403"/>
      <c r="B52" s="418"/>
      <c r="C52" s="418" t="s">
        <v>2215</v>
      </c>
      <c r="D52" s="418"/>
      <c r="E52" s="418"/>
      <c r="F52" s="418"/>
      <c r="G52" s="418"/>
    </row>
    <row r="53" spans="1:11" x14ac:dyDescent="0.2">
      <c r="A53" s="403"/>
      <c r="B53" s="418" t="s">
        <v>2216</v>
      </c>
      <c r="C53" s="418"/>
      <c r="D53" s="418"/>
      <c r="E53" s="418"/>
      <c r="F53" s="418"/>
      <c r="G53" s="418"/>
    </row>
    <row r="54" spans="1:11" x14ac:dyDescent="0.2">
      <c r="A54" s="403"/>
      <c r="B54" s="418"/>
      <c r="C54" s="418" t="s">
        <v>2217</v>
      </c>
      <c r="D54" s="418"/>
      <c r="E54" s="418"/>
      <c r="F54" s="418"/>
      <c r="G54" s="418"/>
    </row>
    <row r="55" spans="1:11" x14ac:dyDescent="0.2">
      <c r="A55" s="347" t="s">
        <v>2218</v>
      </c>
      <c r="B55" s="329"/>
      <c r="C55" s="329"/>
      <c r="D55" s="329"/>
      <c r="E55" s="329"/>
      <c r="F55" s="329"/>
      <c r="G55" s="329"/>
    </row>
    <row r="56" spans="1:11" x14ac:dyDescent="0.2">
      <c r="B56" s="2090" t="s">
        <v>2219</v>
      </c>
      <c r="C56" s="2090"/>
      <c r="D56" s="2090"/>
      <c r="E56" s="2090"/>
      <c r="F56" s="2090"/>
      <c r="G56" s="2090"/>
    </row>
    <row r="57" spans="1:11" ht="12" customHeight="1" x14ac:dyDescent="0.25">
      <c r="A57" s="534"/>
      <c r="B57" s="1556" t="s">
        <v>2220</v>
      </c>
      <c r="C57" s="1557"/>
      <c r="D57" s="1558"/>
      <c r="E57" s="1558"/>
      <c r="F57" s="1558"/>
      <c r="G57" s="1558"/>
    </row>
    <row r="58" spans="1:11" x14ac:dyDescent="0.2">
      <c r="B58" s="1524" t="s">
        <v>2221</v>
      </c>
      <c r="C58" s="1524"/>
      <c r="D58" s="1524"/>
      <c r="E58" s="1524"/>
      <c r="F58" s="1524"/>
      <c r="G58" s="1524"/>
    </row>
    <row r="59" spans="1:11" ht="12.75" customHeight="1" x14ac:dyDescent="0.2">
      <c r="A59" s="1555" t="s">
        <v>2222</v>
      </c>
      <c r="B59" s="1559"/>
      <c r="C59" s="1559"/>
      <c r="D59" s="1559"/>
      <c r="E59" s="689"/>
      <c r="F59" s="689"/>
      <c r="G59" s="689"/>
    </row>
    <row r="60" spans="1:11" ht="12.75" customHeight="1" x14ac:dyDescent="0.2">
      <c r="A60" s="534"/>
      <c r="B60" s="1560" t="s">
        <v>2223</v>
      </c>
      <c r="C60" s="1524"/>
      <c r="D60" s="1524"/>
      <c r="E60" s="689"/>
      <c r="F60" s="689"/>
      <c r="G60" s="689"/>
    </row>
    <row r="61" spans="1:11" ht="12.75" customHeight="1" x14ac:dyDescent="0.2">
      <c r="A61" s="534"/>
      <c r="B61" s="1556" t="s">
        <v>2224</v>
      </c>
      <c r="C61" s="1462"/>
      <c r="D61" s="1558"/>
      <c r="E61" s="1558"/>
      <c r="F61" s="1558"/>
      <c r="G61" s="1558"/>
    </row>
    <row r="62" spans="1:11" ht="12.75" customHeight="1" x14ac:dyDescent="0.2">
      <c r="A62" s="534"/>
      <c r="B62" s="1560" t="s">
        <v>2225</v>
      </c>
      <c r="C62" s="1462"/>
      <c r="D62" s="1558"/>
      <c r="E62" s="1558"/>
      <c r="F62" s="1558"/>
      <c r="G62" s="1558"/>
    </row>
    <row r="63" spans="1:11" ht="12.75" customHeight="1" x14ac:dyDescent="0.2">
      <c r="A63" s="534"/>
      <c r="B63" s="2091" t="s">
        <v>2226</v>
      </c>
      <c r="C63" s="2092"/>
      <c r="D63" s="2092"/>
      <c r="E63" s="2092"/>
      <c r="F63" s="1558"/>
      <c r="G63" s="1558"/>
    </row>
    <row r="64" spans="1:11" ht="12.75" customHeight="1" x14ac:dyDescent="0.2">
      <c r="A64" s="534"/>
      <c r="B64" s="1560" t="s">
        <v>2227</v>
      </c>
      <c r="C64" s="1524"/>
      <c r="D64" s="1524"/>
      <c r="E64" s="1524"/>
      <c r="F64" s="1558"/>
      <c r="G64" s="1558"/>
    </row>
    <row r="65" spans="1:10" x14ac:dyDescent="0.2">
      <c r="A65" s="534"/>
      <c r="B65" s="2091" t="s">
        <v>2228</v>
      </c>
      <c r="C65" s="2092"/>
      <c r="D65" s="2092"/>
      <c r="E65" s="2092"/>
      <c r="F65" s="1558"/>
      <c r="G65" s="1558"/>
    </row>
    <row r="66" spans="1:10" x14ac:dyDescent="0.2">
      <c r="A66" s="534"/>
      <c r="B66" s="1556"/>
      <c r="C66" s="1524"/>
      <c r="D66" s="1524"/>
      <c r="E66" s="1524"/>
      <c r="F66" s="1558"/>
      <c r="G66" s="1558"/>
    </row>
    <row r="67" spans="1:10" s="349" customFormat="1" ht="15" x14ac:dyDescent="0.25">
      <c r="A67" s="534"/>
      <c r="B67" s="1561"/>
      <c r="C67" s="1562"/>
      <c r="D67" s="333"/>
      <c r="E67" s="333"/>
      <c r="F67" s="333"/>
      <c r="G67" s="333"/>
    </row>
    <row r="68" spans="1:10" x14ac:dyDescent="0.2">
      <c r="A68" s="335"/>
      <c r="B68" s="335"/>
      <c r="C68" s="335"/>
      <c r="D68" s="335"/>
      <c r="E68" s="335"/>
      <c r="F68" s="335"/>
      <c r="G68" s="335"/>
      <c r="J68" s="335"/>
    </row>
    <row r="69" spans="1:10" x14ac:dyDescent="0.2">
      <c r="A69" s="335"/>
      <c r="B69" s="335"/>
      <c r="C69" s="335"/>
      <c r="D69" s="335"/>
      <c r="E69" s="335"/>
      <c r="F69" s="335"/>
      <c r="G69" s="335"/>
      <c r="J69" s="335"/>
    </row>
    <row r="70" spans="1:10" x14ac:dyDescent="0.2">
      <c r="A70" s="335"/>
      <c r="B70" s="335"/>
      <c r="C70" s="335"/>
      <c r="D70" s="335"/>
      <c r="E70" s="335"/>
      <c r="F70" s="335"/>
      <c r="G70" s="335"/>
      <c r="J70" s="335"/>
    </row>
  </sheetData>
  <sheetProtection algorithmName="SHA-512" hashValue="d2C4iIU+zyUI8Aod1Tijba13Ju/v3O0L+XsUn6xLzUsMQYXt3TR2ev9LPGXWN4PHxKFs8TMrBSI0FzwBuGQ5YQ==" saltValue="7bYngGtbX5uHMXL6U8tRAg==" spinCount="100000" sheet="1" objects="1" scenarios="1"/>
  <mergeCells count="46">
    <mergeCell ref="A7:B7"/>
    <mergeCell ref="A1:B1"/>
    <mergeCell ref="A2:B2"/>
    <mergeCell ref="A3:J3"/>
    <mergeCell ref="A5:B5"/>
    <mergeCell ref="A6:B6"/>
    <mergeCell ref="B8:C8"/>
    <mergeCell ref="A9:C9"/>
    <mergeCell ref="A10:A13"/>
    <mergeCell ref="B10:C13"/>
    <mergeCell ref="D10:D13"/>
    <mergeCell ref="B24:C24"/>
    <mergeCell ref="H10:H13"/>
    <mergeCell ref="I10:I13"/>
    <mergeCell ref="B14:C14"/>
    <mergeCell ref="B15:C15"/>
    <mergeCell ref="B16:C16"/>
    <mergeCell ref="B17:C17"/>
    <mergeCell ref="G10:G13"/>
    <mergeCell ref="A19:B19"/>
    <mergeCell ref="A20:B20"/>
    <mergeCell ref="B21:C21"/>
    <mergeCell ref="A22:C22"/>
    <mergeCell ref="B23:C23"/>
    <mergeCell ref="A25:A28"/>
    <mergeCell ref="B25:C28"/>
    <mergeCell ref="I25:I28"/>
    <mergeCell ref="A29:A30"/>
    <mergeCell ref="B29:C30"/>
    <mergeCell ref="I29:I30"/>
    <mergeCell ref="A37:B37"/>
    <mergeCell ref="B38:C38"/>
    <mergeCell ref="A39:C39"/>
    <mergeCell ref="B40:C40"/>
    <mergeCell ref="I33:I34"/>
    <mergeCell ref="B35:C35"/>
    <mergeCell ref="B31:C31"/>
    <mergeCell ref="B32:C32"/>
    <mergeCell ref="A33:A34"/>
    <mergeCell ref="B33:C34"/>
    <mergeCell ref="A36:B36"/>
    <mergeCell ref="B42:C42"/>
    <mergeCell ref="B56:G56"/>
    <mergeCell ref="B63:E63"/>
    <mergeCell ref="B65:E65"/>
    <mergeCell ref="B41:C41"/>
  </mergeCells>
  <pageMargins left="0.78740157480314965" right="0.39370078740157483" top="0.59055118110236227" bottom="0.39370078740157483" header="0.23622047244094491" footer="0.23622047244094491"/>
  <pageSetup paperSize="9" scale="65" fitToHeight="0" orientation="portrait" verticalDpi="200" r:id="rId1"/>
  <headerFooter>
    <oddHeader>&amp;R&amp;"Times New Roman,Regular"&amp;10 24.pielikums Jūrmalas pilsētas domes
2018.gada 18.decembra saistošajiem noteikumiem Nr.44
(protokols Nr.17, 2.punkts)</oddHeader>
    <oddFooter xml:space="preserve">&amp;R&amp;"Times New Roman,Regular"&amp;8&amp;P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34"/>
  <sheetViews>
    <sheetView view="pageLayout" zoomScaleNormal="100" workbookViewId="0">
      <selection activeCell="N8" sqref="N8"/>
    </sheetView>
  </sheetViews>
  <sheetFormatPr defaultRowHeight="12" x14ac:dyDescent="0.2"/>
  <cols>
    <col min="1" max="1" width="6.140625" style="306" customWidth="1"/>
    <col min="2" max="2" width="28.28515625" style="306" customWidth="1"/>
    <col min="3" max="3" width="11.85546875" style="306" hidden="1" customWidth="1"/>
    <col min="4" max="4" width="11.140625" style="306" hidden="1" customWidth="1"/>
    <col min="5" max="5" width="10.28515625" style="306" hidden="1" customWidth="1"/>
    <col min="6" max="6" width="10.5703125" style="306" customWidth="1"/>
    <col min="7" max="7" width="9.7109375" style="306" customWidth="1"/>
    <col min="8" max="8" width="22.7109375" style="306" customWidth="1"/>
    <col min="9" max="9" width="23" style="306" hidden="1" customWidth="1"/>
    <col min="10" max="16384" width="9.140625" style="306"/>
  </cols>
  <sheetData>
    <row r="1" spans="1:9" x14ac:dyDescent="0.2">
      <c r="A1" s="1692" t="s">
        <v>438</v>
      </c>
      <c r="B1" s="1692"/>
      <c r="C1" s="1692" t="s">
        <v>125</v>
      </c>
      <c r="D1" s="1692"/>
      <c r="E1" s="1692"/>
      <c r="F1" s="1692"/>
      <c r="G1" s="1692"/>
      <c r="H1" s="1692"/>
      <c r="I1" s="1692"/>
    </row>
    <row r="2" spans="1:9" x14ac:dyDescent="0.2">
      <c r="A2" s="1692" t="s">
        <v>439</v>
      </c>
      <c r="B2" s="1692"/>
      <c r="C2" s="1692">
        <v>90000056357</v>
      </c>
      <c r="D2" s="1692"/>
      <c r="E2" s="1692"/>
      <c r="F2" s="1692"/>
      <c r="G2" s="1692"/>
      <c r="H2" s="1692"/>
      <c r="I2" s="1692"/>
    </row>
    <row r="3" spans="1:9" ht="15.75" x14ac:dyDescent="0.25">
      <c r="A3" s="1693" t="s">
        <v>3639</v>
      </c>
      <c r="B3" s="1693"/>
      <c r="C3" s="1693"/>
      <c r="D3" s="1693"/>
      <c r="E3" s="1693"/>
      <c r="F3" s="1693"/>
      <c r="G3" s="1693"/>
      <c r="H3" s="1693"/>
      <c r="I3" s="1693"/>
    </row>
    <row r="4" spans="1:9" ht="15" customHeight="1" x14ac:dyDescent="0.25">
      <c r="A4" s="307"/>
      <c r="B4" s="307"/>
      <c r="C4" s="307"/>
      <c r="D4" s="307"/>
      <c r="E4" s="307"/>
      <c r="F4" s="307"/>
      <c r="G4" s="307"/>
      <c r="H4" s="307"/>
      <c r="I4" s="307"/>
    </row>
    <row r="5" spans="1:9" ht="15.75" x14ac:dyDescent="0.25">
      <c r="A5" s="309" t="s">
        <v>440</v>
      </c>
      <c r="B5" s="309"/>
      <c r="C5" s="1698" t="s">
        <v>2229</v>
      </c>
      <c r="D5" s="1698"/>
      <c r="E5" s="1698"/>
      <c r="F5" s="1698"/>
      <c r="G5" s="1698"/>
      <c r="H5" s="1698"/>
      <c r="I5" s="1698"/>
    </row>
    <row r="6" spans="1:9" x14ac:dyDescent="0.2">
      <c r="A6" s="309" t="s">
        <v>2230</v>
      </c>
      <c r="B6" s="309"/>
      <c r="C6" s="1692" t="s">
        <v>1742</v>
      </c>
      <c r="D6" s="1692"/>
      <c r="E6" s="1692"/>
      <c r="F6" s="1692"/>
      <c r="G6" s="1692"/>
      <c r="H6" s="1692"/>
      <c r="I6" s="1692"/>
    </row>
    <row r="7" spans="1:9" x14ac:dyDescent="0.2">
      <c r="A7" s="309" t="s">
        <v>131</v>
      </c>
      <c r="B7" s="309"/>
      <c r="C7" s="2109" t="s">
        <v>185</v>
      </c>
      <c r="D7" s="2109"/>
      <c r="E7" s="2109"/>
      <c r="F7" s="2109"/>
      <c r="G7" s="2109"/>
      <c r="H7" s="2109"/>
      <c r="I7" s="2109"/>
    </row>
    <row r="8" spans="1:9" ht="39" customHeight="1" x14ac:dyDescent="0.2">
      <c r="A8" s="312" t="s">
        <v>4</v>
      </c>
      <c r="B8" s="410" t="s">
        <v>133</v>
      </c>
      <c r="C8" s="312" t="s">
        <v>17</v>
      </c>
      <c r="D8" s="312" t="s">
        <v>15</v>
      </c>
      <c r="E8" s="312" t="s">
        <v>134</v>
      </c>
      <c r="F8" s="312" t="s">
        <v>135</v>
      </c>
      <c r="G8" s="1490" t="s">
        <v>3510</v>
      </c>
      <c r="H8" s="312" t="s">
        <v>14</v>
      </c>
      <c r="I8" s="312" t="s">
        <v>137</v>
      </c>
    </row>
    <row r="9" spans="1:9" ht="12.75" customHeight="1" x14ac:dyDescent="0.2">
      <c r="A9" s="2105" t="s">
        <v>138</v>
      </c>
      <c r="B9" s="2106"/>
      <c r="C9" s="839">
        <f>SUM(C10:C48)</f>
        <v>790351</v>
      </c>
      <c r="D9" s="839">
        <f>SUM(D10:D48)</f>
        <v>694972</v>
      </c>
      <c r="E9" s="839">
        <f>SUM(E10:E48)</f>
        <v>745095.2</v>
      </c>
      <c r="F9" s="839"/>
      <c r="G9" s="839">
        <f>SUM(G10:G48)</f>
        <v>696192</v>
      </c>
      <c r="H9" s="839"/>
      <c r="I9" s="840"/>
    </row>
    <row r="10" spans="1:9" ht="12" customHeight="1" x14ac:dyDescent="0.2">
      <c r="A10" s="2036">
        <v>1</v>
      </c>
      <c r="B10" s="1686" t="s">
        <v>2231</v>
      </c>
      <c r="C10" s="322">
        <v>500</v>
      </c>
      <c r="D10" s="322">
        <v>473</v>
      </c>
      <c r="E10" s="322"/>
      <c r="F10" s="1492">
        <v>2279</v>
      </c>
      <c r="G10" s="711">
        <v>4840</v>
      </c>
      <c r="H10" s="1702" t="s">
        <v>2232</v>
      </c>
      <c r="I10" s="840"/>
    </row>
    <row r="11" spans="1:9" hidden="1" x14ac:dyDescent="0.2">
      <c r="A11" s="2037"/>
      <c r="B11" s="1721"/>
      <c r="C11" s="322">
        <v>600</v>
      </c>
      <c r="D11" s="322">
        <v>600</v>
      </c>
      <c r="E11" s="322"/>
      <c r="F11" s="323">
        <v>2264</v>
      </c>
      <c r="G11" s="711"/>
      <c r="H11" s="1735"/>
      <c r="I11" s="840"/>
    </row>
    <row r="12" spans="1:9" hidden="1" x14ac:dyDescent="0.2">
      <c r="A12" s="2038"/>
      <c r="B12" s="1687"/>
      <c r="C12" s="322">
        <v>700</v>
      </c>
      <c r="D12" s="322">
        <v>700</v>
      </c>
      <c r="E12" s="322">
        <v>4840</v>
      </c>
      <c r="F12" s="323">
        <v>2279</v>
      </c>
      <c r="G12" s="711"/>
      <c r="H12" s="1735"/>
      <c r="I12" s="840"/>
    </row>
    <row r="13" spans="1:9" x14ac:dyDescent="0.2">
      <c r="A13" s="2036">
        <v>2</v>
      </c>
      <c r="B13" s="1686" t="s">
        <v>2233</v>
      </c>
      <c r="C13" s="322">
        <v>4677</v>
      </c>
      <c r="D13" s="322">
        <v>4677</v>
      </c>
      <c r="E13" s="322">
        <v>5400</v>
      </c>
      <c r="F13" s="323">
        <v>2279</v>
      </c>
      <c r="G13" s="322">
        <v>5400</v>
      </c>
      <c r="H13" s="1735"/>
      <c r="I13" s="840"/>
    </row>
    <row r="14" spans="1:9" hidden="1" x14ac:dyDescent="0.2">
      <c r="A14" s="2038"/>
      <c r="B14" s="1721"/>
      <c r="C14" s="322">
        <v>700</v>
      </c>
      <c r="D14" s="322">
        <v>700</v>
      </c>
      <c r="E14" s="322"/>
      <c r="F14" s="323">
        <v>2314</v>
      </c>
      <c r="G14" s="322"/>
      <c r="H14" s="1735"/>
      <c r="I14" s="840"/>
    </row>
    <row r="15" spans="1:9" ht="24" x14ac:dyDescent="0.2">
      <c r="A15" s="320">
        <v>3</v>
      </c>
      <c r="B15" s="411" t="s">
        <v>2234</v>
      </c>
      <c r="C15" s="322">
        <v>4113</v>
      </c>
      <c r="D15" s="322">
        <v>3399</v>
      </c>
      <c r="E15" s="322">
        <v>3400</v>
      </c>
      <c r="F15" s="323">
        <v>2279</v>
      </c>
      <c r="G15" s="322">
        <v>3400</v>
      </c>
      <c r="H15" s="1735"/>
      <c r="I15" s="840"/>
    </row>
    <row r="16" spans="1:9" ht="24" x14ac:dyDescent="0.2">
      <c r="A16" s="320">
        <v>4</v>
      </c>
      <c r="B16" s="411" t="s">
        <v>2235</v>
      </c>
      <c r="C16" s="322">
        <v>0</v>
      </c>
      <c r="D16" s="322">
        <v>0</v>
      </c>
      <c r="E16" s="322">
        <v>3000</v>
      </c>
      <c r="F16" s="323">
        <v>2279</v>
      </c>
      <c r="G16" s="322">
        <v>3000</v>
      </c>
      <c r="H16" s="1735"/>
      <c r="I16" s="840"/>
    </row>
    <row r="17" spans="1:9" x14ac:dyDescent="0.2">
      <c r="A17" s="320">
        <v>5</v>
      </c>
      <c r="B17" s="411" t="s">
        <v>2236</v>
      </c>
      <c r="C17" s="322">
        <v>36300</v>
      </c>
      <c r="D17" s="322">
        <v>36300</v>
      </c>
      <c r="E17" s="322">
        <v>36300</v>
      </c>
      <c r="F17" s="323">
        <v>2279</v>
      </c>
      <c r="G17" s="322">
        <v>36300</v>
      </c>
      <c r="H17" s="1735"/>
      <c r="I17" s="840"/>
    </row>
    <row r="18" spans="1:9" ht="24" hidden="1" x14ac:dyDescent="0.2">
      <c r="A18" s="320">
        <v>6</v>
      </c>
      <c r="B18" s="411" t="s">
        <v>2237</v>
      </c>
      <c r="C18" s="322">
        <v>4840</v>
      </c>
      <c r="D18" s="322"/>
      <c r="E18" s="322"/>
      <c r="F18" s="323"/>
      <c r="G18" s="322"/>
      <c r="H18" s="1735"/>
      <c r="I18" s="840"/>
    </row>
    <row r="19" spans="1:9" ht="24" x14ac:dyDescent="0.2">
      <c r="A19" s="320">
        <v>6</v>
      </c>
      <c r="B19" s="411" t="s">
        <v>2238</v>
      </c>
      <c r="C19" s="322">
        <v>200000</v>
      </c>
      <c r="D19" s="322">
        <v>200000</v>
      </c>
      <c r="E19" s="322">
        <v>200000</v>
      </c>
      <c r="F19" s="323">
        <v>2279</v>
      </c>
      <c r="G19" s="322">
        <v>200000</v>
      </c>
      <c r="H19" s="1735"/>
      <c r="I19" s="840"/>
    </row>
    <row r="20" spans="1:9" x14ac:dyDescent="0.2">
      <c r="A20" s="320">
        <v>7</v>
      </c>
      <c r="B20" s="411" t="s">
        <v>2239</v>
      </c>
      <c r="C20" s="322">
        <v>50820</v>
      </c>
      <c r="D20" s="322">
        <v>48400</v>
      </c>
      <c r="E20" s="322">
        <v>50820</v>
      </c>
      <c r="F20" s="323">
        <v>2279</v>
      </c>
      <c r="G20" s="711">
        <v>50820</v>
      </c>
      <c r="H20" s="1735"/>
      <c r="I20" s="320"/>
    </row>
    <row r="21" spans="1:9" x14ac:dyDescent="0.2">
      <c r="A21" s="320">
        <v>8</v>
      </c>
      <c r="B21" s="411" t="s">
        <v>2240</v>
      </c>
      <c r="C21" s="322">
        <v>50820</v>
      </c>
      <c r="D21" s="322">
        <v>50819</v>
      </c>
      <c r="E21" s="322">
        <v>50820</v>
      </c>
      <c r="F21" s="323">
        <v>2279</v>
      </c>
      <c r="G21" s="711">
        <v>50820</v>
      </c>
      <c r="H21" s="1735"/>
      <c r="I21" s="840"/>
    </row>
    <row r="22" spans="1:9" x14ac:dyDescent="0.2">
      <c r="A22" s="320">
        <v>9</v>
      </c>
      <c r="B22" s="411" t="s">
        <v>2241</v>
      </c>
      <c r="C22" s="322">
        <v>50820</v>
      </c>
      <c r="D22" s="322">
        <v>49852</v>
      </c>
      <c r="E22" s="322">
        <v>50820</v>
      </c>
      <c r="F22" s="323">
        <v>2279</v>
      </c>
      <c r="G22" s="711">
        <v>50820</v>
      </c>
      <c r="H22" s="1735"/>
      <c r="I22" s="840"/>
    </row>
    <row r="23" spans="1:9" x14ac:dyDescent="0.2">
      <c r="A23" s="320">
        <v>10</v>
      </c>
      <c r="B23" s="411" t="s">
        <v>2242</v>
      </c>
      <c r="C23" s="322">
        <v>50819</v>
      </c>
      <c r="D23" s="322">
        <v>50182</v>
      </c>
      <c r="E23" s="322">
        <v>50820</v>
      </c>
      <c r="F23" s="323">
        <v>2279</v>
      </c>
      <c r="G23" s="711">
        <v>50820</v>
      </c>
      <c r="H23" s="1735"/>
      <c r="I23" s="840"/>
    </row>
    <row r="24" spans="1:9" x14ac:dyDescent="0.2">
      <c r="A24" s="320">
        <v>11</v>
      </c>
      <c r="B24" s="411" t="s">
        <v>2243</v>
      </c>
      <c r="C24" s="322">
        <v>50820</v>
      </c>
      <c r="D24" s="322">
        <v>50699</v>
      </c>
      <c r="E24" s="322">
        <v>50820</v>
      </c>
      <c r="F24" s="323">
        <v>2279</v>
      </c>
      <c r="G24" s="711">
        <v>50820</v>
      </c>
      <c r="H24" s="1735"/>
      <c r="I24" s="840"/>
    </row>
    <row r="25" spans="1:9" x14ac:dyDescent="0.2">
      <c r="A25" s="320">
        <v>12</v>
      </c>
      <c r="B25" s="411" t="s">
        <v>2244</v>
      </c>
      <c r="C25" s="322">
        <v>50820</v>
      </c>
      <c r="D25" s="322">
        <v>50819</v>
      </c>
      <c r="E25" s="322">
        <v>50820</v>
      </c>
      <c r="F25" s="323">
        <v>2279</v>
      </c>
      <c r="G25" s="711">
        <v>50820</v>
      </c>
      <c r="H25" s="1735"/>
      <c r="I25" s="840"/>
    </row>
    <row r="26" spans="1:9" ht="24" x14ac:dyDescent="0.2">
      <c r="A26" s="320">
        <v>13</v>
      </c>
      <c r="B26" s="411" t="s">
        <v>2245</v>
      </c>
      <c r="C26" s="322">
        <v>10000</v>
      </c>
      <c r="D26" s="322">
        <v>10000</v>
      </c>
      <c r="E26" s="322">
        <v>5600</v>
      </c>
      <c r="F26" s="323">
        <v>3263</v>
      </c>
      <c r="G26" s="322">
        <v>5600</v>
      </c>
      <c r="H26" s="1735"/>
      <c r="I26" s="840"/>
    </row>
    <row r="27" spans="1:9" x14ac:dyDescent="0.2">
      <c r="A27" s="320">
        <v>14</v>
      </c>
      <c r="B27" s="411" t="s">
        <v>2246</v>
      </c>
      <c r="C27" s="322">
        <v>12100</v>
      </c>
      <c r="D27" s="322">
        <v>12100</v>
      </c>
      <c r="E27" s="322">
        <v>12100</v>
      </c>
      <c r="F27" s="323">
        <v>3263</v>
      </c>
      <c r="G27" s="322">
        <v>12100</v>
      </c>
      <c r="H27" s="1735"/>
      <c r="I27" s="840"/>
    </row>
    <row r="28" spans="1:9" ht="24" x14ac:dyDescent="0.2">
      <c r="A28" s="320">
        <v>15</v>
      </c>
      <c r="B28" s="411" t="s">
        <v>2247</v>
      </c>
      <c r="C28" s="322">
        <v>15000</v>
      </c>
      <c r="D28" s="322">
        <v>15000</v>
      </c>
      <c r="E28" s="322">
        <v>15000</v>
      </c>
      <c r="F28" s="323">
        <v>2279</v>
      </c>
      <c r="G28" s="322">
        <v>15000</v>
      </c>
      <c r="H28" s="1735"/>
      <c r="I28" s="840"/>
    </row>
    <row r="29" spans="1:9" ht="24" x14ac:dyDescent="0.2">
      <c r="A29" s="320">
        <v>16</v>
      </c>
      <c r="B29" s="411" t="s">
        <v>2248</v>
      </c>
      <c r="C29" s="322">
        <v>3482</v>
      </c>
      <c r="D29" s="322">
        <v>3482</v>
      </c>
      <c r="E29" s="322">
        <v>3622</v>
      </c>
      <c r="F29" s="323">
        <v>3263</v>
      </c>
      <c r="G29" s="322">
        <v>3622</v>
      </c>
      <c r="H29" s="1735"/>
      <c r="I29" s="840"/>
    </row>
    <row r="30" spans="1:9" ht="24" x14ac:dyDescent="0.2">
      <c r="A30" s="320">
        <v>17</v>
      </c>
      <c r="B30" s="411" t="s">
        <v>2249</v>
      </c>
      <c r="C30" s="322">
        <v>5672</v>
      </c>
      <c r="D30" s="322">
        <v>5672</v>
      </c>
      <c r="E30" s="322">
        <v>6163</v>
      </c>
      <c r="F30" s="323">
        <v>3263</v>
      </c>
      <c r="G30" s="322">
        <v>6163</v>
      </c>
      <c r="H30" s="1735"/>
      <c r="I30" s="840"/>
    </row>
    <row r="31" spans="1:9" x14ac:dyDescent="0.2">
      <c r="A31" s="320">
        <v>18</v>
      </c>
      <c r="B31" s="411" t="s">
        <v>2250</v>
      </c>
      <c r="C31" s="322">
        <v>0</v>
      </c>
      <c r="D31" s="322">
        <v>0</v>
      </c>
      <c r="E31" s="322">
        <v>3184</v>
      </c>
      <c r="F31" s="323">
        <v>3263</v>
      </c>
      <c r="G31" s="322">
        <v>3184</v>
      </c>
      <c r="H31" s="1735"/>
      <c r="I31" s="840"/>
    </row>
    <row r="32" spans="1:9" ht="24" x14ac:dyDescent="0.2">
      <c r="A32" s="320">
        <v>19</v>
      </c>
      <c r="B32" s="411" t="s">
        <v>2251</v>
      </c>
      <c r="C32" s="322">
        <v>1345</v>
      </c>
      <c r="D32" s="322">
        <v>1078</v>
      </c>
      <c r="E32" s="322">
        <v>1290</v>
      </c>
      <c r="F32" s="323">
        <v>3263</v>
      </c>
      <c r="G32" s="322">
        <v>1290</v>
      </c>
      <c r="H32" s="1735"/>
      <c r="I32" s="840"/>
    </row>
    <row r="33" spans="1:9" ht="24" x14ac:dyDescent="0.2">
      <c r="A33" s="320">
        <v>20</v>
      </c>
      <c r="B33" s="411" t="s">
        <v>2252</v>
      </c>
      <c r="C33" s="322">
        <v>25000</v>
      </c>
      <c r="D33" s="322">
        <v>25000</v>
      </c>
      <c r="E33" s="322">
        <v>25000</v>
      </c>
      <c r="F33" s="323">
        <v>3263</v>
      </c>
      <c r="G33" s="322">
        <v>25000</v>
      </c>
      <c r="H33" s="1735"/>
      <c r="I33" s="840"/>
    </row>
    <row r="34" spans="1:9" ht="24" x14ac:dyDescent="0.2">
      <c r="A34" s="320">
        <v>21</v>
      </c>
      <c r="B34" s="411" t="s">
        <v>2253</v>
      </c>
      <c r="C34" s="322">
        <v>4748</v>
      </c>
      <c r="D34" s="322">
        <v>4748</v>
      </c>
      <c r="E34" s="322">
        <v>6561.5</v>
      </c>
      <c r="F34" s="323">
        <v>3263</v>
      </c>
      <c r="G34" s="322">
        <v>6562</v>
      </c>
      <c r="H34" s="1735"/>
      <c r="I34" s="840"/>
    </row>
    <row r="35" spans="1:9" hidden="1" x14ac:dyDescent="0.2">
      <c r="A35" s="320">
        <v>23</v>
      </c>
      <c r="B35" s="411" t="s">
        <v>2254</v>
      </c>
      <c r="C35" s="322">
        <v>32000</v>
      </c>
      <c r="D35" s="322">
        <v>32000</v>
      </c>
      <c r="E35" s="322">
        <v>32000</v>
      </c>
      <c r="F35" s="323">
        <v>2279</v>
      </c>
      <c r="G35" s="322"/>
      <c r="H35" s="1735"/>
      <c r="I35" s="840"/>
    </row>
    <row r="36" spans="1:9" x14ac:dyDescent="0.2">
      <c r="A36" s="320">
        <v>22</v>
      </c>
      <c r="B36" s="411" t="s">
        <v>2255</v>
      </c>
      <c r="C36" s="322">
        <v>3085</v>
      </c>
      <c r="D36" s="322">
        <v>3085</v>
      </c>
      <c r="E36" s="322">
        <v>3294</v>
      </c>
      <c r="F36" s="323">
        <v>3263</v>
      </c>
      <c r="G36" s="322">
        <v>3294</v>
      </c>
      <c r="H36" s="1735"/>
      <c r="I36" s="840"/>
    </row>
    <row r="37" spans="1:9" x14ac:dyDescent="0.2">
      <c r="A37" s="320">
        <v>23</v>
      </c>
      <c r="B37" s="411" t="s">
        <v>2256</v>
      </c>
      <c r="C37" s="322">
        <v>3430</v>
      </c>
      <c r="D37" s="322">
        <v>3430</v>
      </c>
      <c r="E37" s="322">
        <v>3430</v>
      </c>
      <c r="F37" s="323">
        <v>3263</v>
      </c>
      <c r="G37" s="322">
        <v>3430</v>
      </c>
      <c r="H37" s="1735"/>
      <c r="I37" s="840"/>
    </row>
    <row r="38" spans="1:9" ht="24" x14ac:dyDescent="0.2">
      <c r="A38" s="320">
        <v>24</v>
      </c>
      <c r="B38" s="411" t="s">
        <v>2257</v>
      </c>
      <c r="C38" s="322">
        <v>685</v>
      </c>
      <c r="D38" s="322">
        <v>605</v>
      </c>
      <c r="E38" s="322">
        <v>669.24</v>
      </c>
      <c r="F38" s="323">
        <v>3263</v>
      </c>
      <c r="G38" s="322">
        <v>669</v>
      </c>
      <c r="H38" s="1735"/>
      <c r="I38" s="840"/>
    </row>
    <row r="39" spans="1:9" x14ac:dyDescent="0.2">
      <c r="A39" s="320">
        <v>25</v>
      </c>
      <c r="B39" s="411" t="s">
        <v>2258</v>
      </c>
      <c r="C39" s="322">
        <v>8703</v>
      </c>
      <c r="D39" s="322">
        <v>7971</v>
      </c>
      <c r="E39" s="322">
        <v>6553.5</v>
      </c>
      <c r="F39" s="323">
        <v>3263</v>
      </c>
      <c r="G39" s="322">
        <v>6554</v>
      </c>
      <c r="H39" s="1735"/>
      <c r="I39" s="840"/>
    </row>
    <row r="40" spans="1:9" x14ac:dyDescent="0.2">
      <c r="A40" s="320">
        <v>26</v>
      </c>
      <c r="B40" s="411" t="s">
        <v>2259</v>
      </c>
      <c r="C40" s="322">
        <v>1645</v>
      </c>
      <c r="D40" s="322">
        <v>1645</v>
      </c>
      <c r="E40" s="322">
        <v>2218.96</v>
      </c>
      <c r="F40" s="323">
        <v>3263</v>
      </c>
      <c r="G40" s="322">
        <v>2219</v>
      </c>
      <c r="H40" s="1735"/>
      <c r="I40" s="840"/>
    </row>
    <row r="41" spans="1:9" x14ac:dyDescent="0.2">
      <c r="A41" s="320">
        <v>27</v>
      </c>
      <c r="B41" s="411" t="s">
        <v>2260</v>
      </c>
      <c r="C41" s="322">
        <v>300</v>
      </c>
      <c r="D41" s="322">
        <v>296</v>
      </c>
      <c r="E41" s="322">
        <v>300</v>
      </c>
      <c r="F41" s="323">
        <v>2314</v>
      </c>
      <c r="G41" s="322">
        <v>300</v>
      </c>
      <c r="H41" s="1735"/>
      <c r="I41" s="840"/>
    </row>
    <row r="42" spans="1:9" ht="24" hidden="1" x14ac:dyDescent="0.2">
      <c r="A42" s="320">
        <v>30</v>
      </c>
      <c r="B42" s="411" t="s">
        <v>2261</v>
      </c>
      <c r="C42" s="322">
        <v>9667</v>
      </c>
      <c r="D42" s="322">
        <v>9454</v>
      </c>
      <c r="E42" s="322">
        <v>6904</v>
      </c>
      <c r="F42" s="323">
        <v>3263</v>
      </c>
      <c r="G42" s="322"/>
      <c r="H42" s="1735"/>
      <c r="I42" s="840"/>
    </row>
    <row r="43" spans="1:9" x14ac:dyDescent="0.2">
      <c r="A43" s="320">
        <v>28</v>
      </c>
      <c r="B43" s="411" t="s">
        <v>2262</v>
      </c>
      <c r="C43" s="322">
        <v>1810</v>
      </c>
      <c r="D43" s="322">
        <v>1786</v>
      </c>
      <c r="E43" s="322">
        <v>1845</v>
      </c>
      <c r="F43" s="323">
        <v>3263</v>
      </c>
      <c r="G43" s="322">
        <v>1845</v>
      </c>
      <c r="H43" s="1735"/>
      <c r="I43" s="840"/>
    </row>
    <row r="44" spans="1:9" ht="24" x14ac:dyDescent="0.2">
      <c r="A44" s="320">
        <v>29</v>
      </c>
      <c r="B44" s="411" t="s">
        <v>2263</v>
      </c>
      <c r="C44" s="322">
        <v>0</v>
      </c>
      <c r="D44" s="322">
        <v>0</v>
      </c>
      <c r="E44" s="322">
        <v>1500</v>
      </c>
      <c r="F44" s="323">
        <v>3263</v>
      </c>
      <c r="G44" s="322">
        <v>1500</v>
      </c>
      <c r="H44" s="1735"/>
      <c r="I44" s="840"/>
    </row>
    <row r="45" spans="1:9" x14ac:dyDescent="0.2">
      <c r="A45" s="320">
        <v>30</v>
      </c>
      <c r="B45" s="411" t="s">
        <v>2264</v>
      </c>
      <c r="C45" s="322">
        <v>40000</v>
      </c>
      <c r="D45" s="322"/>
      <c r="E45" s="322">
        <v>50000</v>
      </c>
      <c r="F45" s="323">
        <v>2279</v>
      </c>
      <c r="G45" s="322">
        <v>40000</v>
      </c>
      <c r="H45" s="1735"/>
      <c r="I45" s="840"/>
    </row>
    <row r="46" spans="1:9" ht="60" hidden="1" x14ac:dyDescent="0.2">
      <c r="A46" s="390">
        <v>34</v>
      </c>
      <c r="B46" s="411" t="s">
        <v>2265</v>
      </c>
      <c r="C46" s="322">
        <v>43330</v>
      </c>
      <c r="D46" s="322"/>
      <c r="E46" s="322"/>
      <c r="F46" s="323"/>
      <c r="G46" s="711"/>
      <c r="H46" s="1735"/>
      <c r="I46" s="840"/>
    </row>
    <row r="47" spans="1:9" hidden="1" x14ac:dyDescent="0.2">
      <c r="A47" s="320">
        <v>35</v>
      </c>
      <c r="B47" s="411" t="s">
        <v>2266</v>
      </c>
      <c r="C47" s="322">
        <v>1000</v>
      </c>
      <c r="D47" s="322">
        <v>0</v>
      </c>
      <c r="E47" s="322">
        <v>0</v>
      </c>
      <c r="F47" s="323">
        <v>3263</v>
      </c>
      <c r="G47" s="711"/>
      <c r="H47" s="1735"/>
      <c r="I47" s="840"/>
    </row>
    <row r="48" spans="1:9" hidden="1" x14ac:dyDescent="0.2">
      <c r="A48" s="390">
        <v>36</v>
      </c>
      <c r="B48" s="411" t="s">
        <v>2267</v>
      </c>
      <c r="C48" s="322">
        <v>10000</v>
      </c>
      <c r="D48" s="322">
        <v>10000</v>
      </c>
      <c r="E48" s="322">
        <v>0</v>
      </c>
      <c r="F48" s="323">
        <v>2279</v>
      </c>
      <c r="G48" s="711"/>
      <c r="H48" s="1703"/>
      <c r="I48" s="840"/>
    </row>
    <row r="49" spans="1:9" x14ac:dyDescent="0.2">
      <c r="A49" s="324"/>
      <c r="B49" s="324"/>
      <c r="C49" s="324"/>
      <c r="D49" s="324"/>
      <c r="E49" s="324"/>
      <c r="F49" s="324"/>
      <c r="G49" s="324"/>
      <c r="H49" s="1563"/>
      <c r="I49" s="755"/>
    </row>
    <row r="50" spans="1:9" x14ac:dyDescent="0.2">
      <c r="A50" s="309" t="s">
        <v>129</v>
      </c>
      <c r="B50" s="309"/>
      <c r="C50" s="1692" t="s">
        <v>2268</v>
      </c>
      <c r="D50" s="1692"/>
      <c r="E50" s="1692"/>
      <c r="F50" s="1692"/>
      <c r="G50" s="1692"/>
      <c r="H50" s="1692"/>
      <c r="I50" s="2103"/>
    </row>
    <row r="51" spans="1:9" x14ac:dyDescent="0.2">
      <c r="A51" s="309" t="s">
        <v>131</v>
      </c>
      <c r="B51" s="309"/>
      <c r="C51" s="1699" t="s">
        <v>185</v>
      </c>
      <c r="D51" s="1699"/>
      <c r="E51" s="1699"/>
      <c r="F51" s="1699"/>
      <c r="G51" s="1699"/>
      <c r="H51" s="1699"/>
      <c r="I51" s="2104"/>
    </row>
    <row r="52" spans="1:9" ht="39" customHeight="1" x14ac:dyDescent="0.2">
      <c r="A52" s="312" t="s">
        <v>4</v>
      </c>
      <c r="B52" s="410" t="s">
        <v>133</v>
      </c>
      <c r="C52" s="312" t="s">
        <v>17</v>
      </c>
      <c r="D52" s="312" t="s">
        <v>15</v>
      </c>
      <c r="E52" s="312" t="s">
        <v>134</v>
      </c>
      <c r="F52" s="312" t="s">
        <v>135</v>
      </c>
      <c r="G52" s="1490" t="s">
        <v>3510</v>
      </c>
      <c r="H52" s="312" t="s">
        <v>14</v>
      </c>
      <c r="I52" s="840"/>
    </row>
    <row r="53" spans="1:9" x14ac:dyDescent="0.2">
      <c r="A53" s="2105" t="s">
        <v>138</v>
      </c>
      <c r="B53" s="2106"/>
      <c r="C53" s="839">
        <f>SUM(C54:C103)</f>
        <v>485931</v>
      </c>
      <c r="D53" s="839">
        <f>SUM(D54:D103)</f>
        <v>329658</v>
      </c>
      <c r="E53" s="839">
        <f>SUM(E54:E103)</f>
        <v>525248.30000000005</v>
      </c>
      <c r="F53" s="839"/>
      <c r="G53" s="839">
        <f>SUM(G54:G103)</f>
        <v>375248</v>
      </c>
      <c r="H53" s="839"/>
      <c r="I53" s="324"/>
    </row>
    <row r="54" spans="1:9" ht="24" x14ac:dyDescent="0.2">
      <c r="A54" s="320">
        <v>1</v>
      </c>
      <c r="B54" s="411" t="s">
        <v>2269</v>
      </c>
      <c r="C54" s="322">
        <v>130000</v>
      </c>
      <c r="D54" s="322">
        <v>130000</v>
      </c>
      <c r="E54" s="322">
        <v>140000</v>
      </c>
      <c r="F54" s="414">
        <v>3263</v>
      </c>
      <c r="G54" s="322">
        <v>140000</v>
      </c>
      <c r="H54" s="1702" t="s">
        <v>2270</v>
      </c>
      <c r="I54" s="841"/>
    </row>
    <row r="55" spans="1:9" ht="24" x14ac:dyDescent="0.2">
      <c r="A55" s="320">
        <v>2</v>
      </c>
      <c r="B55" s="411" t="s">
        <v>2271</v>
      </c>
      <c r="C55" s="322">
        <v>61191</v>
      </c>
      <c r="D55" s="322">
        <v>61191</v>
      </c>
      <c r="E55" s="322">
        <v>60190.9</v>
      </c>
      <c r="F55" s="414">
        <v>3263</v>
      </c>
      <c r="G55" s="322">
        <v>60191</v>
      </c>
      <c r="H55" s="1735"/>
      <c r="I55" s="841"/>
    </row>
    <row r="56" spans="1:9" ht="24" hidden="1" x14ac:dyDescent="0.2">
      <c r="A56" s="320">
        <v>3</v>
      </c>
      <c r="B56" s="411" t="s">
        <v>2272</v>
      </c>
      <c r="C56" s="322">
        <v>0</v>
      </c>
      <c r="D56" s="322">
        <v>0</v>
      </c>
      <c r="E56" s="322">
        <v>150000</v>
      </c>
      <c r="F56" s="414">
        <v>3263</v>
      </c>
      <c r="G56" s="322"/>
      <c r="H56" s="1735"/>
      <c r="I56" s="312"/>
    </row>
    <row r="57" spans="1:9" x14ac:dyDescent="0.2">
      <c r="A57" s="320">
        <v>3</v>
      </c>
      <c r="B57" s="411" t="s">
        <v>2273</v>
      </c>
      <c r="C57" s="322">
        <v>10000</v>
      </c>
      <c r="D57" s="322">
        <v>10000</v>
      </c>
      <c r="E57" s="322">
        <v>10000</v>
      </c>
      <c r="F57" s="414">
        <v>3263</v>
      </c>
      <c r="G57" s="322">
        <v>10000</v>
      </c>
      <c r="H57" s="1735"/>
      <c r="I57" s="840"/>
    </row>
    <row r="58" spans="1:9" ht="24" x14ac:dyDescent="0.2">
      <c r="A58" s="320">
        <v>4</v>
      </c>
      <c r="B58" s="411" t="s">
        <v>2274</v>
      </c>
      <c r="C58" s="322">
        <v>7602</v>
      </c>
      <c r="D58" s="322">
        <v>7602</v>
      </c>
      <c r="E58" s="322">
        <v>7785</v>
      </c>
      <c r="F58" s="414">
        <v>3263</v>
      </c>
      <c r="G58" s="322">
        <v>7785</v>
      </c>
      <c r="H58" s="1735"/>
      <c r="I58" s="840"/>
    </row>
    <row r="59" spans="1:9" ht="24" x14ac:dyDescent="0.2">
      <c r="A59" s="320">
        <v>5</v>
      </c>
      <c r="B59" s="411" t="s">
        <v>2275</v>
      </c>
      <c r="C59" s="322">
        <v>6100</v>
      </c>
      <c r="D59" s="322">
        <v>6100</v>
      </c>
      <c r="E59" s="322">
        <v>6070</v>
      </c>
      <c r="F59" s="414">
        <v>3263</v>
      </c>
      <c r="G59" s="322">
        <v>6070</v>
      </c>
      <c r="H59" s="1735"/>
      <c r="I59" s="840"/>
    </row>
    <row r="60" spans="1:9" ht="24" x14ac:dyDescent="0.2">
      <c r="A60" s="320">
        <v>6</v>
      </c>
      <c r="B60" s="411" t="s">
        <v>2276</v>
      </c>
      <c r="C60" s="322">
        <v>8089</v>
      </c>
      <c r="D60" s="322">
        <v>8089</v>
      </c>
      <c r="E60" s="322">
        <v>9994.2000000000007</v>
      </c>
      <c r="F60" s="414">
        <v>3263</v>
      </c>
      <c r="G60" s="322">
        <v>9994</v>
      </c>
      <c r="H60" s="1735"/>
      <c r="I60" s="840"/>
    </row>
    <row r="61" spans="1:9" ht="24" x14ac:dyDescent="0.2">
      <c r="A61" s="320">
        <v>7</v>
      </c>
      <c r="B61" s="411" t="s">
        <v>2277</v>
      </c>
      <c r="C61" s="361">
        <v>5080</v>
      </c>
      <c r="D61" s="361">
        <v>5080</v>
      </c>
      <c r="E61" s="361">
        <v>7797.48</v>
      </c>
      <c r="F61" s="414">
        <v>3263</v>
      </c>
      <c r="G61" s="322">
        <v>7797</v>
      </c>
      <c r="H61" s="1735"/>
      <c r="I61" s="840"/>
    </row>
    <row r="62" spans="1:9" x14ac:dyDescent="0.2">
      <c r="A62" s="320">
        <v>8</v>
      </c>
      <c r="B62" s="411" t="s">
        <v>2278</v>
      </c>
      <c r="C62" s="361">
        <v>5000</v>
      </c>
      <c r="D62" s="361">
        <v>5000</v>
      </c>
      <c r="E62" s="361">
        <v>7000</v>
      </c>
      <c r="F62" s="414">
        <v>3263</v>
      </c>
      <c r="G62" s="322">
        <v>7000</v>
      </c>
      <c r="H62" s="1735"/>
      <c r="I62" s="840"/>
    </row>
    <row r="63" spans="1:9" ht="24" x14ac:dyDescent="0.2">
      <c r="A63" s="320">
        <v>9</v>
      </c>
      <c r="B63" s="411" t="s">
        <v>2279</v>
      </c>
      <c r="C63" s="361">
        <v>5840</v>
      </c>
      <c r="D63" s="361">
        <v>5840</v>
      </c>
      <c r="E63" s="361">
        <v>4440</v>
      </c>
      <c r="F63" s="414">
        <v>3263</v>
      </c>
      <c r="G63" s="322">
        <v>4440</v>
      </c>
      <c r="H63" s="1735"/>
      <c r="I63" s="840"/>
    </row>
    <row r="64" spans="1:9" ht="24" x14ac:dyDescent="0.2">
      <c r="A64" s="320">
        <v>10</v>
      </c>
      <c r="B64" s="411" t="s">
        <v>2280</v>
      </c>
      <c r="C64" s="361">
        <v>1923</v>
      </c>
      <c r="D64" s="361">
        <v>1923</v>
      </c>
      <c r="E64" s="361">
        <v>2212.7199999999998</v>
      </c>
      <c r="F64" s="414">
        <v>3263</v>
      </c>
      <c r="G64" s="322">
        <v>2213</v>
      </c>
      <c r="H64" s="1735"/>
      <c r="I64" s="840"/>
    </row>
    <row r="65" spans="1:9" x14ac:dyDescent="0.2">
      <c r="A65" s="320">
        <v>11</v>
      </c>
      <c r="B65" s="411" t="s">
        <v>2281</v>
      </c>
      <c r="C65" s="361">
        <v>1099</v>
      </c>
      <c r="D65" s="361">
        <v>0</v>
      </c>
      <c r="E65" s="361">
        <v>1000</v>
      </c>
      <c r="F65" s="414">
        <v>3263</v>
      </c>
      <c r="G65" s="322">
        <v>1000</v>
      </c>
      <c r="H65" s="1735"/>
      <c r="I65" s="842"/>
    </row>
    <row r="66" spans="1:9" ht="24" x14ac:dyDescent="0.2">
      <c r="A66" s="320">
        <v>12</v>
      </c>
      <c r="B66" s="411" t="s">
        <v>2282</v>
      </c>
      <c r="C66" s="361">
        <v>15300</v>
      </c>
      <c r="D66" s="361">
        <v>15300</v>
      </c>
      <c r="E66" s="361">
        <v>16500</v>
      </c>
      <c r="F66" s="414">
        <v>3263</v>
      </c>
      <c r="G66" s="322">
        <v>16500</v>
      </c>
      <c r="H66" s="1735"/>
      <c r="I66" s="842"/>
    </row>
    <row r="67" spans="1:9" x14ac:dyDescent="0.2">
      <c r="A67" s="320">
        <v>13</v>
      </c>
      <c r="B67" s="411" t="s">
        <v>2283</v>
      </c>
      <c r="C67" s="361">
        <v>20000</v>
      </c>
      <c r="D67" s="361">
        <v>20000</v>
      </c>
      <c r="E67" s="361">
        <v>21150</v>
      </c>
      <c r="F67" s="414">
        <v>3263</v>
      </c>
      <c r="G67" s="322">
        <v>21150</v>
      </c>
      <c r="H67" s="1735"/>
      <c r="I67" s="842"/>
    </row>
    <row r="68" spans="1:9" ht="24" x14ac:dyDescent="0.2">
      <c r="A68" s="320">
        <v>14</v>
      </c>
      <c r="B68" s="411" t="s">
        <v>2284</v>
      </c>
      <c r="C68" s="361">
        <v>3286</v>
      </c>
      <c r="D68" s="361">
        <v>3286</v>
      </c>
      <c r="E68" s="361">
        <v>4551</v>
      </c>
      <c r="F68" s="414">
        <v>3263</v>
      </c>
      <c r="G68" s="322">
        <v>4551</v>
      </c>
      <c r="H68" s="1735"/>
      <c r="I68" s="842"/>
    </row>
    <row r="69" spans="1:9" x14ac:dyDescent="0.2">
      <c r="A69" s="320">
        <v>15</v>
      </c>
      <c r="B69" s="411" t="s">
        <v>2285</v>
      </c>
      <c r="C69" s="361">
        <v>5000</v>
      </c>
      <c r="D69" s="361">
        <v>5000</v>
      </c>
      <c r="E69" s="361">
        <v>7000</v>
      </c>
      <c r="F69" s="414">
        <v>3263</v>
      </c>
      <c r="G69" s="322">
        <v>7000</v>
      </c>
      <c r="H69" s="1735"/>
      <c r="I69" s="842"/>
    </row>
    <row r="70" spans="1:9" x14ac:dyDescent="0.2">
      <c r="A70" s="320">
        <v>16</v>
      </c>
      <c r="B70" s="411" t="s">
        <v>2286</v>
      </c>
      <c r="C70" s="361">
        <v>5128</v>
      </c>
      <c r="D70" s="361">
        <v>5128</v>
      </c>
      <c r="E70" s="361">
        <v>7000</v>
      </c>
      <c r="F70" s="414">
        <v>3263</v>
      </c>
      <c r="G70" s="322">
        <v>7000</v>
      </c>
      <c r="H70" s="1735"/>
      <c r="I70" s="842"/>
    </row>
    <row r="71" spans="1:9" ht="24" x14ac:dyDescent="0.2">
      <c r="A71" s="320">
        <v>17</v>
      </c>
      <c r="B71" s="411" t="s">
        <v>2287</v>
      </c>
      <c r="C71" s="361">
        <v>1345</v>
      </c>
      <c r="D71" s="361">
        <v>1345</v>
      </c>
      <c r="E71" s="361">
        <v>935</v>
      </c>
      <c r="F71" s="414">
        <v>3263</v>
      </c>
      <c r="G71" s="322">
        <v>935</v>
      </c>
      <c r="H71" s="1735"/>
      <c r="I71" s="842"/>
    </row>
    <row r="72" spans="1:9" x14ac:dyDescent="0.2">
      <c r="A72" s="320">
        <v>18</v>
      </c>
      <c r="B72" s="411" t="s">
        <v>2288</v>
      </c>
      <c r="C72" s="361">
        <v>600</v>
      </c>
      <c r="D72" s="361">
        <v>600</v>
      </c>
      <c r="E72" s="361">
        <v>1800</v>
      </c>
      <c r="F72" s="414">
        <v>3263</v>
      </c>
      <c r="G72" s="322">
        <v>1800</v>
      </c>
      <c r="H72" s="1735"/>
      <c r="I72" s="842"/>
    </row>
    <row r="73" spans="1:9" ht="24" x14ac:dyDescent="0.2">
      <c r="A73" s="320">
        <v>19</v>
      </c>
      <c r="B73" s="411" t="s">
        <v>2289</v>
      </c>
      <c r="C73" s="361">
        <v>950</v>
      </c>
      <c r="D73" s="361">
        <v>950</v>
      </c>
      <c r="E73" s="361">
        <v>1070</v>
      </c>
      <c r="F73" s="414">
        <v>3263</v>
      </c>
      <c r="G73" s="322">
        <v>1070</v>
      </c>
      <c r="H73" s="1735"/>
      <c r="I73" s="842"/>
    </row>
    <row r="74" spans="1:9" x14ac:dyDescent="0.2">
      <c r="A74" s="320">
        <v>20</v>
      </c>
      <c r="B74" s="411" t="s">
        <v>2290</v>
      </c>
      <c r="C74" s="361">
        <v>750</v>
      </c>
      <c r="D74" s="361">
        <v>750</v>
      </c>
      <c r="E74" s="843">
        <v>1000</v>
      </c>
      <c r="F74" s="414">
        <v>3263</v>
      </c>
      <c r="G74" s="322">
        <v>1000</v>
      </c>
      <c r="H74" s="1735"/>
      <c r="I74" s="842"/>
    </row>
    <row r="75" spans="1:9" x14ac:dyDescent="0.2">
      <c r="A75" s="320">
        <v>21</v>
      </c>
      <c r="B75" s="411" t="s">
        <v>2291</v>
      </c>
      <c r="C75" s="361">
        <v>600</v>
      </c>
      <c r="D75" s="361">
        <v>600</v>
      </c>
      <c r="E75" s="843">
        <v>500</v>
      </c>
      <c r="F75" s="414">
        <v>3263</v>
      </c>
      <c r="G75" s="322">
        <v>500</v>
      </c>
      <c r="H75" s="1735"/>
      <c r="I75" s="842"/>
    </row>
    <row r="76" spans="1:9" ht="24" x14ac:dyDescent="0.2">
      <c r="A76" s="320">
        <v>22</v>
      </c>
      <c r="B76" s="411" t="s">
        <v>2292</v>
      </c>
      <c r="C76" s="361">
        <v>0</v>
      </c>
      <c r="D76" s="361">
        <v>0</v>
      </c>
      <c r="E76" s="843">
        <v>500</v>
      </c>
      <c r="F76" s="414">
        <v>3263</v>
      </c>
      <c r="G76" s="322">
        <v>500</v>
      </c>
      <c r="H76" s="1735"/>
      <c r="I76" s="842"/>
    </row>
    <row r="77" spans="1:9" x14ac:dyDescent="0.2">
      <c r="A77" s="320">
        <v>23</v>
      </c>
      <c r="B77" s="411" t="s">
        <v>2293</v>
      </c>
      <c r="C77" s="361">
        <v>0</v>
      </c>
      <c r="D77" s="361">
        <v>0</v>
      </c>
      <c r="E77" s="843">
        <v>500</v>
      </c>
      <c r="F77" s="414">
        <v>3263</v>
      </c>
      <c r="G77" s="322">
        <v>500</v>
      </c>
      <c r="H77" s="1735"/>
      <c r="I77" s="842"/>
    </row>
    <row r="78" spans="1:9" x14ac:dyDescent="0.2">
      <c r="A78" s="320">
        <v>24</v>
      </c>
      <c r="B78" s="411" t="s">
        <v>2294</v>
      </c>
      <c r="C78" s="361">
        <v>0</v>
      </c>
      <c r="D78" s="361">
        <v>0</v>
      </c>
      <c r="E78" s="843">
        <v>300</v>
      </c>
      <c r="F78" s="414">
        <v>3263</v>
      </c>
      <c r="G78" s="322">
        <v>300</v>
      </c>
      <c r="H78" s="1735"/>
      <c r="I78" s="842"/>
    </row>
    <row r="79" spans="1:9" ht="24" x14ac:dyDescent="0.2">
      <c r="A79" s="320">
        <v>25</v>
      </c>
      <c r="B79" s="411" t="s">
        <v>2295</v>
      </c>
      <c r="C79" s="361">
        <v>0</v>
      </c>
      <c r="D79" s="361">
        <v>0</v>
      </c>
      <c r="E79" s="843">
        <v>300</v>
      </c>
      <c r="F79" s="414">
        <v>3263</v>
      </c>
      <c r="G79" s="322">
        <v>300</v>
      </c>
      <c r="H79" s="1735"/>
      <c r="I79" s="842"/>
    </row>
    <row r="80" spans="1:9" ht="24" x14ac:dyDescent="0.2">
      <c r="A80" s="320">
        <v>26</v>
      </c>
      <c r="B80" s="411" t="s">
        <v>2296</v>
      </c>
      <c r="C80" s="361">
        <v>0</v>
      </c>
      <c r="D80" s="361">
        <v>0</v>
      </c>
      <c r="E80" s="361">
        <v>1652</v>
      </c>
      <c r="F80" s="414">
        <v>3263</v>
      </c>
      <c r="G80" s="322">
        <v>1652</v>
      </c>
      <c r="H80" s="1735"/>
      <c r="I80" s="842"/>
    </row>
    <row r="81" spans="1:9" x14ac:dyDescent="0.2">
      <c r="A81" s="320">
        <v>27</v>
      </c>
      <c r="B81" s="411" t="s">
        <v>2297</v>
      </c>
      <c r="C81" s="361">
        <v>241</v>
      </c>
      <c r="D81" s="361">
        <v>241</v>
      </c>
      <c r="E81" s="361">
        <v>1320</v>
      </c>
      <c r="F81" s="414">
        <v>3263</v>
      </c>
      <c r="G81" s="322">
        <v>1320</v>
      </c>
      <c r="H81" s="1735"/>
      <c r="I81" s="842"/>
    </row>
    <row r="82" spans="1:9" ht="24" x14ac:dyDescent="0.2">
      <c r="A82" s="320">
        <v>28</v>
      </c>
      <c r="B82" s="411" t="s">
        <v>2298</v>
      </c>
      <c r="C82" s="361">
        <v>1359</v>
      </c>
      <c r="D82" s="361">
        <v>1359</v>
      </c>
      <c r="E82" s="361">
        <v>1705</v>
      </c>
      <c r="F82" s="414">
        <v>3263</v>
      </c>
      <c r="G82" s="322">
        <v>1705</v>
      </c>
      <c r="H82" s="1735"/>
      <c r="I82" s="842"/>
    </row>
    <row r="83" spans="1:9" ht="24" x14ac:dyDescent="0.2">
      <c r="A83" s="320">
        <v>29</v>
      </c>
      <c r="B83" s="411" t="s">
        <v>2299</v>
      </c>
      <c r="C83" s="361">
        <v>320</v>
      </c>
      <c r="D83" s="361">
        <v>256</v>
      </c>
      <c r="E83" s="361">
        <v>475</v>
      </c>
      <c r="F83" s="414">
        <v>3263</v>
      </c>
      <c r="G83" s="322">
        <v>475</v>
      </c>
      <c r="H83" s="1735"/>
      <c r="I83" s="842"/>
    </row>
    <row r="84" spans="1:9" ht="36" hidden="1" x14ac:dyDescent="0.2">
      <c r="A84" s="320">
        <v>31</v>
      </c>
      <c r="B84" s="411" t="s">
        <v>2300</v>
      </c>
      <c r="C84" s="361">
        <v>150909</v>
      </c>
      <c r="D84" s="361"/>
      <c r="E84" s="361"/>
      <c r="F84" s="414"/>
      <c r="G84" s="322"/>
      <c r="H84" s="1735"/>
      <c r="I84" s="842"/>
    </row>
    <row r="85" spans="1:9" ht="24" x14ac:dyDescent="0.2">
      <c r="A85" s="320">
        <v>30</v>
      </c>
      <c r="B85" s="411" t="s">
        <v>2301</v>
      </c>
      <c r="C85" s="361">
        <v>27189</v>
      </c>
      <c r="D85" s="361">
        <v>27188</v>
      </c>
      <c r="E85" s="361">
        <v>5000</v>
      </c>
      <c r="F85" s="414">
        <v>6422</v>
      </c>
      <c r="G85" s="322">
        <v>5000</v>
      </c>
      <c r="H85" s="1735"/>
      <c r="I85" s="842"/>
    </row>
    <row r="86" spans="1:9" ht="24" hidden="1" x14ac:dyDescent="0.2">
      <c r="A86" s="320">
        <v>33</v>
      </c>
      <c r="B86" s="411" t="s">
        <v>2302</v>
      </c>
      <c r="C86" s="361">
        <v>600</v>
      </c>
      <c r="D86" s="361">
        <v>600</v>
      </c>
      <c r="E86" s="361">
        <v>0</v>
      </c>
      <c r="F86" s="414">
        <v>3263</v>
      </c>
      <c r="G86" s="322"/>
      <c r="H86" s="1735"/>
      <c r="I86" s="842"/>
    </row>
    <row r="87" spans="1:9" ht="24" hidden="1" x14ac:dyDescent="0.2">
      <c r="A87" s="320">
        <v>34</v>
      </c>
      <c r="B87" s="411" t="s">
        <v>2303</v>
      </c>
      <c r="C87" s="361">
        <v>90</v>
      </c>
      <c r="D87" s="361">
        <v>0</v>
      </c>
      <c r="E87" s="361">
        <v>0</v>
      </c>
      <c r="F87" s="414">
        <v>3263</v>
      </c>
      <c r="G87" s="322"/>
      <c r="H87" s="1735"/>
      <c r="I87" s="842"/>
    </row>
    <row r="88" spans="1:9" hidden="1" x14ac:dyDescent="0.2">
      <c r="A88" s="320">
        <v>35</v>
      </c>
      <c r="B88" s="411" t="s">
        <v>2304</v>
      </c>
      <c r="C88" s="361">
        <v>600</v>
      </c>
      <c r="D88" s="361">
        <v>0</v>
      </c>
      <c r="E88" s="361">
        <v>0</v>
      </c>
      <c r="F88" s="414">
        <v>3263</v>
      </c>
      <c r="G88" s="322"/>
      <c r="H88" s="1735"/>
      <c r="I88" s="842"/>
    </row>
    <row r="89" spans="1:9" hidden="1" x14ac:dyDescent="0.2">
      <c r="A89" s="320">
        <v>36</v>
      </c>
      <c r="B89" s="411" t="s">
        <v>2305</v>
      </c>
      <c r="C89" s="361">
        <v>1840</v>
      </c>
      <c r="D89" s="361">
        <v>0</v>
      </c>
      <c r="E89" s="361">
        <v>0</v>
      </c>
      <c r="F89" s="414">
        <v>3263</v>
      </c>
      <c r="G89" s="322"/>
      <c r="H89" s="1735"/>
      <c r="I89" s="842"/>
    </row>
    <row r="90" spans="1:9" hidden="1" x14ac:dyDescent="0.2">
      <c r="A90" s="320">
        <v>37</v>
      </c>
      <c r="B90" s="411" t="s">
        <v>2306</v>
      </c>
      <c r="C90" s="361">
        <v>1340</v>
      </c>
      <c r="D90" s="361">
        <v>0</v>
      </c>
      <c r="E90" s="361">
        <v>0</v>
      </c>
      <c r="F90" s="414">
        <v>3263</v>
      </c>
      <c r="G90" s="322"/>
      <c r="H90" s="1735"/>
      <c r="I90" s="842"/>
    </row>
    <row r="91" spans="1:9" hidden="1" x14ac:dyDescent="0.2">
      <c r="A91" s="320">
        <v>38</v>
      </c>
      <c r="B91" s="411" t="s">
        <v>2307</v>
      </c>
      <c r="C91" s="361">
        <v>600</v>
      </c>
      <c r="D91" s="361">
        <v>600</v>
      </c>
      <c r="E91" s="361">
        <v>0</v>
      </c>
      <c r="F91" s="414">
        <v>3263</v>
      </c>
      <c r="G91" s="322"/>
      <c r="H91" s="1735"/>
      <c r="I91" s="842"/>
    </row>
    <row r="92" spans="1:9" ht="24" hidden="1" x14ac:dyDescent="0.2">
      <c r="A92" s="320">
        <v>39</v>
      </c>
      <c r="B92" s="411" t="s">
        <v>2308</v>
      </c>
      <c r="C92" s="361">
        <v>3000</v>
      </c>
      <c r="D92" s="361">
        <v>3000</v>
      </c>
      <c r="E92" s="361">
        <v>0</v>
      </c>
      <c r="F92" s="414">
        <v>3263</v>
      </c>
      <c r="G92" s="322"/>
      <c r="H92" s="1735"/>
      <c r="I92" s="842"/>
    </row>
    <row r="93" spans="1:9" hidden="1" x14ac:dyDescent="0.2">
      <c r="A93" s="320">
        <v>40</v>
      </c>
      <c r="B93" s="411" t="s">
        <v>2309</v>
      </c>
      <c r="C93" s="361">
        <v>32</v>
      </c>
      <c r="D93" s="361">
        <v>32</v>
      </c>
      <c r="E93" s="361">
        <v>0</v>
      </c>
      <c r="F93" s="414">
        <v>3263</v>
      </c>
      <c r="G93" s="322"/>
      <c r="H93" s="1735"/>
      <c r="I93" s="842"/>
    </row>
    <row r="94" spans="1:9" ht="24" hidden="1" x14ac:dyDescent="0.2">
      <c r="A94" s="320">
        <v>41</v>
      </c>
      <c r="B94" s="411" t="s">
        <v>2310</v>
      </c>
      <c r="C94" s="361">
        <v>132</v>
      </c>
      <c r="D94" s="361">
        <v>0</v>
      </c>
      <c r="E94" s="361">
        <v>0</v>
      </c>
      <c r="F94" s="414">
        <v>3263</v>
      </c>
      <c r="G94" s="322"/>
      <c r="H94" s="1735"/>
      <c r="I94" s="842"/>
    </row>
    <row r="95" spans="1:9" ht="24" hidden="1" x14ac:dyDescent="0.2">
      <c r="A95" s="320">
        <v>42</v>
      </c>
      <c r="B95" s="411" t="s">
        <v>2311</v>
      </c>
      <c r="C95" s="361">
        <v>461</v>
      </c>
      <c r="D95" s="361">
        <v>456</v>
      </c>
      <c r="E95" s="361">
        <v>0</v>
      </c>
      <c r="F95" s="414">
        <v>3263</v>
      </c>
      <c r="G95" s="322"/>
      <c r="H95" s="1735"/>
      <c r="I95" s="842"/>
    </row>
    <row r="96" spans="1:9" ht="24" hidden="1" x14ac:dyDescent="0.2">
      <c r="A96" s="320">
        <v>43</v>
      </c>
      <c r="B96" s="411" t="s">
        <v>2312</v>
      </c>
      <c r="C96" s="361">
        <v>200</v>
      </c>
      <c r="D96" s="361">
        <v>200</v>
      </c>
      <c r="E96" s="361">
        <v>0</v>
      </c>
      <c r="F96" s="414">
        <v>3263</v>
      </c>
      <c r="G96" s="322"/>
      <c r="H96" s="1735"/>
      <c r="I96" s="842"/>
    </row>
    <row r="97" spans="1:9" ht="24" hidden="1" x14ac:dyDescent="0.2">
      <c r="A97" s="320">
        <v>44</v>
      </c>
      <c r="B97" s="411" t="s">
        <v>2313</v>
      </c>
      <c r="C97" s="361">
        <v>1000</v>
      </c>
      <c r="D97" s="361">
        <v>1000</v>
      </c>
      <c r="E97" s="361">
        <v>0</v>
      </c>
      <c r="F97" s="414">
        <v>3263</v>
      </c>
      <c r="G97" s="322"/>
      <c r="H97" s="1735"/>
      <c r="I97" s="842"/>
    </row>
    <row r="98" spans="1:9" hidden="1" x14ac:dyDescent="0.2">
      <c r="A98" s="320">
        <v>45</v>
      </c>
      <c r="B98" s="411" t="s">
        <v>2314</v>
      </c>
      <c r="C98" s="361">
        <v>960</v>
      </c>
      <c r="D98" s="361">
        <v>767</v>
      </c>
      <c r="E98" s="361">
        <v>0</v>
      </c>
      <c r="F98" s="414">
        <v>3263</v>
      </c>
      <c r="G98" s="322"/>
      <c r="H98" s="1735"/>
      <c r="I98" s="842"/>
    </row>
    <row r="99" spans="1:9" ht="24" hidden="1" x14ac:dyDescent="0.2">
      <c r="A99" s="320">
        <v>46</v>
      </c>
      <c r="B99" s="411" t="s">
        <v>2315</v>
      </c>
      <c r="C99" s="361">
        <v>175</v>
      </c>
      <c r="D99" s="361">
        <v>175</v>
      </c>
      <c r="E99" s="361">
        <v>0</v>
      </c>
      <c r="F99" s="414">
        <v>3263</v>
      </c>
      <c r="G99" s="322"/>
      <c r="H99" s="1735"/>
      <c r="I99" s="842"/>
    </row>
    <row r="100" spans="1:9" x14ac:dyDescent="0.2">
      <c r="A100" s="1684">
        <v>31</v>
      </c>
      <c r="B100" s="1686" t="s">
        <v>2316</v>
      </c>
      <c r="C100" s="361">
        <v>0</v>
      </c>
      <c r="D100" s="361">
        <v>0</v>
      </c>
      <c r="E100" s="361">
        <v>17000</v>
      </c>
      <c r="F100" s="414">
        <v>2361</v>
      </c>
      <c r="G100" s="322">
        <v>17000</v>
      </c>
      <c r="H100" s="1735"/>
      <c r="I100" s="842"/>
    </row>
    <row r="101" spans="1:9" x14ac:dyDescent="0.2">
      <c r="A101" s="1720"/>
      <c r="B101" s="1721"/>
      <c r="C101" s="361">
        <v>0</v>
      </c>
      <c r="D101" s="361">
        <v>0</v>
      </c>
      <c r="E101" s="361">
        <v>20000</v>
      </c>
      <c r="F101" s="414">
        <v>2262</v>
      </c>
      <c r="G101" s="322">
        <v>20000</v>
      </c>
      <c r="H101" s="1735"/>
      <c r="I101" s="842"/>
    </row>
    <row r="102" spans="1:9" x14ac:dyDescent="0.2">
      <c r="A102" s="1720"/>
      <c r="B102" s="1721"/>
      <c r="C102" s="361">
        <v>0</v>
      </c>
      <c r="D102" s="361">
        <v>0</v>
      </c>
      <c r="E102" s="361">
        <v>8000</v>
      </c>
      <c r="F102" s="414">
        <v>2261</v>
      </c>
      <c r="G102" s="322">
        <v>8000</v>
      </c>
      <c r="H102" s="1735"/>
      <c r="I102" s="842"/>
    </row>
    <row r="103" spans="1:9" x14ac:dyDescent="0.2">
      <c r="A103" s="1685"/>
      <c r="B103" s="1687"/>
      <c r="C103" s="342">
        <v>0</v>
      </c>
      <c r="D103" s="342">
        <v>0</v>
      </c>
      <c r="E103" s="342">
        <v>500</v>
      </c>
      <c r="F103" s="414">
        <v>2279</v>
      </c>
      <c r="G103" s="322">
        <v>500</v>
      </c>
      <c r="H103" s="1703"/>
      <c r="I103" s="842"/>
    </row>
    <row r="104" spans="1:9" x14ac:dyDescent="0.2">
      <c r="A104" s="324"/>
      <c r="B104" s="324"/>
      <c r="C104" s="324"/>
      <c r="D104" s="324"/>
      <c r="E104" s="324"/>
      <c r="F104" s="324"/>
      <c r="G104" s="844"/>
      <c r="H104" s="844"/>
      <c r="I104" s="842"/>
    </row>
    <row r="105" spans="1:9" x14ac:dyDescent="0.2">
      <c r="A105" s="309" t="s">
        <v>129</v>
      </c>
      <c r="B105" s="309"/>
      <c r="C105" s="1692" t="s">
        <v>2317</v>
      </c>
      <c r="D105" s="1692"/>
      <c r="E105" s="1692"/>
      <c r="F105" s="1692"/>
      <c r="G105" s="1692"/>
      <c r="H105" s="1692"/>
      <c r="I105" s="2103"/>
    </row>
    <row r="106" spans="1:9" x14ac:dyDescent="0.2">
      <c r="A106" s="309" t="s">
        <v>131</v>
      </c>
      <c r="B106" s="309"/>
      <c r="C106" s="1699" t="s">
        <v>2093</v>
      </c>
      <c r="D106" s="1699"/>
      <c r="E106" s="1699"/>
      <c r="F106" s="1699"/>
      <c r="G106" s="1699"/>
      <c r="H106" s="1699"/>
      <c r="I106" s="2104"/>
    </row>
    <row r="107" spans="1:9" ht="36" customHeight="1" x14ac:dyDescent="0.2">
      <c r="A107" s="312" t="s">
        <v>4</v>
      </c>
      <c r="B107" s="410" t="s">
        <v>133</v>
      </c>
      <c r="C107" s="312" t="s">
        <v>17</v>
      </c>
      <c r="D107" s="312" t="s">
        <v>15</v>
      </c>
      <c r="E107" s="312" t="s">
        <v>134</v>
      </c>
      <c r="F107" s="312" t="s">
        <v>135</v>
      </c>
      <c r="G107" s="1490" t="s">
        <v>3510</v>
      </c>
      <c r="H107" s="312" t="s">
        <v>14</v>
      </c>
      <c r="I107" s="312" t="s">
        <v>137</v>
      </c>
    </row>
    <row r="108" spans="1:9" x14ac:dyDescent="0.2">
      <c r="A108" s="2105" t="s">
        <v>138</v>
      </c>
      <c r="B108" s="2106"/>
      <c r="C108" s="839">
        <f>SUM(C109:C109)</f>
        <v>7000</v>
      </c>
      <c r="D108" s="839">
        <f>SUM(D109:D109)</f>
        <v>0</v>
      </c>
      <c r="E108" s="839">
        <f>SUM(E109:E109)</f>
        <v>7000</v>
      </c>
      <c r="F108" s="839"/>
      <c r="G108" s="839">
        <f>SUM(G109:G109)</f>
        <v>7000</v>
      </c>
      <c r="H108" s="2107" t="s">
        <v>2318</v>
      </c>
      <c r="I108" s="324"/>
    </row>
    <row r="109" spans="1:9" ht="15" customHeight="1" x14ac:dyDescent="0.2">
      <c r="A109" s="840">
        <v>1</v>
      </c>
      <c r="B109" s="845" t="s">
        <v>2319</v>
      </c>
      <c r="C109" s="711">
        <v>7000</v>
      </c>
      <c r="D109" s="711">
        <v>0</v>
      </c>
      <c r="E109" s="711">
        <v>7000</v>
      </c>
      <c r="F109" s="846">
        <v>1150</v>
      </c>
      <c r="G109" s="711">
        <v>7000</v>
      </c>
      <c r="H109" s="2108"/>
      <c r="I109" s="841"/>
    </row>
    <row r="110" spans="1:9" x14ac:dyDescent="0.2">
      <c r="C110" s="710"/>
      <c r="D110" s="710"/>
      <c r="E110" s="710"/>
      <c r="G110" s="710"/>
      <c r="H110" s="710"/>
      <c r="I110" s="840"/>
    </row>
    <row r="111" spans="1:9" x14ac:dyDescent="0.2">
      <c r="A111" s="306" t="s">
        <v>455</v>
      </c>
      <c r="I111" s="847"/>
    </row>
    <row r="112" spans="1:9" x14ac:dyDescent="0.2">
      <c r="A112" s="306" t="s">
        <v>505</v>
      </c>
      <c r="I112" s="398"/>
    </row>
    <row r="113" spans="1:9" x14ac:dyDescent="0.2">
      <c r="I113" s="398"/>
    </row>
    <row r="114" spans="1:9" x14ac:dyDescent="0.2">
      <c r="A114" s="306" t="s">
        <v>505</v>
      </c>
      <c r="I114" s="398"/>
    </row>
    <row r="115" spans="1:9" x14ac:dyDescent="0.2">
      <c r="A115" s="347" t="s">
        <v>2209</v>
      </c>
      <c r="I115" s="398"/>
    </row>
    <row r="116" spans="1:9" x14ac:dyDescent="0.2">
      <c r="B116" s="306" t="s">
        <v>2320</v>
      </c>
      <c r="I116" s="398"/>
    </row>
    <row r="117" spans="1:9" x14ac:dyDescent="0.2">
      <c r="B117" s="306" t="s">
        <v>2321</v>
      </c>
      <c r="I117" s="398"/>
    </row>
    <row r="118" spans="1:9" x14ac:dyDescent="0.2">
      <c r="B118" s="306" t="s">
        <v>2322</v>
      </c>
      <c r="I118" s="398"/>
    </row>
    <row r="119" spans="1:9" x14ac:dyDescent="0.2">
      <c r="B119" s="306" t="s">
        <v>2323</v>
      </c>
      <c r="I119" s="398"/>
    </row>
    <row r="120" spans="1:9" x14ac:dyDescent="0.2">
      <c r="B120" s="306" t="s">
        <v>2324</v>
      </c>
      <c r="I120" s="398"/>
    </row>
    <row r="121" spans="1:9" x14ac:dyDescent="0.2">
      <c r="B121" s="306" t="s">
        <v>2325</v>
      </c>
      <c r="I121" s="398"/>
    </row>
    <row r="122" spans="1:9" x14ac:dyDescent="0.2">
      <c r="B122" s="306" t="s">
        <v>2326</v>
      </c>
      <c r="I122" s="398"/>
    </row>
    <row r="123" spans="1:9" x14ac:dyDescent="0.2">
      <c r="B123" s="306" t="s">
        <v>2327</v>
      </c>
      <c r="I123" s="398"/>
    </row>
    <row r="124" spans="1:9" x14ac:dyDescent="0.2">
      <c r="B124" s="306" t="s">
        <v>2328</v>
      </c>
      <c r="I124" s="398"/>
    </row>
    <row r="125" spans="1:9" x14ac:dyDescent="0.2">
      <c r="I125" s="398"/>
    </row>
    <row r="126" spans="1:9" x14ac:dyDescent="0.2">
      <c r="A126" s="347" t="s">
        <v>2329</v>
      </c>
      <c r="I126" s="398"/>
    </row>
    <row r="127" spans="1:9" x14ac:dyDescent="0.2">
      <c r="A127" s="848" t="s">
        <v>2330</v>
      </c>
      <c r="B127" s="848"/>
      <c r="C127" s="848"/>
      <c r="I127" s="398"/>
    </row>
    <row r="128" spans="1:9" x14ac:dyDescent="0.2">
      <c r="A128" s="848" t="s">
        <v>2331</v>
      </c>
      <c r="B128" s="848"/>
      <c r="C128" s="848"/>
      <c r="I128" s="398"/>
    </row>
    <row r="129" spans="1:10" x14ac:dyDescent="0.2">
      <c r="A129" s="848" t="s">
        <v>2332</v>
      </c>
      <c r="B129" s="848"/>
      <c r="C129" s="848"/>
      <c r="I129" s="398"/>
    </row>
    <row r="130" spans="1:10" x14ac:dyDescent="0.2">
      <c r="A130" s="848" t="s">
        <v>2333</v>
      </c>
      <c r="B130" s="848"/>
      <c r="C130" s="848"/>
      <c r="I130" s="398"/>
    </row>
    <row r="131" spans="1:10" x14ac:dyDescent="0.2">
      <c r="I131" s="398"/>
    </row>
    <row r="132" spans="1:10" x14ac:dyDescent="0.2">
      <c r="J132" s="335"/>
    </row>
    <row r="133" spans="1:10" x14ac:dyDescent="0.2">
      <c r="J133" s="335"/>
    </row>
    <row r="134" spans="1:10" x14ac:dyDescent="0.2">
      <c r="J134" s="335"/>
    </row>
  </sheetData>
  <sheetProtection algorithmName="SHA-512" hashValue="ogYRVL/jZIi3ef4zttPtxrY61xdsEwCtCZHXUfCot74AnlLfQvZr6GEW8xH+g48JXB713oCXCbnJF7BEvxeDMw==" saltValue="B/OCaQuIeE5mqSHCWdqT/Q==" spinCount="100000" sheet="1" objects="1" scenarios="1"/>
  <mergeCells count="24">
    <mergeCell ref="C5:I5"/>
    <mergeCell ref="A1:B1"/>
    <mergeCell ref="C1:I1"/>
    <mergeCell ref="A2:B2"/>
    <mergeCell ref="C2:I2"/>
    <mergeCell ref="A3:I3"/>
    <mergeCell ref="C6:I6"/>
    <mergeCell ref="C7:I7"/>
    <mergeCell ref="A9:B9"/>
    <mergeCell ref="A10:A12"/>
    <mergeCell ref="B10:B12"/>
    <mergeCell ref="H10:H48"/>
    <mergeCell ref="A13:A14"/>
    <mergeCell ref="B13:B14"/>
    <mergeCell ref="C105:I105"/>
    <mergeCell ref="C106:I106"/>
    <mergeCell ref="A108:B108"/>
    <mergeCell ref="H108:H109"/>
    <mergeCell ref="C50:I50"/>
    <mergeCell ref="C51:I51"/>
    <mergeCell ref="A53:B53"/>
    <mergeCell ref="H54:H103"/>
    <mergeCell ref="A100:A103"/>
    <mergeCell ref="B100:B103"/>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25.pielikums Jūrmalas pilsētas domes
2018.gada 18.decembra saistošajiem noteikumiem Nr.44
(protokols Nr.17, 2.punkts)</oddHeader>
    <oddFooter xml:space="preserve">&amp;R&amp;"Times New Roman,Regular"&amp;8&amp;P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82"/>
  <sheetViews>
    <sheetView showGridLines="0" showRuler="0" view="pageLayout" zoomScaleNormal="100" workbookViewId="0">
      <selection activeCell="Q9" sqref="Q9"/>
    </sheetView>
  </sheetViews>
  <sheetFormatPr defaultRowHeight="12" x14ac:dyDescent="0.2"/>
  <cols>
    <col min="1" max="1" width="4.85546875" style="274" customWidth="1"/>
    <col min="2" max="2" width="28.28515625" style="274" customWidth="1"/>
    <col min="3" max="3" width="10.7109375" style="274" hidden="1" customWidth="1"/>
    <col min="4" max="4" width="9.5703125" style="274" hidden="1" customWidth="1"/>
    <col min="5" max="5" width="10.7109375" style="274" hidden="1" customWidth="1"/>
    <col min="6" max="6" width="9.5703125" style="274" hidden="1" customWidth="1"/>
    <col min="7" max="7" width="10.7109375" style="156" hidden="1" customWidth="1"/>
    <col min="8" max="8" width="9.5703125" style="274" hidden="1" customWidth="1"/>
    <col min="9" max="9" width="11.140625" style="274" customWidth="1"/>
    <col min="10" max="10" width="10.7109375" style="274" bestFit="1" customWidth="1"/>
    <col min="11" max="11" width="9.5703125" style="274" bestFit="1" customWidth="1"/>
    <col min="12" max="12" width="17.7109375" style="274" customWidth="1"/>
    <col min="13" max="13" width="17" style="535" hidden="1" customWidth="1"/>
    <col min="14" max="14" width="22.42578125" style="274" customWidth="1"/>
    <col min="15" max="16384" width="9.140625" style="274"/>
  </cols>
  <sheetData>
    <row r="1" spans="1:14" ht="12.75" customHeight="1" x14ac:dyDescent="0.2">
      <c r="A1" s="275" t="s">
        <v>438</v>
      </c>
      <c r="B1" s="480"/>
      <c r="C1" s="2083" t="s">
        <v>2334</v>
      </c>
      <c r="D1" s="2083"/>
      <c r="E1" s="2083"/>
      <c r="F1" s="2083"/>
      <c r="G1" s="2083"/>
      <c r="H1" s="2083"/>
      <c r="I1" s="2083"/>
      <c r="J1" s="2083"/>
      <c r="K1" s="2083"/>
      <c r="L1" s="2083"/>
      <c r="M1" s="2083"/>
    </row>
    <row r="2" spans="1:14" ht="12.75" customHeight="1" x14ac:dyDescent="0.2">
      <c r="A2" s="275" t="s">
        <v>524</v>
      </c>
      <c r="B2" s="480"/>
      <c r="C2" s="2083">
        <v>90009229680</v>
      </c>
      <c r="D2" s="2083"/>
      <c r="E2" s="2083"/>
      <c r="F2" s="2083"/>
      <c r="G2" s="2083"/>
      <c r="H2" s="2083"/>
      <c r="I2" s="2083"/>
      <c r="J2" s="2083"/>
      <c r="K2" s="2083"/>
      <c r="L2" s="2083"/>
      <c r="M2" s="2083"/>
    </row>
    <row r="3" spans="1:14" ht="15.75" x14ac:dyDescent="0.25">
      <c r="A3" s="2143" t="s">
        <v>3641</v>
      </c>
      <c r="B3" s="2143"/>
      <c r="C3" s="2143"/>
      <c r="D3" s="2143"/>
      <c r="E3" s="2143"/>
      <c r="F3" s="2143"/>
      <c r="G3" s="2143"/>
      <c r="H3" s="2143"/>
      <c r="I3" s="2143"/>
      <c r="J3" s="2143"/>
      <c r="K3" s="2143"/>
      <c r="L3" s="2143"/>
      <c r="M3" s="2143"/>
      <c r="N3" s="849"/>
    </row>
    <row r="4" spans="1:14" ht="15.75" x14ac:dyDescent="0.25">
      <c r="A4" s="850"/>
      <c r="B4" s="850"/>
      <c r="C4" s="850"/>
      <c r="D4" s="850"/>
      <c r="E4" s="850"/>
      <c r="F4" s="850"/>
      <c r="G4" s="851"/>
      <c r="H4" s="850"/>
      <c r="I4" s="850"/>
      <c r="J4" s="850"/>
      <c r="K4" s="850"/>
      <c r="L4" s="850"/>
      <c r="M4" s="852"/>
      <c r="N4" s="849"/>
    </row>
    <row r="5" spans="1:14" ht="12.75" customHeight="1" x14ac:dyDescent="0.25">
      <c r="A5" s="1771" t="s">
        <v>440</v>
      </c>
      <c r="B5" s="1771"/>
      <c r="C5" s="2087" t="s">
        <v>2334</v>
      </c>
      <c r="D5" s="2087"/>
      <c r="E5" s="2087"/>
      <c r="F5" s="2087"/>
      <c r="G5" s="2087"/>
      <c r="H5" s="2087"/>
      <c r="I5" s="2087"/>
      <c r="J5" s="2087"/>
      <c r="K5" s="2087"/>
      <c r="L5" s="2087"/>
      <c r="M5" s="2087"/>
    </row>
    <row r="6" spans="1:14" ht="12.75" customHeight="1" x14ac:dyDescent="0.2">
      <c r="A6" s="275" t="s">
        <v>129</v>
      </c>
      <c r="B6" s="275"/>
      <c r="C6" s="2083" t="s">
        <v>2335</v>
      </c>
      <c r="D6" s="2083"/>
      <c r="E6" s="2083"/>
      <c r="F6" s="2083"/>
      <c r="G6" s="2083"/>
      <c r="H6" s="2083"/>
      <c r="I6" s="2083"/>
      <c r="J6" s="2083"/>
      <c r="K6" s="2083"/>
      <c r="L6" s="2083"/>
      <c r="M6" s="2083"/>
    </row>
    <row r="7" spans="1:14" ht="12.75" customHeight="1" x14ac:dyDescent="0.2">
      <c r="A7" s="275" t="s">
        <v>131</v>
      </c>
      <c r="B7" s="275"/>
      <c r="C7" s="2144" t="s">
        <v>2093</v>
      </c>
      <c r="D7" s="2144"/>
      <c r="E7" s="2144"/>
      <c r="F7" s="2144"/>
      <c r="G7" s="2144"/>
      <c r="H7" s="2144"/>
      <c r="I7" s="2144"/>
      <c r="J7" s="2144"/>
      <c r="K7" s="2144"/>
      <c r="L7" s="2144"/>
      <c r="M7" s="2144"/>
    </row>
    <row r="8" spans="1:14" ht="27" customHeight="1" x14ac:dyDescent="0.2">
      <c r="A8" s="1760" t="s">
        <v>4</v>
      </c>
      <c r="B8" s="1760" t="s">
        <v>133</v>
      </c>
      <c r="C8" s="1760" t="s">
        <v>528</v>
      </c>
      <c r="D8" s="1760"/>
      <c r="E8" s="1760" t="s">
        <v>529</v>
      </c>
      <c r="F8" s="1760"/>
      <c r="G8" s="1760" t="s">
        <v>530</v>
      </c>
      <c r="H8" s="1760"/>
      <c r="I8" s="1760" t="s">
        <v>135</v>
      </c>
      <c r="J8" s="1760" t="s">
        <v>3472</v>
      </c>
      <c r="K8" s="1760"/>
      <c r="L8" s="1760" t="s">
        <v>14</v>
      </c>
      <c r="M8" s="1760" t="s">
        <v>137</v>
      </c>
    </row>
    <row r="9" spans="1:14" ht="24" x14ac:dyDescent="0.2">
      <c r="A9" s="1760"/>
      <c r="B9" s="1760"/>
      <c r="C9" s="426" t="s">
        <v>531</v>
      </c>
      <c r="D9" s="426" t="s">
        <v>532</v>
      </c>
      <c r="E9" s="426" t="s">
        <v>531</v>
      </c>
      <c r="F9" s="426" t="s">
        <v>532</v>
      </c>
      <c r="G9" s="161" t="s">
        <v>531</v>
      </c>
      <c r="H9" s="426" t="s">
        <v>532</v>
      </c>
      <c r="I9" s="1760"/>
      <c r="J9" s="426" t="s">
        <v>531</v>
      </c>
      <c r="K9" s="426" t="s">
        <v>532</v>
      </c>
      <c r="L9" s="1760"/>
      <c r="M9" s="1760"/>
    </row>
    <row r="10" spans="1:14" s="145" customFormat="1" x14ac:dyDescent="0.2">
      <c r="A10" s="2140" t="s">
        <v>533</v>
      </c>
      <c r="B10" s="2140"/>
      <c r="C10" s="853">
        <f t="shared" ref="C10:H10" si="0">SUM(C11,C18,C27,C54,C151,C86,C133,C189,C241,C271)</f>
        <v>509586</v>
      </c>
      <c r="D10" s="853">
        <f t="shared" si="0"/>
        <v>25249</v>
      </c>
      <c r="E10" s="853">
        <f t="shared" si="0"/>
        <v>507744.79000000004</v>
      </c>
      <c r="F10" s="853">
        <f t="shared" si="0"/>
        <v>21398</v>
      </c>
      <c r="G10" s="854">
        <f t="shared" si="0"/>
        <v>572499</v>
      </c>
      <c r="H10" s="853">
        <f t="shared" si="0"/>
        <v>24900</v>
      </c>
      <c r="I10" s="853"/>
      <c r="J10" s="853">
        <f>SUM(J11,J18,J27,J54,J151,J86,J133,J189,J241,J271)</f>
        <v>440398</v>
      </c>
      <c r="K10" s="853">
        <f>SUM(K11,K18,K27,K54,K151,K86,K133,K189,K241,K271)</f>
        <v>23730</v>
      </c>
      <c r="L10" s="853"/>
      <c r="M10" s="855"/>
    </row>
    <row r="11" spans="1:14" s="145" customFormat="1" ht="12.75" customHeight="1" x14ac:dyDescent="0.2">
      <c r="A11" s="1627">
        <v>1</v>
      </c>
      <c r="B11" s="2141" t="s">
        <v>2336</v>
      </c>
      <c r="C11" s="856">
        <f>SUM(C12:C17)</f>
        <v>40920</v>
      </c>
      <c r="D11" s="856">
        <f t="shared" ref="D11:H11" si="1">SUM(D12:D17)</f>
        <v>0</v>
      </c>
      <c r="E11" s="857">
        <f t="shared" si="1"/>
        <v>40920</v>
      </c>
      <c r="F11" s="856">
        <f t="shared" si="1"/>
        <v>0</v>
      </c>
      <c r="G11" s="857">
        <f>SUM(G12:G17)</f>
        <v>40920</v>
      </c>
      <c r="H11" s="856">
        <f t="shared" si="1"/>
        <v>0</v>
      </c>
      <c r="I11" s="858"/>
      <c r="J11" s="856">
        <f>SUM(J12:J17)</f>
        <v>45703</v>
      </c>
      <c r="K11" s="856">
        <f>SUM(K12:K17)</f>
        <v>0</v>
      </c>
      <c r="L11" s="2126" t="s">
        <v>2337</v>
      </c>
      <c r="M11" s="2142" t="s">
        <v>2338</v>
      </c>
    </row>
    <row r="12" spans="1:14" s="145" customFormat="1" ht="12" customHeight="1" x14ac:dyDescent="0.2">
      <c r="A12" s="1627"/>
      <c r="B12" s="2141"/>
      <c r="C12" s="859">
        <v>10000</v>
      </c>
      <c r="D12" s="860"/>
      <c r="E12" s="859">
        <v>10000</v>
      </c>
      <c r="F12" s="860"/>
      <c r="G12" s="861">
        <v>10000</v>
      </c>
      <c r="H12" s="860"/>
      <c r="I12" s="858">
        <v>1150</v>
      </c>
      <c r="J12" s="859">
        <v>8000</v>
      </c>
      <c r="K12" s="860"/>
      <c r="L12" s="2126"/>
      <c r="M12" s="2142"/>
    </row>
    <row r="13" spans="1:14" s="145" customFormat="1" ht="12" customHeight="1" x14ac:dyDescent="0.2">
      <c r="A13" s="1627"/>
      <c r="B13" s="2141"/>
      <c r="C13" s="859">
        <v>500</v>
      </c>
      <c r="D13" s="860"/>
      <c r="E13" s="859">
        <v>500</v>
      </c>
      <c r="F13" s="860"/>
      <c r="G13" s="861">
        <v>500</v>
      </c>
      <c r="H13" s="860"/>
      <c r="I13" s="858">
        <v>1210</v>
      </c>
      <c r="J13" s="859">
        <v>400</v>
      </c>
      <c r="K13" s="860"/>
      <c r="L13" s="2126"/>
      <c r="M13" s="2142"/>
    </row>
    <row r="14" spans="1:14" s="145" customFormat="1" ht="12" customHeight="1" x14ac:dyDescent="0.2">
      <c r="A14" s="1627"/>
      <c r="B14" s="2141"/>
      <c r="C14" s="859">
        <v>310</v>
      </c>
      <c r="D14" s="860"/>
      <c r="E14" s="859">
        <v>310</v>
      </c>
      <c r="F14" s="860"/>
      <c r="G14" s="861">
        <v>310</v>
      </c>
      <c r="H14" s="860"/>
      <c r="I14" s="858">
        <v>2262</v>
      </c>
      <c r="J14" s="859">
        <v>310</v>
      </c>
      <c r="K14" s="860"/>
      <c r="L14" s="2126"/>
      <c r="M14" s="2142"/>
    </row>
    <row r="15" spans="1:14" s="145" customFormat="1" ht="12" customHeight="1" x14ac:dyDescent="0.2">
      <c r="A15" s="1627"/>
      <c r="B15" s="2141"/>
      <c r="C15" s="859">
        <v>18000</v>
      </c>
      <c r="D15" s="860"/>
      <c r="E15" s="859">
        <v>18000</v>
      </c>
      <c r="F15" s="860"/>
      <c r="G15" s="861">
        <v>18000</v>
      </c>
      <c r="H15" s="860"/>
      <c r="I15" s="858">
        <v>2264</v>
      </c>
      <c r="J15" s="859">
        <f>16497+2578</f>
        <v>19075</v>
      </c>
      <c r="K15" s="860"/>
      <c r="L15" s="2126"/>
      <c r="M15" s="2142"/>
    </row>
    <row r="16" spans="1:14" s="145" customFormat="1" ht="12" customHeight="1" x14ac:dyDescent="0.2">
      <c r="A16" s="1627"/>
      <c r="B16" s="2141"/>
      <c r="C16" s="859">
        <v>8215</v>
      </c>
      <c r="D16" s="860"/>
      <c r="E16" s="859">
        <v>8215</v>
      </c>
      <c r="F16" s="860"/>
      <c r="G16" s="861">
        <v>8215</v>
      </c>
      <c r="H16" s="860"/>
      <c r="I16" s="858">
        <v>2279</v>
      </c>
      <c r="J16" s="859">
        <f>8215+5808</f>
        <v>14023</v>
      </c>
      <c r="K16" s="860"/>
      <c r="L16" s="2126"/>
      <c r="M16" s="2142"/>
    </row>
    <row r="17" spans="1:13" s="145" customFormat="1" ht="12" customHeight="1" x14ac:dyDescent="0.2">
      <c r="A17" s="1627"/>
      <c r="B17" s="2141"/>
      <c r="C17" s="859">
        <v>3895</v>
      </c>
      <c r="D17" s="860"/>
      <c r="E17" s="859">
        <v>3895</v>
      </c>
      <c r="F17" s="860"/>
      <c r="G17" s="861">
        <v>3895</v>
      </c>
      <c r="H17" s="860"/>
      <c r="I17" s="858">
        <v>2314</v>
      </c>
      <c r="J17" s="859">
        <v>3895</v>
      </c>
      <c r="K17" s="860"/>
      <c r="L17" s="2126"/>
      <c r="M17" s="2142"/>
    </row>
    <row r="18" spans="1:13" s="145" customFormat="1" x14ac:dyDescent="0.2">
      <c r="A18" s="1627">
        <v>2</v>
      </c>
      <c r="B18" s="2141" t="s">
        <v>2339</v>
      </c>
      <c r="C18" s="856">
        <f>SUM(C19:C26)</f>
        <v>107179</v>
      </c>
      <c r="D18" s="856">
        <f t="shared" ref="D18:K18" si="2">SUM(D19:D26)</f>
        <v>0</v>
      </c>
      <c r="E18" s="857">
        <f t="shared" si="2"/>
        <v>107179</v>
      </c>
      <c r="F18" s="856">
        <f t="shared" si="2"/>
        <v>0</v>
      </c>
      <c r="G18" s="857">
        <f t="shared" si="2"/>
        <v>107179</v>
      </c>
      <c r="H18" s="856">
        <f t="shared" si="2"/>
        <v>0</v>
      </c>
      <c r="I18" s="858"/>
      <c r="J18" s="856">
        <f>SUM(J19:J26)</f>
        <v>56097</v>
      </c>
      <c r="K18" s="856">
        <f t="shared" si="2"/>
        <v>0</v>
      </c>
      <c r="L18" s="2126" t="s">
        <v>2340</v>
      </c>
      <c r="M18" s="2142" t="s">
        <v>2341</v>
      </c>
    </row>
    <row r="19" spans="1:13" s="145" customFormat="1" ht="12" customHeight="1" x14ac:dyDescent="0.2">
      <c r="A19" s="1627"/>
      <c r="B19" s="2141"/>
      <c r="C19" s="859">
        <v>16190</v>
      </c>
      <c r="D19" s="860"/>
      <c r="E19" s="859">
        <v>16190</v>
      </c>
      <c r="F19" s="860"/>
      <c r="G19" s="861">
        <v>15000</v>
      </c>
      <c r="H19" s="860"/>
      <c r="I19" s="858">
        <v>1150</v>
      </c>
      <c r="J19" s="859">
        <f>15000-8176</f>
        <v>6824</v>
      </c>
      <c r="K19" s="860"/>
      <c r="L19" s="2126"/>
      <c r="M19" s="2142"/>
    </row>
    <row r="20" spans="1:13" s="145" customFormat="1" ht="12" customHeight="1" x14ac:dyDescent="0.2">
      <c r="A20" s="1627"/>
      <c r="B20" s="2141"/>
      <c r="C20" s="859">
        <v>810</v>
      </c>
      <c r="D20" s="860"/>
      <c r="E20" s="859">
        <v>810</v>
      </c>
      <c r="F20" s="860"/>
      <c r="G20" s="861">
        <v>750</v>
      </c>
      <c r="H20" s="860"/>
      <c r="I20" s="858">
        <v>1210</v>
      </c>
      <c r="J20" s="859">
        <f>750-409</f>
        <v>341</v>
      </c>
      <c r="K20" s="860"/>
      <c r="L20" s="2126"/>
      <c r="M20" s="2142"/>
    </row>
    <row r="21" spans="1:13" s="145" customFormat="1" ht="12" customHeight="1" x14ac:dyDescent="0.2">
      <c r="A21" s="1627"/>
      <c r="B21" s="2141"/>
      <c r="C21" s="859">
        <v>600</v>
      </c>
      <c r="D21" s="860"/>
      <c r="E21" s="859">
        <v>600</v>
      </c>
      <c r="F21" s="860"/>
      <c r="G21" s="861">
        <v>600</v>
      </c>
      <c r="H21" s="860"/>
      <c r="I21" s="858">
        <v>2231</v>
      </c>
      <c r="J21" s="859">
        <v>600</v>
      </c>
      <c r="K21" s="860"/>
      <c r="L21" s="2126"/>
      <c r="M21" s="2142"/>
    </row>
    <row r="22" spans="1:13" s="145" customFormat="1" ht="12" customHeight="1" x14ac:dyDescent="0.2">
      <c r="A22" s="1627"/>
      <c r="B22" s="2141"/>
      <c r="C22" s="859">
        <v>1180</v>
      </c>
      <c r="D22" s="860"/>
      <c r="E22" s="859">
        <v>1180</v>
      </c>
      <c r="F22" s="860"/>
      <c r="G22" s="861">
        <v>1180</v>
      </c>
      <c r="H22" s="860"/>
      <c r="I22" s="858">
        <v>2262</v>
      </c>
      <c r="J22" s="859">
        <v>1180</v>
      </c>
      <c r="K22" s="860"/>
      <c r="L22" s="2126"/>
      <c r="M22" s="2142"/>
    </row>
    <row r="23" spans="1:13" s="145" customFormat="1" ht="12" customHeight="1" x14ac:dyDescent="0.2">
      <c r="A23" s="1627"/>
      <c r="B23" s="2141"/>
      <c r="C23" s="859">
        <v>52345</v>
      </c>
      <c r="D23" s="860"/>
      <c r="E23" s="859">
        <v>52345</v>
      </c>
      <c r="F23" s="860"/>
      <c r="G23" s="861">
        <v>50345</v>
      </c>
      <c r="H23" s="860"/>
      <c r="I23" s="858">
        <v>2264</v>
      </c>
      <c r="J23" s="859">
        <f>50345-20000-5497</f>
        <v>24848</v>
      </c>
      <c r="K23" s="860"/>
      <c r="L23" s="2126"/>
      <c r="M23" s="2142"/>
    </row>
    <row r="24" spans="1:13" s="145" customFormat="1" ht="12" customHeight="1" x14ac:dyDescent="0.2">
      <c r="A24" s="1627"/>
      <c r="B24" s="2141"/>
      <c r="C24" s="859">
        <v>930</v>
      </c>
      <c r="D24" s="860"/>
      <c r="E24" s="859">
        <v>930</v>
      </c>
      <c r="F24" s="860"/>
      <c r="G24" s="861">
        <v>300</v>
      </c>
      <c r="H24" s="860"/>
      <c r="I24" s="858">
        <v>2269</v>
      </c>
      <c r="J24" s="859">
        <v>300</v>
      </c>
      <c r="K24" s="860"/>
      <c r="L24" s="2126"/>
      <c r="M24" s="2142"/>
    </row>
    <row r="25" spans="1:13" s="145" customFormat="1" ht="12" customHeight="1" x14ac:dyDescent="0.2">
      <c r="A25" s="1627"/>
      <c r="B25" s="2141"/>
      <c r="C25" s="859">
        <v>29967</v>
      </c>
      <c r="D25" s="860"/>
      <c r="E25" s="859">
        <v>29967</v>
      </c>
      <c r="F25" s="860"/>
      <c r="G25" s="861">
        <v>33847</v>
      </c>
      <c r="H25" s="860"/>
      <c r="I25" s="858">
        <v>2279</v>
      </c>
      <c r="J25" s="859">
        <f>33847-15000</f>
        <v>18847</v>
      </c>
      <c r="K25" s="860"/>
      <c r="L25" s="2126"/>
      <c r="M25" s="2142"/>
    </row>
    <row r="26" spans="1:13" s="145" customFormat="1" ht="12" customHeight="1" x14ac:dyDescent="0.2">
      <c r="A26" s="1627"/>
      <c r="B26" s="2141"/>
      <c r="C26" s="859">
        <v>5157</v>
      </c>
      <c r="D26" s="860"/>
      <c r="E26" s="859">
        <v>5157</v>
      </c>
      <c r="F26" s="860"/>
      <c r="G26" s="861">
        <v>5157</v>
      </c>
      <c r="H26" s="860"/>
      <c r="I26" s="858">
        <v>2314</v>
      </c>
      <c r="J26" s="859">
        <f>5157-2000</f>
        <v>3157</v>
      </c>
      <c r="K26" s="860"/>
      <c r="L26" s="2126"/>
      <c r="M26" s="2142"/>
    </row>
    <row r="27" spans="1:13" s="145" customFormat="1" ht="15" customHeight="1" x14ac:dyDescent="0.2">
      <c r="A27" s="862">
        <v>3</v>
      </c>
      <c r="B27" s="863" t="s">
        <v>2342</v>
      </c>
      <c r="C27" s="860">
        <f>SUM(C28,C34,C40,C47)</f>
        <v>136371</v>
      </c>
      <c r="D27" s="860">
        <f t="shared" ref="D27:H27" si="3">SUM(D28,D34,D40,D47)</f>
        <v>0</v>
      </c>
      <c r="E27" s="50">
        <f t="shared" si="3"/>
        <v>136286</v>
      </c>
      <c r="F27" s="860">
        <f t="shared" si="3"/>
        <v>0</v>
      </c>
      <c r="G27" s="50">
        <f t="shared" si="3"/>
        <v>136356</v>
      </c>
      <c r="H27" s="860">
        <f t="shared" si="3"/>
        <v>0</v>
      </c>
      <c r="I27" s="858"/>
      <c r="J27" s="860">
        <f>SUM(J28,J34,J40,J47)</f>
        <v>85685</v>
      </c>
      <c r="K27" s="860">
        <f>SUM(K28,K34,K40,K47)</f>
        <v>0</v>
      </c>
      <c r="L27" s="858"/>
      <c r="M27" s="855"/>
    </row>
    <row r="28" spans="1:13" s="145" customFormat="1" x14ac:dyDescent="0.2">
      <c r="A28" s="1629" t="s">
        <v>1279</v>
      </c>
      <c r="B28" s="1617" t="s">
        <v>2343</v>
      </c>
      <c r="C28" s="860">
        <f>SUM(C29:C33)</f>
        <v>4800</v>
      </c>
      <c r="D28" s="860">
        <f t="shared" ref="D28:K28" si="4">SUM(D29:D33)</f>
        <v>0</v>
      </c>
      <c r="E28" s="50">
        <f t="shared" si="4"/>
        <v>4746</v>
      </c>
      <c r="F28" s="860">
        <f t="shared" si="4"/>
        <v>0</v>
      </c>
      <c r="G28" s="50">
        <f t="shared" si="4"/>
        <v>4795</v>
      </c>
      <c r="H28" s="860">
        <f t="shared" si="4"/>
        <v>0</v>
      </c>
      <c r="I28" s="858"/>
      <c r="J28" s="860">
        <f>SUM(J29:J33)</f>
        <v>4795</v>
      </c>
      <c r="K28" s="860">
        <f t="shared" si="4"/>
        <v>0</v>
      </c>
      <c r="L28" s="2126" t="s">
        <v>2344</v>
      </c>
      <c r="M28" s="2133" t="s">
        <v>2345</v>
      </c>
    </row>
    <row r="29" spans="1:13" s="145" customFormat="1" ht="12.75" customHeight="1" x14ac:dyDescent="0.2">
      <c r="A29" s="1629"/>
      <c r="B29" s="1617"/>
      <c r="C29" s="859">
        <v>889</v>
      </c>
      <c r="D29" s="860"/>
      <c r="E29" s="859">
        <v>889</v>
      </c>
      <c r="F29" s="860"/>
      <c r="G29" s="861">
        <v>900</v>
      </c>
      <c r="H29" s="860"/>
      <c r="I29" s="858">
        <v>1150</v>
      </c>
      <c r="J29" s="859">
        <v>900</v>
      </c>
      <c r="K29" s="860"/>
      <c r="L29" s="2126"/>
      <c r="M29" s="2133"/>
    </row>
    <row r="30" spans="1:13" s="145" customFormat="1" ht="12.75" customHeight="1" x14ac:dyDescent="0.2">
      <c r="A30" s="1629"/>
      <c r="B30" s="1617"/>
      <c r="C30" s="859">
        <v>45</v>
      </c>
      <c r="D30" s="860"/>
      <c r="E30" s="859">
        <v>45</v>
      </c>
      <c r="F30" s="860"/>
      <c r="G30" s="861">
        <v>45</v>
      </c>
      <c r="H30" s="860"/>
      <c r="I30" s="858">
        <v>1210</v>
      </c>
      <c r="J30" s="859">
        <v>45</v>
      </c>
      <c r="K30" s="860"/>
      <c r="L30" s="2126"/>
      <c r="M30" s="2133"/>
    </row>
    <row r="31" spans="1:13" s="145" customFormat="1" ht="12.75" customHeight="1" x14ac:dyDescent="0.2">
      <c r="A31" s="1629"/>
      <c r="B31" s="1617"/>
      <c r="C31" s="859">
        <v>3297</v>
      </c>
      <c r="D31" s="860"/>
      <c r="E31" s="859">
        <v>3297</v>
      </c>
      <c r="F31" s="860"/>
      <c r="G31" s="861">
        <v>3300</v>
      </c>
      <c r="H31" s="860"/>
      <c r="I31" s="858">
        <v>2264</v>
      </c>
      <c r="J31" s="859">
        <v>3300</v>
      </c>
      <c r="K31" s="860"/>
      <c r="L31" s="2126"/>
      <c r="M31" s="2133"/>
    </row>
    <row r="32" spans="1:13" s="145" customFormat="1" ht="12.75" customHeight="1" x14ac:dyDescent="0.2">
      <c r="A32" s="1629"/>
      <c r="B32" s="1617"/>
      <c r="C32" s="859">
        <v>303</v>
      </c>
      <c r="D32" s="860"/>
      <c r="E32" s="859">
        <v>303</v>
      </c>
      <c r="F32" s="860"/>
      <c r="G32" s="861">
        <v>300</v>
      </c>
      <c r="H32" s="860"/>
      <c r="I32" s="858">
        <v>2279</v>
      </c>
      <c r="J32" s="859">
        <v>300</v>
      </c>
      <c r="K32" s="860"/>
      <c r="L32" s="2126"/>
      <c r="M32" s="2133"/>
    </row>
    <row r="33" spans="1:13" s="145" customFormat="1" ht="12.75" customHeight="1" x14ac:dyDescent="0.2">
      <c r="A33" s="1629"/>
      <c r="B33" s="1617"/>
      <c r="C33" s="859">
        <v>266</v>
      </c>
      <c r="D33" s="860"/>
      <c r="E33" s="859">
        <v>212</v>
      </c>
      <c r="F33" s="860"/>
      <c r="G33" s="861">
        <v>250</v>
      </c>
      <c r="H33" s="860"/>
      <c r="I33" s="858">
        <v>2314</v>
      </c>
      <c r="J33" s="859">
        <v>250</v>
      </c>
      <c r="K33" s="860"/>
      <c r="L33" s="2126"/>
      <c r="M33" s="2133"/>
    </row>
    <row r="34" spans="1:13" s="145" customFormat="1" ht="24" hidden="1" customHeight="1" x14ac:dyDescent="0.2">
      <c r="A34" s="1629" t="s">
        <v>1284</v>
      </c>
      <c r="B34" s="1617" t="s">
        <v>2346</v>
      </c>
      <c r="C34" s="860">
        <f>SUM(C35:C39)</f>
        <v>50671</v>
      </c>
      <c r="D34" s="860">
        <f t="shared" ref="D34:H34" si="5">SUM(D35:D39)</f>
        <v>0</v>
      </c>
      <c r="E34" s="50">
        <f t="shared" si="5"/>
        <v>50650</v>
      </c>
      <c r="F34" s="860">
        <f t="shared" si="5"/>
        <v>0</v>
      </c>
      <c r="G34" s="50">
        <f t="shared" si="5"/>
        <v>50671</v>
      </c>
      <c r="H34" s="860">
        <f t="shared" si="5"/>
        <v>0</v>
      </c>
      <c r="I34" s="858"/>
      <c r="J34" s="860">
        <f>SUM(J35:J39)</f>
        <v>0</v>
      </c>
      <c r="K34" s="860">
        <f>SUM(K35:K39)</f>
        <v>0</v>
      </c>
      <c r="L34" s="2126" t="s">
        <v>2347</v>
      </c>
      <c r="M34" s="2131" t="s">
        <v>2348</v>
      </c>
    </row>
    <row r="35" spans="1:13" s="145" customFormat="1" ht="12.75" hidden="1" customHeight="1" x14ac:dyDescent="0.2">
      <c r="A35" s="1629"/>
      <c r="B35" s="1617"/>
      <c r="C35" s="859">
        <v>6487</v>
      </c>
      <c r="D35" s="860"/>
      <c r="E35" s="861">
        <v>6487</v>
      </c>
      <c r="F35" s="859"/>
      <c r="G35" s="861">
        <v>6487</v>
      </c>
      <c r="H35" s="860"/>
      <c r="I35" s="858">
        <v>1150</v>
      </c>
      <c r="J35" s="859">
        <v>0</v>
      </c>
      <c r="K35" s="860"/>
      <c r="L35" s="2126"/>
      <c r="M35" s="2131"/>
    </row>
    <row r="36" spans="1:13" s="145" customFormat="1" ht="12.75" hidden="1" customHeight="1" x14ac:dyDescent="0.2">
      <c r="A36" s="1629"/>
      <c r="B36" s="1617"/>
      <c r="C36" s="859">
        <v>325</v>
      </c>
      <c r="D36" s="859"/>
      <c r="E36" s="861">
        <v>325</v>
      </c>
      <c r="F36" s="859"/>
      <c r="G36" s="861">
        <v>325</v>
      </c>
      <c r="H36" s="860"/>
      <c r="I36" s="858">
        <v>1210</v>
      </c>
      <c r="J36" s="859">
        <v>0</v>
      </c>
      <c r="K36" s="860"/>
      <c r="L36" s="2126"/>
      <c r="M36" s="2131"/>
    </row>
    <row r="37" spans="1:13" s="145" customFormat="1" ht="12.75" hidden="1" customHeight="1" x14ac:dyDescent="0.2">
      <c r="A37" s="1629"/>
      <c r="B37" s="1617"/>
      <c r="C37" s="859">
        <v>22862</v>
      </c>
      <c r="D37" s="860"/>
      <c r="E37" s="861">
        <v>22856</v>
      </c>
      <c r="F37" s="859"/>
      <c r="G37" s="861">
        <v>22862</v>
      </c>
      <c r="H37" s="860"/>
      <c r="I37" s="858">
        <v>2264</v>
      </c>
      <c r="J37" s="859">
        <v>0</v>
      </c>
      <c r="K37" s="860"/>
      <c r="L37" s="2126"/>
      <c r="M37" s="2131"/>
    </row>
    <row r="38" spans="1:13" s="145" customFormat="1" ht="12.75" hidden="1" customHeight="1" x14ac:dyDescent="0.2">
      <c r="A38" s="1629"/>
      <c r="B38" s="1617"/>
      <c r="C38" s="859">
        <v>20828</v>
      </c>
      <c r="D38" s="860"/>
      <c r="E38" s="861">
        <v>20813</v>
      </c>
      <c r="F38" s="859"/>
      <c r="G38" s="861">
        <v>20828</v>
      </c>
      <c r="H38" s="860"/>
      <c r="I38" s="858">
        <v>2279</v>
      </c>
      <c r="J38" s="859">
        <v>0</v>
      </c>
      <c r="K38" s="860"/>
      <c r="L38" s="2126"/>
      <c r="M38" s="2131"/>
    </row>
    <row r="39" spans="1:13" s="145" customFormat="1" ht="12.75" hidden="1" customHeight="1" x14ac:dyDescent="0.2">
      <c r="A39" s="1629"/>
      <c r="B39" s="1617"/>
      <c r="C39" s="859">
        <v>169</v>
      </c>
      <c r="D39" s="860"/>
      <c r="E39" s="861">
        <v>169</v>
      </c>
      <c r="F39" s="859"/>
      <c r="G39" s="861">
        <v>169</v>
      </c>
      <c r="H39" s="860"/>
      <c r="I39" s="858">
        <v>2314</v>
      </c>
      <c r="J39" s="859">
        <v>0</v>
      </c>
      <c r="K39" s="860"/>
      <c r="L39" s="2126"/>
      <c r="M39" s="2131"/>
    </row>
    <row r="40" spans="1:13" s="145" customFormat="1" x14ac:dyDescent="0.2">
      <c r="A40" s="1629" t="s">
        <v>1284</v>
      </c>
      <c r="B40" s="1617" t="s">
        <v>2349</v>
      </c>
      <c r="C40" s="860">
        <f>SUM(C41:C46)</f>
        <v>68900</v>
      </c>
      <c r="D40" s="860">
        <f t="shared" ref="D40:H40" si="6">SUM(D41:D46)</f>
        <v>0</v>
      </c>
      <c r="E40" s="50">
        <f t="shared" si="6"/>
        <v>68890</v>
      </c>
      <c r="F40" s="860">
        <f t="shared" si="6"/>
        <v>0</v>
      </c>
      <c r="G40" s="50">
        <f t="shared" si="6"/>
        <v>68890</v>
      </c>
      <c r="H40" s="860">
        <f t="shared" si="6"/>
        <v>0</v>
      </c>
      <c r="I40" s="858"/>
      <c r="J40" s="860">
        <f>SUM(J41:J46)</f>
        <v>68890</v>
      </c>
      <c r="K40" s="860">
        <f>SUM(K41:K46)</f>
        <v>0</v>
      </c>
      <c r="L40" s="2126" t="s">
        <v>2350</v>
      </c>
      <c r="M40" s="2133" t="s">
        <v>2351</v>
      </c>
    </row>
    <row r="41" spans="1:13" s="145" customFormat="1" x14ac:dyDescent="0.2">
      <c r="A41" s="1629"/>
      <c r="B41" s="1617"/>
      <c r="C41" s="859">
        <v>13520</v>
      </c>
      <c r="D41" s="860"/>
      <c r="E41" s="861">
        <v>13520</v>
      </c>
      <c r="F41" s="860"/>
      <c r="G41" s="861">
        <v>13520</v>
      </c>
      <c r="H41" s="860"/>
      <c r="I41" s="858">
        <v>1150</v>
      </c>
      <c r="J41" s="859">
        <v>13520</v>
      </c>
      <c r="K41" s="860"/>
      <c r="L41" s="2126"/>
      <c r="M41" s="2133"/>
    </row>
    <row r="42" spans="1:13" s="145" customFormat="1" x14ac:dyDescent="0.2">
      <c r="A42" s="1629"/>
      <c r="B42" s="1617"/>
      <c r="C42" s="859">
        <v>676</v>
      </c>
      <c r="D42" s="860"/>
      <c r="E42" s="861">
        <v>676</v>
      </c>
      <c r="F42" s="860"/>
      <c r="G42" s="861">
        <v>676</v>
      </c>
      <c r="H42" s="860"/>
      <c r="I42" s="858">
        <v>1210</v>
      </c>
      <c r="J42" s="859">
        <v>676</v>
      </c>
      <c r="K42" s="860"/>
      <c r="L42" s="2126"/>
      <c r="M42" s="2133"/>
    </row>
    <row r="43" spans="1:13" s="145" customFormat="1" x14ac:dyDescent="0.2">
      <c r="A43" s="1629"/>
      <c r="B43" s="1617"/>
      <c r="C43" s="859">
        <v>27478</v>
      </c>
      <c r="D43" s="860"/>
      <c r="E43" s="861">
        <v>27478</v>
      </c>
      <c r="F43" s="860"/>
      <c r="G43" s="861">
        <v>27478</v>
      </c>
      <c r="H43" s="860"/>
      <c r="I43" s="858">
        <v>2264</v>
      </c>
      <c r="J43" s="859">
        <v>27478</v>
      </c>
      <c r="K43" s="860"/>
      <c r="L43" s="2126"/>
      <c r="M43" s="2133"/>
    </row>
    <row r="44" spans="1:13" s="145" customFormat="1" x14ac:dyDescent="0.2">
      <c r="A44" s="1629"/>
      <c r="B44" s="1617"/>
      <c r="C44" s="859">
        <v>23766</v>
      </c>
      <c r="D44" s="860"/>
      <c r="E44" s="861">
        <v>23756</v>
      </c>
      <c r="F44" s="860"/>
      <c r="G44" s="861">
        <v>23756</v>
      </c>
      <c r="H44" s="860"/>
      <c r="I44" s="858">
        <v>2279</v>
      </c>
      <c r="J44" s="859">
        <v>23756</v>
      </c>
      <c r="K44" s="860"/>
      <c r="L44" s="2126"/>
      <c r="M44" s="2133"/>
    </row>
    <row r="45" spans="1:13" s="145" customFormat="1" x14ac:dyDescent="0.2">
      <c r="A45" s="1629"/>
      <c r="B45" s="1617"/>
      <c r="C45" s="859">
        <v>16</v>
      </c>
      <c r="D45" s="860"/>
      <c r="E45" s="861">
        <v>16</v>
      </c>
      <c r="F45" s="860"/>
      <c r="G45" s="861">
        <v>16</v>
      </c>
      <c r="H45" s="860"/>
      <c r="I45" s="858">
        <v>2312</v>
      </c>
      <c r="J45" s="859">
        <v>16</v>
      </c>
      <c r="K45" s="860"/>
      <c r="L45" s="2126"/>
      <c r="M45" s="2133"/>
    </row>
    <row r="46" spans="1:13" s="145" customFormat="1" x14ac:dyDescent="0.2">
      <c r="A46" s="1629"/>
      <c r="B46" s="1617"/>
      <c r="C46" s="859">
        <v>3444</v>
      </c>
      <c r="D46" s="860"/>
      <c r="E46" s="861">
        <v>3444</v>
      </c>
      <c r="F46" s="860"/>
      <c r="G46" s="861">
        <v>3444</v>
      </c>
      <c r="H46" s="860"/>
      <c r="I46" s="858">
        <v>2314</v>
      </c>
      <c r="J46" s="859">
        <v>3444</v>
      </c>
      <c r="K46" s="860"/>
      <c r="L46" s="2126"/>
      <c r="M46" s="2133"/>
    </row>
    <row r="47" spans="1:13" s="145" customFormat="1" x14ac:dyDescent="0.2">
      <c r="A47" s="1629" t="s">
        <v>1288</v>
      </c>
      <c r="B47" s="2123" t="s">
        <v>2352</v>
      </c>
      <c r="C47" s="50">
        <f>SUM(C48:C53)</f>
        <v>12000</v>
      </c>
      <c r="D47" s="860">
        <f t="shared" ref="D47:K47" si="7">SUM(D48:D53)</f>
        <v>0</v>
      </c>
      <c r="E47" s="50">
        <f t="shared" si="7"/>
        <v>12000</v>
      </c>
      <c r="F47" s="860">
        <f t="shared" si="7"/>
        <v>0</v>
      </c>
      <c r="G47" s="50">
        <f t="shared" si="7"/>
        <v>12000</v>
      </c>
      <c r="H47" s="860">
        <f t="shared" si="7"/>
        <v>0</v>
      </c>
      <c r="I47" s="858"/>
      <c r="J47" s="860">
        <f>SUM(J48:J53)</f>
        <v>12000</v>
      </c>
      <c r="K47" s="860">
        <f t="shared" si="7"/>
        <v>0</v>
      </c>
      <c r="L47" s="2137" t="s">
        <v>2353</v>
      </c>
      <c r="M47" s="2133" t="s">
        <v>2354</v>
      </c>
    </row>
    <row r="48" spans="1:13" s="145" customFormat="1" ht="12.75" customHeight="1" x14ac:dyDescent="0.2">
      <c r="A48" s="1629"/>
      <c r="B48" s="2123"/>
      <c r="C48" s="859">
        <v>1142</v>
      </c>
      <c r="D48" s="860"/>
      <c r="E48" s="861">
        <v>1142</v>
      </c>
      <c r="F48" s="860"/>
      <c r="G48" s="861">
        <v>1142</v>
      </c>
      <c r="H48" s="860"/>
      <c r="I48" s="858">
        <v>1150</v>
      </c>
      <c r="J48" s="859">
        <v>1142</v>
      </c>
      <c r="K48" s="860"/>
      <c r="L48" s="2137"/>
      <c r="M48" s="2133"/>
    </row>
    <row r="49" spans="1:13" s="145" customFormat="1" ht="12.75" customHeight="1" x14ac:dyDescent="0.2">
      <c r="A49" s="1629"/>
      <c r="B49" s="2123"/>
      <c r="C49" s="859">
        <v>58</v>
      </c>
      <c r="D49" s="860"/>
      <c r="E49" s="861">
        <v>58</v>
      </c>
      <c r="F49" s="860"/>
      <c r="G49" s="861">
        <v>58</v>
      </c>
      <c r="H49" s="860"/>
      <c r="I49" s="858">
        <v>1210</v>
      </c>
      <c r="J49" s="859">
        <v>58</v>
      </c>
      <c r="K49" s="860"/>
      <c r="L49" s="2137"/>
      <c r="M49" s="2133"/>
    </row>
    <row r="50" spans="1:13" s="145" customFormat="1" ht="12.75" customHeight="1" x14ac:dyDescent="0.2">
      <c r="A50" s="1629"/>
      <c r="B50" s="2123"/>
      <c r="C50" s="859">
        <v>200</v>
      </c>
      <c r="D50" s="860"/>
      <c r="E50" s="861">
        <v>200</v>
      </c>
      <c r="F50" s="860"/>
      <c r="G50" s="861">
        <v>200</v>
      </c>
      <c r="H50" s="860"/>
      <c r="I50" s="858">
        <v>2231</v>
      </c>
      <c r="J50" s="859">
        <v>200</v>
      </c>
      <c r="K50" s="860"/>
      <c r="L50" s="2137"/>
      <c r="M50" s="2133"/>
    </row>
    <row r="51" spans="1:13" s="145" customFormat="1" ht="12.75" customHeight="1" x14ac:dyDescent="0.2">
      <c r="A51" s="1629"/>
      <c r="B51" s="2123"/>
      <c r="C51" s="859">
        <v>6500</v>
      </c>
      <c r="D51" s="860"/>
      <c r="E51" s="861">
        <v>6500</v>
      </c>
      <c r="F51" s="860"/>
      <c r="G51" s="861">
        <v>6500</v>
      </c>
      <c r="H51" s="860"/>
      <c r="I51" s="858">
        <v>2264</v>
      </c>
      <c r="J51" s="859">
        <v>6500</v>
      </c>
      <c r="K51" s="860"/>
      <c r="L51" s="2137"/>
      <c r="M51" s="2133"/>
    </row>
    <row r="52" spans="1:13" s="145" customFormat="1" ht="12.75" customHeight="1" x14ac:dyDescent="0.2">
      <c r="A52" s="1629"/>
      <c r="B52" s="2123"/>
      <c r="C52" s="859">
        <v>3900</v>
      </c>
      <c r="D52" s="860"/>
      <c r="E52" s="861">
        <v>3900</v>
      </c>
      <c r="F52" s="860"/>
      <c r="G52" s="861">
        <v>3900</v>
      </c>
      <c r="H52" s="860"/>
      <c r="I52" s="858">
        <v>2279</v>
      </c>
      <c r="J52" s="859">
        <v>3900</v>
      </c>
      <c r="K52" s="860"/>
      <c r="L52" s="2137"/>
      <c r="M52" s="2133"/>
    </row>
    <row r="53" spans="1:13" s="145" customFormat="1" ht="13.5" customHeight="1" x14ac:dyDescent="0.2">
      <c r="A53" s="1629"/>
      <c r="B53" s="2123"/>
      <c r="C53" s="859">
        <v>200</v>
      </c>
      <c r="D53" s="860"/>
      <c r="E53" s="861">
        <v>200</v>
      </c>
      <c r="F53" s="860"/>
      <c r="G53" s="861">
        <v>200</v>
      </c>
      <c r="H53" s="860"/>
      <c r="I53" s="858">
        <v>2314</v>
      </c>
      <c r="J53" s="859">
        <v>200</v>
      </c>
      <c r="K53" s="860"/>
      <c r="L53" s="2137"/>
      <c r="M53" s="2133"/>
    </row>
    <row r="54" spans="1:13" s="145" customFormat="1" x14ac:dyDescent="0.2">
      <c r="A54" s="862">
        <v>4</v>
      </c>
      <c r="B54" s="863" t="s">
        <v>2355</v>
      </c>
      <c r="C54" s="860">
        <f>SUM(C55,C60,C65,C71,C76,C81)</f>
        <v>10230</v>
      </c>
      <c r="D54" s="860">
        <f t="shared" ref="D54:H54" si="8">SUM(D55,D60,D65,D71,D76,D81)</f>
        <v>9582</v>
      </c>
      <c r="E54" s="860">
        <f t="shared" si="8"/>
        <v>10197</v>
      </c>
      <c r="F54" s="860">
        <f t="shared" si="8"/>
        <v>8159</v>
      </c>
      <c r="G54" s="50">
        <f t="shared" si="8"/>
        <v>15963</v>
      </c>
      <c r="H54" s="860">
        <f t="shared" si="8"/>
        <v>9432</v>
      </c>
      <c r="I54" s="858"/>
      <c r="J54" s="860">
        <f>SUM(J55,J60,J65,J71,J76,J81)</f>
        <v>6485</v>
      </c>
      <c r="K54" s="860">
        <f>SUM(K55,K60,K65,K71,K76,K81)</f>
        <v>7752</v>
      </c>
      <c r="L54" s="1493"/>
      <c r="M54" s="855"/>
    </row>
    <row r="55" spans="1:13" s="145" customFormat="1" x14ac:dyDescent="0.2">
      <c r="A55" s="2130" t="s">
        <v>2356</v>
      </c>
      <c r="B55" s="2138" t="s">
        <v>2357</v>
      </c>
      <c r="C55" s="860">
        <f>SUM(C56:C59)</f>
        <v>4005</v>
      </c>
      <c r="D55" s="860">
        <f t="shared" ref="D55:K55" si="9">SUM(D56:D59)</f>
        <v>0</v>
      </c>
      <c r="E55" s="50">
        <f t="shared" si="9"/>
        <v>3973</v>
      </c>
      <c r="F55" s="860">
        <f t="shared" si="9"/>
        <v>0</v>
      </c>
      <c r="G55" s="50">
        <f t="shared" si="9"/>
        <v>4005</v>
      </c>
      <c r="H55" s="860">
        <f t="shared" si="9"/>
        <v>0</v>
      </c>
      <c r="I55" s="858"/>
      <c r="J55" s="860">
        <f t="shared" si="9"/>
        <v>4005</v>
      </c>
      <c r="K55" s="860">
        <f t="shared" si="9"/>
        <v>0</v>
      </c>
      <c r="L55" s="2126" t="s">
        <v>2358</v>
      </c>
      <c r="M55" s="2131" t="s">
        <v>2359</v>
      </c>
    </row>
    <row r="56" spans="1:13" s="145" customFormat="1" ht="12.75" customHeight="1" x14ac:dyDescent="0.2">
      <c r="A56" s="2130"/>
      <c r="B56" s="2138"/>
      <c r="C56" s="859">
        <v>1559</v>
      </c>
      <c r="D56" s="860"/>
      <c r="E56" s="861">
        <v>1528</v>
      </c>
      <c r="F56" s="860"/>
      <c r="G56" s="861">
        <v>1200</v>
      </c>
      <c r="H56" s="860"/>
      <c r="I56" s="858">
        <v>1150</v>
      </c>
      <c r="J56" s="859">
        <v>1200</v>
      </c>
      <c r="K56" s="860"/>
      <c r="L56" s="2126"/>
      <c r="M56" s="2131"/>
    </row>
    <row r="57" spans="1:13" s="145" customFormat="1" ht="12.75" customHeight="1" x14ac:dyDescent="0.2">
      <c r="A57" s="2130"/>
      <c r="B57" s="2138"/>
      <c r="C57" s="859">
        <v>78</v>
      </c>
      <c r="D57" s="860"/>
      <c r="E57" s="861">
        <v>77</v>
      </c>
      <c r="F57" s="860"/>
      <c r="G57" s="861">
        <v>60</v>
      </c>
      <c r="H57" s="860"/>
      <c r="I57" s="858">
        <v>1210</v>
      </c>
      <c r="J57" s="859">
        <v>60</v>
      </c>
      <c r="K57" s="860"/>
      <c r="L57" s="2126"/>
      <c r="M57" s="2131"/>
    </row>
    <row r="58" spans="1:13" s="145" customFormat="1" ht="12.75" customHeight="1" x14ac:dyDescent="0.2">
      <c r="A58" s="2130"/>
      <c r="B58" s="2138"/>
      <c r="C58" s="859">
        <v>2150</v>
      </c>
      <c r="D58" s="860"/>
      <c r="E58" s="861">
        <v>2150</v>
      </c>
      <c r="F58" s="860"/>
      <c r="G58" s="861">
        <v>2505</v>
      </c>
      <c r="H58" s="860"/>
      <c r="I58" s="858">
        <v>2279</v>
      </c>
      <c r="J58" s="859">
        <v>2505</v>
      </c>
      <c r="K58" s="860"/>
      <c r="L58" s="2126"/>
      <c r="M58" s="2131"/>
    </row>
    <row r="59" spans="1:13" s="145" customFormat="1" ht="12.75" customHeight="1" x14ac:dyDescent="0.2">
      <c r="A59" s="2130"/>
      <c r="B59" s="2138"/>
      <c r="C59" s="859">
        <v>218</v>
      </c>
      <c r="D59" s="860"/>
      <c r="E59" s="861">
        <v>218</v>
      </c>
      <c r="F59" s="860"/>
      <c r="G59" s="861">
        <v>240</v>
      </c>
      <c r="H59" s="860"/>
      <c r="I59" s="858">
        <v>2314</v>
      </c>
      <c r="J59" s="859">
        <v>240</v>
      </c>
      <c r="K59" s="860"/>
      <c r="L59" s="2126"/>
      <c r="M59" s="2131"/>
    </row>
    <row r="60" spans="1:13" s="145" customFormat="1" ht="12.75" hidden="1" customHeight="1" x14ac:dyDescent="0.2">
      <c r="A60" s="2130" t="s">
        <v>2360</v>
      </c>
      <c r="B60" s="1617" t="s">
        <v>2361</v>
      </c>
      <c r="C60" s="50">
        <f>SUM(C61:C64)</f>
        <v>970</v>
      </c>
      <c r="D60" s="50">
        <f t="shared" ref="D60:F60" si="10">SUM(D61:D64)</f>
        <v>0</v>
      </c>
      <c r="E60" s="50">
        <f t="shared" si="10"/>
        <v>970</v>
      </c>
      <c r="F60" s="50">
        <f t="shared" si="10"/>
        <v>0</v>
      </c>
      <c r="G60" s="50">
        <f>SUM(G61:G64)</f>
        <v>970</v>
      </c>
      <c r="H60" s="50">
        <f t="shared" ref="H60" si="11">SUM(H61:H64)</f>
        <v>0</v>
      </c>
      <c r="I60" s="31"/>
      <c r="J60" s="50">
        <f>SUM(J61:J64)</f>
        <v>0</v>
      </c>
      <c r="K60" s="50">
        <f t="shared" ref="K60" si="12">SUM(K61:K64)</f>
        <v>0</v>
      </c>
      <c r="L60" s="2126" t="s">
        <v>2358</v>
      </c>
      <c r="M60" s="2139"/>
    </row>
    <row r="61" spans="1:13" s="145" customFormat="1" ht="12.75" hidden="1" customHeight="1" x14ac:dyDescent="0.2">
      <c r="A61" s="2130"/>
      <c r="B61" s="1617"/>
      <c r="C61" s="859">
        <v>571</v>
      </c>
      <c r="D61" s="860"/>
      <c r="E61" s="861">
        <v>571</v>
      </c>
      <c r="F61" s="860"/>
      <c r="G61" s="861">
        <v>500</v>
      </c>
      <c r="H61" s="860"/>
      <c r="I61" s="858">
        <v>1150</v>
      </c>
      <c r="J61" s="859">
        <v>0</v>
      </c>
      <c r="K61" s="860"/>
      <c r="L61" s="2126"/>
      <c r="M61" s="2139"/>
    </row>
    <row r="62" spans="1:13" s="145" customFormat="1" ht="12.75" hidden="1" customHeight="1" x14ac:dyDescent="0.2">
      <c r="A62" s="2130"/>
      <c r="B62" s="1617"/>
      <c r="C62" s="859">
        <v>29</v>
      </c>
      <c r="D62" s="860"/>
      <c r="E62" s="861">
        <v>29</v>
      </c>
      <c r="F62" s="860"/>
      <c r="G62" s="861">
        <v>25</v>
      </c>
      <c r="H62" s="860"/>
      <c r="I62" s="858">
        <v>1210</v>
      </c>
      <c r="J62" s="859">
        <v>0</v>
      </c>
      <c r="K62" s="860"/>
      <c r="L62" s="2126"/>
      <c r="M62" s="2139"/>
    </row>
    <row r="63" spans="1:13" s="145" customFormat="1" ht="12.75" hidden="1" customHeight="1" x14ac:dyDescent="0.2">
      <c r="A63" s="2130"/>
      <c r="B63" s="1617"/>
      <c r="C63" s="859">
        <v>300</v>
      </c>
      <c r="D63" s="860"/>
      <c r="E63" s="861">
        <v>300</v>
      </c>
      <c r="F63" s="860"/>
      <c r="G63" s="861">
        <v>350</v>
      </c>
      <c r="H63" s="860"/>
      <c r="I63" s="858">
        <v>2279</v>
      </c>
      <c r="J63" s="859">
        <v>0</v>
      </c>
      <c r="K63" s="860"/>
      <c r="L63" s="2126"/>
      <c r="M63" s="2139"/>
    </row>
    <row r="64" spans="1:13" s="145" customFormat="1" ht="12.75" hidden="1" customHeight="1" x14ac:dyDescent="0.2">
      <c r="A64" s="2130"/>
      <c r="B64" s="1617"/>
      <c r="C64" s="859">
        <v>70</v>
      </c>
      <c r="D64" s="860"/>
      <c r="E64" s="861">
        <v>70</v>
      </c>
      <c r="F64" s="860"/>
      <c r="G64" s="861">
        <v>95</v>
      </c>
      <c r="H64" s="860"/>
      <c r="I64" s="858">
        <v>2314</v>
      </c>
      <c r="J64" s="859">
        <v>0</v>
      </c>
      <c r="K64" s="860"/>
      <c r="L64" s="2126"/>
      <c r="M64" s="2139"/>
    </row>
    <row r="65" spans="1:14" s="145" customFormat="1" ht="12.75" hidden="1" customHeight="1" x14ac:dyDescent="0.2">
      <c r="A65" s="2130" t="s">
        <v>2362</v>
      </c>
      <c r="B65" s="1617" t="s">
        <v>2363</v>
      </c>
      <c r="C65" s="865">
        <f>SUM(C66:C70)</f>
        <v>464</v>
      </c>
      <c r="D65" s="865">
        <f t="shared" ref="D65:H65" si="13">SUM(D66:D70)</f>
        <v>536</v>
      </c>
      <c r="E65" s="866">
        <f t="shared" si="13"/>
        <v>464</v>
      </c>
      <c r="F65" s="865">
        <f t="shared" si="13"/>
        <v>536</v>
      </c>
      <c r="G65" s="866">
        <f t="shared" si="13"/>
        <v>4653</v>
      </c>
      <c r="H65" s="865">
        <f t="shared" si="13"/>
        <v>1680</v>
      </c>
      <c r="I65" s="867"/>
      <c r="J65" s="866">
        <f>SUM(J66:J70)</f>
        <v>0</v>
      </c>
      <c r="K65" s="866">
        <f>SUM(K66:K70)</f>
        <v>0</v>
      </c>
      <c r="L65" s="2137" t="s">
        <v>2364</v>
      </c>
      <c r="M65" s="2133" t="s">
        <v>2365</v>
      </c>
    </row>
    <row r="66" spans="1:14" s="145" customFormat="1" hidden="1" x14ac:dyDescent="0.2">
      <c r="A66" s="2130"/>
      <c r="B66" s="1617"/>
      <c r="C66" s="868">
        <v>251</v>
      </c>
      <c r="D66" s="868">
        <v>510</v>
      </c>
      <c r="E66" s="869">
        <v>251</v>
      </c>
      <c r="F66" s="868">
        <v>510</v>
      </c>
      <c r="G66" s="869">
        <v>1700</v>
      </c>
      <c r="H66" s="868">
        <v>550</v>
      </c>
      <c r="I66" s="867">
        <v>1150</v>
      </c>
      <c r="J66" s="869">
        <v>0</v>
      </c>
      <c r="K66" s="870">
        <v>0</v>
      </c>
      <c r="L66" s="2137"/>
      <c r="M66" s="2133"/>
    </row>
    <row r="67" spans="1:14" s="145" customFormat="1" hidden="1" x14ac:dyDescent="0.2">
      <c r="A67" s="2130"/>
      <c r="B67" s="1617"/>
      <c r="C67" s="868">
        <v>13</v>
      </c>
      <c r="D67" s="868">
        <v>26</v>
      </c>
      <c r="E67" s="869">
        <v>13</v>
      </c>
      <c r="F67" s="868">
        <v>26</v>
      </c>
      <c r="G67" s="869">
        <v>85</v>
      </c>
      <c r="H67" s="868">
        <v>28</v>
      </c>
      <c r="I67" s="867">
        <v>1210</v>
      </c>
      <c r="J67" s="869">
        <v>0</v>
      </c>
      <c r="K67" s="870">
        <v>0</v>
      </c>
      <c r="L67" s="2137"/>
      <c r="M67" s="2133"/>
    </row>
    <row r="68" spans="1:14" s="145" customFormat="1" hidden="1" x14ac:dyDescent="0.2">
      <c r="A68" s="2130"/>
      <c r="B68" s="1617"/>
      <c r="C68" s="868">
        <v>0</v>
      </c>
      <c r="D68" s="868">
        <v>0</v>
      </c>
      <c r="E68" s="869">
        <v>0</v>
      </c>
      <c r="F68" s="868">
        <v>0</v>
      </c>
      <c r="G68" s="869">
        <v>450</v>
      </c>
      <c r="H68" s="868">
        <v>450</v>
      </c>
      <c r="I68" s="867">
        <v>2279</v>
      </c>
      <c r="J68" s="869">
        <v>0</v>
      </c>
      <c r="K68" s="870">
        <v>0</v>
      </c>
      <c r="L68" s="2137"/>
      <c r="M68" s="2133"/>
    </row>
    <row r="69" spans="1:14" s="145" customFormat="1" hidden="1" x14ac:dyDescent="0.2">
      <c r="A69" s="2130"/>
      <c r="B69" s="1617"/>
      <c r="C69" s="868">
        <v>0</v>
      </c>
      <c r="D69" s="868">
        <v>0</v>
      </c>
      <c r="E69" s="869">
        <v>0</v>
      </c>
      <c r="F69" s="868">
        <v>0</v>
      </c>
      <c r="G69" s="869">
        <v>2020</v>
      </c>
      <c r="H69" s="868">
        <v>0</v>
      </c>
      <c r="I69" s="867">
        <v>2312</v>
      </c>
      <c r="J69" s="869">
        <v>0</v>
      </c>
      <c r="K69" s="870">
        <v>0</v>
      </c>
      <c r="L69" s="2137"/>
      <c r="M69" s="2133"/>
    </row>
    <row r="70" spans="1:14" s="145" customFormat="1" hidden="1" x14ac:dyDescent="0.2">
      <c r="A70" s="2130"/>
      <c r="B70" s="1617"/>
      <c r="C70" s="868">
        <v>200</v>
      </c>
      <c r="D70" s="868">
        <v>0</v>
      </c>
      <c r="E70" s="869">
        <v>200</v>
      </c>
      <c r="F70" s="868"/>
      <c r="G70" s="869">
        <v>398</v>
      </c>
      <c r="H70" s="868">
        <v>652</v>
      </c>
      <c r="I70" s="867">
        <v>2314</v>
      </c>
      <c r="J70" s="869">
        <v>0</v>
      </c>
      <c r="K70" s="870">
        <v>0</v>
      </c>
      <c r="L70" s="2137"/>
      <c r="M70" s="2133"/>
      <c r="N70" s="871"/>
    </row>
    <row r="71" spans="1:14" s="145" customFormat="1" x14ac:dyDescent="0.2">
      <c r="A71" s="2130" t="s">
        <v>2360</v>
      </c>
      <c r="B71" s="1617" t="s">
        <v>2367</v>
      </c>
      <c r="C71" s="860">
        <f>SUM(C72:C75)</f>
        <v>3141</v>
      </c>
      <c r="D71" s="860">
        <f t="shared" ref="D71:K71" si="14">SUM(D72:D75)</f>
        <v>4469</v>
      </c>
      <c r="E71" s="50">
        <f t="shared" si="14"/>
        <v>3141</v>
      </c>
      <c r="F71" s="860">
        <f t="shared" si="14"/>
        <v>4469</v>
      </c>
      <c r="G71" s="50">
        <f t="shared" si="14"/>
        <v>3140</v>
      </c>
      <c r="H71" s="860">
        <f t="shared" si="14"/>
        <v>5880</v>
      </c>
      <c r="I71" s="858"/>
      <c r="J71" s="860">
        <f t="shared" si="14"/>
        <v>1730</v>
      </c>
      <c r="K71" s="860">
        <f t="shared" si="14"/>
        <v>5880</v>
      </c>
      <c r="L71" s="2126" t="s">
        <v>2368</v>
      </c>
      <c r="M71" s="2131" t="s">
        <v>2369</v>
      </c>
    </row>
    <row r="72" spans="1:14" s="145" customFormat="1" ht="12.75" customHeight="1" x14ac:dyDescent="0.2">
      <c r="A72" s="2130"/>
      <c r="B72" s="1617"/>
      <c r="C72" s="859">
        <v>1491</v>
      </c>
      <c r="D72" s="859">
        <v>675</v>
      </c>
      <c r="E72" s="861">
        <v>1491</v>
      </c>
      <c r="F72" s="861">
        <v>675</v>
      </c>
      <c r="G72" s="861">
        <v>1600</v>
      </c>
      <c r="H72" s="859">
        <v>1000</v>
      </c>
      <c r="I72" s="858">
        <v>1150</v>
      </c>
      <c r="J72" s="859">
        <v>860</v>
      </c>
      <c r="K72" s="859">
        <v>1306</v>
      </c>
      <c r="L72" s="2126"/>
      <c r="M72" s="2131"/>
    </row>
    <row r="73" spans="1:14" s="145" customFormat="1" ht="12.75" customHeight="1" x14ac:dyDescent="0.2">
      <c r="A73" s="2130"/>
      <c r="B73" s="1617"/>
      <c r="C73" s="859">
        <v>79</v>
      </c>
      <c r="D73" s="859">
        <v>34</v>
      </c>
      <c r="E73" s="861">
        <v>79</v>
      </c>
      <c r="F73" s="861">
        <v>34</v>
      </c>
      <c r="G73" s="861">
        <v>80</v>
      </c>
      <c r="H73" s="859">
        <v>50</v>
      </c>
      <c r="I73" s="858">
        <v>1210</v>
      </c>
      <c r="J73" s="859">
        <v>43</v>
      </c>
      <c r="K73" s="859">
        <v>66</v>
      </c>
      <c r="L73" s="2126"/>
      <c r="M73" s="2131"/>
    </row>
    <row r="74" spans="1:14" s="145" customFormat="1" ht="12.75" customHeight="1" x14ac:dyDescent="0.2">
      <c r="A74" s="2130"/>
      <c r="B74" s="1617"/>
      <c r="C74" s="859">
        <v>1571</v>
      </c>
      <c r="D74" s="859">
        <v>3460</v>
      </c>
      <c r="E74" s="861">
        <v>1571</v>
      </c>
      <c r="F74" s="861">
        <v>3460</v>
      </c>
      <c r="G74" s="861">
        <v>1460</v>
      </c>
      <c r="H74" s="859">
        <v>4500</v>
      </c>
      <c r="I74" s="858">
        <v>2279</v>
      </c>
      <c r="J74" s="859">
        <v>827</v>
      </c>
      <c r="K74" s="859">
        <v>4204</v>
      </c>
      <c r="L74" s="2126"/>
      <c r="M74" s="2131"/>
    </row>
    <row r="75" spans="1:14" s="145" customFormat="1" ht="12.75" customHeight="1" x14ac:dyDescent="0.2">
      <c r="A75" s="2130"/>
      <c r="B75" s="1617"/>
      <c r="C75" s="859">
        <v>0</v>
      </c>
      <c r="D75" s="859">
        <v>300</v>
      </c>
      <c r="E75" s="861">
        <v>0</v>
      </c>
      <c r="F75" s="861">
        <v>300</v>
      </c>
      <c r="G75" s="861">
        <v>0</v>
      </c>
      <c r="H75" s="859">
        <v>330</v>
      </c>
      <c r="I75" s="858">
        <v>2314</v>
      </c>
      <c r="J75" s="859">
        <v>0</v>
      </c>
      <c r="K75" s="859">
        <v>304</v>
      </c>
      <c r="L75" s="2126"/>
      <c r="M75" s="2131"/>
    </row>
    <row r="76" spans="1:14" s="145" customFormat="1" x14ac:dyDescent="0.2">
      <c r="A76" s="2130" t="s">
        <v>2362</v>
      </c>
      <c r="B76" s="1617" t="s">
        <v>2370</v>
      </c>
      <c r="C76" s="860">
        <f>SUM(C77:C80)</f>
        <v>1500</v>
      </c>
      <c r="D76" s="860">
        <f t="shared" ref="D76:H76" si="15">SUM(D77:D80)</f>
        <v>0</v>
      </c>
      <c r="E76" s="860">
        <f t="shared" si="15"/>
        <v>1499</v>
      </c>
      <c r="F76" s="860">
        <f t="shared" si="15"/>
        <v>0</v>
      </c>
      <c r="G76" s="50">
        <f t="shared" si="15"/>
        <v>2995</v>
      </c>
      <c r="H76" s="860">
        <f t="shared" si="15"/>
        <v>0</v>
      </c>
      <c r="I76" s="858"/>
      <c r="J76" s="50">
        <f>SUM(J77:J80)</f>
        <v>550</v>
      </c>
      <c r="K76" s="860">
        <f>SUM(K77:K80)</f>
        <v>0</v>
      </c>
      <c r="L76" s="2126" t="s">
        <v>2371</v>
      </c>
      <c r="M76" s="2133" t="s">
        <v>2372</v>
      </c>
    </row>
    <row r="77" spans="1:14" s="145" customFormat="1" x14ac:dyDescent="0.2">
      <c r="A77" s="2130"/>
      <c r="B77" s="1617"/>
      <c r="C77" s="859">
        <v>100</v>
      </c>
      <c r="D77" s="860"/>
      <c r="E77" s="861">
        <v>99</v>
      </c>
      <c r="F77" s="860"/>
      <c r="G77" s="861">
        <v>855</v>
      </c>
      <c r="H77" s="860"/>
      <c r="I77" s="858">
        <v>2247</v>
      </c>
      <c r="J77" s="861">
        <v>100</v>
      </c>
      <c r="K77" s="860"/>
      <c r="L77" s="2126"/>
      <c r="M77" s="2133"/>
    </row>
    <row r="78" spans="1:14" s="145" customFormat="1" hidden="1" x14ac:dyDescent="0.2">
      <c r="A78" s="2130"/>
      <c r="B78" s="1617"/>
      <c r="C78" s="859">
        <v>0</v>
      </c>
      <c r="D78" s="860"/>
      <c r="E78" s="861">
        <v>0</v>
      </c>
      <c r="F78" s="860"/>
      <c r="G78" s="861">
        <v>900</v>
      </c>
      <c r="H78" s="860"/>
      <c r="I78" s="858">
        <v>2262</v>
      </c>
      <c r="J78" s="50">
        <v>0</v>
      </c>
      <c r="K78" s="860"/>
      <c r="L78" s="2126"/>
      <c r="M78" s="2133"/>
    </row>
    <row r="79" spans="1:14" s="145" customFormat="1" hidden="1" x14ac:dyDescent="0.2">
      <c r="A79" s="2130"/>
      <c r="B79" s="1617"/>
      <c r="C79" s="859">
        <v>100</v>
      </c>
      <c r="D79" s="859"/>
      <c r="E79" s="861">
        <v>100</v>
      </c>
      <c r="F79" s="859"/>
      <c r="G79" s="861">
        <v>100</v>
      </c>
      <c r="H79" s="860"/>
      <c r="I79" s="31">
        <v>2312</v>
      </c>
      <c r="J79" s="861">
        <v>0</v>
      </c>
      <c r="K79" s="859"/>
      <c r="L79" s="2126"/>
      <c r="M79" s="2133"/>
    </row>
    <row r="80" spans="1:14" s="145" customFormat="1" ht="12" customHeight="1" x14ac:dyDescent="0.2">
      <c r="A80" s="2130"/>
      <c r="B80" s="1617"/>
      <c r="C80" s="859">
        <v>1300</v>
      </c>
      <c r="D80" s="859"/>
      <c r="E80" s="861">
        <v>1300</v>
      </c>
      <c r="F80" s="861"/>
      <c r="G80" s="861">
        <v>1140</v>
      </c>
      <c r="H80" s="860"/>
      <c r="I80" s="858">
        <v>2314</v>
      </c>
      <c r="J80" s="861">
        <v>450</v>
      </c>
      <c r="K80" s="859"/>
      <c r="L80" s="2126"/>
      <c r="M80" s="2133"/>
    </row>
    <row r="81" spans="1:13" s="145" customFormat="1" x14ac:dyDescent="0.2">
      <c r="A81" s="2130" t="s">
        <v>2366</v>
      </c>
      <c r="B81" s="2123" t="s">
        <v>2373</v>
      </c>
      <c r="C81" s="50">
        <f>SUM(C82:C85)</f>
        <v>150</v>
      </c>
      <c r="D81" s="50">
        <f t="shared" ref="D81:K81" si="16">SUM(D82:D85)</f>
        <v>4577</v>
      </c>
      <c r="E81" s="50">
        <f t="shared" si="16"/>
        <v>150</v>
      </c>
      <c r="F81" s="50">
        <f t="shared" si="16"/>
        <v>3154</v>
      </c>
      <c r="G81" s="50">
        <f t="shared" si="16"/>
        <v>200</v>
      </c>
      <c r="H81" s="50">
        <f t="shared" si="16"/>
        <v>1872</v>
      </c>
      <c r="I81" s="50"/>
      <c r="J81" s="50">
        <f t="shared" si="16"/>
        <v>200</v>
      </c>
      <c r="K81" s="50">
        <f t="shared" si="16"/>
        <v>1872</v>
      </c>
      <c r="L81" s="2126" t="s">
        <v>2374</v>
      </c>
      <c r="M81" s="2136" t="s">
        <v>2375</v>
      </c>
    </row>
    <row r="82" spans="1:13" s="145" customFormat="1" ht="12.75" customHeight="1" x14ac:dyDescent="0.2">
      <c r="A82" s="2130"/>
      <c r="B82" s="2123"/>
      <c r="C82" s="861">
        <v>0</v>
      </c>
      <c r="D82" s="861">
        <v>0</v>
      </c>
      <c r="E82" s="861">
        <v>0</v>
      </c>
      <c r="F82" s="861">
        <v>0</v>
      </c>
      <c r="G82" s="861"/>
      <c r="H82" s="861">
        <v>200</v>
      </c>
      <c r="I82" s="31">
        <v>1150</v>
      </c>
      <c r="J82" s="50"/>
      <c r="K82" s="861">
        <v>200</v>
      </c>
      <c r="L82" s="2126"/>
      <c r="M82" s="2136"/>
    </row>
    <row r="83" spans="1:13" s="145" customFormat="1" ht="12.75" customHeight="1" x14ac:dyDescent="0.2">
      <c r="A83" s="2130"/>
      <c r="B83" s="2123"/>
      <c r="C83" s="861">
        <v>0</v>
      </c>
      <c r="D83" s="861">
        <v>0</v>
      </c>
      <c r="E83" s="861">
        <v>0</v>
      </c>
      <c r="F83" s="861">
        <v>0</v>
      </c>
      <c r="G83" s="861"/>
      <c r="H83" s="861">
        <v>10</v>
      </c>
      <c r="I83" s="31">
        <v>1210</v>
      </c>
      <c r="J83" s="50"/>
      <c r="K83" s="861">
        <v>10</v>
      </c>
      <c r="L83" s="2126"/>
      <c r="M83" s="2136"/>
    </row>
    <row r="84" spans="1:13" s="145" customFormat="1" ht="12.75" customHeight="1" x14ac:dyDescent="0.2">
      <c r="A84" s="2130"/>
      <c r="B84" s="2123"/>
      <c r="C84" s="859">
        <v>0</v>
      </c>
      <c r="D84" s="859">
        <v>300</v>
      </c>
      <c r="E84" s="861">
        <v>0</v>
      </c>
      <c r="F84" s="861">
        <v>300</v>
      </c>
      <c r="G84" s="861">
        <v>0</v>
      </c>
      <c r="H84" s="859">
        <v>300</v>
      </c>
      <c r="I84" s="858">
        <v>2269</v>
      </c>
      <c r="J84" s="859"/>
      <c r="K84" s="859">
        <v>300</v>
      </c>
      <c r="L84" s="2126"/>
      <c r="M84" s="2136"/>
    </row>
    <row r="85" spans="1:13" s="145" customFormat="1" ht="11.25" customHeight="1" x14ac:dyDescent="0.2">
      <c r="A85" s="2130"/>
      <c r="B85" s="2123"/>
      <c r="C85" s="859">
        <v>150</v>
      </c>
      <c r="D85" s="859">
        <v>4277</v>
      </c>
      <c r="E85" s="861">
        <v>150</v>
      </c>
      <c r="F85" s="861">
        <v>2854</v>
      </c>
      <c r="G85" s="861">
        <v>200</v>
      </c>
      <c r="H85" s="859">
        <v>1362</v>
      </c>
      <c r="I85" s="858">
        <v>2279</v>
      </c>
      <c r="J85" s="859">
        <v>200</v>
      </c>
      <c r="K85" s="859">
        <v>1362</v>
      </c>
      <c r="L85" s="2126"/>
      <c r="M85" s="2136"/>
    </row>
    <row r="86" spans="1:13" s="145" customFormat="1" x14ac:dyDescent="0.2">
      <c r="A86" s="862">
        <v>5</v>
      </c>
      <c r="B86" s="863" t="s">
        <v>2376</v>
      </c>
      <c r="C86" s="860">
        <f>SUM(C87,C90,C94,,C98,C104,C108,C113,C119,C124,C128)</f>
        <v>7673</v>
      </c>
      <c r="D86" s="860">
        <f t="shared" ref="D86:H86" si="17">SUM(D87,D90,D94,,D98,D104,D108,D113,D119,D124,D128)</f>
        <v>5222</v>
      </c>
      <c r="E86" s="860">
        <f t="shared" si="17"/>
        <v>7640.6900000000005</v>
      </c>
      <c r="F86" s="860">
        <f t="shared" si="17"/>
        <v>3984</v>
      </c>
      <c r="G86" s="50">
        <f>SUM(G87,G90,G94,,G98,G104,G108,G113,G119,G124,G128)</f>
        <v>12936</v>
      </c>
      <c r="H86" s="860">
        <f t="shared" si="17"/>
        <v>4264</v>
      </c>
      <c r="I86" s="858"/>
      <c r="J86" s="860">
        <f>SUM(J87,J90,J94,,J98,J104,J108,J113,J119,J124,J128)</f>
        <v>12302</v>
      </c>
      <c r="K86" s="860">
        <f>SUM(K87,K90,K94,,K98,K104,K108,K113,K119,K124,K128)</f>
        <v>4264</v>
      </c>
      <c r="L86" s="864"/>
      <c r="M86" s="855"/>
    </row>
    <row r="87" spans="1:13" s="145" customFormat="1" x14ac:dyDescent="0.2">
      <c r="A87" s="2130" t="s">
        <v>1238</v>
      </c>
      <c r="B87" s="2123" t="s">
        <v>2377</v>
      </c>
      <c r="C87" s="860">
        <f t="shared" ref="C87:H87" si="18">SUM(C88:C89)</f>
        <v>115</v>
      </c>
      <c r="D87" s="860">
        <f t="shared" si="18"/>
        <v>0</v>
      </c>
      <c r="E87" s="50">
        <f t="shared" si="18"/>
        <v>115</v>
      </c>
      <c r="F87" s="50">
        <f t="shared" si="18"/>
        <v>0</v>
      </c>
      <c r="G87" s="50">
        <f t="shared" si="18"/>
        <v>116</v>
      </c>
      <c r="H87" s="860">
        <f t="shared" si="18"/>
        <v>0</v>
      </c>
      <c r="I87" s="858"/>
      <c r="J87" s="860">
        <f>SUM(J88:J89)</f>
        <v>116</v>
      </c>
      <c r="K87" s="860">
        <f>SUM(K88:K89)</f>
        <v>0</v>
      </c>
      <c r="L87" s="2126" t="s">
        <v>2378</v>
      </c>
      <c r="M87" s="2134" t="s">
        <v>2379</v>
      </c>
    </row>
    <row r="88" spans="1:13" s="145" customFormat="1" ht="21" customHeight="1" x14ac:dyDescent="0.2">
      <c r="A88" s="2130"/>
      <c r="B88" s="2123"/>
      <c r="C88" s="859">
        <v>109</v>
      </c>
      <c r="D88" s="860"/>
      <c r="E88" s="861">
        <v>109</v>
      </c>
      <c r="F88" s="50"/>
      <c r="G88" s="861">
        <v>110</v>
      </c>
      <c r="H88" s="860"/>
      <c r="I88" s="858">
        <v>1150</v>
      </c>
      <c r="J88" s="859">
        <v>110</v>
      </c>
      <c r="K88" s="860"/>
      <c r="L88" s="2126"/>
      <c r="M88" s="2134"/>
    </row>
    <row r="89" spans="1:13" s="145" customFormat="1" ht="13.5" customHeight="1" x14ac:dyDescent="0.2">
      <c r="A89" s="2130"/>
      <c r="B89" s="2123"/>
      <c r="C89" s="859">
        <v>6</v>
      </c>
      <c r="D89" s="860"/>
      <c r="E89" s="861">
        <v>6</v>
      </c>
      <c r="F89" s="50"/>
      <c r="G89" s="861">
        <v>6</v>
      </c>
      <c r="H89" s="860"/>
      <c r="I89" s="858">
        <v>1210</v>
      </c>
      <c r="J89" s="859">
        <v>6</v>
      </c>
      <c r="K89" s="860"/>
      <c r="L89" s="2126"/>
      <c r="M89" s="2134"/>
    </row>
    <row r="90" spans="1:13" s="145" customFormat="1" ht="12.75" hidden="1" customHeight="1" x14ac:dyDescent="0.2">
      <c r="A90" s="2130" t="s">
        <v>1242</v>
      </c>
      <c r="B90" s="2123" t="s">
        <v>2380</v>
      </c>
      <c r="C90" s="860">
        <f>SUM(C91:C93)</f>
        <v>200</v>
      </c>
      <c r="D90" s="860">
        <f t="shared" ref="D90:K90" si="19">SUM(D91:D93)</f>
        <v>0</v>
      </c>
      <c r="E90" s="860">
        <f t="shared" si="19"/>
        <v>200</v>
      </c>
      <c r="F90" s="860">
        <f t="shared" si="19"/>
        <v>0</v>
      </c>
      <c r="G90" s="50">
        <f t="shared" si="19"/>
        <v>0</v>
      </c>
      <c r="H90" s="860">
        <f t="shared" si="19"/>
        <v>0</v>
      </c>
      <c r="I90" s="858"/>
      <c r="J90" s="860">
        <f t="shared" si="19"/>
        <v>0</v>
      </c>
      <c r="K90" s="860">
        <f t="shared" si="19"/>
        <v>0</v>
      </c>
      <c r="L90" s="2126"/>
      <c r="M90" s="2135" t="s">
        <v>2381</v>
      </c>
    </row>
    <row r="91" spans="1:13" s="145" customFormat="1" ht="12" hidden="1" customHeight="1" x14ac:dyDescent="0.2">
      <c r="A91" s="2130"/>
      <c r="B91" s="2123"/>
      <c r="C91" s="859">
        <v>95</v>
      </c>
      <c r="D91" s="860"/>
      <c r="E91" s="861">
        <v>95</v>
      </c>
      <c r="F91" s="50"/>
      <c r="G91" s="861">
        <v>0</v>
      </c>
      <c r="H91" s="860"/>
      <c r="I91" s="858">
        <v>1150</v>
      </c>
      <c r="J91" s="859">
        <v>0</v>
      </c>
      <c r="K91" s="860"/>
      <c r="L91" s="2126"/>
      <c r="M91" s="2135"/>
    </row>
    <row r="92" spans="1:13" s="145" customFormat="1" ht="12.75" hidden="1" customHeight="1" x14ac:dyDescent="0.2">
      <c r="A92" s="2130"/>
      <c r="B92" s="2123"/>
      <c r="C92" s="859">
        <v>5</v>
      </c>
      <c r="D92" s="860"/>
      <c r="E92" s="861">
        <v>5</v>
      </c>
      <c r="F92" s="50"/>
      <c r="G92" s="861">
        <v>0</v>
      </c>
      <c r="H92" s="860"/>
      <c r="I92" s="858">
        <v>1210</v>
      </c>
      <c r="J92" s="859">
        <v>0</v>
      </c>
      <c r="K92" s="860"/>
      <c r="L92" s="2126"/>
      <c r="M92" s="2135"/>
    </row>
    <row r="93" spans="1:13" s="145" customFormat="1" hidden="1" x14ac:dyDescent="0.2">
      <c r="A93" s="2130"/>
      <c r="B93" s="2123"/>
      <c r="C93" s="859">
        <v>100</v>
      </c>
      <c r="D93" s="860"/>
      <c r="E93" s="861">
        <v>100</v>
      </c>
      <c r="F93" s="50"/>
      <c r="G93" s="861">
        <v>0</v>
      </c>
      <c r="H93" s="860"/>
      <c r="I93" s="858">
        <v>2314</v>
      </c>
      <c r="J93" s="859">
        <v>0</v>
      </c>
      <c r="K93" s="860"/>
      <c r="L93" s="2126"/>
      <c r="M93" s="2135"/>
    </row>
    <row r="94" spans="1:13" s="145" customFormat="1" ht="12.75" customHeight="1" x14ac:dyDescent="0.2">
      <c r="A94" s="2130" t="s">
        <v>1242</v>
      </c>
      <c r="B94" s="2123" t="s">
        <v>2383</v>
      </c>
      <c r="C94" s="860">
        <f>SUM(C95:C97)</f>
        <v>200</v>
      </c>
      <c r="D94" s="860">
        <f t="shared" ref="D94:K94" si="20">SUM(D95:D97)</f>
        <v>0</v>
      </c>
      <c r="E94" s="50">
        <f t="shared" si="20"/>
        <v>200</v>
      </c>
      <c r="F94" s="50">
        <f t="shared" si="20"/>
        <v>0</v>
      </c>
      <c r="G94" s="50">
        <f t="shared" si="20"/>
        <v>463</v>
      </c>
      <c r="H94" s="860">
        <f t="shared" si="20"/>
        <v>0</v>
      </c>
      <c r="I94" s="858"/>
      <c r="J94" s="860">
        <f t="shared" si="20"/>
        <v>200</v>
      </c>
      <c r="K94" s="860">
        <f t="shared" si="20"/>
        <v>0</v>
      </c>
      <c r="L94" s="2126" t="s">
        <v>2384</v>
      </c>
      <c r="M94" s="2133" t="s">
        <v>2385</v>
      </c>
    </row>
    <row r="95" spans="1:13" s="145" customFormat="1" ht="12" customHeight="1" x14ac:dyDescent="0.2">
      <c r="A95" s="2130"/>
      <c r="B95" s="2123"/>
      <c r="C95" s="859">
        <v>95</v>
      </c>
      <c r="D95" s="860"/>
      <c r="E95" s="861">
        <v>95</v>
      </c>
      <c r="F95" s="50"/>
      <c r="G95" s="861">
        <v>250</v>
      </c>
      <c r="H95" s="860"/>
      <c r="I95" s="858">
        <v>1150</v>
      </c>
      <c r="J95" s="859">
        <v>95</v>
      </c>
      <c r="K95" s="860"/>
      <c r="L95" s="2126"/>
      <c r="M95" s="2133"/>
    </row>
    <row r="96" spans="1:13" s="145" customFormat="1" x14ac:dyDescent="0.2">
      <c r="A96" s="2130"/>
      <c r="B96" s="2123"/>
      <c r="C96" s="859">
        <v>5</v>
      </c>
      <c r="D96" s="860"/>
      <c r="E96" s="861">
        <v>5</v>
      </c>
      <c r="F96" s="50"/>
      <c r="G96" s="861">
        <v>13</v>
      </c>
      <c r="H96" s="860"/>
      <c r="I96" s="858">
        <v>1210</v>
      </c>
      <c r="J96" s="859">
        <v>5</v>
      </c>
      <c r="K96" s="860"/>
      <c r="L96" s="2126"/>
      <c r="M96" s="2133"/>
    </row>
    <row r="97" spans="1:13" s="145" customFormat="1" x14ac:dyDescent="0.2">
      <c r="A97" s="2130"/>
      <c r="B97" s="2123"/>
      <c r="C97" s="859">
        <v>100</v>
      </c>
      <c r="D97" s="860"/>
      <c r="E97" s="861">
        <v>100</v>
      </c>
      <c r="F97" s="50"/>
      <c r="G97" s="861">
        <v>200</v>
      </c>
      <c r="H97" s="860"/>
      <c r="I97" s="858">
        <v>2314</v>
      </c>
      <c r="J97" s="859">
        <v>100</v>
      </c>
      <c r="K97" s="860"/>
      <c r="L97" s="2126"/>
      <c r="M97" s="2133"/>
    </row>
    <row r="98" spans="1:13" s="145" customFormat="1" x14ac:dyDescent="0.2">
      <c r="A98" s="2130" t="s">
        <v>2382</v>
      </c>
      <c r="B98" s="2123" t="s">
        <v>2387</v>
      </c>
      <c r="C98" s="50">
        <f t="shared" ref="C98:F98" si="21">SUM(C99:C103)</f>
        <v>2977</v>
      </c>
      <c r="D98" s="50">
        <f t="shared" si="21"/>
        <v>0</v>
      </c>
      <c r="E98" s="50">
        <f t="shared" si="21"/>
        <v>2976</v>
      </c>
      <c r="F98" s="50">
        <f t="shared" si="21"/>
        <v>0</v>
      </c>
      <c r="G98" s="50">
        <f>SUM(G99:G103)</f>
        <v>2977</v>
      </c>
      <c r="H98" s="50">
        <f t="shared" ref="H98:K98" si="22">SUM(H99:H103)</f>
        <v>0</v>
      </c>
      <c r="I98" s="31"/>
      <c r="J98" s="50">
        <f t="shared" si="22"/>
        <v>2607</v>
      </c>
      <c r="K98" s="50">
        <f t="shared" si="22"/>
        <v>0</v>
      </c>
      <c r="L98" s="2126" t="s">
        <v>2388</v>
      </c>
      <c r="M98" s="2133" t="s">
        <v>2389</v>
      </c>
    </row>
    <row r="99" spans="1:13" s="145" customFormat="1" x14ac:dyDescent="0.2">
      <c r="A99" s="2130"/>
      <c r="B99" s="2123"/>
      <c r="C99" s="859">
        <v>708</v>
      </c>
      <c r="D99" s="859"/>
      <c r="E99" s="861">
        <v>708</v>
      </c>
      <c r="F99" s="859"/>
      <c r="G99" s="861">
        <v>952</v>
      </c>
      <c r="H99" s="860"/>
      <c r="I99" s="858">
        <v>1150</v>
      </c>
      <c r="J99" s="859">
        <v>600</v>
      </c>
      <c r="K99" s="860"/>
      <c r="L99" s="2126"/>
      <c r="M99" s="2133"/>
    </row>
    <row r="100" spans="1:13" s="145" customFormat="1" x14ac:dyDescent="0.2">
      <c r="A100" s="2130"/>
      <c r="B100" s="2123"/>
      <c r="C100" s="859">
        <v>36</v>
      </c>
      <c r="D100" s="859"/>
      <c r="E100" s="861">
        <v>35</v>
      </c>
      <c r="F100" s="859"/>
      <c r="G100" s="861">
        <v>48</v>
      </c>
      <c r="H100" s="860"/>
      <c r="I100" s="858">
        <v>1210</v>
      </c>
      <c r="J100" s="859">
        <v>30</v>
      </c>
      <c r="K100" s="860"/>
      <c r="L100" s="2126"/>
      <c r="M100" s="2133"/>
    </row>
    <row r="101" spans="1:13" s="145" customFormat="1" x14ac:dyDescent="0.2">
      <c r="A101" s="2130"/>
      <c r="B101" s="2123"/>
      <c r="C101" s="859">
        <v>800</v>
      </c>
      <c r="D101" s="859"/>
      <c r="E101" s="861">
        <v>800</v>
      </c>
      <c r="F101" s="859"/>
      <c r="G101" s="861">
        <v>800</v>
      </c>
      <c r="H101" s="860"/>
      <c r="I101" s="858">
        <v>2264</v>
      </c>
      <c r="J101" s="859">
        <v>800</v>
      </c>
      <c r="K101" s="860"/>
      <c r="L101" s="2126"/>
      <c r="M101" s="2133"/>
    </row>
    <row r="102" spans="1:13" s="145" customFormat="1" x14ac:dyDescent="0.2">
      <c r="A102" s="2130"/>
      <c r="B102" s="2123"/>
      <c r="C102" s="859">
        <v>1271</v>
      </c>
      <c r="D102" s="859"/>
      <c r="E102" s="861">
        <v>1271</v>
      </c>
      <c r="F102" s="859"/>
      <c r="G102" s="861">
        <v>1027</v>
      </c>
      <c r="H102" s="860"/>
      <c r="I102" s="858">
        <v>2279</v>
      </c>
      <c r="J102" s="859">
        <v>1027</v>
      </c>
      <c r="K102" s="860"/>
      <c r="L102" s="2126"/>
      <c r="M102" s="2133"/>
    </row>
    <row r="103" spans="1:13" s="145" customFormat="1" x14ac:dyDescent="0.2">
      <c r="A103" s="2130"/>
      <c r="B103" s="2123"/>
      <c r="C103" s="859">
        <v>162</v>
      </c>
      <c r="D103" s="859"/>
      <c r="E103" s="861">
        <v>162</v>
      </c>
      <c r="F103" s="859"/>
      <c r="G103" s="861">
        <v>150</v>
      </c>
      <c r="H103" s="860"/>
      <c r="I103" s="858">
        <v>2314</v>
      </c>
      <c r="J103" s="859">
        <v>150</v>
      </c>
      <c r="K103" s="860"/>
      <c r="L103" s="2126"/>
      <c r="M103" s="2133"/>
    </row>
    <row r="104" spans="1:13" s="145" customFormat="1" hidden="1" x14ac:dyDescent="0.2">
      <c r="A104" s="2130" t="s">
        <v>2390</v>
      </c>
      <c r="B104" s="2123" t="s">
        <v>2391</v>
      </c>
      <c r="C104" s="50">
        <f t="shared" ref="C104:H104" si="23">SUM(C105:C107)</f>
        <v>316</v>
      </c>
      <c r="D104" s="50">
        <f t="shared" si="23"/>
        <v>684</v>
      </c>
      <c r="E104" s="50">
        <f t="shared" si="23"/>
        <v>316</v>
      </c>
      <c r="F104" s="50">
        <f t="shared" si="23"/>
        <v>684</v>
      </c>
      <c r="G104" s="50">
        <f t="shared" si="23"/>
        <v>0</v>
      </c>
      <c r="H104" s="50">
        <f t="shared" si="23"/>
        <v>0</v>
      </c>
      <c r="I104" s="31"/>
      <c r="J104" s="50">
        <f>SUM(J105:J107)</f>
        <v>0</v>
      </c>
      <c r="K104" s="50">
        <f>SUM(K105:K107)</f>
        <v>0</v>
      </c>
      <c r="L104" s="2126"/>
      <c r="M104" s="1617" t="s">
        <v>2392</v>
      </c>
    </row>
    <row r="105" spans="1:13" s="145" customFormat="1" hidden="1" x14ac:dyDescent="0.2">
      <c r="A105" s="2130"/>
      <c r="B105" s="2123"/>
      <c r="C105" s="859">
        <v>110</v>
      </c>
      <c r="D105" s="859">
        <v>651</v>
      </c>
      <c r="E105" s="861">
        <v>110</v>
      </c>
      <c r="F105" s="859">
        <v>651</v>
      </c>
      <c r="G105" s="861">
        <v>0</v>
      </c>
      <c r="H105" s="859"/>
      <c r="I105" s="858">
        <v>1150</v>
      </c>
      <c r="J105" s="859">
        <v>0</v>
      </c>
      <c r="K105" s="859"/>
      <c r="L105" s="2126"/>
      <c r="M105" s="2132"/>
    </row>
    <row r="106" spans="1:13" s="145" customFormat="1" hidden="1" x14ac:dyDescent="0.2">
      <c r="A106" s="2130"/>
      <c r="B106" s="2123"/>
      <c r="C106" s="859">
        <v>6</v>
      </c>
      <c r="D106" s="859">
        <v>33</v>
      </c>
      <c r="E106" s="861">
        <v>6</v>
      </c>
      <c r="F106" s="859">
        <v>33</v>
      </c>
      <c r="G106" s="861">
        <v>0</v>
      </c>
      <c r="H106" s="859"/>
      <c r="I106" s="858">
        <v>1210</v>
      </c>
      <c r="J106" s="859">
        <v>0</v>
      </c>
      <c r="K106" s="859"/>
      <c r="L106" s="2126"/>
      <c r="M106" s="2132"/>
    </row>
    <row r="107" spans="1:13" s="145" customFormat="1" hidden="1" x14ac:dyDescent="0.2">
      <c r="A107" s="2130"/>
      <c r="B107" s="2123"/>
      <c r="C107" s="859">
        <v>200</v>
      </c>
      <c r="D107" s="859">
        <v>0</v>
      </c>
      <c r="E107" s="861">
        <v>200</v>
      </c>
      <c r="F107" s="859">
        <v>0</v>
      </c>
      <c r="G107" s="861">
        <v>0</v>
      </c>
      <c r="H107" s="859"/>
      <c r="I107" s="858">
        <v>2314</v>
      </c>
      <c r="J107" s="859">
        <v>0</v>
      </c>
      <c r="K107" s="859"/>
      <c r="L107" s="2126"/>
      <c r="M107" s="2132"/>
    </row>
    <row r="108" spans="1:13" s="145" customFormat="1" x14ac:dyDescent="0.2">
      <c r="A108" s="2130" t="s">
        <v>2386</v>
      </c>
      <c r="B108" s="2123" t="s">
        <v>2373</v>
      </c>
      <c r="C108" s="50">
        <f>SUM(C109:C112)</f>
        <v>150</v>
      </c>
      <c r="D108" s="50">
        <f t="shared" ref="D108:K108" si="24">SUM(D109:D112)</f>
        <v>3723</v>
      </c>
      <c r="E108" s="50">
        <f t="shared" si="24"/>
        <v>150</v>
      </c>
      <c r="F108" s="50">
        <f t="shared" si="24"/>
        <v>2485</v>
      </c>
      <c r="G108" s="50">
        <f t="shared" si="24"/>
        <v>200</v>
      </c>
      <c r="H108" s="50">
        <f t="shared" si="24"/>
        <v>2080</v>
      </c>
      <c r="I108" s="50"/>
      <c r="J108" s="50">
        <f t="shared" si="24"/>
        <v>200</v>
      </c>
      <c r="K108" s="50">
        <f t="shared" si="24"/>
        <v>2080</v>
      </c>
      <c r="L108" s="2126" t="s">
        <v>2374</v>
      </c>
      <c r="M108" s="2133" t="s">
        <v>2394</v>
      </c>
    </row>
    <row r="109" spans="1:13" s="145" customFormat="1" x14ac:dyDescent="0.2">
      <c r="A109" s="2130"/>
      <c r="B109" s="2123"/>
      <c r="C109" s="861">
        <v>0</v>
      </c>
      <c r="D109" s="861">
        <v>0</v>
      </c>
      <c r="E109" s="861">
        <v>0</v>
      </c>
      <c r="F109" s="861">
        <v>0</v>
      </c>
      <c r="G109" s="861">
        <v>0</v>
      </c>
      <c r="H109" s="861">
        <v>200</v>
      </c>
      <c r="I109" s="31">
        <v>1150</v>
      </c>
      <c r="J109" s="861"/>
      <c r="K109" s="861">
        <v>200</v>
      </c>
      <c r="L109" s="2126"/>
      <c r="M109" s="2133"/>
    </row>
    <row r="110" spans="1:13" s="145" customFormat="1" x14ac:dyDescent="0.2">
      <c r="A110" s="2130"/>
      <c r="B110" s="2123"/>
      <c r="C110" s="861">
        <v>0</v>
      </c>
      <c r="D110" s="861">
        <v>0</v>
      </c>
      <c r="E110" s="861">
        <v>0</v>
      </c>
      <c r="F110" s="861">
        <v>0</v>
      </c>
      <c r="G110" s="861">
        <v>0</v>
      </c>
      <c r="H110" s="861">
        <v>10</v>
      </c>
      <c r="I110" s="31">
        <v>1210</v>
      </c>
      <c r="J110" s="861"/>
      <c r="K110" s="861">
        <v>10</v>
      </c>
      <c r="L110" s="2126"/>
      <c r="M110" s="2133"/>
    </row>
    <row r="111" spans="1:13" s="145" customFormat="1" x14ac:dyDescent="0.2">
      <c r="A111" s="2130"/>
      <c r="B111" s="2123"/>
      <c r="C111" s="859">
        <v>0</v>
      </c>
      <c r="D111" s="859">
        <v>500</v>
      </c>
      <c r="E111" s="861">
        <v>0</v>
      </c>
      <c r="F111" s="861">
        <v>500</v>
      </c>
      <c r="G111" s="861">
        <v>0</v>
      </c>
      <c r="H111" s="859">
        <v>300</v>
      </c>
      <c r="I111" s="858">
        <v>2269</v>
      </c>
      <c r="J111" s="859"/>
      <c r="K111" s="859">
        <v>300</v>
      </c>
      <c r="L111" s="2126"/>
      <c r="M111" s="2133"/>
    </row>
    <row r="112" spans="1:13" s="145" customFormat="1" x14ac:dyDescent="0.2">
      <c r="A112" s="2130"/>
      <c r="B112" s="2123"/>
      <c r="C112" s="859">
        <v>150</v>
      </c>
      <c r="D112" s="859">
        <v>3223</v>
      </c>
      <c r="E112" s="861">
        <v>150</v>
      </c>
      <c r="F112" s="861">
        <v>1985</v>
      </c>
      <c r="G112" s="861">
        <v>200</v>
      </c>
      <c r="H112" s="859">
        <v>1570</v>
      </c>
      <c r="I112" s="858">
        <v>2279</v>
      </c>
      <c r="J112" s="859">
        <v>200</v>
      </c>
      <c r="K112" s="859">
        <v>1570</v>
      </c>
      <c r="L112" s="2126"/>
      <c r="M112" s="2133"/>
    </row>
    <row r="113" spans="1:13" s="145" customFormat="1" ht="12.75" customHeight="1" x14ac:dyDescent="0.2">
      <c r="A113" s="2130" t="s">
        <v>2390</v>
      </c>
      <c r="B113" s="2123" t="s">
        <v>2361</v>
      </c>
      <c r="C113" s="50">
        <f t="shared" ref="C113:H113" si="25">SUM(C114:C118)</f>
        <v>2280</v>
      </c>
      <c r="D113" s="50">
        <f t="shared" si="25"/>
        <v>0</v>
      </c>
      <c r="E113" s="50">
        <f t="shared" si="25"/>
        <v>2250</v>
      </c>
      <c r="F113" s="50">
        <f t="shared" si="25"/>
        <v>0</v>
      </c>
      <c r="G113" s="50">
        <f t="shared" si="25"/>
        <v>2280</v>
      </c>
      <c r="H113" s="50">
        <f t="shared" si="25"/>
        <v>0</v>
      </c>
      <c r="I113" s="31"/>
      <c r="J113" s="50">
        <f>SUM(J114:J118)</f>
        <v>2280</v>
      </c>
      <c r="K113" s="50">
        <f>SUM(K114:K118)</f>
        <v>0</v>
      </c>
      <c r="L113" s="2126" t="s">
        <v>2396</v>
      </c>
      <c r="M113" s="2131" t="s">
        <v>2397</v>
      </c>
    </row>
    <row r="114" spans="1:13" s="145" customFormat="1" ht="12.75" customHeight="1" x14ac:dyDescent="0.2">
      <c r="A114" s="2130"/>
      <c r="B114" s="2123"/>
      <c r="C114" s="859">
        <v>116</v>
      </c>
      <c r="D114" s="860"/>
      <c r="E114" s="861">
        <v>116</v>
      </c>
      <c r="F114" s="860"/>
      <c r="G114" s="861">
        <v>666</v>
      </c>
      <c r="H114" s="859"/>
      <c r="I114" s="858">
        <v>1150</v>
      </c>
      <c r="J114" s="861">
        <v>666</v>
      </c>
      <c r="K114" s="859"/>
      <c r="L114" s="2126"/>
      <c r="M114" s="2131"/>
    </row>
    <row r="115" spans="1:13" s="145" customFormat="1" ht="12.75" customHeight="1" x14ac:dyDescent="0.2">
      <c r="A115" s="2130"/>
      <c r="B115" s="2123"/>
      <c r="C115" s="859">
        <v>6</v>
      </c>
      <c r="D115" s="860"/>
      <c r="E115" s="861">
        <v>6</v>
      </c>
      <c r="F115" s="860"/>
      <c r="G115" s="861">
        <v>34</v>
      </c>
      <c r="H115" s="859"/>
      <c r="I115" s="858">
        <v>1210</v>
      </c>
      <c r="J115" s="861">
        <v>34</v>
      </c>
      <c r="K115" s="859"/>
      <c r="L115" s="2126"/>
      <c r="M115" s="2131"/>
    </row>
    <row r="116" spans="1:13" s="145" customFormat="1" ht="12.75" customHeight="1" x14ac:dyDescent="0.2">
      <c r="A116" s="2130"/>
      <c r="B116" s="2123"/>
      <c r="C116" s="859">
        <v>1280</v>
      </c>
      <c r="D116" s="860"/>
      <c r="E116" s="861">
        <v>1280</v>
      </c>
      <c r="F116" s="860"/>
      <c r="G116" s="861">
        <v>1280</v>
      </c>
      <c r="H116" s="859"/>
      <c r="I116" s="858">
        <v>2264</v>
      </c>
      <c r="J116" s="861">
        <v>1280</v>
      </c>
      <c r="K116" s="859"/>
      <c r="L116" s="2126"/>
      <c r="M116" s="2131"/>
    </row>
    <row r="117" spans="1:13" s="145" customFormat="1" ht="12.75" hidden="1" customHeight="1" x14ac:dyDescent="0.2">
      <c r="A117" s="2130"/>
      <c r="B117" s="2123"/>
      <c r="C117" s="859">
        <v>578</v>
      </c>
      <c r="D117" s="860"/>
      <c r="E117" s="861">
        <v>550</v>
      </c>
      <c r="F117" s="860"/>
      <c r="G117" s="861">
        <v>0</v>
      </c>
      <c r="H117" s="859"/>
      <c r="I117" s="858">
        <v>2279</v>
      </c>
      <c r="J117" s="861">
        <v>0</v>
      </c>
      <c r="K117" s="859"/>
      <c r="L117" s="2126"/>
      <c r="M117" s="2131"/>
    </row>
    <row r="118" spans="1:13" s="145" customFormat="1" ht="12.75" customHeight="1" x14ac:dyDescent="0.2">
      <c r="A118" s="2130"/>
      <c r="B118" s="2123"/>
      <c r="C118" s="859">
        <v>300</v>
      </c>
      <c r="D118" s="860"/>
      <c r="E118" s="861">
        <v>298</v>
      </c>
      <c r="F118" s="860"/>
      <c r="G118" s="861">
        <v>300</v>
      </c>
      <c r="H118" s="859"/>
      <c r="I118" s="858">
        <v>2314</v>
      </c>
      <c r="J118" s="861">
        <v>300</v>
      </c>
      <c r="K118" s="859"/>
      <c r="L118" s="2126"/>
      <c r="M118" s="2131"/>
    </row>
    <row r="119" spans="1:13" s="145" customFormat="1" hidden="1" x14ac:dyDescent="0.2">
      <c r="A119" s="1629" t="s">
        <v>2398</v>
      </c>
      <c r="B119" s="1617" t="s">
        <v>2399</v>
      </c>
      <c r="C119" s="50">
        <f t="shared" ref="C119:H119" si="26">SUM(C120:C123)</f>
        <v>700</v>
      </c>
      <c r="D119" s="860">
        <f t="shared" si="26"/>
        <v>0</v>
      </c>
      <c r="E119" s="50">
        <f t="shared" si="26"/>
        <v>700</v>
      </c>
      <c r="F119" s="860">
        <f t="shared" si="26"/>
        <v>0</v>
      </c>
      <c r="G119" s="50">
        <f t="shared" si="26"/>
        <v>0</v>
      </c>
      <c r="H119" s="860">
        <f t="shared" si="26"/>
        <v>0</v>
      </c>
      <c r="I119" s="858"/>
      <c r="J119" s="860">
        <f>SUM(J120:J123)</f>
        <v>0</v>
      </c>
      <c r="K119" s="860">
        <f>SUM(K120:K123)</f>
        <v>0</v>
      </c>
      <c r="L119" s="2126"/>
      <c r="M119" s="2131" t="s">
        <v>2400</v>
      </c>
    </row>
    <row r="120" spans="1:13" s="145" customFormat="1" ht="12" hidden="1" customHeight="1" x14ac:dyDescent="0.2">
      <c r="A120" s="1629"/>
      <c r="B120" s="1617"/>
      <c r="C120" s="861">
        <v>285</v>
      </c>
      <c r="D120" s="860"/>
      <c r="E120" s="861">
        <v>285</v>
      </c>
      <c r="F120" s="860"/>
      <c r="G120" s="861">
        <v>0</v>
      </c>
      <c r="H120" s="860"/>
      <c r="I120" s="858">
        <v>1150</v>
      </c>
      <c r="J120" s="859">
        <v>0</v>
      </c>
      <c r="K120" s="859"/>
      <c r="L120" s="2126"/>
      <c r="M120" s="2131"/>
    </row>
    <row r="121" spans="1:13" s="145" customFormat="1" ht="12.75" hidden="1" customHeight="1" x14ac:dyDescent="0.2">
      <c r="A121" s="1629"/>
      <c r="B121" s="1617"/>
      <c r="C121" s="861">
        <v>15</v>
      </c>
      <c r="D121" s="860"/>
      <c r="E121" s="861">
        <v>15</v>
      </c>
      <c r="F121" s="860"/>
      <c r="G121" s="861">
        <v>0</v>
      </c>
      <c r="H121" s="860"/>
      <c r="I121" s="858">
        <v>1210</v>
      </c>
      <c r="J121" s="859">
        <v>0</v>
      </c>
      <c r="K121" s="859"/>
      <c r="L121" s="2126"/>
      <c r="M121" s="2131"/>
    </row>
    <row r="122" spans="1:13" s="145" customFormat="1" ht="14.25" hidden="1" customHeight="1" x14ac:dyDescent="0.2">
      <c r="A122" s="1629"/>
      <c r="B122" s="1617"/>
      <c r="C122" s="861">
        <v>30</v>
      </c>
      <c r="D122" s="860"/>
      <c r="E122" s="861">
        <v>30</v>
      </c>
      <c r="F122" s="860"/>
      <c r="G122" s="861">
        <v>0</v>
      </c>
      <c r="H122" s="860"/>
      <c r="I122" s="858">
        <v>2279</v>
      </c>
      <c r="J122" s="859">
        <v>0</v>
      </c>
      <c r="K122" s="859"/>
      <c r="L122" s="2126"/>
      <c r="M122" s="2131"/>
    </row>
    <row r="123" spans="1:13" s="145" customFormat="1" ht="12.75" hidden="1" customHeight="1" x14ac:dyDescent="0.2">
      <c r="A123" s="1629"/>
      <c r="B123" s="1617"/>
      <c r="C123" s="861">
        <v>370</v>
      </c>
      <c r="D123" s="860"/>
      <c r="E123" s="861">
        <v>370</v>
      </c>
      <c r="F123" s="860"/>
      <c r="G123" s="861">
        <v>0</v>
      </c>
      <c r="H123" s="860"/>
      <c r="I123" s="858">
        <v>2314</v>
      </c>
      <c r="J123" s="859">
        <v>0</v>
      </c>
      <c r="K123" s="859"/>
      <c r="L123" s="2126"/>
      <c r="M123" s="2131"/>
    </row>
    <row r="124" spans="1:13" s="145" customFormat="1" x14ac:dyDescent="0.2">
      <c r="A124" s="2130" t="s">
        <v>2393</v>
      </c>
      <c r="B124" s="2123" t="s">
        <v>2401</v>
      </c>
      <c r="C124" s="860">
        <f t="shared" ref="C124:H124" si="27">SUM(C125:C127)</f>
        <v>550</v>
      </c>
      <c r="D124" s="860">
        <f t="shared" si="27"/>
        <v>0</v>
      </c>
      <c r="E124" s="50">
        <f t="shared" si="27"/>
        <v>548.69000000000005</v>
      </c>
      <c r="F124" s="860">
        <f t="shared" si="27"/>
        <v>0</v>
      </c>
      <c r="G124" s="50">
        <f t="shared" si="27"/>
        <v>550</v>
      </c>
      <c r="H124" s="860">
        <f t="shared" si="27"/>
        <v>0</v>
      </c>
      <c r="I124" s="858"/>
      <c r="J124" s="860">
        <f>SUM(J125:J127)</f>
        <v>549</v>
      </c>
      <c r="K124" s="860">
        <f>SUM(K125:K127)</f>
        <v>0</v>
      </c>
      <c r="L124" s="2126" t="s">
        <v>2402</v>
      </c>
      <c r="M124" s="2131" t="s">
        <v>2403</v>
      </c>
    </row>
    <row r="125" spans="1:13" s="145" customFormat="1" ht="12.75" customHeight="1" x14ac:dyDescent="0.2">
      <c r="A125" s="2130"/>
      <c r="B125" s="2123"/>
      <c r="C125" s="859">
        <v>380</v>
      </c>
      <c r="D125" s="860"/>
      <c r="E125" s="861">
        <v>380</v>
      </c>
      <c r="F125" s="860"/>
      <c r="G125" s="861">
        <v>380</v>
      </c>
      <c r="H125" s="860"/>
      <c r="I125" s="858">
        <v>1150</v>
      </c>
      <c r="J125" s="859">
        <v>380</v>
      </c>
      <c r="K125" s="860"/>
      <c r="L125" s="2126"/>
      <c r="M125" s="2131"/>
    </row>
    <row r="126" spans="1:13" s="145" customFormat="1" ht="12.75" customHeight="1" x14ac:dyDescent="0.2">
      <c r="A126" s="2130"/>
      <c r="B126" s="2123"/>
      <c r="C126" s="859">
        <v>20</v>
      </c>
      <c r="D126" s="860"/>
      <c r="E126" s="861">
        <v>19</v>
      </c>
      <c r="F126" s="860"/>
      <c r="G126" s="861">
        <v>20</v>
      </c>
      <c r="H126" s="860"/>
      <c r="I126" s="858">
        <v>1210</v>
      </c>
      <c r="J126" s="859">
        <v>19</v>
      </c>
      <c r="K126" s="860"/>
      <c r="L126" s="2126"/>
      <c r="M126" s="2131"/>
    </row>
    <row r="127" spans="1:13" s="145" customFormat="1" ht="42" customHeight="1" x14ac:dyDescent="0.2">
      <c r="A127" s="2130"/>
      <c r="B127" s="2123"/>
      <c r="C127" s="859">
        <v>150</v>
      </c>
      <c r="D127" s="860"/>
      <c r="E127" s="861">
        <v>149.69</v>
      </c>
      <c r="F127" s="860"/>
      <c r="G127" s="861">
        <v>150</v>
      </c>
      <c r="H127" s="860"/>
      <c r="I127" s="858">
        <v>2314</v>
      </c>
      <c r="J127" s="859">
        <v>150</v>
      </c>
      <c r="K127" s="860"/>
      <c r="L127" s="2126"/>
      <c r="M127" s="2131"/>
    </row>
    <row r="128" spans="1:13" s="145" customFormat="1" x14ac:dyDescent="0.2">
      <c r="A128" s="1629" t="s">
        <v>2395</v>
      </c>
      <c r="B128" s="1617" t="s">
        <v>2367</v>
      </c>
      <c r="C128" s="860">
        <f>SUM(C129:C132)</f>
        <v>185</v>
      </c>
      <c r="D128" s="860">
        <f t="shared" ref="D128:K128" si="28">SUM(D129:D132)</f>
        <v>815</v>
      </c>
      <c r="E128" s="50">
        <f t="shared" si="28"/>
        <v>185</v>
      </c>
      <c r="F128" s="860">
        <f t="shared" si="28"/>
        <v>815</v>
      </c>
      <c r="G128" s="50">
        <f t="shared" si="28"/>
        <v>6350</v>
      </c>
      <c r="H128" s="860">
        <f t="shared" si="28"/>
        <v>2184</v>
      </c>
      <c r="I128" s="858"/>
      <c r="J128" s="50">
        <f t="shared" si="28"/>
        <v>6350</v>
      </c>
      <c r="K128" s="50">
        <f t="shared" si="28"/>
        <v>2184</v>
      </c>
      <c r="L128" s="864"/>
      <c r="M128" s="2131" t="s">
        <v>2404</v>
      </c>
    </row>
    <row r="129" spans="1:13" s="145" customFormat="1" ht="11.25" customHeight="1" x14ac:dyDescent="0.2">
      <c r="A129" s="1629"/>
      <c r="B129" s="1617"/>
      <c r="C129" s="859">
        <v>0</v>
      </c>
      <c r="D129" s="859">
        <v>95</v>
      </c>
      <c r="E129" s="861">
        <v>0</v>
      </c>
      <c r="F129" s="859">
        <v>95</v>
      </c>
      <c r="G129" s="861">
        <v>600</v>
      </c>
      <c r="H129" s="861">
        <v>1500</v>
      </c>
      <c r="I129" s="858">
        <v>1150</v>
      </c>
      <c r="J129" s="861">
        <v>600</v>
      </c>
      <c r="K129" s="861">
        <v>1500</v>
      </c>
      <c r="L129" s="2126" t="s">
        <v>2405</v>
      </c>
      <c r="M129" s="2131"/>
    </row>
    <row r="130" spans="1:13" s="145" customFormat="1" ht="11.25" customHeight="1" x14ac:dyDescent="0.2">
      <c r="A130" s="1629"/>
      <c r="B130" s="1617"/>
      <c r="C130" s="859">
        <v>0</v>
      </c>
      <c r="D130" s="859">
        <v>5</v>
      </c>
      <c r="E130" s="861">
        <v>0</v>
      </c>
      <c r="F130" s="859">
        <v>5</v>
      </c>
      <c r="G130" s="861">
        <v>30</v>
      </c>
      <c r="H130" s="861">
        <v>75</v>
      </c>
      <c r="I130" s="858">
        <v>1210</v>
      </c>
      <c r="J130" s="861">
        <v>30</v>
      </c>
      <c r="K130" s="861">
        <v>75</v>
      </c>
      <c r="L130" s="2126"/>
      <c r="M130" s="2131"/>
    </row>
    <row r="131" spans="1:13" s="145" customFormat="1" x14ac:dyDescent="0.2">
      <c r="A131" s="1629"/>
      <c r="B131" s="1617"/>
      <c r="C131" s="859">
        <v>185</v>
      </c>
      <c r="D131" s="859">
        <v>615</v>
      </c>
      <c r="E131" s="861">
        <v>185</v>
      </c>
      <c r="F131" s="859">
        <v>615</v>
      </c>
      <c r="G131" s="861">
        <v>5520</v>
      </c>
      <c r="H131" s="861">
        <v>609</v>
      </c>
      <c r="I131" s="858">
        <v>2279</v>
      </c>
      <c r="J131" s="861">
        <v>5520</v>
      </c>
      <c r="K131" s="861">
        <v>609</v>
      </c>
      <c r="L131" s="2126"/>
      <c r="M131" s="2131"/>
    </row>
    <row r="132" spans="1:13" s="145" customFormat="1" x14ac:dyDescent="0.2">
      <c r="A132" s="1629"/>
      <c r="B132" s="1617"/>
      <c r="C132" s="859">
        <v>0</v>
      </c>
      <c r="D132" s="859">
        <v>100</v>
      </c>
      <c r="E132" s="861">
        <v>0</v>
      </c>
      <c r="F132" s="859">
        <v>100</v>
      </c>
      <c r="G132" s="861">
        <v>200</v>
      </c>
      <c r="H132" s="861">
        <v>0</v>
      </c>
      <c r="I132" s="858">
        <v>2314</v>
      </c>
      <c r="J132" s="861">
        <v>200</v>
      </c>
      <c r="K132" s="861"/>
      <c r="L132" s="2126"/>
      <c r="M132" s="2131"/>
    </row>
    <row r="133" spans="1:13" s="145" customFormat="1" x14ac:dyDescent="0.2">
      <c r="A133" s="872">
        <v>6</v>
      </c>
      <c r="B133" s="873" t="s">
        <v>2406</v>
      </c>
      <c r="C133" s="865">
        <f>SUM(C134,C140,C142,C144,C147)</f>
        <v>4975</v>
      </c>
      <c r="D133" s="865">
        <f t="shared" ref="D133:H133" si="29">SUM(D134,D140,D142,D144,D147)</f>
        <v>6445</v>
      </c>
      <c r="E133" s="865">
        <f t="shared" si="29"/>
        <v>5775</v>
      </c>
      <c r="F133" s="865">
        <f t="shared" si="29"/>
        <v>5755</v>
      </c>
      <c r="G133" s="866">
        <f t="shared" si="29"/>
        <v>8214</v>
      </c>
      <c r="H133" s="865">
        <f t="shared" si="29"/>
        <v>6854</v>
      </c>
      <c r="I133" s="867"/>
      <c r="J133" s="865">
        <f>SUM(J134,J140,J142,J144,J147)</f>
        <v>4515</v>
      </c>
      <c r="K133" s="865">
        <f t="shared" ref="K133" si="30">SUM(K134,K140,K142,K144,K147)</f>
        <v>7714</v>
      </c>
      <c r="L133" s="872"/>
      <c r="M133" s="874"/>
    </row>
    <row r="134" spans="1:13" s="145" customFormat="1" x14ac:dyDescent="0.2">
      <c r="A134" s="2112" t="s">
        <v>2407</v>
      </c>
      <c r="B134" s="2117" t="s">
        <v>2408</v>
      </c>
      <c r="C134" s="875">
        <f t="shared" ref="C134:H134" si="31">SUM(C135:C139)</f>
        <v>4575</v>
      </c>
      <c r="D134" s="875">
        <f t="shared" si="31"/>
        <v>5245</v>
      </c>
      <c r="E134" s="876">
        <f t="shared" si="31"/>
        <v>4575</v>
      </c>
      <c r="F134" s="875">
        <f t="shared" si="31"/>
        <v>5375</v>
      </c>
      <c r="G134" s="876">
        <f t="shared" si="31"/>
        <v>4724</v>
      </c>
      <c r="H134" s="875">
        <f t="shared" si="31"/>
        <v>5514</v>
      </c>
      <c r="I134" s="867"/>
      <c r="J134" s="876">
        <f>SUM(J135:J139)</f>
        <v>2075</v>
      </c>
      <c r="K134" s="876">
        <f>SUM(K135:K139)</f>
        <v>5514</v>
      </c>
      <c r="L134" s="877"/>
      <c r="M134" s="2122" t="s">
        <v>2409</v>
      </c>
    </row>
    <row r="135" spans="1:13" s="145" customFormat="1" ht="12" customHeight="1" x14ac:dyDescent="0.2">
      <c r="A135" s="2112"/>
      <c r="B135" s="2117"/>
      <c r="C135" s="878">
        <v>2380</v>
      </c>
      <c r="D135" s="878">
        <v>2380</v>
      </c>
      <c r="E135" s="879">
        <v>2380</v>
      </c>
      <c r="F135" s="878">
        <v>2380</v>
      </c>
      <c r="G135" s="879">
        <v>2380</v>
      </c>
      <c r="H135" s="878">
        <v>3180</v>
      </c>
      <c r="I135" s="867">
        <v>1150</v>
      </c>
      <c r="J135" s="879"/>
      <c r="K135" s="880">
        <v>3180</v>
      </c>
      <c r="L135" s="2114" t="s">
        <v>2410</v>
      </c>
      <c r="M135" s="2122"/>
    </row>
    <row r="136" spans="1:13" s="145" customFormat="1" ht="12" customHeight="1" x14ac:dyDescent="0.2">
      <c r="A136" s="2112"/>
      <c r="B136" s="2117"/>
      <c r="C136" s="878">
        <v>120</v>
      </c>
      <c r="D136" s="878">
        <v>120</v>
      </c>
      <c r="E136" s="879">
        <v>120</v>
      </c>
      <c r="F136" s="878">
        <v>120</v>
      </c>
      <c r="G136" s="879">
        <v>119</v>
      </c>
      <c r="H136" s="878">
        <v>159</v>
      </c>
      <c r="I136" s="867">
        <v>1210</v>
      </c>
      <c r="J136" s="879"/>
      <c r="K136" s="880">
        <v>159</v>
      </c>
      <c r="L136" s="2114"/>
      <c r="M136" s="2122"/>
    </row>
    <row r="137" spans="1:13" s="145" customFormat="1" ht="12" customHeight="1" x14ac:dyDescent="0.2">
      <c r="A137" s="2112"/>
      <c r="B137" s="2117"/>
      <c r="C137" s="878">
        <v>275</v>
      </c>
      <c r="D137" s="878">
        <v>125</v>
      </c>
      <c r="E137" s="879">
        <v>275</v>
      </c>
      <c r="F137" s="878">
        <v>125</v>
      </c>
      <c r="G137" s="879">
        <v>275</v>
      </c>
      <c r="H137" s="878">
        <v>125</v>
      </c>
      <c r="I137" s="867">
        <v>2279</v>
      </c>
      <c r="J137" s="879">
        <v>275</v>
      </c>
      <c r="K137" s="880">
        <v>125</v>
      </c>
      <c r="L137" s="2114"/>
      <c r="M137" s="2122"/>
    </row>
    <row r="138" spans="1:13" s="145" customFormat="1" ht="12" customHeight="1" x14ac:dyDescent="0.2">
      <c r="A138" s="2112"/>
      <c r="B138" s="2117"/>
      <c r="C138" s="878">
        <v>0</v>
      </c>
      <c r="D138" s="878">
        <v>1120</v>
      </c>
      <c r="E138" s="879">
        <v>0</v>
      </c>
      <c r="F138" s="878">
        <v>950</v>
      </c>
      <c r="G138" s="879">
        <v>0</v>
      </c>
      <c r="H138" s="878">
        <v>300</v>
      </c>
      <c r="I138" s="867">
        <v>2312</v>
      </c>
      <c r="J138" s="879"/>
      <c r="K138" s="880">
        <v>300</v>
      </c>
      <c r="L138" s="2114"/>
      <c r="M138" s="2122"/>
    </row>
    <row r="139" spans="1:13" s="145" customFormat="1" ht="12" customHeight="1" x14ac:dyDescent="0.2">
      <c r="A139" s="2112"/>
      <c r="B139" s="2117"/>
      <c r="C139" s="878">
        <v>1800</v>
      </c>
      <c r="D139" s="878">
        <v>1500</v>
      </c>
      <c r="E139" s="879">
        <v>1800</v>
      </c>
      <c r="F139" s="878">
        <v>1800</v>
      </c>
      <c r="G139" s="879">
        <v>1950</v>
      </c>
      <c r="H139" s="878">
        <v>1750</v>
      </c>
      <c r="I139" s="867">
        <v>2314</v>
      </c>
      <c r="J139" s="879">
        <v>1800</v>
      </c>
      <c r="K139" s="880">
        <v>1750</v>
      </c>
      <c r="L139" s="2114"/>
      <c r="M139" s="2122"/>
    </row>
    <row r="140" spans="1:13" s="145" customFormat="1" ht="21.75" customHeight="1" x14ac:dyDescent="0.2">
      <c r="A140" s="2112" t="s">
        <v>2411</v>
      </c>
      <c r="B140" s="2117" t="s">
        <v>2412</v>
      </c>
      <c r="C140" s="876">
        <f t="shared" ref="C140:F140" si="32">C141</f>
        <v>200</v>
      </c>
      <c r="D140" s="876">
        <f t="shared" si="32"/>
        <v>0</v>
      </c>
      <c r="E140" s="876">
        <f t="shared" si="32"/>
        <v>200</v>
      </c>
      <c r="F140" s="876">
        <f t="shared" si="32"/>
        <v>0</v>
      </c>
      <c r="G140" s="876">
        <f>G141</f>
        <v>200</v>
      </c>
      <c r="H140" s="876">
        <f t="shared" ref="H140:K140" si="33">H141</f>
        <v>0</v>
      </c>
      <c r="I140" s="881"/>
      <c r="J140" s="876">
        <f t="shared" si="33"/>
        <v>0</v>
      </c>
      <c r="K140" s="876">
        <f t="shared" si="33"/>
        <v>200</v>
      </c>
      <c r="L140" s="2126" t="s">
        <v>2410</v>
      </c>
      <c r="M140" s="2118"/>
    </row>
    <row r="141" spans="1:13" s="145" customFormat="1" ht="38.25" customHeight="1" x14ac:dyDescent="0.2">
      <c r="A141" s="2112"/>
      <c r="B141" s="2117"/>
      <c r="C141" s="878">
        <v>200</v>
      </c>
      <c r="D141" s="878"/>
      <c r="E141" s="879">
        <v>200</v>
      </c>
      <c r="F141" s="878"/>
      <c r="G141" s="879">
        <v>200</v>
      </c>
      <c r="H141" s="878"/>
      <c r="I141" s="867">
        <v>2314</v>
      </c>
      <c r="J141" s="878"/>
      <c r="K141" s="882">
        <v>200</v>
      </c>
      <c r="L141" s="2126"/>
      <c r="M141" s="2118"/>
    </row>
    <row r="142" spans="1:13" s="145" customFormat="1" ht="30" customHeight="1" x14ac:dyDescent="0.2">
      <c r="A142" s="2112" t="s">
        <v>2413</v>
      </c>
      <c r="B142" s="2117" t="s">
        <v>2414</v>
      </c>
      <c r="C142" s="875">
        <f>C143</f>
        <v>200</v>
      </c>
      <c r="D142" s="875">
        <f t="shared" ref="D142:K142" si="34">D143</f>
        <v>0</v>
      </c>
      <c r="E142" s="875">
        <f t="shared" si="34"/>
        <v>200</v>
      </c>
      <c r="F142" s="875">
        <f t="shared" si="34"/>
        <v>0</v>
      </c>
      <c r="G142" s="876">
        <f t="shared" si="34"/>
        <v>250</v>
      </c>
      <c r="H142" s="875">
        <f t="shared" si="34"/>
        <v>0</v>
      </c>
      <c r="I142" s="867"/>
      <c r="J142" s="875">
        <f t="shared" si="34"/>
        <v>0</v>
      </c>
      <c r="K142" s="875">
        <f t="shared" si="34"/>
        <v>200</v>
      </c>
      <c r="L142" s="2126" t="s">
        <v>2415</v>
      </c>
      <c r="M142" s="2118" t="s">
        <v>768</v>
      </c>
    </row>
    <row r="143" spans="1:13" s="145" customFormat="1" ht="18.75" customHeight="1" x14ac:dyDescent="0.2">
      <c r="A143" s="2112"/>
      <c r="B143" s="2117"/>
      <c r="C143" s="878">
        <v>200</v>
      </c>
      <c r="D143" s="878"/>
      <c r="E143" s="879">
        <v>200</v>
      </c>
      <c r="F143" s="878"/>
      <c r="G143" s="879">
        <v>250</v>
      </c>
      <c r="H143" s="878"/>
      <c r="I143" s="867">
        <v>2314</v>
      </c>
      <c r="J143" s="878"/>
      <c r="K143" s="882">
        <v>200</v>
      </c>
      <c r="L143" s="2126"/>
      <c r="M143" s="2118"/>
    </row>
    <row r="144" spans="1:13" s="145" customFormat="1" ht="19.5" customHeight="1" x14ac:dyDescent="0.2">
      <c r="A144" s="2112" t="s">
        <v>2416</v>
      </c>
      <c r="B144" s="2117" t="s">
        <v>2417</v>
      </c>
      <c r="C144" s="875">
        <f t="shared" ref="C144:G144" si="35">SUM(C145:C146)</f>
        <v>0</v>
      </c>
      <c r="D144" s="875">
        <f t="shared" si="35"/>
        <v>800</v>
      </c>
      <c r="E144" s="875">
        <f t="shared" si="35"/>
        <v>800</v>
      </c>
      <c r="F144" s="875">
        <f t="shared" si="35"/>
        <v>0</v>
      </c>
      <c r="G144" s="876">
        <f t="shared" si="35"/>
        <v>0</v>
      </c>
      <c r="H144" s="875">
        <f>SUM(H145:H146)</f>
        <v>840</v>
      </c>
      <c r="I144" s="867"/>
      <c r="J144" s="875">
        <f>SUM(J145:J146)</f>
        <v>0</v>
      </c>
      <c r="K144" s="875">
        <f t="shared" ref="K144" si="36">SUM(K145:K146)</f>
        <v>800</v>
      </c>
      <c r="L144" s="2126" t="s">
        <v>2418</v>
      </c>
      <c r="M144" s="2118"/>
    </row>
    <row r="145" spans="1:13" s="145" customFormat="1" ht="18" customHeight="1" x14ac:dyDescent="0.2">
      <c r="A145" s="2112"/>
      <c r="B145" s="2117"/>
      <c r="C145" s="878">
        <v>0</v>
      </c>
      <c r="D145" s="878">
        <v>762</v>
      </c>
      <c r="E145" s="878">
        <v>762</v>
      </c>
      <c r="F145" s="878">
        <v>0</v>
      </c>
      <c r="G145" s="879">
        <v>0</v>
      </c>
      <c r="H145" s="878">
        <v>800</v>
      </c>
      <c r="I145" s="867">
        <v>1150</v>
      </c>
      <c r="J145" s="878"/>
      <c r="K145" s="878">
        <v>762</v>
      </c>
      <c r="L145" s="2126"/>
      <c r="M145" s="2118"/>
    </row>
    <row r="146" spans="1:13" s="145" customFormat="1" ht="22.5" customHeight="1" x14ac:dyDescent="0.2">
      <c r="A146" s="2112"/>
      <c r="B146" s="2117"/>
      <c r="C146" s="878">
        <v>0</v>
      </c>
      <c r="D146" s="878">
        <v>38</v>
      </c>
      <c r="E146" s="879">
        <v>38</v>
      </c>
      <c r="F146" s="878"/>
      <c r="G146" s="879"/>
      <c r="H146" s="878">
        <v>40</v>
      </c>
      <c r="I146" s="867">
        <v>1210</v>
      </c>
      <c r="J146" s="878"/>
      <c r="K146" s="878">
        <v>38</v>
      </c>
      <c r="L146" s="2126"/>
      <c r="M146" s="2118"/>
    </row>
    <row r="147" spans="1:13" s="145" customFormat="1" ht="12" customHeight="1" x14ac:dyDescent="0.2">
      <c r="A147" s="2112" t="s">
        <v>2419</v>
      </c>
      <c r="B147" s="2113" t="s">
        <v>2420</v>
      </c>
      <c r="C147" s="875">
        <f>SUM(C148:C150)</f>
        <v>0</v>
      </c>
      <c r="D147" s="875">
        <f t="shared" ref="D147:H147" si="37">SUM(D148:D150)</f>
        <v>400</v>
      </c>
      <c r="E147" s="875">
        <f t="shared" si="37"/>
        <v>0</v>
      </c>
      <c r="F147" s="875">
        <f t="shared" si="37"/>
        <v>380</v>
      </c>
      <c r="G147" s="876">
        <f t="shared" si="37"/>
        <v>3040</v>
      </c>
      <c r="H147" s="875">
        <f t="shared" si="37"/>
        <v>500</v>
      </c>
      <c r="I147" s="875"/>
      <c r="J147" s="876">
        <f>SUM(J148:J150)</f>
        <v>2440</v>
      </c>
      <c r="K147" s="876">
        <f>SUM(K148:K150)</f>
        <v>1000</v>
      </c>
      <c r="L147" s="2126" t="s">
        <v>2421</v>
      </c>
      <c r="M147" s="2122" t="s">
        <v>2422</v>
      </c>
    </row>
    <row r="148" spans="1:13" s="145" customFormat="1" ht="12" customHeight="1" x14ac:dyDescent="0.2">
      <c r="A148" s="2112"/>
      <c r="B148" s="2113"/>
      <c r="C148" s="878">
        <v>0</v>
      </c>
      <c r="D148" s="878">
        <v>400</v>
      </c>
      <c r="E148" s="879">
        <v>0</v>
      </c>
      <c r="F148" s="879">
        <v>380</v>
      </c>
      <c r="G148" s="879">
        <v>1500</v>
      </c>
      <c r="H148" s="878">
        <v>500</v>
      </c>
      <c r="I148" s="867">
        <v>2262</v>
      </c>
      <c r="J148" s="879">
        <v>1500</v>
      </c>
      <c r="K148" s="879">
        <v>500</v>
      </c>
      <c r="L148" s="2126"/>
      <c r="M148" s="2122"/>
    </row>
    <row r="149" spans="1:13" s="145" customFormat="1" ht="12" customHeight="1" x14ac:dyDescent="0.2">
      <c r="A149" s="2112"/>
      <c r="B149" s="2113"/>
      <c r="C149" s="878">
        <v>0</v>
      </c>
      <c r="D149" s="878">
        <v>0</v>
      </c>
      <c r="E149" s="878">
        <v>0</v>
      </c>
      <c r="F149" s="879">
        <v>0</v>
      </c>
      <c r="G149" s="879">
        <v>940</v>
      </c>
      <c r="H149" s="875"/>
      <c r="I149" s="867">
        <v>2279</v>
      </c>
      <c r="J149" s="879">
        <v>940</v>
      </c>
      <c r="K149" s="879"/>
      <c r="L149" s="2126"/>
      <c r="M149" s="2122"/>
    </row>
    <row r="150" spans="1:13" s="145" customFormat="1" ht="12" customHeight="1" x14ac:dyDescent="0.2">
      <c r="A150" s="2112"/>
      <c r="B150" s="2113"/>
      <c r="C150" s="878">
        <v>0</v>
      </c>
      <c r="D150" s="878">
        <v>0</v>
      </c>
      <c r="E150" s="879">
        <v>0</v>
      </c>
      <c r="F150" s="878">
        <v>0</v>
      </c>
      <c r="G150" s="879">
        <v>600</v>
      </c>
      <c r="H150" s="878"/>
      <c r="I150" s="867">
        <v>2363</v>
      </c>
      <c r="J150" s="879">
        <v>0</v>
      </c>
      <c r="K150" s="880">
        <v>500</v>
      </c>
      <c r="L150" s="2126"/>
      <c r="M150" s="2122"/>
    </row>
    <row r="151" spans="1:13" s="145" customFormat="1" x14ac:dyDescent="0.2">
      <c r="A151" s="872">
        <v>7</v>
      </c>
      <c r="B151" s="883" t="s">
        <v>2423</v>
      </c>
      <c r="C151" s="875">
        <f>SUM(C152,C159,C165,C171,C183)</f>
        <v>5300</v>
      </c>
      <c r="D151" s="875">
        <f t="shared" ref="D151:K151" si="38">SUM(D152,D159,D165,D171,D183)</f>
        <v>0</v>
      </c>
      <c r="E151" s="875">
        <f t="shared" si="38"/>
        <v>5300</v>
      </c>
      <c r="F151" s="875">
        <f t="shared" si="38"/>
        <v>0</v>
      </c>
      <c r="G151" s="876">
        <f>SUM(G152,G159,G165,G171,G177,G183)</f>
        <v>66400</v>
      </c>
      <c r="H151" s="875">
        <f t="shared" si="38"/>
        <v>0</v>
      </c>
      <c r="I151" s="875"/>
      <c r="J151" s="875">
        <f>SUM(J152,J159,J165,J171,J177,J183)</f>
        <v>61830</v>
      </c>
      <c r="K151" s="875">
        <f t="shared" si="38"/>
        <v>0</v>
      </c>
      <c r="L151" s="858"/>
      <c r="M151" s="884"/>
    </row>
    <row r="152" spans="1:13" s="145" customFormat="1" x14ac:dyDescent="0.2">
      <c r="A152" s="2125" t="s">
        <v>2424</v>
      </c>
      <c r="B152" s="2113" t="s">
        <v>2425</v>
      </c>
      <c r="C152" s="875">
        <f>SUM(C153:C158)</f>
        <v>0</v>
      </c>
      <c r="D152" s="875">
        <f t="shared" ref="D152:K152" si="39">SUM(D153:D158)</f>
        <v>0</v>
      </c>
      <c r="E152" s="875">
        <f t="shared" si="39"/>
        <v>0</v>
      </c>
      <c r="F152" s="875">
        <f t="shared" si="39"/>
        <v>0</v>
      </c>
      <c r="G152" s="876">
        <f t="shared" si="39"/>
        <v>15000</v>
      </c>
      <c r="H152" s="875">
        <f t="shared" si="39"/>
        <v>0</v>
      </c>
      <c r="I152" s="875"/>
      <c r="J152" s="875">
        <f t="shared" si="39"/>
        <v>15000</v>
      </c>
      <c r="K152" s="875">
        <f t="shared" si="39"/>
        <v>0</v>
      </c>
      <c r="L152" s="2126" t="s">
        <v>2426</v>
      </c>
      <c r="M152" s="2122" t="s">
        <v>2427</v>
      </c>
    </row>
    <row r="153" spans="1:13" s="145" customFormat="1" x14ac:dyDescent="0.2">
      <c r="A153" s="2125"/>
      <c r="B153" s="2113"/>
      <c r="C153" s="878"/>
      <c r="D153" s="878"/>
      <c r="E153" s="879"/>
      <c r="F153" s="878"/>
      <c r="G153" s="879">
        <v>3500</v>
      </c>
      <c r="H153" s="878"/>
      <c r="I153" s="867">
        <v>1150</v>
      </c>
      <c r="J153" s="878">
        <v>3500</v>
      </c>
      <c r="K153" s="882"/>
      <c r="L153" s="2126"/>
      <c r="M153" s="2122"/>
    </row>
    <row r="154" spans="1:13" s="145" customFormat="1" x14ac:dyDescent="0.2">
      <c r="A154" s="2125"/>
      <c r="B154" s="2113"/>
      <c r="C154" s="878"/>
      <c r="D154" s="878"/>
      <c r="E154" s="879"/>
      <c r="F154" s="878"/>
      <c r="G154" s="879">
        <v>175</v>
      </c>
      <c r="H154" s="878"/>
      <c r="I154" s="867">
        <v>1210</v>
      </c>
      <c r="J154" s="878">
        <v>175</v>
      </c>
      <c r="K154" s="882"/>
      <c r="L154" s="2126"/>
      <c r="M154" s="2122"/>
    </row>
    <row r="155" spans="1:13" s="145" customFormat="1" x14ac:dyDescent="0.2">
      <c r="A155" s="2125"/>
      <c r="B155" s="2113"/>
      <c r="C155" s="878"/>
      <c r="D155" s="878"/>
      <c r="E155" s="879"/>
      <c r="F155" s="878"/>
      <c r="G155" s="879">
        <v>2000</v>
      </c>
      <c r="H155" s="878"/>
      <c r="I155" s="867">
        <v>2231</v>
      </c>
      <c r="J155" s="878">
        <v>2000</v>
      </c>
      <c r="K155" s="882"/>
      <c r="L155" s="2126"/>
      <c r="M155" s="2122"/>
    </row>
    <row r="156" spans="1:13" s="145" customFormat="1" x14ac:dyDescent="0.2">
      <c r="A156" s="2125"/>
      <c r="B156" s="2113"/>
      <c r="C156" s="878"/>
      <c r="D156" s="878"/>
      <c r="E156" s="879"/>
      <c r="F156" s="878"/>
      <c r="G156" s="879">
        <v>4400</v>
      </c>
      <c r="H156" s="878"/>
      <c r="I156" s="867">
        <v>2264</v>
      </c>
      <c r="J156" s="878">
        <v>4400</v>
      </c>
      <c r="K156" s="882"/>
      <c r="L156" s="2126"/>
      <c r="M156" s="2122"/>
    </row>
    <row r="157" spans="1:13" s="145" customFormat="1" x14ac:dyDescent="0.2">
      <c r="A157" s="2125"/>
      <c r="B157" s="2113"/>
      <c r="C157" s="878"/>
      <c r="D157" s="878"/>
      <c r="E157" s="879"/>
      <c r="F157" s="878"/>
      <c r="G157" s="879">
        <v>4475</v>
      </c>
      <c r="H157" s="878"/>
      <c r="I157" s="867">
        <v>2279</v>
      </c>
      <c r="J157" s="878">
        <v>4475</v>
      </c>
      <c r="K157" s="882"/>
      <c r="L157" s="2126"/>
      <c r="M157" s="2122"/>
    </row>
    <row r="158" spans="1:13" s="145" customFormat="1" x14ac:dyDescent="0.2">
      <c r="A158" s="2125"/>
      <c r="B158" s="2113"/>
      <c r="C158" s="878"/>
      <c r="D158" s="878"/>
      <c r="E158" s="879"/>
      <c r="F158" s="878"/>
      <c r="G158" s="879">
        <v>450</v>
      </c>
      <c r="H158" s="878"/>
      <c r="I158" s="867">
        <v>2314</v>
      </c>
      <c r="J158" s="878">
        <v>450</v>
      </c>
      <c r="K158" s="882"/>
      <c r="L158" s="2126"/>
      <c r="M158" s="2122"/>
    </row>
    <row r="159" spans="1:13" s="145" customFormat="1" x14ac:dyDescent="0.2">
      <c r="A159" s="2112" t="s">
        <v>2428</v>
      </c>
      <c r="B159" s="2113" t="s">
        <v>2429</v>
      </c>
      <c r="C159" s="875">
        <f>SUM(C160:C164)</f>
        <v>0</v>
      </c>
      <c r="D159" s="875">
        <f t="shared" ref="D159:K159" si="40">SUM(D160:D164)</f>
        <v>0</v>
      </c>
      <c r="E159" s="875">
        <f t="shared" si="40"/>
        <v>0</v>
      </c>
      <c r="F159" s="875">
        <f t="shared" si="40"/>
        <v>0</v>
      </c>
      <c r="G159" s="876">
        <f t="shared" si="40"/>
        <v>9000</v>
      </c>
      <c r="H159" s="875">
        <f t="shared" si="40"/>
        <v>0</v>
      </c>
      <c r="I159" s="875"/>
      <c r="J159" s="875">
        <f t="shared" si="40"/>
        <v>9000</v>
      </c>
      <c r="K159" s="875">
        <f t="shared" si="40"/>
        <v>0</v>
      </c>
      <c r="L159" s="2126" t="s">
        <v>2426</v>
      </c>
      <c r="M159" s="2122" t="s">
        <v>2430</v>
      </c>
    </row>
    <row r="160" spans="1:13" s="145" customFormat="1" x14ac:dyDescent="0.2">
      <c r="A160" s="2112"/>
      <c r="B160" s="2113"/>
      <c r="C160" s="878"/>
      <c r="D160" s="878"/>
      <c r="E160" s="879"/>
      <c r="F160" s="878"/>
      <c r="G160" s="879">
        <v>2800</v>
      </c>
      <c r="H160" s="878"/>
      <c r="I160" s="867">
        <v>1150</v>
      </c>
      <c r="J160" s="878">
        <v>2800</v>
      </c>
      <c r="K160" s="882"/>
      <c r="L160" s="2126"/>
      <c r="M160" s="2122"/>
    </row>
    <row r="161" spans="1:13" s="145" customFormat="1" x14ac:dyDescent="0.2">
      <c r="A161" s="2112"/>
      <c r="B161" s="2113"/>
      <c r="C161" s="878"/>
      <c r="D161" s="878"/>
      <c r="E161" s="879"/>
      <c r="F161" s="878"/>
      <c r="G161" s="879">
        <v>140</v>
      </c>
      <c r="H161" s="878"/>
      <c r="I161" s="867">
        <v>1210</v>
      </c>
      <c r="J161" s="878">
        <v>140</v>
      </c>
      <c r="K161" s="882"/>
      <c r="L161" s="2126"/>
      <c r="M161" s="2122"/>
    </row>
    <row r="162" spans="1:13" s="145" customFormat="1" x14ac:dyDescent="0.2">
      <c r="A162" s="2112"/>
      <c r="B162" s="2113"/>
      <c r="C162" s="878"/>
      <c r="D162" s="878"/>
      <c r="E162" s="879"/>
      <c r="F162" s="878"/>
      <c r="G162" s="879">
        <v>2160</v>
      </c>
      <c r="H162" s="878"/>
      <c r="I162" s="867">
        <v>2264</v>
      </c>
      <c r="J162" s="878">
        <v>2160</v>
      </c>
      <c r="K162" s="882"/>
      <c r="L162" s="2126"/>
      <c r="M162" s="2122"/>
    </row>
    <row r="163" spans="1:13" s="145" customFormat="1" x14ac:dyDescent="0.2">
      <c r="A163" s="2112"/>
      <c r="B163" s="2113"/>
      <c r="C163" s="878"/>
      <c r="D163" s="878"/>
      <c r="E163" s="879"/>
      <c r="F163" s="878"/>
      <c r="G163" s="879">
        <v>3500</v>
      </c>
      <c r="H163" s="878"/>
      <c r="I163" s="867">
        <v>2279</v>
      </c>
      <c r="J163" s="878">
        <v>3500</v>
      </c>
      <c r="K163" s="882"/>
      <c r="L163" s="2126"/>
      <c r="M163" s="2122"/>
    </row>
    <row r="164" spans="1:13" s="145" customFormat="1" x14ac:dyDescent="0.2">
      <c r="A164" s="2112"/>
      <c r="B164" s="2113"/>
      <c r="C164" s="878"/>
      <c r="D164" s="878"/>
      <c r="E164" s="879"/>
      <c r="F164" s="878"/>
      <c r="G164" s="879">
        <v>400</v>
      </c>
      <c r="H164" s="878"/>
      <c r="I164" s="867">
        <v>2314</v>
      </c>
      <c r="J164" s="878">
        <v>400</v>
      </c>
      <c r="K164" s="882"/>
      <c r="L164" s="2126"/>
      <c r="M164" s="2122"/>
    </row>
    <row r="165" spans="1:13" s="145" customFormat="1" x14ac:dyDescent="0.2">
      <c r="A165" s="2112" t="s">
        <v>2431</v>
      </c>
      <c r="B165" s="2113" t="s">
        <v>2432</v>
      </c>
      <c r="C165" s="875">
        <f>SUM(C166:C170)</f>
        <v>0</v>
      </c>
      <c r="D165" s="875">
        <f t="shared" ref="D165:K165" si="41">SUM(D166:D170)</f>
        <v>0</v>
      </c>
      <c r="E165" s="875">
        <f t="shared" si="41"/>
        <v>0</v>
      </c>
      <c r="F165" s="875">
        <f t="shared" si="41"/>
        <v>0</v>
      </c>
      <c r="G165" s="876">
        <f t="shared" si="41"/>
        <v>17000</v>
      </c>
      <c r="H165" s="875">
        <f t="shared" si="41"/>
        <v>0</v>
      </c>
      <c r="I165" s="875"/>
      <c r="J165" s="875">
        <f t="shared" si="41"/>
        <v>17000</v>
      </c>
      <c r="K165" s="875">
        <f t="shared" si="41"/>
        <v>0</v>
      </c>
      <c r="L165" s="2126" t="s">
        <v>2426</v>
      </c>
      <c r="M165" s="2122" t="s">
        <v>2433</v>
      </c>
    </row>
    <row r="166" spans="1:13" s="145" customFormat="1" x14ac:dyDescent="0.2">
      <c r="A166" s="2112"/>
      <c r="B166" s="2113"/>
      <c r="C166" s="878"/>
      <c r="D166" s="878"/>
      <c r="E166" s="879"/>
      <c r="F166" s="878"/>
      <c r="G166" s="879">
        <v>4300</v>
      </c>
      <c r="H166" s="878"/>
      <c r="I166" s="867">
        <v>1150</v>
      </c>
      <c r="J166" s="878">
        <v>4300</v>
      </c>
      <c r="K166" s="882"/>
      <c r="L166" s="2126"/>
      <c r="M166" s="2122"/>
    </row>
    <row r="167" spans="1:13" s="145" customFormat="1" x14ac:dyDescent="0.2">
      <c r="A167" s="2112"/>
      <c r="B167" s="2113"/>
      <c r="C167" s="878"/>
      <c r="D167" s="878"/>
      <c r="E167" s="879"/>
      <c r="F167" s="878"/>
      <c r="G167" s="879">
        <v>215</v>
      </c>
      <c r="H167" s="878"/>
      <c r="I167" s="867">
        <v>1210</v>
      </c>
      <c r="J167" s="878">
        <v>215</v>
      </c>
      <c r="K167" s="882"/>
      <c r="L167" s="2126"/>
      <c r="M167" s="2122"/>
    </row>
    <row r="168" spans="1:13" s="145" customFormat="1" x14ac:dyDescent="0.2">
      <c r="A168" s="2112"/>
      <c r="B168" s="2113"/>
      <c r="C168" s="878"/>
      <c r="D168" s="878"/>
      <c r="E168" s="879"/>
      <c r="F168" s="878"/>
      <c r="G168" s="879">
        <v>7000</v>
      </c>
      <c r="H168" s="878"/>
      <c r="I168" s="867">
        <v>2264</v>
      </c>
      <c r="J168" s="878">
        <v>7000</v>
      </c>
      <c r="K168" s="882"/>
      <c r="L168" s="2126"/>
      <c r="M168" s="2122"/>
    </row>
    <row r="169" spans="1:13" s="145" customFormat="1" x14ac:dyDescent="0.2">
      <c r="A169" s="2112"/>
      <c r="B169" s="2113"/>
      <c r="C169" s="878"/>
      <c r="D169" s="878"/>
      <c r="E169" s="879"/>
      <c r="F169" s="878"/>
      <c r="G169" s="879">
        <v>4800</v>
      </c>
      <c r="H169" s="878"/>
      <c r="I169" s="867">
        <v>2279</v>
      </c>
      <c r="J169" s="878">
        <v>4800</v>
      </c>
      <c r="K169" s="882"/>
      <c r="L169" s="2126"/>
      <c r="M169" s="2122"/>
    </row>
    <row r="170" spans="1:13" s="145" customFormat="1" x14ac:dyDescent="0.2">
      <c r="A170" s="2112"/>
      <c r="B170" s="2113"/>
      <c r="C170" s="878"/>
      <c r="D170" s="878"/>
      <c r="E170" s="879"/>
      <c r="F170" s="878"/>
      <c r="G170" s="879">
        <v>685</v>
      </c>
      <c r="H170" s="878"/>
      <c r="I170" s="867">
        <v>2314</v>
      </c>
      <c r="J170" s="878">
        <v>685</v>
      </c>
      <c r="K170" s="882"/>
      <c r="L170" s="2126"/>
      <c r="M170" s="2122"/>
    </row>
    <row r="171" spans="1:13" s="145" customFormat="1" ht="12" customHeight="1" x14ac:dyDescent="0.2">
      <c r="A171" s="2112" t="s">
        <v>2434</v>
      </c>
      <c r="B171" s="2113" t="s">
        <v>2435</v>
      </c>
      <c r="C171" s="875">
        <f>SUM(C172:C176)</f>
        <v>0</v>
      </c>
      <c r="D171" s="875">
        <f t="shared" ref="D171:K171" si="42">SUM(D172:D176)</f>
        <v>0</v>
      </c>
      <c r="E171" s="875">
        <f t="shared" si="42"/>
        <v>0</v>
      </c>
      <c r="F171" s="875">
        <f t="shared" si="42"/>
        <v>0</v>
      </c>
      <c r="G171" s="876">
        <f t="shared" si="42"/>
        <v>15000</v>
      </c>
      <c r="H171" s="875">
        <f t="shared" si="42"/>
        <v>0</v>
      </c>
      <c r="I171" s="875"/>
      <c r="J171" s="875">
        <f t="shared" si="42"/>
        <v>10000</v>
      </c>
      <c r="K171" s="875">
        <f t="shared" si="42"/>
        <v>0</v>
      </c>
      <c r="L171" s="2126" t="s">
        <v>2426</v>
      </c>
      <c r="M171" s="2122" t="s">
        <v>2436</v>
      </c>
    </row>
    <row r="172" spans="1:13" s="145" customFormat="1" ht="12.75" customHeight="1" x14ac:dyDescent="0.2">
      <c r="A172" s="2112"/>
      <c r="B172" s="2113"/>
      <c r="C172" s="878"/>
      <c r="D172" s="878"/>
      <c r="E172" s="879"/>
      <c r="F172" s="878"/>
      <c r="G172" s="879">
        <v>3600</v>
      </c>
      <c r="H172" s="878"/>
      <c r="I172" s="867">
        <v>1150</v>
      </c>
      <c r="J172" s="878">
        <f>3600-680</f>
        <v>2920</v>
      </c>
      <c r="K172" s="882"/>
      <c r="L172" s="2126"/>
      <c r="M172" s="2122"/>
    </row>
    <row r="173" spans="1:13" s="145" customFormat="1" ht="12.75" customHeight="1" x14ac:dyDescent="0.2">
      <c r="A173" s="2112"/>
      <c r="B173" s="2113"/>
      <c r="C173" s="878"/>
      <c r="D173" s="878"/>
      <c r="E173" s="879"/>
      <c r="F173" s="878"/>
      <c r="G173" s="879">
        <v>180</v>
      </c>
      <c r="H173" s="878"/>
      <c r="I173" s="867">
        <v>1210</v>
      </c>
      <c r="J173" s="878">
        <f>180-34</f>
        <v>146</v>
      </c>
      <c r="K173" s="882"/>
      <c r="L173" s="2126"/>
      <c r="M173" s="2122"/>
    </row>
    <row r="174" spans="1:13" s="145" customFormat="1" ht="12.75" customHeight="1" x14ac:dyDescent="0.2">
      <c r="A174" s="2112"/>
      <c r="B174" s="2113"/>
      <c r="C174" s="878"/>
      <c r="D174" s="878"/>
      <c r="E174" s="879"/>
      <c r="F174" s="878"/>
      <c r="G174" s="879">
        <v>5100</v>
      </c>
      <c r="H174" s="878"/>
      <c r="I174" s="867">
        <v>2264</v>
      </c>
      <c r="J174" s="878">
        <f>5100-1700</f>
        <v>3400</v>
      </c>
      <c r="K174" s="882"/>
      <c r="L174" s="2126"/>
      <c r="M174" s="2122"/>
    </row>
    <row r="175" spans="1:13" s="145" customFormat="1" ht="12.75" customHeight="1" x14ac:dyDescent="0.2">
      <c r="A175" s="2112"/>
      <c r="B175" s="2113"/>
      <c r="C175" s="878"/>
      <c r="D175" s="878"/>
      <c r="E175" s="879"/>
      <c r="F175" s="878"/>
      <c r="G175" s="879">
        <v>5820</v>
      </c>
      <c r="H175" s="878"/>
      <c r="I175" s="867">
        <v>2279</v>
      </c>
      <c r="J175" s="878">
        <f>5820-2486</f>
        <v>3334</v>
      </c>
      <c r="K175" s="882"/>
      <c r="L175" s="2126"/>
      <c r="M175" s="2122"/>
    </row>
    <row r="176" spans="1:13" s="145" customFormat="1" x14ac:dyDescent="0.2">
      <c r="A176" s="2112"/>
      <c r="B176" s="2113"/>
      <c r="C176" s="878"/>
      <c r="D176" s="878"/>
      <c r="E176" s="879"/>
      <c r="F176" s="878"/>
      <c r="G176" s="879">
        <v>300</v>
      </c>
      <c r="H176" s="878"/>
      <c r="I176" s="867">
        <v>2314</v>
      </c>
      <c r="J176" s="878">
        <f>300-100</f>
        <v>200</v>
      </c>
      <c r="K176" s="882"/>
      <c r="L176" s="2126"/>
      <c r="M176" s="2122"/>
    </row>
    <row r="177" spans="1:13" s="145" customFormat="1" x14ac:dyDescent="0.2">
      <c r="A177" s="2112" t="s">
        <v>2437</v>
      </c>
      <c r="B177" s="2113" t="s">
        <v>2438</v>
      </c>
      <c r="C177" s="875">
        <f>SUM(C178:C182)</f>
        <v>0</v>
      </c>
      <c r="D177" s="875">
        <f t="shared" ref="D177:H177" si="43">SUM(D178:D182)</f>
        <v>0</v>
      </c>
      <c r="E177" s="875">
        <f t="shared" si="43"/>
        <v>0</v>
      </c>
      <c r="F177" s="875">
        <f t="shared" si="43"/>
        <v>0</v>
      </c>
      <c r="G177" s="876">
        <f>SUM(G178:G182)</f>
        <v>0</v>
      </c>
      <c r="H177" s="875">
        <f t="shared" si="43"/>
        <v>0</v>
      </c>
      <c r="I177" s="875"/>
      <c r="J177" s="875">
        <f t="shared" ref="J177:K177" si="44">SUM(J178:J182)</f>
        <v>5000</v>
      </c>
      <c r="K177" s="875">
        <f t="shared" si="44"/>
        <v>0</v>
      </c>
      <c r="L177" s="2126" t="s">
        <v>2426</v>
      </c>
      <c r="M177" s="2122" t="s">
        <v>2439</v>
      </c>
    </row>
    <row r="178" spans="1:13" s="145" customFormat="1" x14ac:dyDescent="0.2">
      <c r="A178" s="2112"/>
      <c r="B178" s="2113"/>
      <c r="C178" s="878"/>
      <c r="D178" s="878"/>
      <c r="E178" s="879"/>
      <c r="F178" s="878"/>
      <c r="G178" s="879"/>
      <c r="H178" s="878"/>
      <c r="I178" s="867">
        <v>1150</v>
      </c>
      <c r="J178" s="878">
        <v>680</v>
      </c>
      <c r="K178" s="882"/>
      <c r="L178" s="2126"/>
      <c r="M178" s="2122"/>
    </row>
    <row r="179" spans="1:13" s="145" customFormat="1" x14ac:dyDescent="0.2">
      <c r="A179" s="2112"/>
      <c r="B179" s="2113"/>
      <c r="C179" s="878"/>
      <c r="D179" s="878"/>
      <c r="E179" s="879"/>
      <c r="F179" s="878"/>
      <c r="G179" s="879"/>
      <c r="H179" s="878"/>
      <c r="I179" s="867">
        <v>1210</v>
      </c>
      <c r="J179" s="878">
        <v>34</v>
      </c>
      <c r="K179" s="882"/>
      <c r="L179" s="2126"/>
      <c r="M179" s="2122"/>
    </row>
    <row r="180" spans="1:13" s="145" customFormat="1" x14ac:dyDescent="0.2">
      <c r="A180" s="2112"/>
      <c r="B180" s="2113"/>
      <c r="C180" s="878"/>
      <c r="D180" s="878"/>
      <c r="E180" s="879"/>
      <c r="F180" s="878"/>
      <c r="G180" s="879"/>
      <c r="H180" s="878"/>
      <c r="I180" s="867">
        <v>2264</v>
      </c>
      <c r="J180" s="878">
        <v>1700</v>
      </c>
      <c r="K180" s="882"/>
      <c r="L180" s="2126"/>
      <c r="M180" s="2122"/>
    </row>
    <row r="181" spans="1:13" s="145" customFormat="1" x14ac:dyDescent="0.2">
      <c r="A181" s="2112"/>
      <c r="B181" s="2113"/>
      <c r="C181" s="878"/>
      <c r="D181" s="878"/>
      <c r="E181" s="879"/>
      <c r="F181" s="878"/>
      <c r="G181" s="879"/>
      <c r="H181" s="878"/>
      <c r="I181" s="867">
        <v>2279</v>
      </c>
      <c r="J181" s="878">
        <v>2486</v>
      </c>
      <c r="K181" s="882"/>
      <c r="L181" s="2126"/>
      <c r="M181" s="2122"/>
    </row>
    <row r="182" spans="1:13" s="145" customFormat="1" x14ac:dyDescent="0.2">
      <c r="A182" s="2112"/>
      <c r="B182" s="2113"/>
      <c r="C182" s="878"/>
      <c r="D182" s="878"/>
      <c r="E182" s="879"/>
      <c r="F182" s="878"/>
      <c r="G182" s="879"/>
      <c r="H182" s="878"/>
      <c r="I182" s="867">
        <v>2314</v>
      </c>
      <c r="J182" s="878">
        <v>100</v>
      </c>
      <c r="K182" s="882"/>
      <c r="L182" s="2126"/>
      <c r="M182" s="2122"/>
    </row>
    <row r="183" spans="1:13" s="145" customFormat="1" x14ac:dyDescent="0.2">
      <c r="A183" s="2112" t="s">
        <v>2440</v>
      </c>
      <c r="B183" s="2113" t="s">
        <v>2441</v>
      </c>
      <c r="C183" s="865">
        <f>SUM(C184:C188)</f>
        <v>5300</v>
      </c>
      <c r="D183" s="865">
        <f t="shared" ref="D183:K183" si="45">SUM(D184:D188)</f>
        <v>0</v>
      </c>
      <c r="E183" s="866">
        <f t="shared" si="45"/>
        <v>5300</v>
      </c>
      <c r="F183" s="865">
        <f t="shared" si="45"/>
        <v>0</v>
      </c>
      <c r="G183" s="866">
        <f t="shared" si="45"/>
        <v>10400</v>
      </c>
      <c r="H183" s="865">
        <f t="shared" si="45"/>
        <v>0</v>
      </c>
      <c r="I183" s="867"/>
      <c r="J183" s="865">
        <f>SUM(J184:J188)</f>
        <v>5830</v>
      </c>
      <c r="K183" s="865">
        <f t="shared" si="45"/>
        <v>0</v>
      </c>
      <c r="L183" s="2126" t="s">
        <v>2426</v>
      </c>
      <c r="M183" s="2122" t="s">
        <v>2442</v>
      </c>
    </row>
    <row r="184" spans="1:13" s="145" customFormat="1" x14ac:dyDescent="0.2">
      <c r="A184" s="2112"/>
      <c r="B184" s="2113"/>
      <c r="C184" s="868">
        <v>1537</v>
      </c>
      <c r="D184" s="868"/>
      <c r="E184" s="869">
        <v>1537</v>
      </c>
      <c r="F184" s="868"/>
      <c r="G184" s="869">
        <v>3400</v>
      </c>
      <c r="H184" s="868"/>
      <c r="I184" s="867">
        <v>1150</v>
      </c>
      <c r="J184" s="868">
        <v>1300</v>
      </c>
      <c r="K184" s="885"/>
      <c r="L184" s="2126"/>
      <c r="M184" s="2122"/>
    </row>
    <row r="185" spans="1:13" s="145" customFormat="1" x14ac:dyDescent="0.2">
      <c r="A185" s="2112"/>
      <c r="B185" s="2113"/>
      <c r="C185" s="868">
        <v>78</v>
      </c>
      <c r="D185" s="868"/>
      <c r="E185" s="869">
        <v>78</v>
      </c>
      <c r="F185" s="868"/>
      <c r="G185" s="869">
        <v>170</v>
      </c>
      <c r="H185" s="868"/>
      <c r="I185" s="867">
        <v>1210</v>
      </c>
      <c r="J185" s="868">
        <v>65</v>
      </c>
      <c r="K185" s="885"/>
      <c r="L185" s="2126"/>
      <c r="M185" s="2122"/>
    </row>
    <row r="186" spans="1:13" s="145" customFormat="1" x14ac:dyDescent="0.2">
      <c r="A186" s="2112"/>
      <c r="B186" s="2113"/>
      <c r="C186" s="868">
        <v>1100</v>
      </c>
      <c r="D186" s="868"/>
      <c r="E186" s="869">
        <v>1100</v>
      </c>
      <c r="F186" s="868"/>
      <c r="G186" s="869">
        <v>1915</v>
      </c>
      <c r="H186" s="868"/>
      <c r="I186" s="867">
        <v>2264</v>
      </c>
      <c r="J186" s="868">
        <v>1300</v>
      </c>
      <c r="K186" s="885"/>
      <c r="L186" s="2126"/>
      <c r="M186" s="2122"/>
    </row>
    <row r="187" spans="1:13" s="145" customFormat="1" x14ac:dyDescent="0.2">
      <c r="A187" s="2112"/>
      <c r="B187" s="2113"/>
      <c r="C187" s="868">
        <v>2367</v>
      </c>
      <c r="D187" s="868"/>
      <c r="E187" s="869">
        <v>2367</v>
      </c>
      <c r="F187" s="868"/>
      <c r="G187" s="869">
        <v>4515</v>
      </c>
      <c r="H187" s="868"/>
      <c r="I187" s="867">
        <v>2279</v>
      </c>
      <c r="J187" s="868">
        <v>2840</v>
      </c>
      <c r="K187" s="885"/>
      <c r="L187" s="2126"/>
      <c r="M187" s="2122"/>
    </row>
    <row r="188" spans="1:13" s="145" customFormat="1" x14ac:dyDescent="0.2">
      <c r="A188" s="2112"/>
      <c r="B188" s="2113"/>
      <c r="C188" s="868">
        <v>218</v>
      </c>
      <c r="D188" s="868"/>
      <c r="E188" s="869">
        <v>218</v>
      </c>
      <c r="F188" s="868"/>
      <c r="G188" s="869">
        <v>400</v>
      </c>
      <c r="H188" s="868"/>
      <c r="I188" s="867">
        <v>2314</v>
      </c>
      <c r="J188" s="868">
        <v>325</v>
      </c>
      <c r="K188" s="885"/>
      <c r="L188" s="2126"/>
      <c r="M188" s="2122"/>
    </row>
    <row r="189" spans="1:13" s="145" customFormat="1" ht="12" customHeight="1" x14ac:dyDescent="0.2">
      <c r="A189" s="872">
        <v>8</v>
      </c>
      <c r="B189" s="873" t="s">
        <v>2443</v>
      </c>
      <c r="C189" s="865">
        <f>SUM(C190,C198,C204,C209,C211,C213,C215,C220,C227,C233)</f>
        <v>55849</v>
      </c>
      <c r="D189" s="865">
        <f>SUM(D190,D198,D204,D209,D211,D213,D215,D220,D227,D233)</f>
        <v>0</v>
      </c>
      <c r="E189" s="865">
        <f>SUM(E190,E198,E204,E209,E211,E213,E215,E220,E227,E233)</f>
        <v>54009.99</v>
      </c>
      <c r="F189" s="865">
        <f>SUM(F190,F198,F204,F209,F211,F213,F215,F220,F227,F233)</f>
        <v>0</v>
      </c>
      <c r="G189" s="866">
        <f>SUM(G190,G192,G198,G204,G209,G211,G213,G215,G220,G227,G233)</f>
        <v>47049</v>
      </c>
      <c r="H189" s="865">
        <f>SUM(H190,H198,H204,H209,H211,H213,H215,H220,H227,H233)</f>
        <v>0</v>
      </c>
      <c r="I189" s="865"/>
      <c r="J189" s="865">
        <f>SUM(J190,J192,J198,J204,J209,J211,J213,J215,J220,J227,J233)</f>
        <v>40549</v>
      </c>
      <c r="K189" s="865">
        <f>SUM(K190,K198,K204,K209,K211,K213,K215,K220,K227,K233)</f>
        <v>0</v>
      </c>
      <c r="L189" s="886"/>
      <c r="M189" s="874"/>
    </row>
    <row r="190" spans="1:13" s="145" customFormat="1" ht="12" customHeight="1" x14ac:dyDescent="0.2">
      <c r="A190" s="2112" t="s">
        <v>2444</v>
      </c>
      <c r="B190" s="2113" t="s">
        <v>2445</v>
      </c>
      <c r="C190" s="865">
        <f>SUM(C191)</f>
        <v>876</v>
      </c>
      <c r="D190" s="865">
        <f t="shared" ref="D190:K190" si="46">SUM(D191)</f>
        <v>0</v>
      </c>
      <c r="E190" s="866">
        <f t="shared" si="46"/>
        <v>876</v>
      </c>
      <c r="F190" s="865">
        <f t="shared" si="46"/>
        <v>0</v>
      </c>
      <c r="G190" s="866">
        <f t="shared" si="46"/>
        <v>876</v>
      </c>
      <c r="H190" s="865">
        <f t="shared" si="46"/>
        <v>0</v>
      </c>
      <c r="I190" s="867"/>
      <c r="J190" s="865">
        <f t="shared" si="46"/>
        <v>876</v>
      </c>
      <c r="K190" s="865">
        <f t="shared" si="46"/>
        <v>0</v>
      </c>
      <c r="L190" s="2126" t="s">
        <v>2446</v>
      </c>
      <c r="M190" s="2115"/>
    </row>
    <row r="191" spans="1:13" s="145" customFormat="1" ht="15" customHeight="1" x14ac:dyDescent="0.2">
      <c r="A191" s="2112"/>
      <c r="B191" s="2113"/>
      <c r="C191" s="868">
        <v>876</v>
      </c>
      <c r="D191" s="868"/>
      <c r="E191" s="869">
        <v>876</v>
      </c>
      <c r="F191" s="868"/>
      <c r="G191" s="869">
        <v>876</v>
      </c>
      <c r="H191" s="868"/>
      <c r="I191" s="867">
        <v>2279</v>
      </c>
      <c r="J191" s="868">
        <v>876</v>
      </c>
      <c r="K191" s="885"/>
      <c r="L191" s="2126"/>
      <c r="M191" s="2115"/>
    </row>
    <row r="192" spans="1:13" s="145" customFormat="1" x14ac:dyDescent="0.2">
      <c r="A192" s="2112" t="s">
        <v>2447</v>
      </c>
      <c r="B192" s="2113" t="s">
        <v>2448</v>
      </c>
      <c r="C192" s="865">
        <f t="shared" ref="C192:H192" si="47">SUM(C193:C197)</f>
        <v>0</v>
      </c>
      <c r="D192" s="865">
        <f t="shared" si="47"/>
        <v>0</v>
      </c>
      <c r="E192" s="865">
        <f t="shared" si="47"/>
        <v>0</v>
      </c>
      <c r="F192" s="865">
        <f t="shared" si="47"/>
        <v>0</v>
      </c>
      <c r="G192" s="866">
        <f t="shared" si="47"/>
        <v>15000</v>
      </c>
      <c r="H192" s="865">
        <f t="shared" si="47"/>
        <v>0</v>
      </c>
      <c r="I192" s="865"/>
      <c r="J192" s="865">
        <f>SUM(J193:J197)</f>
        <v>15000</v>
      </c>
      <c r="K192" s="865">
        <f>SUM(K193:K197)</f>
        <v>0</v>
      </c>
      <c r="L192" s="2126" t="s">
        <v>2426</v>
      </c>
      <c r="M192" s="2121" t="s">
        <v>2449</v>
      </c>
    </row>
    <row r="193" spans="1:13" s="145" customFormat="1" x14ac:dyDescent="0.2">
      <c r="A193" s="2112"/>
      <c r="B193" s="2113"/>
      <c r="C193" s="868"/>
      <c r="D193" s="868"/>
      <c r="E193" s="869"/>
      <c r="F193" s="868"/>
      <c r="G193" s="869">
        <v>3000</v>
      </c>
      <c r="H193" s="868"/>
      <c r="I193" s="867">
        <v>1150</v>
      </c>
      <c r="J193" s="868">
        <v>3000</v>
      </c>
      <c r="K193" s="885"/>
      <c r="L193" s="2126"/>
      <c r="M193" s="2121"/>
    </row>
    <row r="194" spans="1:13" s="145" customFormat="1" x14ac:dyDescent="0.2">
      <c r="A194" s="2112"/>
      <c r="B194" s="2113"/>
      <c r="C194" s="868"/>
      <c r="D194" s="868"/>
      <c r="E194" s="869"/>
      <c r="F194" s="868"/>
      <c r="G194" s="869">
        <v>150</v>
      </c>
      <c r="H194" s="868"/>
      <c r="I194" s="867">
        <v>1210</v>
      </c>
      <c r="J194" s="868">
        <v>150</v>
      </c>
      <c r="K194" s="885"/>
      <c r="L194" s="2126"/>
      <c r="M194" s="2121"/>
    </row>
    <row r="195" spans="1:13" s="145" customFormat="1" x14ac:dyDescent="0.2">
      <c r="A195" s="2112"/>
      <c r="B195" s="2113"/>
      <c r="C195" s="868"/>
      <c r="D195" s="868"/>
      <c r="E195" s="869"/>
      <c r="F195" s="868"/>
      <c r="G195" s="869">
        <v>6000</v>
      </c>
      <c r="H195" s="868"/>
      <c r="I195" s="867">
        <v>2264</v>
      </c>
      <c r="J195" s="868">
        <v>6000</v>
      </c>
      <c r="K195" s="885"/>
      <c r="L195" s="2126"/>
      <c r="M195" s="2121"/>
    </row>
    <row r="196" spans="1:13" s="145" customFormat="1" x14ac:dyDescent="0.2">
      <c r="A196" s="2112"/>
      <c r="B196" s="2113"/>
      <c r="C196" s="868"/>
      <c r="D196" s="868"/>
      <c r="E196" s="869"/>
      <c r="F196" s="868"/>
      <c r="G196" s="869">
        <v>2850</v>
      </c>
      <c r="H196" s="868"/>
      <c r="I196" s="867">
        <v>2279</v>
      </c>
      <c r="J196" s="868">
        <v>2850</v>
      </c>
      <c r="K196" s="885"/>
      <c r="L196" s="2126"/>
      <c r="M196" s="2121"/>
    </row>
    <row r="197" spans="1:13" s="145" customFormat="1" x14ac:dyDescent="0.2">
      <c r="A197" s="2112"/>
      <c r="B197" s="2113"/>
      <c r="C197" s="868"/>
      <c r="D197" s="868"/>
      <c r="E197" s="869"/>
      <c r="F197" s="868"/>
      <c r="G197" s="869">
        <v>3000</v>
      </c>
      <c r="H197" s="868"/>
      <c r="I197" s="867">
        <v>2314</v>
      </c>
      <c r="J197" s="868">
        <v>3000</v>
      </c>
      <c r="K197" s="885"/>
      <c r="L197" s="2126"/>
      <c r="M197" s="2121"/>
    </row>
    <row r="198" spans="1:13" s="145" customFormat="1" x14ac:dyDescent="0.2">
      <c r="A198" s="2125" t="s">
        <v>2450</v>
      </c>
      <c r="B198" s="2113" t="s">
        <v>2451</v>
      </c>
      <c r="C198" s="865">
        <f>SUM(C199:C203)</f>
        <v>8359</v>
      </c>
      <c r="D198" s="865">
        <f t="shared" ref="D198:H198" si="48">SUM(D199:D203)</f>
        <v>0</v>
      </c>
      <c r="E198" s="865">
        <f t="shared" si="48"/>
        <v>6894</v>
      </c>
      <c r="F198" s="865">
        <f t="shared" si="48"/>
        <v>0</v>
      </c>
      <c r="G198" s="866">
        <f>SUM(G199:G203)</f>
        <v>7928</v>
      </c>
      <c r="H198" s="865">
        <f t="shared" si="48"/>
        <v>0</v>
      </c>
      <c r="I198" s="867"/>
      <c r="J198" s="865">
        <f t="shared" ref="J198:K198" si="49">SUM(J199:J203)</f>
        <v>7928</v>
      </c>
      <c r="K198" s="865">
        <f t="shared" si="49"/>
        <v>0</v>
      </c>
      <c r="L198" s="2114" t="s">
        <v>2452</v>
      </c>
      <c r="M198" s="2129" t="s">
        <v>2453</v>
      </c>
    </row>
    <row r="199" spans="1:13" s="145" customFormat="1" x14ac:dyDescent="0.2">
      <c r="A199" s="2125"/>
      <c r="B199" s="2113"/>
      <c r="C199" s="868">
        <v>300</v>
      </c>
      <c r="D199" s="865"/>
      <c r="E199" s="869">
        <v>300</v>
      </c>
      <c r="F199" s="865"/>
      <c r="G199" s="869">
        <v>650</v>
      </c>
      <c r="H199" s="865"/>
      <c r="I199" s="867">
        <v>1150</v>
      </c>
      <c r="J199" s="868">
        <v>650</v>
      </c>
      <c r="K199" s="868"/>
      <c r="L199" s="2114"/>
      <c r="M199" s="2129"/>
    </row>
    <row r="200" spans="1:13" s="145" customFormat="1" x14ac:dyDescent="0.2">
      <c r="A200" s="2125"/>
      <c r="B200" s="2113"/>
      <c r="C200" s="868">
        <v>15</v>
      </c>
      <c r="D200" s="865"/>
      <c r="E200" s="869">
        <v>15</v>
      </c>
      <c r="F200" s="865"/>
      <c r="G200" s="869">
        <v>33</v>
      </c>
      <c r="H200" s="865"/>
      <c r="I200" s="867">
        <v>1210</v>
      </c>
      <c r="J200" s="868">
        <v>33</v>
      </c>
      <c r="K200" s="868"/>
      <c r="L200" s="2114"/>
      <c r="M200" s="2129"/>
    </row>
    <row r="201" spans="1:13" s="145" customFormat="1" x14ac:dyDescent="0.2">
      <c r="A201" s="2125"/>
      <c r="B201" s="2113"/>
      <c r="C201" s="868">
        <v>2500</v>
      </c>
      <c r="D201" s="868"/>
      <c r="E201" s="869">
        <v>2500</v>
      </c>
      <c r="F201" s="868"/>
      <c r="G201" s="869">
        <v>2700</v>
      </c>
      <c r="H201" s="868"/>
      <c r="I201" s="867">
        <v>2231</v>
      </c>
      <c r="J201" s="868">
        <v>2700</v>
      </c>
      <c r="K201" s="885"/>
      <c r="L201" s="2114"/>
      <c r="M201" s="2129"/>
    </row>
    <row r="202" spans="1:13" s="145" customFormat="1" x14ac:dyDescent="0.2">
      <c r="A202" s="2125"/>
      <c r="B202" s="2113"/>
      <c r="C202" s="868">
        <v>344</v>
      </c>
      <c r="D202" s="868"/>
      <c r="E202" s="869">
        <v>344</v>
      </c>
      <c r="F202" s="868"/>
      <c r="G202" s="869">
        <v>345</v>
      </c>
      <c r="H202" s="868"/>
      <c r="I202" s="867">
        <v>2264</v>
      </c>
      <c r="J202" s="868">
        <v>345</v>
      </c>
      <c r="K202" s="885"/>
      <c r="L202" s="2114"/>
      <c r="M202" s="2129"/>
    </row>
    <row r="203" spans="1:13" s="145" customFormat="1" x14ac:dyDescent="0.2">
      <c r="A203" s="2125"/>
      <c r="B203" s="2113"/>
      <c r="C203" s="868">
        <v>5200</v>
      </c>
      <c r="D203" s="868"/>
      <c r="E203" s="869">
        <v>3735</v>
      </c>
      <c r="F203" s="868"/>
      <c r="G203" s="869">
        <v>4200</v>
      </c>
      <c r="H203" s="868"/>
      <c r="I203" s="867">
        <v>2279</v>
      </c>
      <c r="J203" s="868">
        <v>4200</v>
      </c>
      <c r="K203" s="885"/>
      <c r="L203" s="2114"/>
      <c r="M203" s="2129"/>
    </row>
    <row r="204" spans="1:13" s="145" customFormat="1" x14ac:dyDescent="0.2">
      <c r="A204" s="2112" t="s">
        <v>2454</v>
      </c>
      <c r="B204" s="2113" t="s">
        <v>2455</v>
      </c>
      <c r="C204" s="865">
        <f>SUM(C205:C208)</f>
        <v>2555</v>
      </c>
      <c r="D204" s="865">
        <f t="shared" ref="D204:K204" si="50">SUM(D205:D208)</f>
        <v>0</v>
      </c>
      <c r="E204" s="866">
        <f t="shared" si="50"/>
        <v>2524.9899999999998</v>
      </c>
      <c r="F204" s="865">
        <f t="shared" si="50"/>
        <v>0</v>
      </c>
      <c r="G204" s="866">
        <f>SUM(G205:G208)</f>
        <v>2555</v>
      </c>
      <c r="H204" s="865">
        <f t="shared" si="50"/>
        <v>0</v>
      </c>
      <c r="I204" s="867"/>
      <c r="J204" s="865">
        <f t="shared" si="50"/>
        <v>2555</v>
      </c>
      <c r="K204" s="865">
        <f t="shared" si="50"/>
        <v>0</v>
      </c>
      <c r="L204" s="2114" t="s">
        <v>2456</v>
      </c>
      <c r="M204" s="2122" t="s">
        <v>2457</v>
      </c>
    </row>
    <row r="205" spans="1:13" s="145" customFormat="1" x14ac:dyDescent="0.2">
      <c r="A205" s="2112"/>
      <c r="B205" s="2113"/>
      <c r="C205" s="868">
        <v>1383</v>
      </c>
      <c r="D205" s="868"/>
      <c r="E205" s="869">
        <v>1368</v>
      </c>
      <c r="F205" s="868"/>
      <c r="G205" s="869">
        <v>1695</v>
      </c>
      <c r="H205" s="868"/>
      <c r="I205" s="867">
        <v>1150</v>
      </c>
      <c r="J205" s="868">
        <v>1695</v>
      </c>
      <c r="K205" s="885"/>
      <c r="L205" s="2114"/>
      <c r="M205" s="2122"/>
    </row>
    <row r="206" spans="1:13" s="145" customFormat="1" x14ac:dyDescent="0.2">
      <c r="A206" s="2112"/>
      <c r="B206" s="2113"/>
      <c r="C206" s="868">
        <v>70</v>
      </c>
      <c r="D206" s="868"/>
      <c r="E206" s="869">
        <v>55</v>
      </c>
      <c r="F206" s="868"/>
      <c r="G206" s="869">
        <v>85</v>
      </c>
      <c r="H206" s="868"/>
      <c r="I206" s="867">
        <v>1210</v>
      </c>
      <c r="J206" s="868">
        <v>85</v>
      </c>
      <c r="K206" s="885"/>
      <c r="L206" s="2114"/>
      <c r="M206" s="2122"/>
    </row>
    <row r="207" spans="1:13" s="145" customFormat="1" ht="12" hidden="1" customHeight="1" x14ac:dyDescent="0.2">
      <c r="A207" s="2112"/>
      <c r="B207" s="2113"/>
      <c r="C207" s="868">
        <v>327</v>
      </c>
      <c r="D207" s="868"/>
      <c r="E207" s="869">
        <v>327</v>
      </c>
      <c r="F207" s="868"/>
      <c r="G207" s="869">
        <v>0</v>
      </c>
      <c r="H207" s="868"/>
      <c r="I207" s="867">
        <v>2264</v>
      </c>
      <c r="J207" s="868"/>
      <c r="K207" s="885"/>
      <c r="L207" s="2114"/>
      <c r="M207" s="2122"/>
    </row>
    <row r="208" spans="1:13" s="145" customFormat="1" x14ac:dyDescent="0.2">
      <c r="A208" s="2112"/>
      <c r="B208" s="2113"/>
      <c r="C208" s="868">
        <v>775</v>
      </c>
      <c r="D208" s="868"/>
      <c r="E208" s="869">
        <v>774.99</v>
      </c>
      <c r="F208" s="868"/>
      <c r="G208" s="869">
        <v>775</v>
      </c>
      <c r="H208" s="868"/>
      <c r="I208" s="867">
        <v>2314</v>
      </c>
      <c r="J208" s="868">
        <v>775</v>
      </c>
      <c r="K208" s="885"/>
      <c r="L208" s="2114"/>
      <c r="M208" s="2122"/>
    </row>
    <row r="209" spans="1:13" s="145" customFormat="1" x14ac:dyDescent="0.2">
      <c r="A209" s="2125" t="s">
        <v>2458</v>
      </c>
      <c r="B209" s="2113" t="s">
        <v>2459</v>
      </c>
      <c r="C209" s="865">
        <f t="shared" ref="C209:H209" si="51">SUM(C210:C210)</f>
        <v>2000</v>
      </c>
      <c r="D209" s="865">
        <f t="shared" si="51"/>
        <v>0</v>
      </c>
      <c r="E209" s="866">
        <f t="shared" si="51"/>
        <v>2000</v>
      </c>
      <c r="F209" s="865">
        <f t="shared" si="51"/>
        <v>0</v>
      </c>
      <c r="G209" s="866">
        <f>SUM(G210:G210)</f>
        <v>2000</v>
      </c>
      <c r="H209" s="865">
        <f t="shared" si="51"/>
        <v>0</v>
      </c>
      <c r="I209" s="867"/>
      <c r="J209" s="865">
        <f>SUM(J210:J210)</f>
        <v>2000</v>
      </c>
      <c r="K209" s="865">
        <f>SUM(K210:K210)</f>
        <v>0</v>
      </c>
      <c r="L209" s="2114" t="s">
        <v>2460</v>
      </c>
      <c r="M209" s="2115"/>
    </row>
    <row r="210" spans="1:13" s="145" customFormat="1" ht="12.75" customHeight="1" x14ac:dyDescent="0.2">
      <c r="A210" s="2125"/>
      <c r="B210" s="2113"/>
      <c r="C210" s="868">
        <v>2000</v>
      </c>
      <c r="D210" s="868"/>
      <c r="E210" s="869">
        <v>2000</v>
      </c>
      <c r="F210" s="868"/>
      <c r="G210" s="869">
        <v>2000</v>
      </c>
      <c r="H210" s="868"/>
      <c r="I210" s="867">
        <v>2279</v>
      </c>
      <c r="J210" s="868">
        <v>2000</v>
      </c>
      <c r="K210" s="885"/>
      <c r="L210" s="2114"/>
      <c r="M210" s="2115"/>
    </row>
    <row r="211" spans="1:13" s="145" customFormat="1" ht="12" hidden="1" customHeight="1" x14ac:dyDescent="0.2">
      <c r="A211" s="2125" t="s">
        <v>2461</v>
      </c>
      <c r="B211" s="2113" t="s">
        <v>2462</v>
      </c>
      <c r="C211" s="865">
        <f>C212</f>
        <v>5000</v>
      </c>
      <c r="D211" s="865">
        <f t="shared" ref="D211:K211" si="52">D212</f>
        <v>0</v>
      </c>
      <c r="E211" s="866">
        <f t="shared" si="52"/>
        <v>5000</v>
      </c>
      <c r="F211" s="865">
        <f t="shared" si="52"/>
        <v>0</v>
      </c>
      <c r="G211" s="866">
        <f>G212</f>
        <v>5000</v>
      </c>
      <c r="H211" s="865">
        <f t="shared" si="52"/>
        <v>0</v>
      </c>
      <c r="I211" s="867"/>
      <c r="J211" s="865">
        <f t="shared" si="52"/>
        <v>0</v>
      </c>
      <c r="K211" s="865">
        <f t="shared" si="52"/>
        <v>0</v>
      </c>
      <c r="L211" s="2126" t="s">
        <v>2446</v>
      </c>
      <c r="M211" s="2122"/>
    </row>
    <row r="212" spans="1:13" s="145" customFormat="1" hidden="1" x14ac:dyDescent="0.2">
      <c r="A212" s="2125"/>
      <c r="B212" s="2113"/>
      <c r="C212" s="868">
        <v>5000</v>
      </c>
      <c r="D212" s="868"/>
      <c r="E212" s="869">
        <v>5000</v>
      </c>
      <c r="F212" s="868"/>
      <c r="G212" s="869">
        <v>5000</v>
      </c>
      <c r="H212" s="868"/>
      <c r="I212" s="867">
        <v>2279</v>
      </c>
      <c r="J212" s="869">
        <v>0</v>
      </c>
      <c r="K212" s="885"/>
      <c r="L212" s="2126"/>
      <c r="M212" s="2122"/>
    </row>
    <row r="213" spans="1:13" s="145" customFormat="1" ht="12" hidden="1" customHeight="1" x14ac:dyDescent="0.2">
      <c r="A213" s="2125" t="s">
        <v>2463</v>
      </c>
      <c r="B213" s="2113" t="s">
        <v>2464</v>
      </c>
      <c r="C213" s="865">
        <f>C214</f>
        <v>1500</v>
      </c>
      <c r="D213" s="865">
        <f t="shared" ref="D213:K213" si="53">D214</f>
        <v>0</v>
      </c>
      <c r="E213" s="866">
        <f t="shared" si="53"/>
        <v>1500</v>
      </c>
      <c r="F213" s="865">
        <f t="shared" si="53"/>
        <v>0</v>
      </c>
      <c r="G213" s="866">
        <f>G214</f>
        <v>1500</v>
      </c>
      <c r="H213" s="865">
        <f t="shared" si="53"/>
        <v>0</v>
      </c>
      <c r="I213" s="867"/>
      <c r="J213" s="865">
        <f t="shared" si="53"/>
        <v>0</v>
      </c>
      <c r="K213" s="865">
        <f t="shared" si="53"/>
        <v>0</v>
      </c>
      <c r="L213" s="2126" t="s">
        <v>2337</v>
      </c>
      <c r="M213" s="2122"/>
    </row>
    <row r="214" spans="1:13" s="145" customFormat="1" hidden="1" x14ac:dyDescent="0.2">
      <c r="A214" s="2125"/>
      <c r="B214" s="2113"/>
      <c r="C214" s="868">
        <v>1500</v>
      </c>
      <c r="D214" s="868"/>
      <c r="E214" s="869">
        <v>1500</v>
      </c>
      <c r="F214" s="868"/>
      <c r="G214" s="869">
        <v>1500</v>
      </c>
      <c r="H214" s="868"/>
      <c r="I214" s="867">
        <v>2279</v>
      </c>
      <c r="J214" s="869">
        <v>0</v>
      </c>
      <c r="K214" s="885"/>
      <c r="L214" s="2126"/>
      <c r="M214" s="2122"/>
    </row>
    <row r="215" spans="1:13" s="145" customFormat="1" ht="12" customHeight="1" x14ac:dyDescent="0.2">
      <c r="A215" s="2127" t="s">
        <v>2461</v>
      </c>
      <c r="B215" s="2128" t="s">
        <v>2465</v>
      </c>
      <c r="C215" s="866">
        <f t="shared" ref="C215:F215" si="54">SUM(C216:C219)</f>
        <v>2714</v>
      </c>
      <c r="D215" s="866">
        <f t="shared" si="54"/>
        <v>0</v>
      </c>
      <c r="E215" s="866">
        <f t="shared" si="54"/>
        <v>2412</v>
      </c>
      <c r="F215" s="866">
        <f t="shared" si="54"/>
        <v>0</v>
      </c>
      <c r="G215" s="866">
        <f>SUM(G216:G219)</f>
        <v>2415</v>
      </c>
      <c r="H215" s="866">
        <f t="shared" ref="H215:K215" si="55">SUM(H216:H219)</f>
        <v>0</v>
      </c>
      <c r="I215" s="881"/>
      <c r="J215" s="866">
        <f t="shared" si="55"/>
        <v>2415</v>
      </c>
      <c r="K215" s="866">
        <f t="shared" si="55"/>
        <v>0</v>
      </c>
      <c r="L215" s="2114" t="s">
        <v>2466</v>
      </c>
      <c r="M215" s="2122" t="s">
        <v>2467</v>
      </c>
    </row>
    <row r="216" spans="1:13" s="145" customFormat="1" ht="12" customHeight="1" x14ac:dyDescent="0.2">
      <c r="A216" s="2112"/>
      <c r="B216" s="2128"/>
      <c r="C216" s="868">
        <v>762</v>
      </c>
      <c r="D216" s="868"/>
      <c r="E216" s="869">
        <v>760</v>
      </c>
      <c r="F216" s="868"/>
      <c r="G216" s="869">
        <v>762</v>
      </c>
      <c r="H216" s="868"/>
      <c r="I216" s="867">
        <v>1150</v>
      </c>
      <c r="J216" s="868">
        <v>762</v>
      </c>
      <c r="K216" s="885"/>
      <c r="L216" s="2114"/>
      <c r="M216" s="2122"/>
    </row>
    <row r="217" spans="1:13" s="145" customFormat="1" ht="12.75" customHeight="1" x14ac:dyDescent="0.2">
      <c r="A217" s="2112"/>
      <c r="B217" s="2128"/>
      <c r="C217" s="868">
        <v>38</v>
      </c>
      <c r="D217" s="868"/>
      <c r="E217" s="869">
        <v>38</v>
      </c>
      <c r="F217" s="868"/>
      <c r="G217" s="869">
        <v>39</v>
      </c>
      <c r="H217" s="868"/>
      <c r="I217" s="867">
        <v>1210</v>
      </c>
      <c r="J217" s="868">
        <v>39</v>
      </c>
      <c r="K217" s="885"/>
      <c r="L217" s="2114"/>
      <c r="M217" s="2122"/>
    </row>
    <row r="218" spans="1:13" s="145" customFormat="1" ht="12.75" customHeight="1" x14ac:dyDescent="0.2">
      <c r="A218" s="2112"/>
      <c r="B218" s="2128"/>
      <c r="C218" s="868">
        <v>1414</v>
      </c>
      <c r="D218" s="868"/>
      <c r="E218" s="869">
        <v>1114</v>
      </c>
      <c r="F218" s="868"/>
      <c r="G218" s="869">
        <v>1114</v>
      </c>
      <c r="H218" s="868"/>
      <c r="I218" s="867">
        <v>2264</v>
      </c>
      <c r="J218" s="868">
        <v>1114</v>
      </c>
      <c r="K218" s="885"/>
      <c r="L218" s="2114"/>
      <c r="M218" s="2122"/>
    </row>
    <row r="219" spans="1:13" s="145" customFormat="1" ht="12.75" customHeight="1" x14ac:dyDescent="0.2">
      <c r="A219" s="2112"/>
      <c r="B219" s="2128"/>
      <c r="C219" s="868">
        <v>500</v>
      </c>
      <c r="D219" s="868"/>
      <c r="E219" s="869">
        <v>500</v>
      </c>
      <c r="F219" s="868"/>
      <c r="G219" s="869">
        <v>500</v>
      </c>
      <c r="H219" s="868"/>
      <c r="I219" s="867">
        <v>2314</v>
      </c>
      <c r="J219" s="868">
        <v>500</v>
      </c>
      <c r="K219" s="885"/>
      <c r="L219" s="2114"/>
      <c r="M219" s="2122"/>
    </row>
    <row r="220" spans="1:13" s="145" customFormat="1" hidden="1" x14ac:dyDescent="0.2">
      <c r="A220" s="2112" t="s">
        <v>2468</v>
      </c>
      <c r="B220" s="2113" t="s">
        <v>2469</v>
      </c>
      <c r="C220" s="865">
        <f t="shared" ref="C220:H220" si="56">SUM(C221:C226)</f>
        <v>21171</v>
      </c>
      <c r="D220" s="865">
        <f t="shared" si="56"/>
        <v>0</v>
      </c>
      <c r="E220" s="865">
        <f t="shared" si="56"/>
        <v>21171</v>
      </c>
      <c r="F220" s="865">
        <f t="shared" si="56"/>
        <v>0</v>
      </c>
      <c r="G220" s="866">
        <f>SUM(G221:G226)</f>
        <v>0</v>
      </c>
      <c r="H220" s="865">
        <f t="shared" si="56"/>
        <v>0</v>
      </c>
      <c r="I220" s="867"/>
      <c r="J220" s="865">
        <f>SUM(J221:J226)</f>
        <v>0</v>
      </c>
      <c r="K220" s="865">
        <f>SUM(K221:K226)</f>
        <v>0</v>
      </c>
      <c r="L220" s="2124"/>
      <c r="M220" s="2118"/>
    </row>
    <row r="221" spans="1:13" s="145" customFormat="1" ht="12" hidden="1" customHeight="1" x14ac:dyDescent="0.2">
      <c r="A221" s="2112"/>
      <c r="B221" s="2113"/>
      <c r="C221" s="868">
        <v>4903</v>
      </c>
      <c r="D221" s="868"/>
      <c r="E221" s="869">
        <v>4903</v>
      </c>
      <c r="F221" s="868"/>
      <c r="G221" s="869">
        <v>0</v>
      </c>
      <c r="H221" s="868"/>
      <c r="I221" s="867">
        <v>1150</v>
      </c>
      <c r="J221" s="868">
        <v>0</v>
      </c>
      <c r="K221" s="885"/>
      <c r="L221" s="2124"/>
      <c r="M221" s="2118"/>
    </row>
    <row r="222" spans="1:13" s="145" customFormat="1" ht="12" hidden="1" customHeight="1" x14ac:dyDescent="0.2">
      <c r="A222" s="2112"/>
      <c r="B222" s="2113"/>
      <c r="C222" s="868">
        <v>246</v>
      </c>
      <c r="D222" s="868"/>
      <c r="E222" s="869">
        <v>246</v>
      </c>
      <c r="F222" s="868"/>
      <c r="G222" s="869">
        <v>0</v>
      </c>
      <c r="H222" s="868"/>
      <c r="I222" s="867">
        <v>1210</v>
      </c>
      <c r="J222" s="868">
        <v>0</v>
      </c>
      <c r="K222" s="885"/>
      <c r="L222" s="2124"/>
      <c r="M222" s="2118"/>
    </row>
    <row r="223" spans="1:13" s="145" customFormat="1" ht="12" hidden="1" customHeight="1" x14ac:dyDescent="0.2">
      <c r="A223" s="2112"/>
      <c r="B223" s="2113"/>
      <c r="C223" s="868">
        <v>450</v>
      </c>
      <c r="D223" s="868"/>
      <c r="E223" s="869">
        <v>450</v>
      </c>
      <c r="F223" s="868"/>
      <c r="G223" s="78">
        <v>0</v>
      </c>
      <c r="H223" s="887"/>
      <c r="I223" s="888">
        <v>2231</v>
      </c>
      <c r="J223" s="868">
        <v>0</v>
      </c>
      <c r="K223" s="885"/>
      <c r="L223" s="2124"/>
      <c r="M223" s="2118"/>
    </row>
    <row r="224" spans="1:13" s="145" customFormat="1" ht="12" hidden="1" customHeight="1" x14ac:dyDescent="0.2">
      <c r="A224" s="2112"/>
      <c r="B224" s="2113"/>
      <c r="C224" s="868">
        <v>14492</v>
      </c>
      <c r="D224" s="868"/>
      <c r="E224" s="869">
        <v>14492</v>
      </c>
      <c r="F224" s="868"/>
      <c r="G224" s="869">
        <v>0</v>
      </c>
      <c r="H224" s="868"/>
      <c r="I224" s="867">
        <v>2264</v>
      </c>
      <c r="J224" s="868">
        <v>0</v>
      </c>
      <c r="K224" s="885"/>
      <c r="L224" s="2124"/>
      <c r="M224" s="2118"/>
    </row>
    <row r="225" spans="1:13" s="145" customFormat="1" ht="12" hidden="1" customHeight="1" x14ac:dyDescent="0.2">
      <c r="A225" s="2112"/>
      <c r="B225" s="2113"/>
      <c r="C225" s="868">
        <v>380</v>
      </c>
      <c r="D225" s="868"/>
      <c r="E225" s="869">
        <v>380</v>
      </c>
      <c r="F225" s="868"/>
      <c r="G225" s="869">
        <v>0</v>
      </c>
      <c r="H225" s="868"/>
      <c r="I225" s="867">
        <v>2279</v>
      </c>
      <c r="J225" s="868">
        <v>0</v>
      </c>
      <c r="K225" s="885"/>
      <c r="L225" s="2124"/>
      <c r="M225" s="2118"/>
    </row>
    <row r="226" spans="1:13" s="145" customFormat="1" ht="12" hidden="1" customHeight="1" x14ac:dyDescent="0.2">
      <c r="A226" s="2112"/>
      <c r="B226" s="2113"/>
      <c r="C226" s="868">
        <v>700</v>
      </c>
      <c r="D226" s="868"/>
      <c r="E226" s="869">
        <v>700</v>
      </c>
      <c r="F226" s="868"/>
      <c r="G226" s="869">
        <v>0</v>
      </c>
      <c r="H226" s="868"/>
      <c r="I226" s="867">
        <v>2314</v>
      </c>
      <c r="J226" s="868">
        <v>0</v>
      </c>
      <c r="K226" s="885"/>
      <c r="L226" s="2124"/>
      <c r="M226" s="2118"/>
    </row>
    <row r="227" spans="1:13" s="145" customFormat="1" ht="12" hidden="1" customHeight="1" x14ac:dyDescent="0.2">
      <c r="A227" s="2125" t="s">
        <v>2470</v>
      </c>
      <c r="B227" s="2113" t="s">
        <v>2471</v>
      </c>
      <c r="C227" s="865">
        <f>SUM(C228:C232)</f>
        <v>11674</v>
      </c>
      <c r="D227" s="865">
        <f t="shared" ref="D227:H227" si="57">SUM(D228:D232)</f>
        <v>0</v>
      </c>
      <c r="E227" s="865">
        <f t="shared" si="57"/>
        <v>11632</v>
      </c>
      <c r="F227" s="865">
        <f t="shared" si="57"/>
        <v>0</v>
      </c>
      <c r="G227" s="866">
        <f t="shared" si="57"/>
        <v>0</v>
      </c>
      <c r="H227" s="865">
        <f t="shared" si="57"/>
        <v>0</v>
      </c>
      <c r="I227" s="867"/>
      <c r="J227" s="865">
        <f t="shared" ref="J227:K227" si="58">SUM(J228:J232)</f>
        <v>0</v>
      </c>
      <c r="K227" s="865">
        <f t="shared" si="58"/>
        <v>0</v>
      </c>
      <c r="L227" s="2124"/>
      <c r="M227" s="2118"/>
    </row>
    <row r="228" spans="1:13" s="145" customFormat="1" ht="12" hidden="1" customHeight="1" x14ac:dyDescent="0.2">
      <c r="A228" s="2125"/>
      <c r="B228" s="2113"/>
      <c r="C228" s="868">
        <v>300</v>
      </c>
      <c r="D228" s="868"/>
      <c r="E228" s="868">
        <v>300</v>
      </c>
      <c r="F228" s="868"/>
      <c r="G228" s="869">
        <v>0</v>
      </c>
      <c r="H228" s="868"/>
      <c r="I228" s="867">
        <v>2239</v>
      </c>
      <c r="J228" s="865">
        <v>0</v>
      </c>
      <c r="K228" s="865"/>
      <c r="L228" s="2124"/>
      <c r="M228" s="2118"/>
    </row>
    <row r="229" spans="1:13" s="145" customFormat="1" ht="12" hidden="1" customHeight="1" x14ac:dyDescent="0.2">
      <c r="A229" s="2125"/>
      <c r="B229" s="2113"/>
      <c r="C229" s="868">
        <v>300</v>
      </c>
      <c r="D229" s="868"/>
      <c r="E229" s="868">
        <v>300</v>
      </c>
      <c r="F229" s="868"/>
      <c r="G229" s="869">
        <v>0</v>
      </c>
      <c r="H229" s="868"/>
      <c r="I229" s="867">
        <v>2262</v>
      </c>
      <c r="J229" s="865">
        <v>0</v>
      </c>
      <c r="K229" s="865"/>
      <c r="L229" s="2124"/>
      <c r="M229" s="2118"/>
    </row>
    <row r="230" spans="1:13" s="145" customFormat="1" ht="12" hidden="1" customHeight="1" x14ac:dyDescent="0.2">
      <c r="A230" s="2125"/>
      <c r="B230" s="2113"/>
      <c r="C230" s="868">
        <v>9524</v>
      </c>
      <c r="D230" s="868"/>
      <c r="E230" s="868">
        <v>9487</v>
      </c>
      <c r="F230" s="868"/>
      <c r="G230" s="869">
        <v>0</v>
      </c>
      <c r="H230" s="868"/>
      <c r="I230" s="867">
        <v>2264</v>
      </c>
      <c r="J230" s="865">
        <v>0</v>
      </c>
      <c r="K230" s="865"/>
      <c r="L230" s="2124"/>
      <c r="M230" s="2118"/>
    </row>
    <row r="231" spans="1:13" s="145" customFormat="1" ht="12" hidden="1" customHeight="1" x14ac:dyDescent="0.2">
      <c r="A231" s="2125"/>
      <c r="B231" s="2113"/>
      <c r="C231" s="868">
        <v>1200</v>
      </c>
      <c r="D231" s="868"/>
      <c r="E231" s="868">
        <v>1200</v>
      </c>
      <c r="F231" s="868"/>
      <c r="G231" s="869">
        <v>0</v>
      </c>
      <c r="H231" s="868"/>
      <c r="I231" s="867">
        <v>2279</v>
      </c>
      <c r="J231" s="865">
        <v>0</v>
      </c>
      <c r="K231" s="865"/>
      <c r="L231" s="2124"/>
      <c r="M231" s="2118"/>
    </row>
    <row r="232" spans="1:13" s="145" customFormat="1" ht="12" hidden="1" customHeight="1" x14ac:dyDescent="0.2">
      <c r="A232" s="2125"/>
      <c r="B232" s="2113"/>
      <c r="C232" s="868">
        <v>350</v>
      </c>
      <c r="D232" s="868">
        <v>0</v>
      </c>
      <c r="E232" s="869">
        <v>345</v>
      </c>
      <c r="F232" s="868">
        <v>0</v>
      </c>
      <c r="G232" s="869">
        <v>0</v>
      </c>
      <c r="H232" s="868"/>
      <c r="I232" s="867">
        <v>2314</v>
      </c>
      <c r="J232" s="869">
        <v>0</v>
      </c>
      <c r="K232" s="885"/>
      <c r="L232" s="2124"/>
      <c r="M232" s="2118"/>
    </row>
    <row r="233" spans="1:13" s="145" customFormat="1" x14ac:dyDescent="0.2">
      <c r="A233" s="2120" t="s">
        <v>2463</v>
      </c>
      <c r="B233" s="2120" t="s">
        <v>3592</v>
      </c>
      <c r="C233" s="889">
        <f>SUM(C234:C240)</f>
        <v>0</v>
      </c>
      <c r="D233" s="889">
        <f t="shared" ref="D233:K233" si="59">SUM(D234:D240)</f>
        <v>0</v>
      </c>
      <c r="E233" s="889">
        <f t="shared" si="59"/>
        <v>0</v>
      </c>
      <c r="F233" s="889">
        <f t="shared" si="59"/>
        <v>0</v>
      </c>
      <c r="G233" s="890">
        <f>SUM(G234:G240)</f>
        <v>9775</v>
      </c>
      <c r="H233" s="889">
        <f t="shared" si="59"/>
        <v>0</v>
      </c>
      <c r="I233" s="889"/>
      <c r="J233" s="890">
        <f>SUM(J234:J240)</f>
        <v>9775</v>
      </c>
      <c r="K233" s="889">
        <f t="shared" si="59"/>
        <v>0</v>
      </c>
      <c r="L233" s="1629" t="s">
        <v>3593</v>
      </c>
      <c r="M233" s="2123" t="s">
        <v>2472</v>
      </c>
    </row>
    <row r="234" spans="1:13" s="145" customFormat="1" x14ac:dyDescent="0.2">
      <c r="A234" s="2120"/>
      <c r="B234" s="2120"/>
      <c r="C234" s="891"/>
      <c r="D234" s="891"/>
      <c r="E234" s="891"/>
      <c r="F234" s="891"/>
      <c r="G234" s="892">
        <v>1500</v>
      </c>
      <c r="H234" s="891"/>
      <c r="I234" s="893">
        <v>1150</v>
      </c>
      <c r="J234" s="892">
        <v>1500</v>
      </c>
      <c r="K234" s="891"/>
      <c r="L234" s="1629"/>
      <c r="M234" s="2123"/>
    </row>
    <row r="235" spans="1:13" s="145" customFormat="1" x14ac:dyDescent="0.2">
      <c r="A235" s="2120"/>
      <c r="B235" s="2120"/>
      <c r="C235" s="891"/>
      <c r="D235" s="891"/>
      <c r="E235" s="891"/>
      <c r="F235" s="891"/>
      <c r="G235" s="892">
        <v>75</v>
      </c>
      <c r="H235" s="891"/>
      <c r="I235" s="893">
        <v>1210</v>
      </c>
      <c r="J235" s="892">
        <v>75</v>
      </c>
      <c r="K235" s="891"/>
      <c r="L235" s="1629"/>
      <c r="M235" s="2123"/>
    </row>
    <row r="236" spans="1:13" s="145" customFormat="1" x14ac:dyDescent="0.2">
      <c r="A236" s="2120"/>
      <c r="B236" s="2120"/>
      <c r="C236" s="891"/>
      <c r="D236" s="891"/>
      <c r="E236" s="891"/>
      <c r="F236" s="891"/>
      <c r="G236" s="892">
        <v>4000</v>
      </c>
      <c r="H236" s="891"/>
      <c r="I236" s="893">
        <v>2262</v>
      </c>
      <c r="J236" s="892">
        <v>4000</v>
      </c>
      <c r="K236" s="891"/>
      <c r="L236" s="1629"/>
      <c r="M236" s="2123"/>
    </row>
    <row r="237" spans="1:13" s="145" customFormat="1" x14ac:dyDescent="0.2">
      <c r="A237" s="2120"/>
      <c r="B237" s="2120"/>
      <c r="C237" s="891"/>
      <c r="D237" s="891"/>
      <c r="E237" s="891"/>
      <c r="F237" s="891"/>
      <c r="G237" s="892">
        <v>1500</v>
      </c>
      <c r="H237" s="891"/>
      <c r="I237" s="893">
        <v>2264</v>
      </c>
      <c r="J237" s="892">
        <v>1500</v>
      </c>
      <c r="K237" s="891"/>
      <c r="L237" s="1629"/>
      <c r="M237" s="2123"/>
    </row>
    <row r="238" spans="1:13" s="145" customFormat="1" x14ac:dyDescent="0.2">
      <c r="A238" s="2120"/>
      <c r="B238" s="2120"/>
      <c r="C238" s="891"/>
      <c r="D238" s="891"/>
      <c r="E238" s="891"/>
      <c r="F238" s="891"/>
      <c r="G238" s="892">
        <v>300</v>
      </c>
      <c r="H238" s="891"/>
      <c r="I238" s="893">
        <v>2231</v>
      </c>
      <c r="J238" s="892">
        <v>300</v>
      </c>
      <c r="K238" s="891"/>
      <c r="L238" s="1629"/>
      <c r="M238" s="2123"/>
    </row>
    <row r="239" spans="1:13" s="145" customFormat="1" ht="12.75" customHeight="1" x14ac:dyDescent="0.2">
      <c r="A239" s="2120"/>
      <c r="B239" s="2120"/>
      <c r="C239" s="891"/>
      <c r="D239" s="891"/>
      <c r="E239" s="891"/>
      <c r="F239" s="891"/>
      <c r="G239" s="892">
        <v>1600</v>
      </c>
      <c r="H239" s="891"/>
      <c r="I239" s="893">
        <v>2314</v>
      </c>
      <c r="J239" s="892">
        <v>1600</v>
      </c>
      <c r="K239" s="891"/>
      <c r="L239" s="1629"/>
      <c r="M239" s="2123"/>
    </row>
    <row r="240" spans="1:13" s="145" customFormat="1" x14ac:dyDescent="0.2">
      <c r="A240" s="2120"/>
      <c r="B240" s="2120"/>
      <c r="C240" s="891"/>
      <c r="D240" s="891"/>
      <c r="E240" s="891"/>
      <c r="F240" s="891"/>
      <c r="G240" s="892">
        <v>800</v>
      </c>
      <c r="H240" s="891"/>
      <c r="I240" s="894">
        <v>2363</v>
      </c>
      <c r="J240" s="892">
        <v>800</v>
      </c>
      <c r="K240" s="891"/>
      <c r="L240" s="1629"/>
      <c r="M240" s="2123"/>
    </row>
    <row r="241" spans="1:13" s="145" customFormat="1" ht="24" x14ac:dyDescent="0.2">
      <c r="A241" s="872">
        <v>9</v>
      </c>
      <c r="B241" s="895" t="s">
        <v>2473</v>
      </c>
      <c r="C241" s="875">
        <f>SUM(C242,C253,C258,C265,C269)</f>
        <v>81589</v>
      </c>
      <c r="D241" s="875">
        <f t="shared" ref="D241:K241" si="60">SUM(D242,D253,D258,D265,D269)</f>
        <v>0</v>
      </c>
      <c r="E241" s="875">
        <f t="shared" si="60"/>
        <v>81037.52</v>
      </c>
      <c r="F241" s="875">
        <f t="shared" si="60"/>
        <v>0</v>
      </c>
      <c r="G241" s="876">
        <f t="shared" si="60"/>
        <v>61482</v>
      </c>
      <c r="H241" s="875">
        <f t="shared" si="60"/>
        <v>0</v>
      </c>
      <c r="I241" s="875"/>
      <c r="J241" s="875">
        <f t="shared" si="60"/>
        <v>61382</v>
      </c>
      <c r="K241" s="875">
        <f t="shared" si="60"/>
        <v>0</v>
      </c>
      <c r="L241" s="886"/>
      <c r="M241" s="896"/>
    </row>
    <row r="242" spans="1:13" s="145" customFormat="1" x14ac:dyDescent="0.2">
      <c r="A242" s="2112" t="s">
        <v>2474</v>
      </c>
      <c r="B242" s="2117" t="s">
        <v>2475</v>
      </c>
      <c r="C242" s="865">
        <f>SUM(C243:C252)</f>
        <v>21229</v>
      </c>
      <c r="D242" s="865">
        <f t="shared" ref="D242:H242" si="61">SUM(D243:D252)</f>
        <v>0</v>
      </c>
      <c r="E242" s="865">
        <f t="shared" si="61"/>
        <v>20677.52</v>
      </c>
      <c r="F242" s="865">
        <f t="shared" si="61"/>
        <v>0</v>
      </c>
      <c r="G242" s="866">
        <f>SUM(G243:G252)</f>
        <v>17442</v>
      </c>
      <c r="H242" s="865">
        <f t="shared" si="61"/>
        <v>0</v>
      </c>
      <c r="I242" s="867"/>
      <c r="J242" s="865">
        <f t="shared" ref="J242:K242" si="62">SUM(J243:J252)</f>
        <v>17442</v>
      </c>
      <c r="K242" s="865">
        <f t="shared" si="62"/>
        <v>0</v>
      </c>
      <c r="L242" s="2114" t="s">
        <v>2476</v>
      </c>
      <c r="M242" s="2115"/>
    </row>
    <row r="243" spans="1:13" s="145" customFormat="1" ht="12.75" customHeight="1" x14ac:dyDescent="0.2">
      <c r="A243" s="2112"/>
      <c r="B243" s="2117"/>
      <c r="C243" s="868">
        <v>570</v>
      </c>
      <c r="D243" s="868"/>
      <c r="E243" s="869">
        <v>570</v>
      </c>
      <c r="F243" s="868"/>
      <c r="G243" s="869">
        <v>200</v>
      </c>
      <c r="H243" s="868"/>
      <c r="I243" s="867">
        <v>1150</v>
      </c>
      <c r="J243" s="868">
        <v>200</v>
      </c>
      <c r="K243" s="865"/>
      <c r="L243" s="2114"/>
      <c r="M243" s="2115"/>
    </row>
    <row r="244" spans="1:13" s="145" customFormat="1" ht="12.75" customHeight="1" x14ac:dyDescent="0.2">
      <c r="A244" s="2112"/>
      <c r="B244" s="2117"/>
      <c r="C244" s="868">
        <v>29</v>
      </c>
      <c r="D244" s="868"/>
      <c r="E244" s="869">
        <v>29</v>
      </c>
      <c r="F244" s="868"/>
      <c r="G244" s="869">
        <v>10</v>
      </c>
      <c r="H244" s="868"/>
      <c r="I244" s="867">
        <v>1210</v>
      </c>
      <c r="J244" s="868">
        <v>10</v>
      </c>
      <c r="K244" s="865"/>
      <c r="L244" s="2114"/>
      <c r="M244" s="2115"/>
    </row>
    <row r="245" spans="1:13" s="145" customFormat="1" ht="12.75" customHeight="1" x14ac:dyDescent="0.2">
      <c r="A245" s="2112"/>
      <c r="B245" s="2117"/>
      <c r="C245" s="868">
        <v>240</v>
      </c>
      <c r="D245" s="868"/>
      <c r="E245" s="869">
        <v>39.520000000000003</v>
      </c>
      <c r="F245" s="868"/>
      <c r="G245" s="869">
        <v>250</v>
      </c>
      <c r="H245" s="868"/>
      <c r="I245" s="867">
        <v>2261</v>
      </c>
      <c r="J245" s="868">
        <v>250</v>
      </c>
      <c r="K245" s="885"/>
      <c r="L245" s="2114"/>
      <c r="M245" s="2115"/>
    </row>
    <row r="246" spans="1:13" s="145" customFormat="1" ht="12.75" customHeight="1" x14ac:dyDescent="0.2">
      <c r="A246" s="2112"/>
      <c r="B246" s="2117"/>
      <c r="C246" s="868">
        <v>12283</v>
      </c>
      <c r="D246" s="868"/>
      <c r="E246" s="869">
        <v>12283</v>
      </c>
      <c r="F246" s="868"/>
      <c r="G246" s="869">
        <v>11900</v>
      </c>
      <c r="H246" s="868"/>
      <c r="I246" s="867">
        <v>2262</v>
      </c>
      <c r="J246" s="868">
        <v>11900</v>
      </c>
      <c r="K246" s="885"/>
      <c r="L246" s="2114"/>
      <c r="M246" s="2115"/>
    </row>
    <row r="247" spans="1:13" s="145" customFormat="1" ht="12.75" hidden="1" customHeight="1" x14ac:dyDescent="0.2">
      <c r="A247" s="2112"/>
      <c r="B247" s="2117"/>
      <c r="C247" s="868">
        <v>0</v>
      </c>
      <c r="D247" s="868"/>
      <c r="E247" s="869">
        <v>0</v>
      </c>
      <c r="F247" s="868"/>
      <c r="G247" s="869">
        <v>0</v>
      </c>
      <c r="H247" s="868"/>
      <c r="I247" s="867">
        <v>2275</v>
      </c>
      <c r="J247" s="868">
        <v>0</v>
      </c>
      <c r="K247" s="885"/>
      <c r="L247" s="2114"/>
      <c r="M247" s="2115"/>
    </row>
    <row r="248" spans="1:13" s="145" customFormat="1" x14ac:dyDescent="0.2">
      <c r="A248" s="2112"/>
      <c r="B248" s="2117"/>
      <c r="C248" s="868">
        <v>3746</v>
      </c>
      <c r="D248" s="868"/>
      <c r="E248" s="869">
        <v>3746</v>
      </c>
      <c r="F248" s="868"/>
      <c r="G248" s="869">
        <v>2190</v>
      </c>
      <c r="H248" s="868"/>
      <c r="I248" s="867">
        <v>2279</v>
      </c>
      <c r="J248" s="868">
        <v>2190</v>
      </c>
      <c r="K248" s="885"/>
      <c r="L248" s="2114"/>
      <c r="M248" s="2115"/>
    </row>
    <row r="249" spans="1:13" s="145" customFormat="1" ht="12.75" customHeight="1" x14ac:dyDescent="0.2">
      <c r="A249" s="2112"/>
      <c r="B249" s="2117"/>
      <c r="C249" s="868">
        <v>1424</v>
      </c>
      <c r="D249" s="868"/>
      <c r="E249" s="869">
        <v>1424</v>
      </c>
      <c r="F249" s="868"/>
      <c r="G249" s="869">
        <v>600</v>
      </c>
      <c r="H249" s="868"/>
      <c r="I249" s="867">
        <v>2312</v>
      </c>
      <c r="J249" s="868">
        <v>600</v>
      </c>
      <c r="K249" s="885"/>
      <c r="L249" s="2114"/>
      <c r="M249" s="2115"/>
    </row>
    <row r="250" spans="1:13" s="145" customFormat="1" ht="12.75" customHeight="1" x14ac:dyDescent="0.2">
      <c r="A250" s="2112"/>
      <c r="B250" s="2117"/>
      <c r="C250" s="868">
        <v>2101</v>
      </c>
      <c r="D250" s="868"/>
      <c r="E250" s="869">
        <v>2000</v>
      </c>
      <c r="F250" s="868"/>
      <c r="G250" s="869">
        <v>1726</v>
      </c>
      <c r="H250" s="868"/>
      <c r="I250" s="867">
        <v>2314</v>
      </c>
      <c r="J250" s="868">
        <v>1726</v>
      </c>
      <c r="K250" s="885"/>
      <c r="L250" s="2114"/>
      <c r="M250" s="2115"/>
    </row>
    <row r="251" spans="1:13" s="145" customFormat="1" ht="12.75" customHeight="1" x14ac:dyDescent="0.2">
      <c r="A251" s="2112"/>
      <c r="B251" s="2117"/>
      <c r="C251" s="868">
        <v>250</v>
      </c>
      <c r="D251" s="868"/>
      <c r="E251" s="869">
        <v>0</v>
      </c>
      <c r="F251" s="868"/>
      <c r="G251" s="869">
        <v>250</v>
      </c>
      <c r="H251" s="868"/>
      <c r="I251" s="867">
        <v>2363</v>
      </c>
      <c r="J251" s="868">
        <v>250</v>
      </c>
      <c r="K251" s="885"/>
      <c r="L251" s="2114"/>
      <c r="M251" s="2115"/>
    </row>
    <row r="252" spans="1:13" s="145" customFormat="1" ht="12.75" customHeight="1" x14ac:dyDescent="0.2">
      <c r="A252" s="2112"/>
      <c r="B252" s="2117"/>
      <c r="C252" s="868">
        <v>586</v>
      </c>
      <c r="D252" s="868"/>
      <c r="E252" s="869">
        <v>586</v>
      </c>
      <c r="F252" s="868"/>
      <c r="G252" s="869">
        <v>316</v>
      </c>
      <c r="H252" s="868"/>
      <c r="I252" s="867">
        <v>2390</v>
      </c>
      <c r="J252" s="868">
        <v>316</v>
      </c>
      <c r="K252" s="885"/>
      <c r="L252" s="2114"/>
      <c r="M252" s="2115"/>
    </row>
    <row r="253" spans="1:13" s="145" customFormat="1" x14ac:dyDescent="0.2">
      <c r="A253" s="2112" t="s">
        <v>2477</v>
      </c>
      <c r="B253" s="2117" t="s">
        <v>2478</v>
      </c>
      <c r="C253" s="865">
        <f>SUM(C254:C257)</f>
        <v>2486</v>
      </c>
      <c r="D253" s="865">
        <f t="shared" ref="D253:K253" si="63">SUM(D254:D257)</f>
        <v>0</v>
      </c>
      <c r="E253" s="866">
        <f t="shared" si="63"/>
        <v>2486</v>
      </c>
      <c r="F253" s="865">
        <f t="shared" si="63"/>
        <v>0</v>
      </c>
      <c r="G253" s="866">
        <f t="shared" si="63"/>
        <v>2486</v>
      </c>
      <c r="H253" s="865">
        <f t="shared" si="63"/>
        <v>0</v>
      </c>
      <c r="I253" s="867"/>
      <c r="J253" s="865">
        <f t="shared" si="63"/>
        <v>2486</v>
      </c>
      <c r="K253" s="865">
        <f t="shared" si="63"/>
        <v>0</v>
      </c>
      <c r="L253" s="2114" t="s">
        <v>2479</v>
      </c>
      <c r="M253" s="2115"/>
    </row>
    <row r="254" spans="1:13" s="145" customFormat="1" ht="12.75" customHeight="1" x14ac:dyDescent="0.2">
      <c r="A254" s="2112"/>
      <c r="B254" s="2117"/>
      <c r="C254" s="868">
        <v>1012</v>
      </c>
      <c r="D254" s="868"/>
      <c r="E254" s="869">
        <v>1012</v>
      </c>
      <c r="F254" s="868"/>
      <c r="G254" s="869">
        <v>1012</v>
      </c>
      <c r="H254" s="868"/>
      <c r="I254" s="867">
        <v>1150</v>
      </c>
      <c r="J254" s="869">
        <v>1012</v>
      </c>
      <c r="K254" s="885"/>
      <c r="L254" s="2114"/>
      <c r="M254" s="2115"/>
    </row>
    <row r="255" spans="1:13" s="145" customFormat="1" ht="12.75" customHeight="1" x14ac:dyDescent="0.2">
      <c r="A255" s="2112"/>
      <c r="B255" s="2117"/>
      <c r="C255" s="868">
        <v>51</v>
      </c>
      <c r="D255" s="868"/>
      <c r="E255" s="869">
        <v>51</v>
      </c>
      <c r="F255" s="868"/>
      <c r="G255" s="869">
        <v>51</v>
      </c>
      <c r="H255" s="868"/>
      <c r="I255" s="867">
        <v>1210</v>
      </c>
      <c r="J255" s="869">
        <v>51</v>
      </c>
      <c r="K255" s="885"/>
      <c r="L255" s="2114"/>
      <c r="M255" s="2115"/>
    </row>
    <row r="256" spans="1:13" s="145" customFormat="1" ht="12.75" customHeight="1" x14ac:dyDescent="0.2">
      <c r="A256" s="2112"/>
      <c r="B256" s="2117"/>
      <c r="C256" s="868">
        <v>1213</v>
      </c>
      <c r="D256" s="868"/>
      <c r="E256" s="869">
        <v>1213</v>
      </c>
      <c r="F256" s="868"/>
      <c r="G256" s="869">
        <v>1213</v>
      </c>
      <c r="H256" s="868"/>
      <c r="I256" s="867">
        <v>2314</v>
      </c>
      <c r="J256" s="869">
        <v>1213</v>
      </c>
      <c r="K256" s="885"/>
      <c r="L256" s="2114"/>
      <c r="M256" s="2115"/>
    </row>
    <row r="257" spans="1:13" s="145" customFormat="1" ht="12.75" customHeight="1" x14ac:dyDescent="0.2">
      <c r="A257" s="2112"/>
      <c r="B257" s="2117"/>
      <c r="C257" s="868">
        <v>210</v>
      </c>
      <c r="D257" s="868"/>
      <c r="E257" s="869">
        <v>210</v>
      </c>
      <c r="F257" s="868"/>
      <c r="G257" s="869">
        <v>210</v>
      </c>
      <c r="H257" s="868"/>
      <c r="I257" s="867">
        <v>2363</v>
      </c>
      <c r="J257" s="869">
        <v>210</v>
      </c>
      <c r="K257" s="885"/>
      <c r="L257" s="2114"/>
      <c r="M257" s="2115"/>
    </row>
    <row r="258" spans="1:13" s="145" customFormat="1" x14ac:dyDescent="0.2">
      <c r="A258" s="2112" t="s">
        <v>2480</v>
      </c>
      <c r="B258" s="1617" t="s">
        <v>2481</v>
      </c>
      <c r="C258" s="865">
        <f>SUM(C259:C264)</f>
        <v>4526</v>
      </c>
      <c r="D258" s="865">
        <f t="shared" ref="D258:H258" si="64">SUM(D259:D264)</f>
        <v>0</v>
      </c>
      <c r="E258" s="866">
        <f t="shared" si="64"/>
        <v>4526</v>
      </c>
      <c r="F258" s="865">
        <f t="shared" si="64"/>
        <v>0</v>
      </c>
      <c r="G258" s="866">
        <f t="shared" si="64"/>
        <v>2737</v>
      </c>
      <c r="H258" s="865">
        <f t="shared" si="64"/>
        <v>0</v>
      </c>
      <c r="I258" s="867"/>
      <c r="J258" s="866">
        <f>SUM(J259:J264)</f>
        <v>2737</v>
      </c>
      <c r="K258" s="865">
        <f>SUM(K259:K264)</f>
        <v>0</v>
      </c>
      <c r="L258" s="2114" t="s">
        <v>2482</v>
      </c>
      <c r="M258" s="2122" t="s">
        <v>2483</v>
      </c>
    </row>
    <row r="259" spans="1:13" s="145" customFormat="1" x14ac:dyDescent="0.2">
      <c r="A259" s="2112"/>
      <c r="B259" s="1617"/>
      <c r="C259" s="868">
        <v>1800</v>
      </c>
      <c r="D259" s="868"/>
      <c r="E259" s="869">
        <v>1800</v>
      </c>
      <c r="F259" s="868"/>
      <c r="G259" s="869">
        <v>1500</v>
      </c>
      <c r="H259" s="868"/>
      <c r="I259" s="867">
        <v>1150</v>
      </c>
      <c r="J259" s="869">
        <v>1500</v>
      </c>
      <c r="K259" s="885"/>
      <c r="L259" s="2114"/>
      <c r="M259" s="2122"/>
    </row>
    <row r="260" spans="1:13" s="145" customFormat="1" x14ac:dyDescent="0.2">
      <c r="A260" s="2112"/>
      <c r="B260" s="1617"/>
      <c r="C260" s="868">
        <v>91</v>
      </c>
      <c r="D260" s="868"/>
      <c r="E260" s="869">
        <v>91</v>
      </c>
      <c r="F260" s="868"/>
      <c r="G260" s="869">
        <v>75</v>
      </c>
      <c r="H260" s="868"/>
      <c r="I260" s="867">
        <v>1210</v>
      </c>
      <c r="J260" s="869">
        <v>75</v>
      </c>
      <c r="K260" s="885"/>
      <c r="L260" s="2114"/>
      <c r="M260" s="2122"/>
    </row>
    <row r="261" spans="1:13" s="145" customFormat="1" hidden="1" x14ac:dyDescent="0.2">
      <c r="A261" s="2112"/>
      <c r="B261" s="1617"/>
      <c r="C261" s="868">
        <v>700</v>
      </c>
      <c r="D261" s="868"/>
      <c r="E261" s="869">
        <v>700</v>
      </c>
      <c r="F261" s="868"/>
      <c r="G261" s="869">
        <v>0</v>
      </c>
      <c r="H261" s="868"/>
      <c r="I261" s="867">
        <v>2262</v>
      </c>
      <c r="J261" s="868"/>
      <c r="K261" s="885"/>
      <c r="L261" s="2114"/>
      <c r="M261" s="2122"/>
    </row>
    <row r="262" spans="1:13" s="145" customFormat="1" hidden="1" x14ac:dyDescent="0.2">
      <c r="A262" s="2112"/>
      <c r="B262" s="1617"/>
      <c r="C262" s="868">
        <v>500</v>
      </c>
      <c r="D262" s="868"/>
      <c r="E262" s="869">
        <v>500</v>
      </c>
      <c r="F262" s="868"/>
      <c r="G262" s="869">
        <v>0</v>
      </c>
      <c r="H262" s="868"/>
      <c r="I262" s="867">
        <v>2279</v>
      </c>
      <c r="J262" s="868"/>
      <c r="K262" s="885"/>
      <c r="L262" s="2114"/>
      <c r="M262" s="2122"/>
    </row>
    <row r="263" spans="1:13" s="145" customFormat="1" x14ac:dyDescent="0.2">
      <c r="A263" s="2112"/>
      <c r="B263" s="1617"/>
      <c r="C263" s="868">
        <v>1185</v>
      </c>
      <c r="D263" s="868"/>
      <c r="E263" s="869">
        <v>1185</v>
      </c>
      <c r="F263" s="868"/>
      <c r="G263" s="869">
        <v>1162</v>
      </c>
      <c r="H263" s="868"/>
      <c r="I263" s="867">
        <v>2314</v>
      </c>
      <c r="J263" s="868">
        <v>1162</v>
      </c>
      <c r="K263" s="885"/>
      <c r="L263" s="2114"/>
      <c r="M263" s="2122"/>
    </row>
    <row r="264" spans="1:13" s="145" customFormat="1" ht="15.75" hidden="1" customHeight="1" x14ac:dyDescent="0.2">
      <c r="A264" s="2112"/>
      <c r="B264" s="1617"/>
      <c r="C264" s="868">
        <v>250</v>
      </c>
      <c r="D264" s="868"/>
      <c r="E264" s="869">
        <v>250</v>
      </c>
      <c r="F264" s="868"/>
      <c r="G264" s="869">
        <v>0</v>
      </c>
      <c r="H264" s="868"/>
      <c r="I264" s="867">
        <v>2363</v>
      </c>
      <c r="J264" s="868"/>
      <c r="K264" s="885"/>
      <c r="L264" s="2114"/>
      <c r="M264" s="2122"/>
    </row>
    <row r="265" spans="1:13" s="145" customFormat="1" x14ac:dyDescent="0.2">
      <c r="A265" s="2112" t="s">
        <v>2484</v>
      </c>
      <c r="B265" s="2117" t="s">
        <v>2485</v>
      </c>
      <c r="C265" s="865">
        <f t="shared" ref="C265:H265" si="65">SUM(C266:C268)</f>
        <v>17335</v>
      </c>
      <c r="D265" s="865">
        <f t="shared" si="65"/>
        <v>0</v>
      </c>
      <c r="E265" s="865">
        <f t="shared" si="65"/>
        <v>17335</v>
      </c>
      <c r="F265" s="865">
        <f t="shared" si="65"/>
        <v>0</v>
      </c>
      <c r="G265" s="866">
        <f t="shared" si="65"/>
        <v>23644</v>
      </c>
      <c r="H265" s="865">
        <f t="shared" si="65"/>
        <v>0</v>
      </c>
      <c r="I265" s="867"/>
      <c r="J265" s="865">
        <f>SUM(J266:J268)</f>
        <v>23544</v>
      </c>
      <c r="K265" s="865">
        <f>SUM(K266:K268)</f>
        <v>0</v>
      </c>
      <c r="L265" s="2114" t="s">
        <v>2486</v>
      </c>
      <c r="M265" s="2118"/>
    </row>
    <row r="266" spans="1:13" s="145" customFormat="1" ht="12.75" customHeight="1" x14ac:dyDescent="0.2">
      <c r="A266" s="2112"/>
      <c r="B266" s="2117"/>
      <c r="C266" s="868">
        <v>1966</v>
      </c>
      <c r="D266" s="868"/>
      <c r="E266" s="869">
        <v>1966</v>
      </c>
      <c r="F266" s="868"/>
      <c r="G266" s="869">
        <v>3103</v>
      </c>
      <c r="H266" s="868"/>
      <c r="I266" s="867">
        <v>2121</v>
      </c>
      <c r="J266" s="868">
        <v>3103</v>
      </c>
      <c r="K266" s="885"/>
      <c r="L266" s="2114"/>
      <c r="M266" s="2118"/>
    </row>
    <row r="267" spans="1:13" s="145" customFormat="1" ht="12.75" customHeight="1" x14ac:dyDescent="0.2">
      <c r="A267" s="2112"/>
      <c r="B267" s="2117"/>
      <c r="C267" s="868">
        <v>8749</v>
      </c>
      <c r="D267" s="868"/>
      <c r="E267" s="869">
        <v>8749</v>
      </c>
      <c r="F267" s="868"/>
      <c r="G267" s="869">
        <v>1986</v>
      </c>
      <c r="H267" s="868"/>
      <c r="I267" s="867">
        <v>2262</v>
      </c>
      <c r="J267" s="868">
        <v>1986</v>
      </c>
      <c r="K267" s="885"/>
      <c r="L267" s="2114"/>
      <c r="M267" s="2118"/>
    </row>
    <row r="268" spans="1:13" s="145" customFormat="1" x14ac:dyDescent="0.2">
      <c r="A268" s="2112"/>
      <c r="B268" s="2117"/>
      <c r="C268" s="868">
        <v>6620</v>
      </c>
      <c r="D268" s="868"/>
      <c r="E268" s="869">
        <v>6620</v>
      </c>
      <c r="F268" s="868"/>
      <c r="G268" s="869">
        <v>18555</v>
      </c>
      <c r="H268" s="868"/>
      <c r="I268" s="867">
        <v>2279</v>
      </c>
      <c r="J268" s="868">
        <v>18455</v>
      </c>
      <c r="K268" s="885"/>
      <c r="L268" s="2114"/>
      <c r="M268" s="2118"/>
    </row>
    <row r="269" spans="1:13" s="145" customFormat="1" ht="24.75" customHeight="1" x14ac:dyDescent="0.2">
      <c r="A269" s="2119" t="s">
        <v>2487</v>
      </c>
      <c r="B269" s="2120" t="s">
        <v>2488</v>
      </c>
      <c r="C269" s="897">
        <f>C270</f>
        <v>36013</v>
      </c>
      <c r="D269" s="897">
        <f t="shared" ref="D269:K269" si="66">D270</f>
        <v>0</v>
      </c>
      <c r="E269" s="897">
        <f t="shared" si="66"/>
        <v>36013</v>
      </c>
      <c r="F269" s="897">
        <f t="shared" si="66"/>
        <v>0</v>
      </c>
      <c r="G269" s="106">
        <f t="shared" si="66"/>
        <v>15173</v>
      </c>
      <c r="H269" s="897">
        <f t="shared" si="66"/>
        <v>0</v>
      </c>
      <c r="I269" s="888"/>
      <c r="J269" s="897">
        <f t="shared" si="66"/>
        <v>15173</v>
      </c>
      <c r="K269" s="897">
        <f t="shared" si="66"/>
        <v>0</v>
      </c>
      <c r="L269" s="1629" t="s">
        <v>2476</v>
      </c>
      <c r="M269" s="2121"/>
    </row>
    <row r="270" spans="1:13" s="145" customFormat="1" ht="24" customHeight="1" x14ac:dyDescent="0.2">
      <c r="A270" s="2119"/>
      <c r="B270" s="2120"/>
      <c r="C270" s="868">
        <v>36013</v>
      </c>
      <c r="D270" s="868"/>
      <c r="E270" s="869">
        <v>36013</v>
      </c>
      <c r="F270" s="868"/>
      <c r="G270" s="869">
        <v>15173</v>
      </c>
      <c r="H270" s="868"/>
      <c r="I270" s="867">
        <v>2361</v>
      </c>
      <c r="J270" s="78">
        <v>15173</v>
      </c>
      <c r="K270" s="887"/>
      <c r="L270" s="1629"/>
      <c r="M270" s="2121"/>
    </row>
    <row r="271" spans="1:13" s="145" customFormat="1" x14ac:dyDescent="0.2">
      <c r="A271" s="898">
        <v>10</v>
      </c>
      <c r="B271" s="899" t="s">
        <v>2489</v>
      </c>
      <c r="C271" s="866">
        <f>SUM(C272,C273,C274,C275,C278)</f>
        <v>59500</v>
      </c>
      <c r="D271" s="866">
        <f t="shared" ref="D271:K271" si="67">SUM(D272,D273,D274,D275,D278)</f>
        <v>4000</v>
      </c>
      <c r="E271" s="866">
        <f t="shared" si="67"/>
        <v>59399.59</v>
      </c>
      <c r="F271" s="866">
        <f t="shared" si="67"/>
        <v>3500</v>
      </c>
      <c r="G271" s="866">
        <f t="shared" si="67"/>
        <v>76000</v>
      </c>
      <c r="H271" s="866">
        <f t="shared" si="67"/>
        <v>4350</v>
      </c>
      <c r="I271" s="866"/>
      <c r="J271" s="866">
        <f t="shared" si="67"/>
        <v>65850</v>
      </c>
      <c r="K271" s="866">
        <f t="shared" si="67"/>
        <v>4000</v>
      </c>
      <c r="L271" s="900"/>
      <c r="M271" s="901"/>
    </row>
    <row r="272" spans="1:13" s="145" customFormat="1" ht="60" x14ac:dyDescent="0.2">
      <c r="A272" s="902" t="s">
        <v>2490</v>
      </c>
      <c r="B272" s="903" t="s">
        <v>2491</v>
      </c>
      <c r="C272" s="865">
        <v>5650</v>
      </c>
      <c r="D272" s="865">
        <v>2800</v>
      </c>
      <c r="E272" s="866">
        <v>5650</v>
      </c>
      <c r="F272" s="865">
        <v>2650</v>
      </c>
      <c r="G272" s="866">
        <v>5800</v>
      </c>
      <c r="H272" s="865">
        <v>3000</v>
      </c>
      <c r="I272" s="867">
        <v>2314</v>
      </c>
      <c r="J272" s="868">
        <v>5650</v>
      </c>
      <c r="K272" s="885">
        <v>2800</v>
      </c>
      <c r="L272" s="904" t="s">
        <v>2492</v>
      </c>
      <c r="M272" s="905"/>
    </row>
    <row r="273" spans="1:13" s="145" customFormat="1" ht="13.5" customHeight="1" x14ac:dyDescent="0.2">
      <c r="A273" s="902" t="s">
        <v>2493</v>
      </c>
      <c r="B273" s="906" t="s">
        <v>2494</v>
      </c>
      <c r="C273" s="865">
        <v>3750</v>
      </c>
      <c r="D273" s="865">
        <v>1200</v>
      </c>
      <c r="E273" s="866">
        <v>3750</v>
      </c>
      <c r="F273" s="865">
        <v>850</v>
      </c>
      <c r="G273" s="866">
        <v>4000</v>
      </c>
      <c r="H273" s="865">
        <v>1350</v>
      </c>
      <c r="I273" s="867">
        <v>2279</v>
      </c>
      <c r="J273" s="868">
        <v>4000</v>
      </c>
      <c r="K273" s="885">
        <v>1200</v>
      </c>
      <c r="L273" s="904" t="s">
        <v>2495</v>
      </c>
      <c r="M273" s="905" t="s">
        <v>2496</v>
      </c>
    </row>
    <row r="274" spans="1:13" s="145" customFormat="1" ht="13.5" customHeight="1" x14ac:dyDescent="0.2">
      <c r="A274" s="902" t="s">
        <v>2497</v>
      </c>
      <c r="B274" s="903" t="s">
        <v>2498</v>
      </c>
      <c r="C274" s="865">
        <v>600</v>
      </c>
      <c r="D274" s="865"/>
      <c r="E274" s="866">
        <v>499.59</v>
      </c>
      <c r="F274" s="865"/>
      <c r="G274" s="866">
        <v>700</v>
      </c>
      <c r="H274" s="865"/>
      <c r="I274" s="867">
        <v>2248</v>
      </c>
      <c r="J274" s="868">
        <v>700</v>
      </c>
      <c r="K274" s="907"/>
      <c r="L274" s="904" t="s">
        <v>2495</v>
      </c>
      <c r="M274" s="905" t="s">
        <v>2499</v>
      </c>
    </row>
    <row r="275" spans="1:13" s="145" customFormat="1" x14ac:dyDescent="0.2">
      <c r="A275" s="2112" t="s">
        <v>2500</v>
      </c>
      <c r="B275" s="2113" t="s">
        <v>2501</v>
      </c>
      <c r="C275" s="865">
        <f>SUM(C276:C277)</f>
        <v>700</v>
      </c>
      <c r="D275" s="865">
        <f t="shared" ref="D275:K275" si="68">SUM(D276:D277)</f>
        <v>0</v>
      </c>
      <c r="E275" s="866">
        <f t="shared" si="68"/>
        <v>700</v>
      </c>
      <c r="F275" s="865">
        <f t="shared" si="68"/>
        <v>0</v>
      </c>
      <c r="G275" s="866">
        <f t="shared" si="68"/>
        <v>700</v>
      </c>
      <c r="H275" s="865">
        <f t="shared" si="68"/>
        <v>0</v>
      </c>
      <c r="I275" s="867"/>
      <c r="J275" s="865">
        <f t="shared" si="68"/>
        <v>700</v>
      </c>
      <c r="K275" s="865">
        <f t="shared" si="68"/>
        <v>0</v>
      </c>
      <c r="L275" s="2114" t="s">
        <v>2495</v>
      </c>
      <c r="M275" s="2115"/>
    </row>
    <row r="276" spans="1:13" s="145" customFormat="1" x14ac:dyDescent="0.2">
      <c r="A276" s="2112"/>
      <c r="B276" s="2113"/>
      <c r="C276" s="868">
        <v>200</v>
      </c>
      <c r="D276" s="868"/>
      <c r="E276" s="869">
        <v>200</v>
      </c>
      <c r="F276" s="868"/>
      <c r="G276" s="869">
        <v>200</v>
      </c>
      <c r="H276" s="868"/>
      <c r="I276" s="867">
        <v>2223</v>
      </c>
      <c r="J276" s="868">
        <v>200</v>
      </c>
      <c r="K276" s="885"/>
      <c r="L276" s="2114"/>
      <c r="M276" s="2115"/>
    </row>
    <row r="277" spans="1:13" s="145" customFormat="1" x14ac:dyDescent="0.2">
      <c r="A277" s="2112"/>
      <c r="B277" s="2113"/>
      <c r="C277" s="868">
        <v>500</v>
      </c>
      <c r="D277" s="868"/>
      <c r="E277" s="869">
        <v>500</v>
      </c>
      <c r="F277" s="868"/>
      <c r="G277" s="869">
        <v>500</v>
      </c>
      <c r="H277" s="868"/>
      <c r="I277" s="867">
        <v>2279</v>
      </c>
      <c r="J277" s="868">
        <v>500</v>
      </c>
      <c r="K277" s="885"/>
      <c r="L277" s="2114"/>
      <c r="M277" s="2115"/>
    </row>
    <row r="278" spans="1:13" s="145" customFormat="1" x14ac:dyDescent="0.2">
      <c r="A278" s="2112" t="s">
        <v>2502</v>
      </c>
      <c r="B278" s="2113" t="s">
        <v>2503</v>
      </c>
      <c r="C278" s="865">
        <f>SUM(C279:C282)</f>
        <v>48800</v>
      </c>
      <c r="D278" s="865">
        <f t="shared" ref="D278:H278" si="69">SUM(D279:D282)</f>
        <v>0</v>
      </c>
      <c r="E278" s="866">
        <f t="shared" si="69"/>
        <v>48800</v>
      </c>
      <c r="F278" s="865">
        <f t="shared" si="69"/>
        <v>0</v>
      </c>
      <c r="G278" s="866">
        <f t="shared" si="69"/>
        <v>64800</v>
      </c>
      <c r="H278" s="865">
        <f t="shared" si="69"/>
        <v>0</v>
      </c>
      <c r="I278" s="867"/>
      <c r="J278" s="866">
        <f>SUM(J279:J282)</f>
        <v>54800</v>
      </c>
      <c r="K278" s="865">
        <f>SUM(K279:K282)</f>
        <v>0</v>
      </c>
      <c r="L278" s="2114" t="s">
        <v>2492</v>
      </c>
      <c r="M278" s="2116" t="s">
        <v>2504</v>
      </c>
    </row>
    <row r="279" spans="1:13" s="145" customFormat="1" ht="11.25" customHeight="1" x14ac:dyDescent="0.2">
      <c r="A279" s="2112"/>
      <c r="B279" s="2113"/>
      <c r="C279" s="868">
        <v>100</v>
      </c>
      <c r="D279" s="868"/>
      <c r="E279" s="869">
        <v>100</v>
      </c>
      <c r="F279" s="868"/>
      <c r="G279" s="869">
        <v>0</v>
      </c>
      <c r="H279" s="868"/>
      <c r="I279" s="867">
        <v>2314</v>
      </c>
      <c r="J279" s="869">
        <v>8668</v>
      </c>
      <c r="K279" s="885"/>
      <c r="L279" s="2114"/>
      <c r="M279" s="2116"/>
    </row>
    <row r="280" spans="1:13" s="145" customFormat="1" ht="11.25" customHeight="1" x14ac:dyDescent="0.2">
      <c r="A280" s="2112"/>
      <c r="B280" s="2113"/>
      <c r="C280" s="868">
        <v>34295</v>
      </c>
      <c r="D280" s="868"/>
      <c r="E280" s="869">
        <v>34295</v>
      </c>
      <c r="F280" s="868"/>
      <c r="G280" s="869">
        <v>48112</v>
      </c>
      <c r="H280" s="868"/>
      <c r="I280" s="867">
        <v>2239</v>
      </c>
      <c r="J280" s="869">
        <f>48112-10000</f>
        <v>38112</v>
      </c>
      <c r="K280" s="885"/>
      <c r="L280" s="2114"/>
      <c r="M280" s="2116"/>
    </row>
    <row r="281" spans="1:13" s="145" customFormat="1" ht="26.25" customHeight="1" x14ac:dyDescent="0.2">
      <c r="A281" s="2112"/>
      <c r="B281" s="2113"/>
      <c r="C281" s="868">
        <v>7372</v>
      </c>
      <c r="D281" s="868"/>
      <c r="E281" s="869">
        <v>7372</v>
      </c>
      <c r="F281" s="868"/>
      <c r="G281" s="869">
        <v>8020</v>
      </c>
      <c r="H281" s="868"/>
      <c r="I281" s="867">
        <v>2279</v>
      </c>
      <c r="J281" s="869">
        <v>8020</v>
      </c>
      <c r="K281" s="885"/>
      <c r="L281" s="2114"/>
      <c r="M281" s="2116"/>
    </row>
    <row r="282" spans="1:13" s="145" customFormat="1" ht="18.75" hidden="1" customHeight="1" x14ac:dyDescent="0.2">
      <c r="A282" s="2112"/>
      <c r="B282" s="2113"/>
      <c r="C282" s="868">
        <v>7033</v>
      </c>
      <c r="D282" s="868"/>
      <c r="E282" s="869">
        <v>7033</v>
      </c>
      <c r="F282" s="868"/>
      <c r="G282" s="869">
        <v>8668</v>
      </c>
      <c r="H282" s="868"/>
      <c r="I282" s="867">
        <v>2314</v>
      </c>
      <c r="J282" s="869"/>
      <c r="K282" s="885"/>
      <c r="L282" s="2114"/>
      <c r="M282" s="2116"/>
    </row>
    <row r="283" spans="1:13" s="24" customFormat="1" ht="10.5" customHeight="1" x14ac:dyDescent="0.2">
      <c r="A283" s="1564"/>
      <c r="B283" s="1565"/>
      <c r="C283" s="1566"/>
      <c r="D283" s="1566"/>
      <c r="E283" s="1566"/>
      <c r="F283" s="1566"/>
      <c r="G283" s="1566"/>
      <c r="H283" s="1566"/>
      <c r="I283" s="1567"/>
      <c r="J283" s="1568"/>
      <c r="K283" s="1569"/>
      <c r="L283" s="1570"/>
      <c r="M283" s="908"/>
    </row>
    <row r="284" spans="1:13" s="912" customFormat="1" x14ac:dyDescent="0.2">
      <c r="A284" s="24" t="s">
        <v>455</v>
      </c>
      <c r="B284" s="909"/>
      <c r="C284" s="909"/>
      <c r="D284" s="909"/>
      <c r="E284" s="909"/>
      <c r="F284" s="909"/>
      <c r="G284" s="909"/>
      <c r="H284" s="909"/>
      <c r="I284" s="910"/>
      <c r="J284" s="911"/>
      <c r="M284" s="913"/>
    </row>
    <row r="285" spans="1:13" s="912" customFormat="1" x14ac:dyDescent="0.2">
      <c r="A285" s="24" t="s">
        <v>505</v>
      </c>
      <c r="B285" s="909"/>
      <c r="C285" s="909"/>
      <c r="D285" s="909"/>
      <c r="E285" s="909"/>
      <c r="F285" s="909"/>
      <c r="G285" s="909"/>
      <c r="H285" s="909"/>
      <c r="I285" s="910"/>
      <c r="J285" s="911"/>
      <c r="M285" s="913"/>
    </row>
    <row r="286" spans="1:13" s="912" customFormat="1" x14ac:dyDescent="0.2">
      <c r="A286" s="2110" t="s">
        <v>2505</v>
      </c>
      <c r="B286" s="2110"/>
      <c r="C286" s="2110"/>
      <c r="D286" s="2110"/>
      <c r="E286" s="2110"/>
      <c r="F286" s="2110"/>
      <c r="G286" s="2110"/>
      <c r="H286" s="2110"/>
      <c r="I286" s="2110"/>
      <c r="J286" s="2110"/>
      <c r="K286" s="2110"/>
      <c r="L286" s="2110"/>
      <c r="M286" s="913"/>
    </row>
    <row r="287" spans="1:13" s="912" customFormat="1" x14ac:dyDescent="0.2">
      <c r="A287" s="914" t="s">
        <v>2212</v>
      </c>
      <c r="B287" s="914"/>
      <c r="C287" s="914"/>
      <c r="D287" s="914"/>
      <c r="E287" s="914"/>
      <c r="F287" s="915"/>
      <c r="G287" s="915"/>
      <c r="H287" s="915"/>
      <c r="I287" s="916"/>
      <c r="J287" s="917"/>
      <c r="K287" s="915"/>
      <c r="L287" s="915"/>
      <c r="M287" s="913"/>
    </row>
    <row r="288" spans="1:13" s="912" customFormat="1" ht="12" customHeight="1" x14ac:dyDescent="0.2">
      <c r="A288" s="2111" t="s">
        <v>2506</v>
      </c>
      <c r="B288" s="2111"/>
      <c r="C288" s="2111"/>
      <c r="D288" s="2111"/>
      <c r="E288" s="2111"/>
      <c r="F288" s="2111"/>
      <c r="G288" s="2111"/>
      <c r="H288" s="2111"/>
      <c r="I288" s="2111"/>
      <c r="J288" s="2111"/>
      <c r="K288" s="2111"/>
      <c r="L288" s="2111"/>
      <c r="M288" s="913"/>
    </row>
    <row r="289" spans="1:13" s="912" customFormat="1" ht="12" customHeight="1" x14ac:dyDescent="0.2">
      <c r="A289" s="405" t="s">
        <v>2507</v>
      </c>
      <c r="B289" s="405"/>
      <c r="C289" s="405"/>
      <c r="D289" s="405"/>
      <c r="E289" s="1494"/>
      <c r="F289" s="1494"/>
      <c r="G289" s="1494"/>
      <c r="H289" s="1494"/>
      <c r="I289" s="918"/>
      <c r="J289" s="373"/>
      <c r="K289" s="1494"/>
      <c r="L289" s="1494"/>
      <c r="M289" s="913"/>
    </row>
    <row r="290" spans="1:13" s="912" customFormat="1" ht="12" customHeight="1" x14ac:dyDescent="0.2">
      <c r="A290" s="405" t="s">
        <v>1855</v>
      </c>
      <c r="B290" s="405"/>
      <c r="C290" s="405"/>
      <c r="D290" s="405"/>
      <c r="E290" s="1494"/>
      <c r="F290" s="1494"/>
      <c r="G290" s="1494"/>
      <c r="H290" s="1494"/>
      <c r="I290" s="918"/>
      <c r="J290" s="373"/>
      <c r="K290" s="1494"/>
      <c r="L290" s="1494"/>
      <c r="M290" s="913"/>
    </row>
    <row r="291" spans="1:13" s="919" customFormat="1" ht="12" customHeight="1" x14ac:dyDescent="0.2">
      <c r="A291" s="814" t="s">
        <v>2508</v>
      </c>
      <c r="B291" s="814"/>
      <c r="C291" s="814"/>
      <c r="D291" s="814"/>
      <c r="E291" s="814"/>
      <c r="F291" s="814"/>
      <c r="G291" s="814"/>
      <c r="H291" s="814"/>
      <c r="I291" s="814"/>
      <c r="J291" s="814"/>
      <c r="K291" s="814"/>
      <c r="L291" s="814"/>
      <c r="M291" s="814"/>
    </row>
    <row r="292" spans="1:13" s="329" customFormat="1" ht="12" customHeight="1" x14ac:dyDescent="0.2">
      <c r="A292" s="814" t="s">
        <v>2506</v>
      </c>
      <c r="B292" s="814"/>
      <c r="C292" s="814"/>
      <c r="D292" s="814"/>
      <c r="E292" s="814"/>
      <c r="F292" s="814"/>
      <c r="G292" s="814"/>
      <c r="H292" s="814"/>
      <c r="I292" s="814"/>
      <c r="J292" s="814"/>
      <c r="K292" s="814"/>
      <c r="L292" s="814"/>
      <c r="M292" s="918"/>
    </row>
    <row r="293" spans="1:13" s="329" customFormat="1" ht="12" customHeight="1" x14ac:dyDescent="0.2">
      <c r="A293" s="405" t="s">
        <v>2509</v>
      </c>
      <c r="B293" s="1494"/>
      <c r="C293" s="1494"/>
      <c r="D293" s="1494"/>
      <c r="E293" s="1494"/>
      <c r="F293" s="1494"/>
      <c r="G293" s="1494"/>
      <c r="H293" s="1494"/>
      <c r="I293" s="918"/>
      <c r="J293" s="373"/>
      <c r="K293" s="1494"/>
      <c r="L293" s="1494"/>
      <c r="M293" s="918"/>
    </row>
    <row r="294" spans="1:13" s="814" customFormat="1" ht="12" customHeight="1" x14ac:dyDescent="0.25">
      <c r="A294" s="814" t="s">
        <v>2510</v>
      </c>
    </row>
    <row r="295" spans="1:13" s="329" customFormat="1" ht="12" customHeight="1" x14ac:dyDescent="0.2">
      <c r="A295" s="920" t="s">
        <v>2511</v>
      </c>
      <c r="B295" s="1494"/>
      <c r="C295" s="1494"/>
      <c r="D295" s="1494"/>
      <c r="E295" s="1494"/>
      <c r="F295" s="1494"/>
      <c r="G295" s="1494"/>
      <c r="H295" s="1494"/>
      <c r="I295" s="918"/>
      <c r="J295" s="373"/>
      <c r="K295" s="1494"/>
      <c r="L295" s="1494"/>
      <c r="M295" s="918"/>
    </row>
    <row r="296" spans="1:13" s="329" customFormat="1" ht="12" customHeight="1" x14ac:dyDescent="0.2">
      <c r="A296" s="814" t="s">
        <v>2512</v>
      </c>
      <c r="B296" s="814"/>
      <c r="C296" s="814"/>
      <c r="D296" s="814"/>
      <c r="E296" s="814"/>
      <c r="F296" s="814"/>
      <c r="G296" s="814"/>
      <c r="H296" s="814"/>
      <c r="I296" s="814"/>
      <c r="J296" s="814"/>
      <c r="K296" s="814"/>
      <c r="L296" s="814"/>
      <c r="M296" s="918"/>
    </row>
    <row r="297" spans="1:13" s="329" customFormat="1" ht="12" customHeight="1" x14ac:dyDescent="0.2">
      <c r="A297" s="921" t="s">
        <v>2513</v>
      </c>
      <c r="B297" s="921"/>
      <c r="C297" s="921"/>
      <c r="D297" s="921"/>
      <c r="E297" s="921"/>
      <c r="F297" s="921"/>
      <c r="G297" s="405"/>
      <c r="H297" s="1494"/>
      <c r="I297" s="918"/>
      <c r="J297" s="373"/>
      <c r="K297" s="1494"/>
      <c r="L297" s="1494"/>
      <c r="M297" s="918"/>
    </row>
    <row r="298" spans="1:13" s="329" customFormat="1" ht="12" customHeight="1" x14ac:dyDescent="0.2">
      <c r="A298" s="405" t="s">
        <v>2514</v>
      </c>
      <c r="B298" s="405"/>
      <c r="C298" s="405"/>
      <c r="D298" s="405"/>
      <c r="E298" s="405"/>
      <c r="F298" s="405"/>
      <c r="G298" s="405"/>
      <c r="H298" s="1494"/>
      <c r="I298" s="918"/>
      <c r="J298" s="373"/>
      <c r="K298" s="1494"/>
      <c r="L298" s="1494"/>
      <c r="M298" s="918"/>
    </row>
    <row r="299" spans="1:13" s="329" customFormat="1" ht="12" customHeight="1" x14ac:dyDescent="0.2">
      <c r="A299" s="405" t="s">
        <v>2515</v>
      </c>
      <c r="B299" s="405"/>
      <c r="C299" s="405"/>
      <c r="D299" s="405"/>
      <c r="E299" s="405"/>
      <c r="F299" s="405"/>
      <c r="G299" s="405"/>
      <c r="H299" s="1494"/>
      <c r="I299" s="918"/>
      <c r="J299" s="373"/>
      <c r="K299" s="1494"/>
      <c r="L299" s="1494"/>
      <c r="M299" s="918"/>
    </row>
    <row r="300" spans="1:13" s="329" customFormat="1" ht="12" customHeight="1" x14ac:dyDescent="0.2">
      <c r="A300" s="405" t="s">
        <v>2516</v>
      </c>
      <c r="B300" s="405"/>
      <c r="C300" s="405"/>
      <c r="D300" s="405"/>
      <c r="E300" s="405"/>
      <c r="F300" s="405"/>
      <c r="G300" s="1494"/>
      <c r="H300" s="1494"/>
      <c r="I300" s="918"/>
      <c r="J300" s="373"/>
      <c r="K300" s="1494"/>
      <c r="L300" s="1494"/>
      <c r="M300" s="918"/>
    </row>
    <row r="301" spans="1:13" s="329" customFormat="1" ht="12" customHeight="1" x14ac:dyDescent="0.2">
      <c r="A301" s="405" t="s">
        <v>2517</v>
      </c>
      <c r="B301" s="405"/>
      <c r="C301" s="405"/>
      <c r="D301" s="405"/>
      <c r="E301" s="405"/>
      <c r="F301" s="405"/>
      <c r="G301" s="405"/>
      <c r="H301" s="405"/>
      <c r="I301" s="918"/>
      <c r="J301" s="373"/>
      <c r="K301" s="1494"/>
      <c r="L301" s="1494"/>
      <c r="M301" s="918"/>
    </row>
    <row r="302" spans="1:13" s="329" customFormat="1" ht="12" customHeight="1" x14ac:dyDescent="0.2">
      <c r="A302" s="405" t="s">
        <v>2518</v>
      </c>
      <c r="B302" s="405"/>
      <c r="C302" s="405"/>
      <c r="D302" s="405"/>
      <c r="E302" s="405"/>
      <c r="F302" s="405"/>
      <c r="G302" s="405"/>
      <c r="H302" s="405"/>
      <c r="I302" s="393"/>
      <c r="J302" s="922"/>
      <c r="K302" s="405"/>
      <c r="L302" s="405"/>
      <c r="M302" s="918"/>
    </row>
    <row r="303" spans="1:13" s="329" customFormat="1" ht="12" customHeight="1" x14ac:dyDescent="0.2">
      <c r="A303" s="405" t="s">
        <v>3595</v>
      </c>
      <c r="B303" s="405"/>
      <c r="C303" s="405"/>
      <c r="D303" s="405"/>
      <c r="E303" s="405"/>
      <c r="F303" s="405"/>
      <c r="G303" s="405"/>
      <c r="H303" s="405"/>
      <c r="I303" s="393"/>
      <c r="J303" s="922"/>
      <c r="K303" s="405"/>
      <c r="L303" s="405"/>
      <c r="M303" s="918"/>
    </row>
    <row r="304" spans="1:13" s="329" customFormat="1" ht="12" customHeight="1" x14ac:dyDescent="0.2">
      <c r="A304" s="405"/>
      <c r="B304" s="405" t="s">
        <v>3594</v>
      </c>
      <c r="C304" s="405"/>
      <c r="D304" s="405"/>
      <c r="E304" s="405"/>
      <c r="F304" s="405"/>
      <c r="G304" s="405"/>
      <c r="H304" s="405"/>
      <c r="I304" s="393"/>
      <c r="J304" s="922"/>
      <c r="K304" s="405"/>
      <c r="L304" s="405"/>
      <c r="M304" s="918"/>
    </row>
    <row r="305" spans="1:13" s="329" customFormat="1" ht="12" customHeight="1" x14ac:dyDescent="0.2">
      <c r="A305" s="405" t="s">
        <v>2519</v>
      </c>
      <c r="B305" s="405"/>
      <c r="C305" s="405"/>
      <c r="D305" s="405"/>
      <c r="E305" s="405"/>
      <c r="F305" s="405"/>
      <c r="G305" s="1494"/>
      <c r="H305" s="1494"/>
      <c r="I305" s="918"/>
      <c r="J305" s="373"/>
      <c r="K305" s="1494"/>
      <c r="L305" s="1494"/>
      <c r="M305" s="918"/>
    </row>
    <row r="306" spans="1:13" s="329" customFormat="1" ht="12" customHeight="1" x14ac:dyDescent="0.2">
      <c r="A306" s="405" t="s">
        <v>2520</v>
      </c>
      <c r="B306" s="405"/>
      <c r="C306" s="405"/>
      <c r="D306" s="405"/>
      <c r="E306" s="405"/>
      <c r="F306" s="405"/>
      <c r="G306" s="1494"/>
      <c r="H306" s="1494"/>
      <c r="I306" s="918"/>
      <c r="J306" s="373"/>
      <c r="K306" s="1494"/>
      <c r="L306" s="1494"/>
      <c r="M306" s="918"/>
    </row>
    <row r="307" spans="1:13" s="329" customFormat="1" ht="12" customHeight="1" x14ac:dyDescent="0.2">
      <c r="A307" s="405" t="s">
        <v>2521</v>
      </c>
      <c r="B307" s="405"/>
      <c r="C307" s="405"/>
      <c r="D307" s="405"/>
      <c r="E307" s="405"/>
      <c r="F307" s="405"/>
      <c r="G307" s="1494"/>
      <c r="H307" s="1494"/>
      <c r="I307" s="918"/>
      <c r="J307" s="373"/>
      <c r="K307" s="1494"/>
      <c r="L307" s="1494"/>
      <c r="M307" s="918"/>
    </row>
    <row r="308" spans="1:13" s="329" customFormat="1" ht="12" customHeight="1" x14ac:dyDescent="0.2">
      <c r="A308" s="405" t="s">
        <v>2522</v>
      </c>
      <c r="B308" s="405"/>
      <c r="C308" s="405"/>
      <c r="D308" s="405"/>
      <c r="E308" s="405"/>
      <c r="F308" s="405"/>
      <c r="G308" s="405"/>
      <c r="H308" s="1494"/>
      <c r="I308" s="918"/>
      <c r="J308" s="373"/>
      <c r="K308" s="1494"/>
      <c r="L308" s="1494"/>
      <c r="M308" s="918"/>
    </row>
    <row r="309" spans="1:13" s="329" customFormat="1" ht="12" customHeight="1" x14ac:dyDescent="0.2">
      <c r="A309" s="405" t="s">
        <v>2523</v>
      </c>
      <c r="B309" s="405"/>
      <c r="C309" s="405"/>
      <c r="D309" s="405"/>
      <c r="E309" s="405"/>
      <c r="F309" s="405"/>
      <c r="G309" s="405"/>
      <c r="H309" s="1494"/>
      <c r="I309" s="918"/>
      <c r="J309" s="373"/>
      <c r="K309" s="1494"/>
      <c r="L309" s="1494"/>
      <c r="M309" s="918"/>
    </row>
    <row r="310" spans="1:13" s="329" customFormat="1" ht="12" customHeight="1" x14ac:dyDescent="0.2">
      <c r="A310" s="405" t="s">
        <v>2524</v>
      </c>
      <c r="B310" s="405"/>
      <c r="C310" s="405"/>
      <c r="D310" s="405"/>
      <c r="E310" s="405"/>
      <c r="F310" s="405"/>
      <c r="G310" s="405"/>
      <c r="H310" s="1494"/>
      <c r="I310" s="918"/>
      <c r="J310" s="373"/>
      <c r="K310" s="1494"/>
      <c r="L310" s="1494"/>
      <c r="M310" s="918"/>
    </row>
    <row r="311" spans="1:13" s="329" customFormat="1" ht="12" customHeight="1" x14ac:dyDescent="0.2">
      <c r="A311" s="405" t="s">
        <v>2516</v>
      </c>
      <c r="B311" s="405"/>
      <c r="C311" s="405"/>
      <c r="D311" s="405"/>
      <c r="E311" s="405"/>
      <c r="F311" s="405"/>
      <c r="G311" s="1494"/>
      <c r="H311" s="1494"/>
      <c r="I311" s="918"/>
      <c r="J311" s="373"/>
      <c r="K311" s="1494"/>
      <c r="L311" s="1494"/>
      <c r="M311" s="918"/>
    </row>
    <row r="312" spans="1:13" s="329" customFormat="1" ht="12" customHeight="1" x14ac:dyDescent="0.2">
      <c r="A312" s="405" t="s">
        <v>2525</v>
      </c>
      <c r="B312" s="405"/>
      <c r="C312" s="405"/>
      <c r="D312" s="405"/>
      <c r="E312" s="405"/>
      <c r="F312" s="405"/>
      <c r="G312" s="1494"/>
      <c r="H312" s="1494"/>
      <c r="I312" s="918"/>
      <c r="J312" s="373"/>
      <c r="K312" s="1494"/>
      <c r="L312" s="1494"/>
      <c r="M312" s="918"/>
    </row>
    <row r="313" spans="1:13" s="329" customFormat="1" ht="12" customHeight="1" x14ac:dyDescent="0.2">
      <c r="A313" s="405" t="s">
        <v>2526</v>
      </c>
      <c r="B313" s="405"/>
      <c r="C313" s="405"/>
      <c r="D313" s="405"/>
      <c r="E313" s="405"/>
      <c r="F313" s="405"/>
      <c r="G313" s="1494"/>
      <c r="H313" s="1494"/>
      <c r="I313" s="918"/>
      <c r="J313" s="373"/>
      <c r="K313" s="1494"/>
      <c r="L313" s="1494"/>
      <c r="M313" s="918"/>
    </row>
    <row r="314" spans="1:13" s="329" customFormat="1" ht="12" customHeight="1" x14ac:dyDescent="0.2">
      <c r="A314" s="405" t="s">
        <v>2516</v>
      </c>
      <c r="B314" s="405"/>
      <c r="C314" s="405"/>
      <c r="D314" s="405"/>
      <c r="E314" s="405"/>
      <c r="F314" s="405"/>
      <c r="G314" s="1494"/>
      <c r="H314" s="1494"/>
      <c r="I314" s="918"/>
      <c r="J314" s="373"/>
      <c r="K314" s="1494"/>
      <c r="L314" s="1494"/>
      <c r="M314" s="918"/>
    </row>
    <row r="315" spans="1:13" s="329" customFormat="1" ht="12" customHeight="1" x14ac:dyDescent="0.2">
      <c r="A315" s="405" t="s">
        <v>1860</v>
      </c>
      <c r="B315" s="405"/>
      <c r="C315" s="405"/>
      <c r="D315" s="405"/>
      <c r="E315" s="405"/>
      <c r="F315" s="405"/>
      <c r="G315" s="1494"/>
      <c r="H315" s="1494"/>
      <c r="I315" s="918"/>
      <c r="J315" s="373"/>
      <c r="K315" s="1494"/>
      <c r="L315" s="1494"/>
      <c r="M315" s="918"/>
    </row>
    <row r="316" spans="1:13" s="329" customFormat="1" ht="12" customHeight="1" x14ac:dyDescent="0.2">
      <c r="A316" s="405" t="s">
        <v>2527</v>
      </c>
      <c r="B316" s="405"/>
      <c r="C316" s="405"/>
      <c r="D316" s="405"/>
      <c r="E316" s="405"/>
      <c r="F316" s="405"/>
      <c r="G316" s="1494"/>
      <c r="H316" s="1494"/>
      <c r="I316" s="918"/>
      <c r="J316" s="373"/>
      <c r="K316" s="1494"/>
      <c r="L316" s="1494"/>
      <c r="M316" s="918"/>
    </row>
    <row r="317" spans="1:13" s="329" customFormat="1" ht="12" customHeight="1" x14ac:dyDescent="0.2">
      <c r="A317" s="405" t="s">
        <v>2018</v>
      </c>
      <c r="B317" s="405"/>
      <c r="C317" s="405"/>
      <c r="D317" s="405"/>
      <c r="E317" s="405"/>
      <c r="F317" s="405"/>
      <c r="G317" s="1494"/>
      <c r="H317" s="1494"/>
      <c r="I317" s="918"/>
      <c r="J317" s="373"/>
      <c r="K317" s="1494"/>
      <c r="L317" s="1494"/>
      <c r="M317" s="918"/>
    </row>
    <row r="318" spans="1:13" s="329" customFormat="1" ht="12" customHeight="1" x14ac:dyDescent="0.2">
      <c r="A318" s="405" t="s">
        <v>2528</v>
      </c>
      <c r="B318" s="405"/>
      <c r="C318" s="405"/>
      <c r="D318" s="405"/>
      <c r="E318" s="405"/>
      <c r="F318" s="405"/>
      <c r="G318" s="1494"/>
      <c r="H318" s="1494"/>
      <c r="I318" s="918"/>
      <c r="J318" s="373"/>
      <c r="K318" s="1494"/>
      <c r="L318" s="1494"/>
      <c r="M318" s="918"/>
    </row>
    <row r="319" spans="1:13" s="329" customFormat="1" ht="12" customHeight="1" x14ac:dyDescent="0.2">
      <c r="A319" s="405" t="s">
        <v>2529</v>
      </c>
      <c r="B319" s="405"/>
      <c r="C319" s="405"/>
      <c r="D319" s="405"/>
      <c r="E319" s="405"/>
      <c r="F319" s="405"/>
      <c r="G319" s="1494"/>
      <c r="H319" s="1494"/>
      <c r="I319" s="918"/>
      <c r="J319" s="373"/>
      <c r="K319" s="1494"/>
      <c r="L319" s="1494"/>
      <c r="M319" s="918"/>
    </row>
    <row r="320" spans="1:13" s="329" customFormat="1" ht="12" customHeight="1" x14ac:dyDescent="0.2">
      <c r="A320" s="405" t="s">
        <v>2516</v>
      </c>
      <c r="B320" s="405"/>
      <c r="C320" s="405"/>
      <c r="D320" s="405"/>
      <c r="E320" s="405"/>
      <c r="F320" s="405"/>
      <c r="G320" s="1494"/>
      <c r="H320" s="1494"/>
      <c r="I320" s="918"/>
      <c r="J320" s="373"/>
      <c r="K320" s="1494"/>
      <c r="L320" s="1494"/>
      <c r="M320" s="918"/>
    </row>
    <row r="321" spans="1:13" s="329" customFormat="1" ht="12" customHeight="1" x14ac:dyDescent="0.2">
      <c r="A321" s="405" t="s">
        <v>2530</v>
      </c>
      <c r="B321" s="405"/>
      <c r="C321" s="405"/>
      <c r="D321" s="405"/>
      <c r="E321" s="405"/>
      <c r="F321" s="405"/>
      <c r="G321" s="1494"/>
      <c r="H321" s="1494"/>
      <c r="I321" s="918"/>
      <c r="J321" s="373"/>
      <c r="K321" s="1494"/>
      <c r="L321" s="1494"/>
      <c r="M321" s="918"/>
    </row>
    <row r="322" spans="1:13" s="329" customFormat="1" ht="12" customHeight="1" x14ac:dyDescent="0.2">
      <c r="A322" s="405" t="s">
        <v>2531</v>
      </c>
      <c r="B322" s="405"/>
      <c r="C322" s="405"/>
      <c r="D322" s="405"/>
      <c r="E322" s="405"/>
      <c r="F322" s="405"/>
      <c r="G322" s="1494"/>
      <c r="H322" s="1494"/>
      <c r="I322" s="918"/>
      <c r="J322" s="373"/>
      <c r="K322" s="1494"/>
      <c r="L322" s="1494"/>
      <c r="M322" s="918"/>
    </row>
    <row r="323" spans="1:13" s="329" customFormat="1" ht="12" customHeight="1" x14ac:dyDescent="0.2">
      <c r="A323" s="405" t="s">
        <v>2532</v>
      </c>
      <c r="B323" s="405"/>
      <c r="C323" s="405"/>
      <c r="D323" s="405"/>
      <c r="E323" s="405"/>
      <c r="F323" s="405"/>
      <c r="G323" s="1494"/>
      <c r="H323" s="1494"/>
      <c r="I323" s="918"/>
      <c r="J323" s="373"/>
      <c r="K323" s="1494"/>
      <c r="L323" s="1494"/>
      <c r="M323" s="918"/>
    </row>
    <row r="324" spans="1:13" s="329" customFormat="1" ht="12" customHeight="1" x14ac:dyDescent="0.2">
      <c r="A324" s="405" t="s">
        <v>2533</v>
      </c>
      <c r="B324" s="405"/>
      <c r="C324" s="405"/>
      <c r="D324" s="405"/>
      <c r="E324" s="405"/>
      <c r="F324" s="405"/>
      <c r="G324" s="1494"/>
      <c r="H324" s="1494"/>
      <c r="I324" s="918"/>
      <c r="J324" s="373"/>
      <c r="K324" s="1494"/>
      <c r="L324" s="1494"/>
      <c r="M324" s="918"/>
    </row>
    <row r="325" spans="1:13" s="329" customFormat="1" ht="12" customHeight="1" x14ac:dyDescent="0.2">
      <c r="A325" s="405" t="s">
        <v>2516</v>
      </c>
      <c r="B325" s="405"/>
      <c r="C325" s="405"/>
      <c r="D325" s="405"/>
      <c r="E325" s="405"/>
      <c r="F325" s="405"/>
      <c r="G325" s="1494"/>
      <c r="H325" s="1494"/>
      <c r="I325" s="918"/>
      <c r="J325" s="373"/>
      <c r="K325" s="1494"/>
      <c r="L325" s="1494"/>
      <c r="M325" s="918"/>
    </row>
    <row r="326" spans="1:13" s="329" customFormat="1" ht="12" customHeight="1" x14ac:dyDescent="0.2">
      <c r="A326" s="405" t="s">
        <v>2534</v>
      </c>
      <c r="B326" s="405"/>
      <c r="C326" s="405"/>
      <c r="D326" s="405"/>
      <c r="E326" s="405"/>
      <c r="F326" s="405"/>
      <c r="G326" s="1494"/>
      <c r="H326" s="1494"/>
      <c r="I326" s="918"/>
      <c r="J326" s="373"/>
      <c r="K326" s="1494"/>
      <c r="L326" s="1494"/>
      <c r="M326" s="918"/>
    </row>
    <row r="327" spans="1:13" s="329" customFormat="1" ht="12" customHeight="1" x14ac:dyDescent="0.2">
      <c r="A327" s="405" t="s">
        <v>2535</v>
      </c>
      <c r="B327" s="405"/>
      <c r="C327" s="405"/>
      <c r="D327" s="405"/>
      <c r="E327" s="405"/>
      <c r="F327" s="405"/>
      <c r="G327" s="1494"/>
      <c r="H327" s="1494"/>
      <c r="I327" s="918"/>
      <c r="J327" s="373"/>
      <c r="K327" s="1494"/>
      <c r="L327" s="1494"/>
      <c r="M327" s="918"/>
    </row>
    <row r="328" spans="1:13" s="329" customFormat="1" ht="12" customHeight="1" x14ac:dyDescent="0.2">
      <c r="A328" s="405" t="s">
        <v>2516</v>
      </c>
      <c r="B328" s="405"/>
      <c r="C328" s="405"/>
      <c r="D328" s="405"/>
      <c r="E328" s="405"/>
      <c r="F328" s="405"/>
      <c r="G328" s="1494"/>
      <c r="H328" s="1494"/>
      <c r="I328" s="918"/>
      <c r="J328" s="373"/>
      <c r="K328" s="1494"/>
      <c r="L328" s="1494"/>
      <c r="M328" s="918"/>
    </row>
    <row r="329" spans="1:13" s="329" customFormat="1" ht="12" customHeight="1" x14ac:dyDescent="0.2">
      <c r="A329" s="405" t="s">
        <v>2536</v>
      </c>
      <c r="B329" s="405"/>
      <c r="C329" s="405"/>
      <c r="D329" s="405"/>
      <c r="E329" s="405"/>
      <c r="F329" s="405"/>
      <c r="G329" s="1494"/>
      <c r="H329" s="1494"/>
      <c r="I329" s="918"/>
      <c r="J329" s="373"/>
      <c r="K329" s="1494"/>
      <c r="L329" s="1494"/>
      <c r="M329" s="918"/>
    </row>
    <row r="330" spans="1:13" s="329" customFormat="1" ht="12" customHeight="1" x14ac:dyDescent="0.2">
      <c r="A330" s="921" t="s">
        <v>2537</v>
      </c>
      <c r="B330" s="405"/>
      <c r="C330" s="405"/>
      <c r="D330" s="405"/>
      <c r="E330" s="405"/>
      <c r="F330" s="405"/>
      <c r="G330" s="1494"/>
      <c r="H330" s="1494"/>
      <c r="I330" s="918"/>
      <c r="J330" s="373"/>
      <c r="K330" s="1494"/>
      <c r="L330" s="1494"/>
      <c r="M330" s="918"/>
    </row>
    <row r="331" spans="1:13" s="329" customFormat="1" ht="12" customHeight="1" x14ac:dyDescent="0.2">
      <c r="A331" s="405" t="s">
        <v>2538</v>
      </c>
      <c r="B331" s="405"/>
      <c r="C331" s="405"/>
      <c r="D331" s="405"/>
      <c r="E331" s="405"/>
      <c r="F331" s="405"/>
      <c r="G331" s="1494"/>
      <c r="H331" s="1494"/>
      <c r="I331" s="918"/>
      <c r="J331" s="373"/>
      <c r="K331" s="1494"/>
      <c r="L331" s="1494"/>
      <c r="M331" s="918"/>
    </row>
    <row r="332" spans="1:13" s="329" customFormat="1" ht="12" customHeight="1" x14ac:dyDescent="0.2">
      <c r="A332" s="405" t="s">
        <v>2539</v>
      </c>
      <c r="B332" s="405"/>
      <c r="C332" s="405"/>
      <c r="D332" s="405"/>
      <c r="E332" s="405"/>
      <c r="F332" s="405"/>
      <c r="G332" s="1494"/>
      <c r="H332" s="1494"/>
      <c r="I332" s="918"/>
      <c r="J332" s="373"/>
      <c r="K332" s="1494"/>
      <c r="L332" s="1494"/>
      <c r="M332" s="918"/>
    </row>
    <row r="333" spans="1:13" s="329" customFormat="1" ht="12" customHeight="1" x14ac:dyDescent="0.2">
      <c r="A333" s="405" t="s">
        <v>2540</v>
      </c>
      <c r="B333" s="405"/>
      <c r="C333" s="405"/>
      <c r="D333" s="405"/>
      <c r="E333" s="405"/>
      <c r="F333" s="405"/>
      <c r="G333" s="1494"/>
      <c r="H333" s="1494"/>
      <c r="I333" s="918"/>
      <c r="J333" s="373"/>
      <c r="K333" s="1494"/>
      <c r="L333" s="1494"/>
      <c r="M333" s="918"/>
    </row>
    <row r="334" spans="1:13" s="329" customFormat="1" ht="12" customHeight="1" x14ac:dyDescent="0.2">
      <c r="A334" s="405" t="s">
        <v>2541</v>
      </c>
      <c r="B334" s="405"/>
      <c r="C334" s="405"/>
      <c r="D334" s="405"/>
      <c r="E334" s="405"/>
      <c r="F334" s="405"/>
      <c r="G334" s="1494"/>
      <c r="H334" s="1494"/>
      <c r="I334" s="918"/>
      <c r="J334" s="373"/>
      <c r="K334" s="1494"/>
      <c r="L334" s="1494"/>
      <c r="M334" s="918"/>
    </row>
    <row r="335" spans="1:13" s="329" customFormat="1" ht="12" customHeight="1" x14ac:dyDescent="0.2">
      <c r="A335" s="405" t="s">
        <v>2542</v>
      </c>
      <c r="B335" s="405"/>
      <c r="C335" s="405"/>
      <c r="D335" s="405"/>
      <c r="E335" s="405"/>
      <c r="F335" s="405"/>
      <c r="G335" s="1494"/>
      <c r="H335" s="1494"/>
      <c r="I335" s="918"/>
      <c r="J335" s="373"/>
      <c r="K335" s="1494"/>
      <c r="L335" s="1494"/>
      <c r="M335" s="918"/>
    </row>
    <row r="336" spans="1:13" s="329" customFormat="1" ht="12" customHeight="1" x14ac:dyDescent="0.2">
      <c r="A336" s="405" t="s">
        <v>2543</v>
      </c>
      <c r="B336" s="405"/>
      <c r="C336" s="405"/>
      <c r="D336" s="405"/>
      <c r="E336" s="405"/>
      <c r="F336" s="405"/>
      <c r="G336" s="1494"/>
      <c r="H336" s="1494"/>
      <c r="I336" s="918"/>
      <c r="J336" s="373"/>
      <c r="K336" s="1494"/>
      <c r="L336" s="1494"/>
      <c r="M336" s="918"/>
    </row>
    <row r="337" spans="1:13" s="329" customFormat="1" ht="12" customHeight="1" x14ac:dyDescent="0.2">
      <c r="A337" s="405" t="s">
        <v>2544</v>
      </c>
      <c r="B337" s="405"/>
      <c r="C337" s="405"/>
      <c r="D337" s="405"/>
      <c r="E337" s="405"/>
      <c r="F337" s="405"/>
      <c r="G337" s="1494"/>
      <c r="H337" s="1494"/>
      <c r="I337" s="918"/>
      <c r="J337" s="373"/>
      <c r="K337" s="1494"/>
      <c r="L337" s="1494"/>
      <c r="M337" s="918"/>
    </row>
    <row r="338" spans="1:13" s="329" customFormat="1" ht="12" customHeight="1" x14ac:dyDescent="0.2">
      <c r="A338" s="405" t="s">
        <v>2545</v>
      </c>
      <c r="B338" s="405"/>
      <c r="C338" s="405"/>
      <c r="D338" s="405"/>
      <c r="E338" s="405"/>
      <c r="J338" s="373"/>
      <c r="K338" s="1494"/>
      <c r="L338" s="1494"/>
      <c r="M338" s="918"/>
    </row>
    <row r="339" spans="1:13" s="329" customFormat="1" ht="12" customHeight="1" x14ac:dyDescent="0.2">
      <c r="A339" s="394"/>
      <c r="B339" s="394"/>
      <c r="C339" s="394"/>
      <c r="D339" s="394"/>
      <c r="E339" s="394"/>
      <c r="J339" s="373"/>
      <c r="K339" s="394"/>
      <c r="L339" s="394"/>
      <c r="M339" s="918"/>
    </row>
    <row r="340" spans="1:13" x14ac:dyDescent="0.2">
      <c r="H340" s="156"/>
      <c r="I340" s="156"/>
    </row>
    <row r="341" spans="1:13" x14ac:dyDescent="0.2">
      <c r="H341" s="156"/>
      <c r="I341" s="156"/>
    </row>
    <row r="342" spans="1:13" x14ac:dyDescent="0.2">
      <c r="H342" s="156"/>
      <c r="I342" s="156"/>
    </row>
    <row r="343" spans="1:13" x14ac:dyDescent="0.2">
      <c r="H343" s="156"/>
      <c r="I343" s="156"/>
    </row>
    <row r="344" spans="1:13" x14ac:dyDescent="0.2">
      <c r="H344" s="156"/>
      <c r="I344" s="156"/>
    </row>
    <row r="345" spans="1:13" x14ac:dyDescent="0.2">
      <c r="H345" s="156"/>
      <c r="I345" s="156"/>
    </row>
    <row r="346" spans="1:13" x14ac:dyDescent="0.2">
      <c r="H346" s="156"/>
      <c r="I346" s="156"/>
    </row>
    <row r="347" spans="1:13" x14ac:dyDescent="0.2">
      <c r="H347" s="156"/>
      <c r="I347" s="156"/>
    </row>
    <row r="348" spans="1:13" x14ac:dyDescent="0.2">
      <c r="H348" s="156"/>
      <c r="I348" s="156"/>
    </row>
    <row r="349" spans="1:13" x14ac:dyDescent="0.2">
      <c r="H349" s="156"/>
      <c r="I349" s="156"/>
    </row>
    <row r="350" spans="1:13" x14ac:dyDescent="0.2">
      <c r="H350" s="156"/>
      <c r="I350" s="156"/>
    </row>
    <row r="351" spans="1:13" x14ac:dyDescent="0.2">
      <c r="H351" s="156"/>
      <c r="I351" s="156"/>
    </row>
    <row r="352" spans="1:13" x14ac:dyDescent="0.2">
      <c r="H352" s="156"/>
      <c r="I352" s="156"/>
    </row>
    <row r="353" spans="5:9" x14ac:dyDescent="0.2">
      <c r="H353" s="156"/>
      <c r="I353" s="156"/>
    </row>
    <row r="354" spans="5:9" x14ac:dyDescent="0.2">
      <c r="H354" s="156"/>
      <c r="I354" s="156"/>
    </row>
    <row r="355" spans="5:9" x14ac:dyDescent="0.2">
      <c r="E355" s="405"/>
      <c r="F355" s="394"/>
      <c r="G355" s="394"/>
      <c r="H355" s="918"/>
      <c r="I355" s="156"/>
    </row>
    <row r="356" spans="5:9" x14ac:dyDescent="0.2">
      <c r="E356" s="394"/>
      <c r="F356" s="394"/>
      <c r="G356" s="394"/>
      <c r="H356" s="918"/>
      <c r="I356" s="156"/>
    </row>
    <row r="357" spans="5:9" x14ac:dyDescent="0.2">
      <c r="E357" s="923"/>
      <c r="F357" s="923"/>
      <c r="G357" s="923"/>
      <c r="H357" s="924"/>
      <c r="I357" s="156"/>
    </row>
    <row r="358" spans="5:9" x14ac:dyDescent="0.2">
      <c r="E358" s="24"/>
      <c r="F358" s="24"/>
      <c r="G358" s="24"/>
      <c r="H358" s="925"/>
      <c r="I358" s="156"/>
    </row>
    <row r="359" spans="5:9" x14ac:dyDescent="0.2">
      <c r="E359" s="24"/>
      <c r="F359" s="24"/>
      <c r="G359" s="24"/>
      <c r="H359" s="925"/>
      <c r="I359" s="156"/>
    </row>
    <row r="360" spans="5:9" x14ac:dyDescent="0.2">
      <c r="E360" s="24"/>
      <c r="F360" s="24"/>
      <c r="G360" s="24"/>
      <c r="H360" s="925"/>
      <c r="I360" s="156"/>
    </row>
    <row r="361" spans="5:9" x14ac:dyDescent="0.2">
      <c r="E361" s="24"/>
      <c r="F361" s="24"/>
      <c r="G361" s="24"/>
      <c r="H361" s="925"/>
      <c r="I361" s="156"/>
    </row>
    <row r="362" spans="5:9" x14ac:dyDescent="0.2">
      <c r="E362" s="156"/>
      <c r="F362" s="156"/>
      <c r="H362" s="156"/>
      <c r="I362" s="156"/>
    </row>
    <row r="363" spans="5:9" x14ac:dyDescent="0.2">
      <c r="E363" s="156"/>
      <c r="F363" s="156"/>
      <c r="H363" s="156"/>
      <c r="I363" s="156"/>
    </row>
    <row r="364" spans="5:9" x14ac:dyDescent="0.2">
      <c r="E364" s="156"/>
      <c r="F364" s="156"/>
      <c r="H364" s="156"/>
      <c r="I364" s="156"/>
    </row>
    <row r="365" spans="5:9" x14ac:dyDescent="0.2">
      <c r="E365" s="156"/>
      <c r="F365" s="156"/>
      <c r="H365" s="156"/>
      <c r="I365" s="156"/>
    </row>
    <row r="366" spans="5:9" x14ac:dyDescent="0.2">
      <c r="E366" s="156"/>
      <c r="F366" s="156"/>
      <c r="H366" s="156"/>
    </row>
    <row r="367" spans="5:9" x14ac:dyDescent="0.2">
      <c r="E367" s="156"/>
      <c r="F367" s="156"/>
      <c r="H367" s="156"/>
    </row>
    <row r="368" spans="5:9" x14ac:dyDescent="0.2">
      <c r="E368" s="156"/>
      <c r="F368" s="156"/>
      <c r="H368" s="156"/>
    </row>
    <row r="369" spans="5:8" x14ac:dyDescent="0.2">
      <c r="E369" s="156"/>
      <c r="F369" s="156"/>
      <c r="H369" s="156"/>
    </row>
    <row r="370" spans="5:8" x14ac:dyDescent="0.2">
      <c r="E370" s="156"/>
      <c r="F370" s="156"/>
      <c r="H370" s="156"/>
    </row>
    <row r="371" spans="5:8" x14ac:dyDescent="0.2">
      <c r="E371" s="156"/>
      <c r="F371" s="156"/>
      <c r="H371" s="156"/>
    </row>
    <row r="372" spans="5:8" x14ac:dyDescent="0.2">
      <c r="E372" s="156"/>
      <c r="F372" s="156"/>
      <c r="H372" s="156"/>
    </row>
    <row r="373" spans="5:8" x14ac:dyDescent="0.2">
      <c r="E373" s="156"/>
      <c r="F373" s="156"/>
      <c r="H373" s="156"/>
    </row>
    <row r="374" spans="5:8" x14ac:dyDescent="0.2">
      <c r="E374" s="156"/>
      <c r="F374" s="156"/>
      <c r="H374" s="156"/>
    </row>
    <row r="375" spans="5:8" x14ac:dyDescent="0.2">
      <c r="E375" s="156"/>
      <c r="F375" s="156"/>
      <c r="H375" s="156"/>
    </row>
    <row r="376" spans="5:8" x14ac:dyDescent="0.2">
      <c r="E376" s="156"/>
      <c r="F376" s="156"/>
      <c r="H376" s="156"/>
    </row>
    <row r="377" spans="5:8" x14ac:dyDescent="0.2">
      <c r="E377" s="156"/>
      <c r="F377" s="156"/>
      <c r="H377" s="156"/>
    </row>
    <row r="378" spans="5:8" x14ac:dyDescent="0.2">
      <c r="E378" s="156"/>
      <c r="F378" s="156"/>
      <c r="H378" s="156"/>
    </row>
    <row r="379" spans="5:8" x14ac:dyDescent="0.2">
      <c r="E379" s="156"/>
      <c r="F379" s="156"/>
      <c r="H379" s="156"/>
    </row>
    <row r="380" spans="5:8" x14ac:dyDescent="0.2">
      <c r="E380" s="156"/>
      <c r="F380" s="156"/>
      <c r="H380" s="156"/>
    </row>
    <row r="381" spans="5:8" x14ac:dyDescent="0.2">
      <c r="E381" s="156"/>
      <c r="F381" s="156"/>
      <c r="H381" s="156"/>
    </row>
    <row r="382" spans="5:8" x14ac:dyDescent="0.2">
      <c r="E382" s="156"/>
      <c r="F382" s="156"/>
      <c r="H382" s="156"/>
    </row>
  </sheetData>
  <sheetProtection algorithmName="SHA-512" hashValue="mTzBaxS4Sp7xQEIx1pN+/Lmgxtl0pYXZXtdhj7825v4z4CQfSCRPg0lf5wYxkG3YP4NOpiIhbxFQCtC/DLN89g==" saltValue="Vtk4rVPF8vy9bg3ULJ2f/A==" spinCount="100000" sheet="1" objects="1" scenarios="1"/>
  <mergeCells count="223">
    <mergeCell ref="C1:M1"/>
    <mergeCell ref="C2:M2"/>
    <mergeCell ref="A3:M3"/>
    <mergeCell ref="A5:B5"/>
    <mergeCell ref="C5:M5"/>
    <mergeCell ref="C6:M6"/>
    <mergeCell ref="C7:M7"/>
    <mergeCell ref="A8:A9"/>
    <mergeCell ref="B8:B9"/>
    <mergeCell ref="C8:D8"/>
    <mergeCell ref="E8:F8"/>
    <mergeCell ref="G8:H8"/>
    <mergeCell ref="I8:I9"/>
    <mergeCell ref="J8:K8"/>
    <mergeCell ref="L8:L9"/>
    <mergeCell ref="M8:M9"/>
    <mergeCell ref="A10:B10"/>
    <mergeCell ref="A11:A17"/>
    <mergeCell ref="B11:B17"/>
    <mergeCell ref="L11:L17"/>
    <mergeCell ref="M11:M17"/>
    <mergeCell ref="A18:A26"/>
    <mergeCell ref="B18:B26"/>
    <mergeCell ref="L18:L26"/>
    <mergeCell ref="M18:M26"/>
    <mergeCell ref="A40:A46"/>
    <mergeCell ref="B40:B46"/>
    <mergeCell ref="L40:L46"/>
    <mergeCell ref="M40:M46"/>
    <mergeCell ref="A47:A53"/>
    <mergeCell ref="B47:B53"/>
    <mergeCell ref="L47:L53"/>
    <mergeCell ref="M47:M53"/>
    <mergeCell ref="A28:A33"/>
    <mergeCell ref="B28:B33"/>
    <mergeCell ref="L28:L33"/>
    <mergeCell ref="M28:M33"/>
    <mergeCell ref="A34:A39"/>
    <mergeCell ref="B34:B39"/>
    <mergeCell ref="L34:L39"/>
    <mergeCell ref="M34:M39"/>
    <mergeCell ref="A65:A70"/>
    <mergeCell ref="B65:B70"/>
    <mergeCell ref="L65:L70"/>
    <mergeCell ref="M65:M70"/>
    <mergeCell ref="A71:A75"/>
    <mergeCell ref="B71:B75"/>
    <mergeCell ref="L71:L75"/>
    <mergeCell ref="M71:M75"/>
    <mergeCell ref="A55:A59"/>
    <mergeCell ref="B55:B59"/>
    <mergeCell ref="L55:L59"/>
    <mergeCell ref="M55:M59"/>
    <mergeCell ref="A60:A64"/>
    <mergeCell ref="B60:B64"/>
    <mergeCell ref="L60:L64"/>
    <mergeCell ref="M60:M64"/>
    <mergeCell ref="A87:A89"/>
    <mergeCell ref="B87:B89"/>
    <mergeCell ref="L87:L89"/>
    <mergeCell ref="M87:M89"/>
    <mergeCell ref="A90:A93"/>
    <mergeCell ref="B90:B93"/>
    <mergeCell ref="L90:L93"/>
    <mergeCell ref="M90:M93"/>
    <mergeCell ref="A76:A80"/>
    <mergeCell ref="B76:B80"/>
    <mergeCell ref="L76:L80"/>
    <mergeCell ref="M76:M80"/>
    <mergeCell ref="A81:A85"/>
    <mergeCell ref="B81:B85"/>
    <mergeCell ref="L81:L85"/>
    <mergeCell ref="M81:M85"/>
    <mergeCell ref="A104:A107"/>
    <mergeCell ref="B104:B107"/>
    <mergeCell ref="L104:L107"/>
    <mergeCell ref="M104:M107"/>
    <mergeCell ref="A108:A112"/>
    <mergeCell ref="B108:B112"/>
    <mergeCell ref="L108:L112"/>
    <mergeCell ref="M108:M112"/>
    <mergeCell ref="A94:A97"/>
    <mergeCell ref="B94:B97"/>
    <mergeCell ref="L94:L97"/>
    <mergeCell ref="M94:M97"/>
    <mergeCell ref="A98:A103"/>
    <mergeCell ref="B98:B103"/>
    <mergeCell ref="L98:L103"/>
    <mergeCell ref="M98:M103"/>
    <mergeCell ref="A124:A127"/>
    <mergeCell ref="B124:B127"/>
    <mergeCell ref="L124:L127"/>
    <mergeCell ref="M124:M127"/>
    <mergeCell ref="A128:A132"/>
    <mergeCell ref="B128:B132"/>
    <mergeCell ref="M128:M132"/>
    <mergeCell ref="A113:A118"/>
    <mergeCell ref="B113:B118"/>
    <mergeCell ref="L113:L118"/>
    <mergeCell ref="M113:M118"/>
    <mergeCell ref="A119:A123"/>
    <mergeCell ref="B119:B123"/>
    <mergeCell ref="L119:L123"/>
    <mergeCell ref="M119:M123"/>
    <mergeCell ref="A140:A141"/>
    <mergeCell ref="B140:B141"/>
    <mergeCell ref="L140:L141"/>
    <mergeCell ref="M140:M141"/>
    <mergeCell ref="A142:A143"/>
    <mergeCell ref="B142:B143"/>
    <mergeCell ref="L142:L143"/>
    <mergeCell ref="M142:M143"/>
    <mergeCell ref="L129:L132"/>
    <mergeCell ref="A134:A139"/>
    <mergeCell ref="B134:B139"/>
    <mergeCell ref="M134:M139"/>
    <mergeCell ref="L135:L139"/>
    <mergeCell ref="A152:A158"/>
    <mergeCell ref="B152:B158"/>
    <mergeCell ref="L152:L158"/>
    <mergeCell ref="M152:M158"/>
    <mergeCell ref="A159:A164"/>
    <mergeCell ref="B159:B164"/>
    <mergeCell ref="L159:L164"/>
    <mergeCell ref="M159:M164"/>
    <mergeCell ref="A144:A146"/>
    <mergeCell ref="B144:B146"/>
    <mergeCell ref="L144:L146"/>
    <mergeCell ref="M144:M146"/>
    <mergeCell ref="A147:A150"/>
    <mergeCell ref="B147:B150"/>
    <mergeCell ref="L147:L150"/>
    <mergeCell ref="M147:M150"/>
    <mergeCell ref="A177:A182"/>
    <mergeCell ref="B177:B182"/>
    <mergeCell ref="L177:L182"/>
    <mergeCell ref="M177:M182"/>
    <mergeCell ref="A183:A188"/>
    <mergeCell ref="B183:B188"/>
    <mergeCell ref="L183:L188"/>
    <mergeCell ref="M183:M188"/>
    <mergeCell ref="A165:A170"/>
    <mergeCell ref="B165:B170"/>
    <mergeCell ref="L165:L170"/>
    <mergeCell ref="M165:M170"/>
    <mergeCell ref="A171:A176"/>
    <mergeCell ref="B171:B176"/>
    <mergeCell ref="L171:L176"/>
    <mergeCell ref="M171:M176"/>
    <mergeCell ref="A198:A203"/>
    <mergeCell ref="B198:B203"/>
    <mergeCell ref="L198:L203"/>
    <mergeCell ref="M198:M203"/>
    <mergeCell ref="A204:A208"/>
    <mergeCell ref="B204:B208"/>
    <mergeCell ref="L204:L208"/>
    <mergeCell ref="M204:M208"/>
    <mergeCell ref="A190:A191"/>
    <mergeCell ref="B190:B191"/>
    <mergeCell ref="L190:L191"/>
    <mergeCell ref="M190:M191"/>
    <mergeCell ref="A192:A197"/>
    <mergeCell ref="B192:B197"/>
    <mergeCell ref="L192:L197"/>
    <mergeCell ref="M192:M197"/>
    <mergeCell ref="A213:A214"/>
    <mergeCell ref="B213:B214"/>
    <mergeCell ref="L213:L214"/>
    <mergeCell ref="M213:M214"/>
    <mergeCell ref="A215:A219"/>
    <mergeCell ref="B215:B219"/>
    <mergeCell ref="L215:L219"/>
    <mergeCell ref="M215:M219"/>
    <mergeCell ref="A209:A210"/>
    <mergeCell ref="B209:B210"/>
    <mergeCell ref="L209:L210"/>
    <mergeCell ref="M209:M210"/>
    <mergeCell ref="A211:A212"/>
    <mergeCell ref="B211:B212"/>
    <mergeCell ref="L211:L212"/>
    <mergeCell ref="M211:M212"/>
    <mergeCell ref="A233:A240"/>
    <mergeCell ref="B233:B240"/>
    <mergeCell ref="L233:L240"/>
    <mergeCell ref="M233:M240"/>
    <mergeCell ref="A242:A252"/>
    <mergeCell ref="B242:B252"/>
    <mergeCell ref="L242:L252"/>
    <mergeCell ref="M242:M252"/>
    <mergeCell ref="A220:A226"/>
    <mergeCell ref="B220:B226"/>
    <mergeCell ref="L220:L226"/>
    <mergeCell ref="M220:M226"/>
    <mergeCell ref="A227:A232"/>
    <mergeCell ref="B227:B232"/>
    <mergeCell ref="L227:L232"/>
    <mergeCell ref="M227:M232"/>
    <mergeCell ref="A265:A268"/>
    <mergeCell ref="B265:B268"/>
    <mergeCell ref="L265:L268"/>
    <mergeCell ref="M265:M268"/>
    <mergeCell ref="A269:A270"/>
    <mergeCell ref="B269:B270"/>
    <mergeCell ref="L269:L270"/>
    <mergeCell ref="M269:M270"/>
    <mergeCell ref="A253:A257"/>
    <mergeCell ref="B253:B257"/>
    <mergeCell ref="L253:L257"/>
    <mergeCell ref="M253:M257"/>
    <mergeCell ref="A258:A264"/>
    <mergeCell ref="B258:B264"/>
    <mergeCell ref="L258:L264"/>
    <mergeCell ref="M258:M264"/>
    <mergeCell ref="A286:L286"/>
    <mergeCell ref="A288:L288"/>
    <mergeCell ref="A275:A277"/>
    <mergeCell ref="B275:B277"/>
    <mergeCell ref="L275:L277"/>
    <mergeCell ref="M275:M277"/>
    <mergeCell ref="A278:A282"/>
    <mergeCell ref="B278:B282"/>
    <mergeCell ref="L278:L282"/>
    <mergeCell ref="M278:M282"/>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26.pielikums Jūrmalas pilsētas domes
2018.gada 18.decembra saistošajiem noteikumiem Nr.44
(protokols Nr.17, 2.punkts)</oddHeader>
    <oddFooter xml:space="preserve">&amp;R&amp;"Times New Roman,Regular"&amp;8&amp;P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31"/>
  <sheetViews>
    <sheetView view="pageLayout" zoomScaleNormal="100" workbookViewId="0">
      <selection activeCell="P8" sqref="P8"/>
    </sheetView>
  </sheetViews>
  <sheetFormatPr defaultColWidth="9.140625" defaultRowHeight="12" x14ac:dyDescent="0.2"/>
  <cols>
    <col min="1" max="1" width="4.85546875" style="306" customWidth="1"/>
    <col min="2" max="2" width="26.5703125" style="306" customWidth="1"/>
    <col min="3" max="3" width="10.7109375" style="306" hidden="1" customWidth="1"/>
    <col min="4" max="4" width="9.5703125" style="306" hidden="1" customWidth="1"/>
    <col min="5" max="5" width="10.7109375" style="306" hidden="1" customWidth="1"/>
    <col min="6" max="6" width="9.5703125" style="306" hidden="1" customWidth="1"/>
    <col min="7" max="7" width="10.7109375" style="306" hidden="1" customWidth="1"/>
    <col min="8" max="8" width="9.5703125" style="306" hidden="1" customWidth="1"/>
    <col min="9" max="9" width="11.140625" style="306" customWidth="1"/>
    <col min="10" max="10" width="10.7109375" style="306" bestFit="1" customWidth="1"/>
    <col min="11" max="11" width="9.5703125" style="306" bestFit="1" customWidth="1"/>
    <col min="12" max="12" width="23" style="306" customWidth="1"/>
    <col min="13" max="13" width="35.28515625" style="306" hidden="1" customWidth="1"/>
    <col min="14" max="16384" width="9.140625" style="306"/>
  </cols>
  <sheetData>
    <row r="1" spans="1:13" ht="12.75" customHeight="1" x14ac:dyDescent="0.2">
      <c r="A1" s="352" t="s">
        <v>438</v>
      </c>
      <c r="B1" s="353"/>
      <c r="C1" s="1742" t="s">
        <v>2546</v>
      </c>
      <c r="D1" s="1742"/>
      <c r="E1" s="1742"/>
      <c r="F1" s="1742"/>
      <c r="G1" s="1742"/>
      <c r="H1" s="1742"/>
      <c r="I1" s="1742"/>
      <c r="J1" s="1742"/>
      <c r="K1" s="1742"/>
      <c r="L1" s="1742"/>
      <c r="M1" s="1742"/>
    </row>
    <row r="2" spans="1:13" ht="12.75" customHeight="1" x14ac:dyDescent="0.2">
      <c r="A2" s="352" t="s">
        <v>524</v>
      </c>
      <c r="B2" s="353"/>
      <c r="C2" s="1743">
        <v>90000056408</v>
      </c>
      <c r="D2" s="1743"/>
      <c r="E2" s="1743"/>
      <c r="F2" s="1743"/>
      <c r="G2" s="1743"/>
      <c r="H2" s="1743"/>
      <c r="I2" s="1743"/>
      <c r="J2" s="1743"/>
      <c r="K2" s="1743"/>
      <c r="L2" s="1743"/>
      <c r="M2" s="1743"/>
    </row>
    <row r="3" spans="1:13" ht="15.75" x14ac:dyDescent="0.25">
      <c r="A3" s="1744" t="s">
        <v>3641</v>
      </c>
      <c r="B3" s="1744"/>
      <c r="C3" s="1744"/>
      <c r="D3" s="1744"/>
      <c r="E3" s="1744"/>
      <c r="F3" s="1744"/>
      <c r="G3" s="1744"/>
      <c r="H3" s="1744"/>
      <c r="I3" s="1744"/>
      <c r="J3" s="1744"/>
      <c r="K3" s="1744"/>
      <c r="L3" s="1744"/>
      <c r="M3" s="1744"/>
    </row>
    <row r="4" spans="1:13" ht="15.75" x14ac:dyDescent="0.25">
      <c r="A4" s="357"/>
      <c r="B4" s="357"/>
      <c r="C4" s="357"/>
      <c r="D4" s="357"/>
      <c r="E4" s="357"/>
      <c r="F4" s="357"/>
      <c r="G4" s="357"/>
      <c r="H4" s="357"/>
      <c r="I4" s="357"/>
      <c r="J4" s="357"/>
      <c r="K4" s="357"/>
      <c r="L4" s="357"/>
      <c r="M4" s="357"/>
    </row>
    <row r="5" spans="1:13" ht="12.75" customHeight="1" x14ac:dyDescent="0.25">
      <c r="A5" s="1745" t="s">
        <v>440</v>
      </c>
      <c r="B5" s="1745"/>
      <c r="C5" s="1746" t="s">
        <v>2547</v>
      </c>
      <c r="D5" s="1746"/>
      <c r="E5" s="1746"/>
      <c r="F5" s="1746"/>
      <c r="G5" s="1746"/>
      <c r="H5" s="1746"/>
      <c r="I5" s="1746"/>
      <c r="J5" s="1746"/>
      <c r="K5" s="1746"/>
      <c r="L5" s="1746"/>
      <c r="M5" s="1746"/>
    </row>
    <row r="6" spans="1:13" ht="12.75" customHeight="1" x14ac:dyDescent="0.2">
      <c r="A6" s="352" t="s">
        <v>129</v>
      </c>
      <c r="B6" s="352"/>
      <c r="C6" s="1742" t="s">
        <v>2335</v>
      </c>
      <c r="D6" s="1742"/>
      <c r="E6" s="1742"/>
      <c r="F6" s="1742"/>
      <c r="G6" s="1742"/>
      <c r="H6" s="1742"/>
      <c r="I6" s="1742"/>
      <c r="J6" s="1742"/>
      <c r="K6" s="1742"/>
      <c r="L6" s="1742"/>
      <c r="M6" s="1742"/>
    </row>
    <row r="7" spans="1:13" ht="12.75" customHeight="1" x14ac:dyDescent="0.2">
      <c r="A7" s="358" t="s">
        <v>131</v>
      </c>
      <c r="B7" s="358"/>
      <c r="C7" s="2154" t="s">
        <v>2093</v>
      </c>
      <c r="D7" s="2154"/>
      <c r="E7" s="2154"/>
      <c r="F7" s="2154"/>
      <c r="G7" s="2154"/>
      <c r="H7" s="2154"/>
      <c r="I7" s="2154"/>
      <c r="J7" s="2154"/>
      <c r="K7" s="2154"/>
      <c r="L7" s="2154"/>
      <c r="M7" s="2154"/>
    </row>
    <row r="8" spans="1:13" ht="16.5" customHeight="1" x14ac:dyDescent="0.2">
      <c r="A8" s="1704" t="s">
        <v>4</v>
      </c>
      <c r="B8" s="1704" t="s">
        <v>133</v>
      </c>
      <c r="C8" s="2146" t="s">
        <v>528</v>
      </c>
      <c r="D8" s="2155"/>
      <c r="E8" s="2146" t="s">
        <v>529</v>
      </c>
      <c r="F8" s="2155"/>
      <c r="G8" s="2146" t="s">
        <v>530</v>
      </c>
      <c r="H8" s="2155"/>
      <c r="I8" s="1704" t="s">
        <v>135</v>
      </c>
      <c r="J8" s="1760" t="s">
        <v>3472</v>
      </c>
      <c r="K8" s="1760"/>
      <c r="L8" s="1704" t="s">
        <v>14</v>
      </c>
      <c r="M8" s="1704" t="s">
        <v>137</v>
      </c>
    </row>
    <row r="9" spans="1:13" ht="25.5" customHeight="1" x14ac:dyDescent="0.2">
      <c r="A9" s="1705"/>
      <c r="B9" s="1705"/>
      <c r="C9" s="312" t="s">
        <v>531</v>
      </c>
      <c r="D9" s="312" t="s">
        <v>532</v>
      </c>
      <c r="E9" s="312" t="s">
        <v>531</v>
      </c>
      <c r="F9" s="312" t="s">
        <v>532</v>
      </c>
      <c r="G9" s="312" t="s">
        <v>531</v>
      </c>
      <c r="H9" s="312" t="s">
        <v>532</v>
      </c>
      <c r="I9" s="1705"/>
      <c r="J9" s="312" t="s">
        <v>531</v>
      </c>
      <c r="K9" s="312" t="s">
        <v>532</v>
      </c>
      <c r="L9" s="1705"/>
      <c r="M9" s="1705"/>
    </row>
    <row r="10" spans="1:13" x14ac:dyDescent="0.2">
      <c r="A10" s="2152" t="s">
        <v>533</v>
      </c>
      <c r="B10" s="2153"/>
      <c r="C10" s="926">
        <f>C11+C17+C23+C28+C34</f>
        <v>2653</v>
      </c>
      <c r="D10" s="926">
        <f>D11+D17+D23+D28+D34</f>
        <v>568</v>
      </c>
      <c r="E10" s="927">
        <f>SUM(E11:E40)</f>
        <v>0</v>
      </c>
      <c r="F10" s="927">
        <f>SUM(F11:F40)</f>
        <v>0</v>
      </c>
      <c r="G10" s="927">
        <f>G11+G17+G23+G28+G34</f>
        <v>8955</v>
      </c>
      <c r="H10" s="927">
        <f t="shared" ref="H10:K10" si="0">H11+H17+H23+H28+H34</f>
        <v>1024</v>
      </c>
      <c r="I10" s="927"/>
      <c r="J10" s="927">
        <f t="shared" si="0"/>
        <v>7764</v>
      </c>
      <c r="K10" s="927">
        <f t="shared" si="0"/>
        <v>1255</v>
      </c>
      <c r="L10" s="928"/>
      <c r="M10" s="839"/>
    </row>
    <row r="11" spans="1:13" x14ac:dyDescent="0.2">
      <c r="A11" s="1684" t="s">
        <v>1651</v>
      </c>
      <c r="B11" s="1686" t="s">
        <v>2548</v>
      </c>
      <c r="C11" s="527">
        <f>C12+C13+C14+C15+C16</f>
        <v>0</v>
      </c>
      <c r="D11" s="527">
        <f>D12+D13+D14+D15+D16</f>
        <v>0</v>
      </c>
      <c r="E11" s="527"/>
      <c r="F11" s="527"/>
      <c r="G11" s="527">
        <f>G12+G13+G14+G15+G16</f>
        <v>2023</v>
      </c>
      <c r="H11" s="527">
        <f t="shared" ref="H11:J11" si="1">H12+H13+H14+H15+H16</f>
        <v>0</v>
      </c>
      <c r="I11" s="527"/>
      <c r="J11" s="527">
        <f t="shared" si="1"/>
        <v>1701</v>
      </c>
      <c r="K11" s="388"/>
      <c r="L11" s="929"/>
      <c r="M11" s="930"/>
    </row>
    <row r="12" spans="1:13" ht="12" customHeight="1" x14ac:dyDescent="0.2">
      <c r="A12" s="1720"/>
      <c r="B12" s="1721"/>
      <c r="C12" s="322"/>
      <c r="D12" s="322"/>
      <c r="E12" s="322"/>
      <c r="F12" s="322"/>
      <c r="G12" s="322">
        <v>704</v>
      </c>
      <c r="H12" s="322"/>
      <c r="I12" s="414">
        <v>1150</v>
      </c>
      <c r="J12" s="322">
        <v>620</v>
      </c>
      <c r="K12" s="388"/>
      <c r="L12" s="1702" t="s">
        <v>2549</v>
      </c>
      <c r="M12" s="711" t="s">
        <v>2550</v>
      </c>
    </row>
    <row r="13" spans="1:13" ht="12" customHeight="1" x14ac:dyDescent="0.2">
      <c r="A13" s="1720"/>
      <c r="B13" s="1721"/>
      <c r="C13" s="322"/>
      <c r="D13" s="322"/>
      <c r="E13" s="322"/>
      <c r="F13" s="322"/>
      <c r="G13" s="322">
        <v>36</v>
      </c>
      <c r="H13" s="322"/>
      <c r="I13" s="414">
        <v>1210</v>
      </c>
      <c r="J13" s="322">
        <v>31</v>
      </c>
      <c r="K13" s="388"/>
      <c r="L13" s="1735"/>
      <c r="M13" s="931" t="s">
        <v>2551</v>
      </c>
    </row>
    <row r="14" spans="1:13" ht="12" customHeight="1" x14ac:dyDescent="0.2">
      <c r="A14" s="1720"/>
      <c r="B14" s="1721"/>
      <c r="C14" s="322"/>
      <c r="D14" s="322"/>
      <c r="E14" s="322"/>
      <c r="F14" s="322"/>
      <c r="G14" s="322">
        <v>200</v>
      </c>
      <c r="H14" s="322"/>
      <c r="I14" s="414">
        <v>2264</v>
      </c>
      <c r="J14" s="322">
        <v>200</v>
      </c>
      <c r="K14" s="388"/>
      <c r="L14" s="1735"/>
      <c r="M14" s="711" t="s">
        <v>2552</v>
      </c>
    </row>
    <row r="15" spans="1:13" ht="12" customHeight="1" x14ac:dyDescent="0.2">
      <c r="A15" s="1720"/>
      <c r="B15" s="1721"/>
      <c r="C15" s="322"/>
      <c r="D15" s="322"/>
      <c r="E15" s="322"/>
      <c r="F15" s="322"/>
      <c r="G15" s="322">
        <v>1013</v>
      </c>
      <c r="H15" s="322"/>
      <c r="I15" s="414">
        <v>2314</v>
      </c>
      <c r="J15" s="322">
        <v>800</v>
      </c>
      <c r="K15" s="388"/>
      <c r="L15" s="1735"/>
      <c r="M15" s="711" t="s">
        <v>2553</v>
      </c>
    </row>
    <row r="16" spans="1:13" ht="12" customHeight="1" x14ac:dyDescent="0.2">
      <c r="A16" s="1685"/>
      <c r="B16" s="1687"/>
      <c r="C16" s="322"/>
      <c r="D16" s="322"/>
      <c r="E16" s="322"/>
      <c r="F16" s="322"/>
      <c r="G16" s="322">
        <v>70</v>
      </c>
      <c r="H16" s="322"/>
      <c r="I16" s="414">
        <v>2352</v>
      </c>
      <c r="J16" s="322">
        <v>50</v>
      </c>
      <c r="K16" s="388"/>
      <c r="L16" s="1703"/>
      <c r="M16" s="711" t="s">
        <v>2554</v>
      </c>
    </row>
    <row r="17" spans="1:13" x14ac:dyDescent="0.2">
      <c r="A17" s="1684" t="s">
        <v>1712</v>
      </c>
      <c r="B17" s="1686" t="s">
        <v>2555</v>
      </c>
      <c r="C17" s="527">
        <f>C18+C19+C20+C21+C22</f>
        <v>0</v>
      </c>
      <c r="D17" s="527">
        <f>D18+D19+D20+D21+D22</f>
        <v>0</v>
      </c>
      <c r="E17" s="322"/>
      <c r="F17" s="322"/>
      <c r="G17" s="527">
        <f>G18+G19+G20+G21+G22</f>
        <v>2182</v>
      </c>
      <c r="H17" s="527">
        <f t="shared" ref="H17:J17" si="2">H18+H19+H20+H21+H22</f>
        <v>0</v>
      </c>
      <c r="I17" s="933"/>
      <c r="J17" s="527">
        <f t="shared" si="2"/>
        <v>1848</v>
      </c>
      <c r="K17" s="388"/>
      <c r="L17" s="937"/>
      <c r="M17" s="930"/>
    </row>
    <row r="18" spans="1:13" ht="11.25" customHeight="1" x14ac:dyDescent="0.2">
      <c r="A18" s="1720"/>
      <c r="B18" s="1721"/>
      <c r="C18" s="322"/>
      <c r="D18" s="322"/>
      <c r="E18" s="322"/>
      <c r="F18" s="322"/>
      <c r="G18" s="322">
        <v>1630</v>
      </c>
      <c r="H18" s="322"/>
      <c r="I18" s="414">
        <v>1150</v>
      </c>
      <c r="J18" s="322">
        <v>1312</v>
      </c>
      <c r="K18" s="388"/>
      <c r="L18" s="1702" t="s">
        <v>2556</v>
      </c>
      <c r="M18" s="711" t="s">
        <v>2557</v>
      </c>
    </row>
    <row r="19" spans="1:13" ht="11.25" customHeight="1" x14ac:dyDescent="0.2">
      <c r="A19" s="1720"/>
      <c r="B19" s="1721"/>
      <c r="C19" s="322"/>
      <c r="D19" s="322"/>
      <c r="E19" s="322"/>
      <c r="F19" s="322"/>
      <c r="G19" s="322">
        <v>82</v>
      </c>
      <c r="H19" s="322"/>
      <c r="I19" s="414">
        <v>1210</v>
      </c>
      <c r="J19" s="322">
        <v>66</v>
      </c>
      <c r="K19" s="388"/>
      <c r="L19" s="1735"/>
      <c r="M19" s="931" t="s">
        <v>2551</v>
      </c>
    </row>
    <row r="20" spans="1:13" ht="11.25" customHeight="1" x14ac:dyDescent="0.2">
      <c r="A20" s="1720"/>
      <c r="B20" s="1721"/>
      <c r="C20" s="322"/>
      <c r="D20" s="322"/>
      <c r="E20" s="322"/>
      <c r="F20" s="322"/>
      <c r="G20" s="322">
        <v>300</v>
      </c>
      <c r="H20" s="322"/>
      <c r="I20" s="414">
        <v>2264</v>
      </c>
      <c r="J20" s="322">
        <v>300</v>
      </c>
      <c r="K20" s="388"/>
      <c r="L20" s="1735"/>
      <c r="M20" s="711" t="s">
        <v>2558</v>
      </c>
    </row>
    <row r="21" spans="1:13" ht="11.25" customHeight="1" x14ac:dyDescent="0.2">
      <c r="A21" s="1720"/>
      <c r="B21" s="1721"/>
      <c r="C21" s="322"/>
      <c r="D21" s="322"/>
      <c r="E21" s="322"/>
      <c r="F21" s="322"/>
      <c r="G21" s="322">
        <v>120</v>
      </c>
      <c r="H21" s="322"/>
      <c r="I21" s="414">
        <v>2314</v>
      </c>
      <c r="J21" s="322">
        <v>120</v>
      </c>
      <c r="K21" s="388"/>
      <c r="L21" s="1735"/>
      <c r="M21" s="840" t="s">
        <v>2559</v>
      </c>
    </row>
    <row r="22" spans="1:13" ht="11.25" customHeight="1" x14ac:dyDescent="0.2">
      <c r="A22" s="1685"/>
      <c r="B22" s="1687"/>
      <c r="C22" s="322"/>
      <c r="D22" s="322"/>
      <c r="E22" s="322"/>
      <c r="F22" s="322"/>
      <c r="G22" s="322">
        <v>50</v>
      </c>
      <c r="H22" s="322"/>
      <c r="I22" s="414">
        <v>2352</v>
      </c>
      <c r="J22" s="322">
        <v>50</v>
      </c>
      <c r="K22" s="388"/>
      <c r="L22" s="1703"/>
      <c r="M22" s="929" t="s">
        <v>2554</v>
      </c>
    </row>
    <row r="23" spans="1:13" x14ac:dyDescent="0.2">
      <c r="A23" s="1684" t="s">
        <v>2560</v>
      </c>
      <c r="B23" s="1686" t="s">
        <v>2561</v>
      </c>
      <c r="C23" s="322">
        <f>C24+C25+C26+C27</f>
        <v>0</v>
      </c>
      <c r="D23" s="322">
        <f>D24+D25+D26+D27</f>
        <v>0</v>
      </c>
      <c r="E23" s="322"/>
      <c r="F23" s="322"/>
      <c r="G23" s="527">
        <f>G24+G25+G26+G27</f>
        <v>1318</v>
      </c>
      <c r="H23" s="527">
        <f t="shared" ref="H23:J23" si="3">H24+H25+H26+H27</f>
        <v>0</v>
      </c>
      <c r="I23" s="933"/>
      <c r="J23" s="527">
        <f t="shared" si="3"/>
        <v>1132</v>
      </c>
      <c r="K23" s="388"/>
      <c r="L23" s="937"/>
      <c r="M23" s="932"/>
    </row>
    <row r="24" spans="1:13" ht="11.25" customHeight="1" x14ac:dyDescent="0.2">
      <c r="A24" s="1720"/>
      <c r="B24" s="1721"/>
      <c r="C24" s="322"/>
      <c r="D24" s="322"/>
      <c r="E24" s="322"/>
      <c r="F24" s="322"/>
      <c r="G24" s="322">
        <v>960</v>
      </c>
      <c r="H24" s="322"/>
      <c r="I24" s="1492">
        <v>1150</v>
      </c>
      <c r="J24" s="322">
        <v>792</v>
      </c>
      <c r="K24" s="388"/>
      <c r="L24" s="1702" t="s">
        <v>2549</v>
      </c>
      <c r="M24" s="711" t="s">
        <v>2562</v>
      </c>
    </row>
    <row r="25" spans="1:13" ht="11.25" customHeight="1" x14ac:dyDescent="0.2">
      <c r="A25" s="1720"/>
      <c r="B25" s="1721"/>
      <c r="C25" s="322"/>
      <c r="D25" s="322"/>
      <c r="E25" s="322"/>
      <c r="F25" s="322"/>
      <c r="G25" s="322">
        <v>48</v>
      </c>
      <c r="H25" s="322"/>
      <c r="I25" s="1492">
        <v>1210</v>
      </c>
      <c r="J25" s="322">
        <v>40</v>
      </c>
      <c r="K25" s="388"/>
      <c r="L25" s="1735"/>
      <c r="M25" s="931" t="s">
        <v>2551</v>
      </c>
    </row>
    <row r="26" spans="1:13" ht="11.25" customHeight="1" x14ac:dyDescent="0.2">
      <c r="A26" s="1720"/>
      <c r="B26" s="1721"/>
      <c r="C26" s="322"/>
      <c r="D26" s="322"/>
      <c r="E26" s="322"/>
      <c r="F26" s="322"/>
      <c r="G26" s="322">
        <v>200</v>
      </c>
      <c r="H26" s="322"/>
      <c r="I26" s="1492">
        <v>2264</v>
      </c>
      <c r="J26" s="322">
        <v>200</v>
      </c>
      <c r="K26" s="388"/>
      <c r="L26" s="1735"/>
      <c r="M26" s="711" t="s">
        <v>2558</v>
      </c>
    </row>
    <row r="27" spans="1:13" s="352" customFormat="1" ht="11.25" customHeight="1" x14ac:dyDescent="0.2">
      <c r="A27" s="1685"/>
      <c r="B27" s="1687"/>
      <c r="C27" s="388"/>
      <c r="D27" s="388"/>
      <c r="E27" s="388"/>
      <c r="F27" s="388"/>
      <c r="G27" s="388">
        <v>110</v>
      </c>
      <c r="H27" s="388"/>
      <c r="I27" s="1492">
        <v>2314</v>
      </c>
      <c r="J27" s="322">
        <v>100</v>
      </c>
      <c r="K27" s="388"/>
      <c r="L27" s="1703"/>
      <c r="M27" s="840" t="s">
        <v>2563</v>
      </c>
    </row>
    <row r="28" spans="1:13" s="352" customFormat="1" ht="12.75" customHeight="1" x14ac:dyDescent="0.2">
      <c r="A28" s="2036" t="s">
        <v>1831</v>
      </c>
      <c r="B28" s="1686" t="s">
        <v>2564</v>
      </c>
      <c r="C28" s="933">
        <f>C29+C30+C31+C32+C33</f>
        <v>898</v>
      </c>
      <c r="D28" s="933">
        <f>D29+D30+D31+D32+D33</f>
        <v>568</v>
      </c>
      <c r="E28" s="388"/>
      <c r="F28" s="388"/>
      <c r="G28" s="933">
        <f>G29+G30+G31+G32+G33</f>
        <v>1616</v>
      </c>
      <c r="H28" s="933">
        <f t="shared" ref="H28:K28" si="4">H29+H30+H31+H32+H33</f>
        <v>1024</v>
      </c>
      <c r="I28" s="527"/>
      <c r="J28" s="933">
        <f t="shared" si="4"/>
        <v>1390</v>
      </c>
      <c r="K28" s="933">
        <f t="shared" si="4"/>
        <v>1255</v>
      </c>
      <c r="L28" s="937"/>
      <c r="M28" s="711" t="s">
        <v>2565</v>
      </c>
    </row>
    <row r="29" spans="1:13" s="352" customFormat="1" ht="11.25" customHeight="1" x14ac:dyDescent="0.2">
      <c r="A29" s="2037"/>
      <c r="B29" s="1721"/>
      <c r="C29" s="322">
        <v>855</v>
      </c>
      <c r="D29" s="322">
        <v>404</v>
      </c>
      <c r="E29" s="322">
        <v>0</v>
      </c>
      <c r="F29" s="322">
        <v>0</v>
      </c>
      <c r="G29" s="934">
        <v>1539</v>
      </c>
      <c r="H29" s="208">
        <v>727</v>
      </c>
      <c r="I29" s="1492">
        <v>1150</v>
      </c>
      <c r="J29" s="322">
        <v>1133</v>
      </c>
      <c r="K29" s="388">
        <v>1133</v>
      </c>
      <c r="L29" s="1702" t="s">
        <v>2566</v>
      </c>
      <c r="M29" s="711" t="s">
        <v>2567</v>
      </c>
    </row>
    <row r="30" spans="1:13" s="352" customFormat="1" ht="11.25" customHeight="1" x14ac:dyDescent="0.2">
      <c r="A30" s="2037"/>
      <c r="B30" s="1721"/>
      <c r="C30" s="322">
        <v>43</v>
      </c>
      <c r="D30" s="322">
        <v>20</v>
      </c>
      <c r="E30" s="322"/>
      <c r="F30" s="322"/>
      <c r="G30" s="342">
        <v>77</v>
      </c>
      <c r="H30" s="342">
        <v>37</v>
      </c>
      <c r="I30" s="1492">
        <v>1210</v>
      </c>
      <c r="J30" s="322">
        <v>57</v>
      </c>
      <c r="K30" s="361">
        <v>57</v>
      </c>
      <c r="L30" s="1735"/>
      <c r="M30" s="935"/>
    </row>
    <row r="31" spans="1:13" s="352" customFormat="1" ht="11.25" customHeight="1" x14ac:dyDescent="0.2">
      <c r="A31" s="2037"/>
      <c r="B31" s="1721"/>
      <c r="C31" s="322"/>
      <c r="D31" s="322">
        <v>21</v>
      </c>
      <c r="E31" s="322"/>
      <c r="F31" s="322"/>
      <c r="G31" s="322"/>
      <c r="H31" s="322">
        <v>39</v>
      </c>
      <c r="I31" s="1492">
        <v>2239</v>
      </c>
      <c r="J31" s="322">
        <v>44</v>
      </c>
      <c r="K31" s="388"/>
      <c r="L31" s="1735"/>
      <c r="M31" s="711" t="s">
        <v>2568</v>
      </c>
    </row>
    <row r="32" spans="1:13" s="352" customFormat="1" ht="11.25" customHeight="1" x14ac:dyDescent="0.2">
      <c r="A32" s="2037"/>
      <c r="B32" s="1721"/>
      <c r="C32" s="322"/>
      <c r="D32" s="322">
        <v>48</v>
      </c>
      <c r="E32" s="322"/>
      <c r="F32" s="322"/>
      <c r="G32" s="322"/>
      <c r="H32" s="322">
        <v>86</v>
      </c>
      <c r="I32" s="1492">
        <v>2314</v>
      </c>
      <c r="J32" s="322">
        <v>86</v>
      </c>
      <c r="K32" s="388"/>
      <c r="L32" s="1735"/>
      <c r="M32" s="936" t="s">
        <v>2569</v>
      </c>
    </row>
    <row r="33" spans="1:13" s="352" customFormat="1" ht="11.25" customHeight="1" x14ac:dyDescent="0.2">
      <c r="A33" s="2038"/>
      <c r="B33" s="1687"/>
      <c r="C33" s="322"/>
      <c r="D33" s="322">
        <v>75</v>
      </c>
      <c r="E33" s="322"/>
      <c r="F33" s="322"/>
      <c r="G33" s="322"/>
      <c r="H33" s="208">
        <v>135</v>
      </c>
      <c r="I33" s="1492">
        <v>2352</v>
      </c>
      <c r="J33" s="322">
        <v>70</v>
      </c>
      <c r="K33" s="322">
        <v>65</v>
      </c>
      <c r="L33" s="1703"/>
      <c r="M33" s="936" t="s">
        <v>2570</v>
      </c>
    </row>
    <row r="34" spans="1:13" s="352" customFormat="1" ht="12" customHeight="1" x14ac:dyDescent="0.2">
      <c r="A34" s="1684" t="s">
        <v>2571</v>
      </c>
      <c r="B34" s="1686" t="s">
        <v>2572</v>
      </c>
      <c r="C34" s="527">
        <f>C35+C36+C37+C38+C39+C40</f>
        <v>1755</v>
      </c>
      <c r="D34" s="527">
        <f>D35+D36+D37+D38+D39+D40</f>
        <v>0</v>
      </c>
      <c r="E34" s="322"/>
      <c r="F34" s="322"/>
      <c r="G34" s="527">
        <f>G35+G36+G37+G38+G39+G40</f>
        <v>1816</v>
      </c>
      <c r="H34" s="527">
        <f t="shared" ref="H34:K34" si="5">H35+H36+H37+H38+H39+H40</f>
        <v>0</v>
      </c>
      <c r="I34" s="527"/>
      <c r="J34" s="527">
        <f t="shared" si="5"/>
        <v>1693</v>
      </c>
      <c r="K34" s="527">
        <f t="shared" si="5"/>
        <v>0</v>
      </c>
      <c r="L34" s="937"/>
      <c r="M34" s="930"/>
    </row>
    <row r="35" spans="1:13" s="352" customFormat="1" ht="11.25" customHeight="1" x14ac:dyDescent="0.2">
      <c r="A35" s="1720"/>
      <c r="B35" s="1721"/>
      <c r="C35" s="322">
        <v>952</v>
      </c>
      <c r="D35" s="322"/>
      <c r="E35" s="322"/>
      <c r="F35" s="322"/>
      <c r="G35" s="208">
        <v>1020</v>
      </c>
      <c r="H35" s="208"/>
      <c r="I35" s="1492">
        <v>1150</v>
      </c>
      <c r="J35" s="322">
        <v>960</v>
      </c>
      <c r="K35" s="388"/>
      <c r="L35" s="1702" t="s">
        <v>2573</v>
      </c>
      <c r="M35" s="936" t="s">
        <v>2574</v>
      </c>
    </row>
    <row r="36" spans="1:13" s="352" customFormat="1" ht="11.25" customHeight="1" x14ac:dyDescent="0.2">
      <c r="A36" s="1720"/>
      <c r="B36" s="1721"/>
      <c r="C36" s="322">
        <v>48</v>
      </c>
      <c r="D36" s="322"/>
      <c r="E36" s="322"/>
      <c r="F36" s="322"/>
      <c r="G36" s="208">
        <v>51</v>
      </c>
      <c r="H36" s="208"/>
      <c r="I36" s="1492">
        <v>1210</v>
      </c>
      <c r="J36" s="322">
        <v>48</v>
      </c>
      <c r="K36" s="388"/>
      <c r="L36" s="1735"/>
      <c r="M36" s="931" t="s">
        <v>2551</v>
      </c>
    </row>
    <row r="37" spans="1:13" s="352" customFormat="1" ht="11.25" customHeight="1" x14ac:dyDescent="0.2">
      <c r="A37" s="1720"/>
      <c r="B37" s="1721"/>
      <c r="C37" s="342">
        <v>180</v>
      </c>
      <c r="D37" s="379"/>
      <c r="E37" s="379"/>
      <c r="F37" s="379"/>
      <c r="G37" s="342">
        <v>200</v>
      </c>
      <c r="H37" s="342"/>
      <c r="I37" s="1492">
        <v>2264</v>
      </c>
      <c r="J37" s="322">
        <v>200</v>
      </c>
      <c r="K37" s="379"/>
      <c r="L37" s="1735"/>
      <c r="M37" s="711" t="s">
        <v>2558</v>
      </c>
    </row>
    <row r="38" spans="1:13" s="352" customFormat="1" ht="11.25" customHeight="1" x14ac:dyDescent="0.2">
      <c r="A38" s="1720"/>
      <c r="B38" s="1721"/>
      <c r="C38" s="342">
        <v>45</v>
      </c>
      <c r="D38" s="379"/>
      <c r="E38" s="379"/>
      <c r="F38" s="379"/>
      <c r="G38" s="342">
        <v>45</v>
      </c>
      <c r="H38" s="342"/>
      <c r="I38" s="1492">
        <v>2279</v>
      </c>
      <c r="J38" s="322">
        <v>45</v>
      </c>
      <c r="K38" s="379"/>
      <c r="L38" s="1735"/>
      <c r="M38" s="936" t="s">
        <v>2575</v>
      </c>
    </row>
    <row r="39" spans="1:13" s="352" customFormat="1" ht="11.25" customHeight="1" x14ac:dyDescent="0.2">
      <c r="A39" s="1720"/>
      <c r="B39" s="1721"/>
      <c r="C39" s="342">
        <v>340</v>
      </c>
      <c r="D39" s="379"/>
      <c r="E39" s="379"/>
      <c r="F39" s="379"/>
      <c r="G39" s="342">
        <v>360</v>
      </c>
      <c r="H39" s="342"/>
      <c r="I39" s="1492">
        <v>2314</v>
      </c>
      <c r="J39" s="322">
        <v>300</v>
      </c>
      <c r="K39" s="379"/>
      <c r="L39" s="1735"/>
      <c r="M39" s="936" t="s">
        <v>2576</v>
      </c>
    </row>
    <row r="40" spans="1:13" s="352" customFormat="1" ht="11.25" customHeight="1" x14ac:dyDescent="0.2">
      <c r="A40" s="1685"/>
      <c r="B40" s="1687"/>
      <c r="C40" s="342">
        <v>190</v>
      </c>
      <c r="D40" s="379"/>
      <c r="E40" s="379"/>
      <c r="F40" s="379"/>
      <c r="G40" s="342">
        <v>140</v>
      </c>
      <c r="H40" s="342"/>
      <c r="I40" s="1492">
        <v>2352</v>
      </c>
      <c r="J40" s="322">
        <v>140</v>
      </c>
      <c r="K40" s="379"/>
      <c r="L40" s="1703"/>
      <c r="M40" s="321" t="s">
        <v>2577</v>
      </c>
    </row>
    <row r="41" spans="1:13" s="352" customFormat="1" x14ac:dyDescent="0.2">
      <c r="A41" s="779"/>
      <c r="B41" s="779"/>
      <c r="C41" s="938"/>
      <c r="D41" s="939"/>
      <c r="E41" s="939"/>
      <c r="F41" s="939"/>
      <c r="G41" s="938"/>
      <c r="H41" s="938"/>
      <c r="I41" s="940"/>
      <c r="J41" s="782"/>
      <c r="K41" s="941"/>
      <c r="L41" s="783"/>
      <c r="M41" s="780"/>
    </row>
    <row r="42" spans="1:13" s="352" customFormat="1" ht="15.75" x14ac:dyDescent="0.25">
      <c r="A42" s="1745" t="s">
        <v>440</v>
      </c>
      <c r="B42" s="1745"/>
      <c r="C42" s="1746" t="s">
        <v>2578</v>
      </c>
      <c r="D42" s="1746"/>
      <c r="E42" s="1746"/>
      <c r="F42" s="1746"/>
      <c r="G42" s="1746"/>
      <c r="H42" s="1746"/>
      <c r="I42" s="1746"/>
      <c r="J42" s="1746"/>
      <c r="K42" s="1746"/>
      <c r="L42" s="1746"/>
      <c r="M42" s="1746"/>
    </row>
    <row r="43" spans="1:13" s="352" customFormat="1" x14ac:dyDescent="0.2">
      <c r="A43" s="352" t="s">
        <v>129</v>
      </c>
      <c r="C43" s="1742" t="s">
        <v>2335</v>
      </c>
      <c r="D43" s="1742"/>
      <c r="E43" s="1742"/>
      <c r="F43" s="1742"/>
      <c r="G43" s="1742"/>
      <c r="H43" s="1742"/>
      <c r="I43" s="1742"/>
      <c r="J43" s="1742"/>
      <c r="K43" s="1742"/>
      <c r="L43" s="1742"/>
      <c r="M43" s="1742"/>
    </row>
    <row r="44" spans="1:13" s="352" customFormat="1" x14ac:dyDescent="0.2">
      <c r="A44" s="358" t="s">
        <v>131</v>
      </c>
      <c r="B44" s="358"/>
      <c r="C44" s="2154" t="s">
        <v>2093</v>
      </c>
      <c r="D44" s="2154"/>
      <c r="E44" s="2154"/>
      <c r="F44" s="2154"/>
      <c r="G44" s="2154"/>
      <c r="H44" s="2154"/>
      <c r="I44" s="2154"/>
      <c r="J44" s="2154"/>
      <c r="K44" s="2154"/>
      <c r="L44" s="2154"/>
      <c r="M44" s="2154"/>
    </row>
    <row r="45" spans="1:13" s="352" customFormat="1" ht="18" customHeight="1" x14ac:dyDescent="0.2">
      <c r="A45" s="1704" t="s">
        <v>4</v>
      </c>
      <c r="B45" s="1704" t="s">
        <v>133</v>
      </c>
      <c r="C45" s="1970" t="s">
        <v>528</v>
      </c>
      <c r="D45" s="1971"/>
      <c r="E45" s="1970" t="s">
        <v>529</v>
      </c>
      <c r="F45" s="1971"/>
      <c r="G45" s="1970" t="s">
        <v>530</v>
      </c>
      <c r="H45" s="1971"/>
      <c r="I45" s="1704" t="s">
        <v>135</v>
      </c>
      <c r="J45" s="1760" t="s">
        <v>3472</v>
      </c>
      <c r="K45" s="1760"/>
      <c r="L45" s="1704" t="s">
        <v>14</v>
      </c>
      <c r="M45" s="1704" t="s">
        <v>137</v>
      </c>
    </row>
    <row r="46" spans="1:13" s="352" customFormat="1" ht="24" x14ac:dyDescent="0.2">
      <c r="A46" s="1705"/>
      <c r="B46" s="1705"/>
      <c r="C46" s="312" t="s">
        <v>531</v>
      </c>
      <c r="D46" s="312" t="s">
        <v>532</v>
      </c>
      <c r="E46" s="312" t="s">
        <v>531</v>
      </c>
      <c r="F46" s="312" t="s">
        <v>532</v>
      </c>
      <c r="G46" s="312" t="s">
        <v>531</v>
      </c>
      <c r="H46" s="312" t="s">
        <v>532</v>
      </c>
      <c r="I46" s="1705"/>
      <c r="J46" s="312" t="s">
        <v>531</v>
      </c>
      <c r="K46" s="312" t="s">
        <v>532</v>
      </c>
      <c r="L46" s="1705"/>
      <c r="M46" s="1705"/>
    </row>
    <row r="47" spans="1:13" s="352" customFormat="1" ht="12" customHeight="1" x14ac:dyDescent="0.2">
      <c r="A47" s="2105" t="s">
        <v>533</v>
      </c>
      <c r="B47" s="2157"/>
      <c r="C47" s="942">
        <f t="shared" ref="C47:F47" si="6">C48+C55+C57+C62+C67+C72+C76+C80</f>
        <v>4680</v>
      </c>
      <c r="D47" s="942">
        <f t="shared" si="6"/>
        <v>0</v>
      </c>
      <c r="E47" s="942">
        <f t="shared" si="6"/>
        <v>4680</v>
      </c>
      <c r="F47" s="942">
        <f t="shared" si="6"/>
        <v>0</v>
      </c>
      <c r="G47" s="942">
        <f>G48+G55+G57+G62+G67+G72+G76+G80</f>
        <v>4679</v>
      </c>
      <c r="H47" s="942">
        <f t="shared" ref="H47:K47" si="7">H48+H55+H57+H62+H67+H72+H76+H80</f>
        <v>0</v>
      </c>
      <c r="I47" s="942"/>
      <c r="J47" s="927">
        <f>J48+J55+J57+J62+J67+J72+J76+J80</f>
        <v>4381</v>
      </c>
      <c r="K47" s="942">
        <f t="shared" si="7"/>
        <v>0</v>
      </c>
      <c r="L47" s="928"/>
      <c r="M47" s="839"/>
    </row>
    <row r="48" spans="1:13" s="352" customFormat="1" ht="12" customHeight="1" x14ac:dyDescent="0.2">
      <c r="A48" s="2146" t="s">
        <v>2579</v>
      </c>
      <c r="B48" s="2073" t="s">
        <v>2580</v>
      </c>
      <c r="C48" s="942">
        <f t="shared" ref="C48:F48" si="8">C49+C50+C51+C52+C53+C54</f>
        <v>1080</v>
      </c>
      <c r="D48" s="942">
        <f t="shared" si="8"/>
        <v>0</v>
      </c>
      <c r="E48" s="942">
        <f t="shared" si="8"/>
        <v>1080</v>
      </c>
      <c r="F48" s="942">
        <f t="shared" si="8"/>
        <v>0</v>
      </c>
      <c r="G48" s="942">
        <f>G49+G50+G51+G52+G53+G54</f>
        <v>1079</v>
      </c>
      <c r="H48" s="942">
        <f t="shared" ref="H48:K48" si="9">H49+H50+H51+H52+H53+H54</f>
        <v>0</v>
      </c>
      <c r="I48" s="942"/>
      <c r="J48" s="927">
        <f>J49+J50+J51+J52+J53+J54</f>
        <v>1059</v>
      </c>
      <c r="K48" s="942">
        <f t="shared" si="9"/>
        <v>0</v>
      </c>
      <c r="L48" s="943"/>
      <c r="M48" s="944"/>
    </row>
    <row r="49" spans="1:13" s="352" customFormat="1" ht="11.25" customHeight="1" x14ac:dyDescent="0.2">
      <c r="A49" s="2147"/>
      <c r="B49" s="2073"/>
      <c r="C49" s="945">
        <v>628</v>
      </c>
      <c r="D49" s="945"/>
      <c r="E49" s="945">
        <v>628</v>
      </c>
      <c r="F49" s="945"/>
      <c r="G49" s="945">
        <v>627</v>
      </c>
      <c r="H49" s="945"/>
      <c r="I49" s="946">
        <v>1150</v>
      </c>
      <c r="J49" s="947">
        <v>627</v>
      </c>
      <c r="K49" s="947"/>
      <c r="L49" s="2107" t="s">
        <v>2581</v>
      </c>
      <c r="M49" s="711" t="s">
        <v>2582</v>
      </c>
    </row>
    <row r="50" spans="1:13" s="352" customFormat="1" ht="11.25" customHeight="1" x14ac:dyDescent="0.2">
      <c r="A50" s="2147"/>
      <c r="B50" s="2073"/>
      <c r="C50" s="945">
        <v>32</v>
      </c>
      <c r="D50" s="945"/>
      <c r="E50" s="945">
        <v>32</v>
      </c>
      <c r="F50" s="945"/>
      <c r="G50" s="945">
        <v>32</v>
      </c>
      <c r="H50" s="945"/>
      <c r="I50" s="946">
        <v>1210</v>
      </c>
      <c r="J50" s="947">
        <v>32</v>
      </c>
      <c r="K50" s="947"/>
      <c r="L50" s="2145"/>
      <c r="M50" s="931" t="s">
        <v>2551</v>
      </c>
    </row>
    <row r="51" spans="1:13" s="352" customFormat="1" ht="11.25" customHeight="1" x14ac:dyDescent="0.2">
      <c r="A51" s="2147"/>
      <c r="B51" s="2073"/>
      <c r="C51" s="945">
        <v>50</v>
      </c>
      <c r="D51" s="945"/>
      <c r="E51" s="945">
        <v>50</v>
      </c>
      <c r="F51" s="945"/>
      <c r="G51" s="945">
        <v>50</v>
      </c>
      <c r="H51" s="945"/>
      <c r="I51" s="946">
        <v>2264</v>
      </c>
      <c r="J51" s="947">
        <v>50</v>
      </c>
      <c r="K51" s="947"/>
      <c r="L51" s="2145"/>
      <c r="M51" s="840" t="s">
        <v>2583</v>
      </c>
    </row>
    <row r="52" spans="1:13" s="352" customFormat="1" ht="11.25" customHeight="1" x14ac:dyDescent="0.2">
      <c r="A52" s="2147"/>
      <c r="B52" s="2073"/>
      <c r="C52" s="945">
        <v>100</v>
      </c>
      <c r="D52" s="945"/>
      <c r="E52" s="945">
        <v>100</v>
      </c>
      <c r="F52" s="945"/>
      <c r="G52" s="945">
        <v>100</v>
      </c>
      <c r="H52" s="945"/>
      <c r="I52" s="946">
        <v>2269</v>
      </c>
      <c r="J52" s="947">
        <v>100</v>
      </c>
      <c r="K52" s="947"/>
      <c r="L52" s="2145"/>
      <c r="M52" s="840" t="s">
        <v>2584</v>
      </c>
    </row>
    <row r="53" spans="1:13" s="352" customFormat="1" ht="11.25" customHeight="1" x14ac:dyDescent="0.2">
      <c r="A53" s="2147"/>
      <c r="B53" s="2073"/>
      <c r="C53" s="945">
        <v>100</v>
      </c>
      <c r="D53" s="945"/>
      <c r="E53" s="945">
        <v>100</v>
      </c>
      <c r="F53" s="945"/>
      <c r="G53" s="945">
        <v>100</v>
      </c>
      <c r="H53" s="945"/>
      <c r="I53" s="946">
        <v>2231</v>
      </c>
      <c r="J53" s="947">
        <v>100</v>
      </c>
      <c r="K53" s="947"/>
      <c r="L53" s="2145"/>
      <c r="M53" s="948" t="s">
        <v>2585</v>
      </c>
    </row>
    <row r="54" spans="1:13" s="352" customFormat="1" ht="11.25" customHeight="1" x14ac:dyDescent="0.2">
      <c r="A54" s="2148"/>
      <c r="B54" s="2073"/>
      <c r="C54" s="945">
        <v>170</v>
      </c>
      <c r="D54" s="945"/>
      <c r="E54" s="945">
        <v>170</v>
      </c>
      <c r="F54" s="945"/>
      <c r="G54" s="945">
        <v>170</v>
      </c>
      <c r="H54" s="945"/>
      <c r="I54" s="946">
        <v>2314</v>
      </c>
      <c r="J54" s="947">
        <v>150</v>
      </c>
      <c r="K54" s="947"/>
      <c r="L54" s="2108"/>
      <c r="M54" s="949" t="s">
        <v>2586</v>
      </c>
    </row>
    <row r="55" spans="1:13" s="352" customFormat="1" x14ac:dyDescent="0.2">
      <c r="A55" s="2146" t="s">
        <v>1712</v>
      </c>
      <c r="B55" s="2073" t="s">
        <v>2587</v>
      </c>
      <c r="C55" s="942">
        <f>C56</f>
        <v>100</v>
      </c>
      <c r="D55" s="942">
        <f t="shared" ref="D55:F55" si="10">D56</f>
        <v>0</v>
      </c>
      <c r="E55" s="942">
        <f t="shared" si="10"/>
        <v>100</v>
      </c>
      <c r="F55" s="942">
        <f t="shared" si="10"/>
        <v>0</v>
      </c>
      <c r="G55" s="942">
        <f>G56</f>
        <v>100</v>
      </c>
      <c r="H55" s="942">
        <f t="shared" ref="H55:K55" si="11">H56</f>
        <v>0</v>
      </c>
      <c r="I55" s="942"/>
      <c r="J55" s="942">
        <f t="shared" si="11"/>
        <v>100</v>
      </c>
      <c r="K55" s="942">
        <f t="shared" si="11"/>
        <v>0</v>
      </c>
      <c r="L55" s="943"/>
      <c r="M55" s="944"/>
    </row>
    <row r="56" spans="1:13" s="352" customFormat="1" ht="38.25" customHeight="1" x14ac:dyDescent="0.2">
      <c r="A56" s="2148"/>
      <c r="B56" s="2073"/>
      <c r="C56" s="945">
        <v>100</v>
      </c>
      <c r="D56" s="945"/>
      <c r="E56" s="945">
        <v>100</v>
      </c>
      <c r="F56" s="945"/>
      <c r="G56" s="945">
        <v>100</v>
      </c>
      <c r="H56" s="945"/>
      <c r="I56" s="946">
        <v>2314</v>
      </c>
      <c r="J56" s="947">
        <v>100</v>
      </c>
      <c r="K56" s="947"/>
      <c r="L56" s="950" t="s">
        <v>2588</v>
      </c>
      <c r="M56" s="711" t="s">
        <v>2589</v>
      </c>
    </row>
    <row r="57" spans="1:13" s="352" customFormat="1" ht="12" customHeight="1" x14ac:dyDescent="0.2">
      <c r="A57" s="2146" t="s">
        <v>2560</v>
      </c>
      <c r="B57" s="2073" t="s">
        <v>2590</v>
      </c>
      <c r="C57" s="942">
        <f>C58+C59+C60+C61</f>
        <v>510</v>
      </c>
      <c r="D57" s="942">
        <f t="shared" ref="D57:K57" si="12">D58+D59+D60+D61</f>
        <v>0</v>
      </c>
      <c r="E57" s="942">
        <f t="shared" si="12"/>
        <v>510</v>
      </c>
      <c r="F57" s="942">
        <f t="shared" si="12"/>
        <v>0</v>
      </c>
      <c r="G57" s="942">
        <f t="shared" si="12"/>
        <v>510</v>
      </c>
      <c r="H57" s="942">
        <f t="shared" si="12"/>
        <v>0</v>
      </c>
      <c r="I57" s="942"/>
      <c r="J57" s="942">
        <f t="shared" si="12"/>
        <v>510</v>
      </c>
      <c r="K57" s="942">
        <f t="shared" si="12"/>
        <v>0</v>
      </c>
      <c r="L57" s="943"/>
      <c r="M57" s="944"/>
    </row>
    <row r="58" spans="1:13" s="352" customFormat="1" ht="12" customHeight="1" x14ac:dyDescent="0.2">
      <c r="A58" s="2147"/>
      <c r="B58" s="2073"/>
      <c r="C58" s="945">
        <v>171</v>
      </c>
      <c r="D58" s="945"/>
      <c r="E58" s="945">
        <v>171</v>
      </c>
      <c r="F58" s="945"/>
      <c r="G58" s="945">
        <v>171</v>
      </c>
      <c r="H58" s="945"/>
      <c r="I58" s="946">
        <v>1150</v>
      </c>
      <c r="J58" s="947">
        <v>171</v>
      </c>
      <c r="K58" s="947"/>
      <c r="L58" s="2107" t="s">
        <v>2581</v>
      </c>
      <c r="M58" s="931" t="s">
        <v>2591</v>
      </c>
    </row>
    <row r="59" spans="1:13" s="352" customFormat="1" ht="12" customHeight="1" x14ac:dyDescent="0.2">
      <c r="A59" s="2147"/>
      <c r="B59" s="2073"/>
      <c r="C59" s="945">
        <v>9</v>
      </c>
      <c r="D59" s="945"/>
      <c r="E59" s="945">
        <v>9</v>
      </c>
      <c r="F59" s="945"/>
      <c r="G59" s="945">
        <v>9</v>
      </c>
      <c r="H59" s="945"/>
      <c r="I59" s="946">
        <v>1210</v>
      </c>
      <c r="J59" s="947">
        <v>9</v>
      </c>
      <c r="K59" s="947"/>
      <c r="L59" s="2145"/>
      <c r="M59" s="931" t="s">
        <v>2551</v>
      </c>
    </row>
    <row r="60" spans="1:13" s="352" customFormat="1" ht="12" customHeight="1" x14ac:dyDescent="0.2">
      <c r="A60" s="2147"/>
      <c r="B60" s="2073"/>
      <c r="C60" s="945">
        <v>100</v>
      </c>
      <c r="D60" s="945"/>
      <c r="E60" s="945">
        <v>100</v>
      </c>
      <c r="F60" s="945"/>
      <c r="G60" s="945">
        <v>100</v>
      </c>
      <c r="H60" s="945"/>
      <c r="I60" s="946">
        <v>2231</v>
      </c>
      <c r="J60" s="947">
        <v>100</v>
      </c>
      <c r="K60" s="947"/>
      <c r="L60" s="2145"/>
      <c r="M60" s="931" t="s">
        <v>2592</v>
      </c>
    </row>
    <row r="61" spans="1:13" s="352" customFormat="1" ht="12" customHeight="1" x14ac:dyDescent="0.2">
      <c r="A61" s="2148"/>
      <c r="B61" s="2073"/>
      <c r="C61" s="945">
        <v>230</v>
      </c>
      <c r="D61" s="945"/>
      <c r="E61" s="945">
        <v>230</v>
      </c>
      <c r="F61" s="945"/>
      <c r="G61" s="945">
        <v>230</v>
      </c>
      <c r="H61" s="945"/>
      <c r="I61" s="946">
        <v>2314</v>
      </c>
      <c r="J61" s="947">
        <v>230</v>
      </c>
      <c r="K61" s="947"/>
      <c r="L61" s="2108"/>
      <c r="M61" s="711" t="s">
        <v>2593</v>
      </c>
    </row>
    <row r="62" spans="1:13" s="352" customFormat="1" x14ac:dyDescent="0.2">
      <c r="A62" s="2146" t="s">
        <v>1831</v>
      </c>
      <c r="B62" s="2073" t="s">
        <v>2594</v>
      </c>
      <c r="C62" s="942">
        <f>C63+C64+C65+C66</f>
        <v>500</v>
      </c>
      <c r="D62" s="942">
        <f t="shared" ref="D62:K62" si="13">D63+D64+D65+D66</f>
        <v>0</v>
      </c>
      <c r="E62" s="942">
        <f t="shared" si="13"/>
        <v>500</v>
      </c>
      <c r="F62" s="942">
        <f t="shared" si="13"/>
        <v>0</v>
      </c>
      <c r="G62" s="942">
        <f t="shared" si="13"/>
        <v>500</v>
      </c>
      <c r="H62" s="942">
        <f t="shared" si="13"/>
        <v>0</v>
      </c>
      <c r="I62" s="942"/>
      <c r="J62" s="942">
        <f t="shared" si="13"/>
        <v>500</v>
      </c>
      <c r="K62" s="942">
        <f t="shared" si="13"/>
        <v>0</v>
      </c>
      <c r="L62" s="943"/>
      <c r="M62" s="944"/>
    </row>
    <row r="63" spans="1:13" s="352" customFormat="1" ht="11.25" customHeight="1" x14ac:dyDescent="0.2">
      <c r="A63" s="2147"/>
      <c r="B63" s="2073"/>
      <c r="C63" s="945">
        <v>333</v>
      </c>
      <c r="D63" s="945"/>
      <c r="E63" s="945">
        <v>333</v>
      </c>
      <c r="F63" s="945"/>
      <c r="G63" s="945">
        <v>333</v>
      </c>
      <c r="H63" s="945"/>
      <c r="I63" s="946">
        <v>1150</v>
      </c>
      <c r="J63" s="947">
        <v>333</v>
      </c>
      <c r="K63" s="947"/>
      <c r="L63" s="2107" t="s">
        <v>2556</v>
      </c>
      <c r="M63" s="711" t="s">
        <v>2595</v>
      </c>
    </row>
    <row r="64" spans="1:13" s="352" customFormat="1" ht="11.25" customHeight="1" x14ac:dyDescent="0.2">
      <c r="A64" s="2147"/>
      <c r="B64" s="2073"/>
      <c r="C64" s="945">
        <v>17</v>
      </c>
      <c r="D64" s="945"/>
      <c r="E64" s="945">
        <v>17</v>
      </c>
      <c r="F64" s="945"/>
      <c r="G64" s="945">
        <v>17</v>
      </c>
      <c r="H64" s="945"/>
      <c r="I64" s="946">
        <v>1210</v>
      </c>
      <c r="J64" s="947">
        <v>17</v>
      </c>
      <c r="K64" s="947"/>
      <c r="L64" s="2145"/>
      <c r="M64" s="931" t="s">
        <v>2551</v>
      </c>
    </row>
    <row r="65" spans="1:13" s="352" customFormat="1" ht="11.25" customHeight="1" x14ac:dyDescent="0.2">
      <c r="A65" s="2147"/>
      <c r="B65" s="2073"/>
      <c r="C65" s="945">
        <v>100</v>
      </c>
      <c r="D65" s="945"/>
      <c r="E65" s="945">
        <v>100</v>
      </c>
      <c r="F65" s="945"/>
      <c r="G65" s="945">
        <v>100</v>
      </c>
      <c r="H65" s="945"/>
      <c r="I65" s="946">
        <v>2269</v>
      </c>
      <c r="J65" s="947">
        <v>100</v>
      </c>
      <c r="K65" s="947"/>
      <c r="L65" s="2145"/>
      <c r="M65" s="951" t="s">
        <v>2584</v>
      </c>
    </row>
    <row r="66" spans="1:13" s="352" customFormat="1" ht="11.25" customHeight="1" x14ac:dyDescent="0.2">
      <c r="A66" s="2148"/>
      <c r="B66" s="2073"/>
      <c r="C66" s="945">
        <v>50</v>
      </c>
      <c r="D66" s="945"/>
      <c r="E66" s="945">
        <v>50</v>
      </c>
      <c r="F66" s="945"/>
      <c r="G66" s="945">
        <v>50</v>
      </c>
      <c r="H66" s="945"/>
      <c r="I66" s="946">
        <v>2314</v>
      </c>
      <c r="J66" s="947">
        <v>50</v>
      </c>
      <c r="K66" s="947"/>
      <c r="L66" s="2108"/>
      <c r="M66" s="931" t="s">
        <v>2596</v>
      </c>
    </row>
    <row r="67" spans="1:13" s="352" customFormat="1" x14ac:dyDescent="0.2">
      <c r="A67" s="2146" t="s">
        <v>2571</v>
      </c>
      <c r="B67" s="2073" t="s">
        <v>2597</v>
      </c>
      <c r="C67" s="942">
        <f>C68+C69+C70+C71</f>
        <v>310</v>
      </c>
      <c r="D67" s="942">
        <f t="shared" ref="D67:K67" si="14">D68+D69+D70+D71</f>
        <v>0</v>
      </c>
      <c r="E67" s="942">
        <f t="shared" si="14"/>
        <v>310</v>
      </c>
      <c r="F67" s="942">
        <f t="shared" si="14"/>
        <v>0</v>
      </c>
      <c r="G67" s="942">
        <f t="shared" si="14"/>
        <v>310</v>
      </c>
      <c r="H67" s="942">
        <f t="shared" si="14"/>
        <v>0</v>
      </c>
      <c r="I67" s="942"/>
      <c r="J67" s="942">
        <f t="shared" si="14"/>
        <v>310</v>
      </c>
      <c r="K67" s="942">
        <f t="shared" si="14"/>
        <v>0</v>
      </c>
      <c r="L67" s="943"/>
      <c r="M67" s="944"/>
    </row>
    <row r="68" spans="1:13" s="352" customFormat="1" ht="12" customHeight="1" x14ac:dyDescent="0.2">
      <c r="A68" s="2147"/>
      <c r="B68" s="2073"/>
      <c r="C68" s="945">
        <v>171</v>
      </c>
      <c r="D68" s="945"/>
      <c r="E68" s="945">
        <v>171</v>
      </c>
      <c r="F68" s="945"/>
      <c r="G68" s="945">
        <v>171</v>
      </c>
      <c r="H68" s="945"/>
      <c r="I68" s="946">
        <v>1150</v>
      </c>
      <c r="J68" s="947">
        <v>171</v>
      </c>
      <c r="K68" s="947"/>
      <c r="L68" s="2107" t="s">
        <v>2598</v>
      </c>
      <c r="M68" s="952" t="s">
        <v>2599</v>
      </c>
    </row>
    <row r="69" spans="1:13" s="352" customFormat="1" ht="12" customHeight="1" x14ac:dyDescent="0.2">
      <c r="A69" s="2147"/>
      <c r="B69" s="2073"/>
      <c r="C69" s="945">
        <v>9</v>
      </c>
      <c r="D69" s="945"/>
      <c r="E69" s="945">
        <v>9</v>
      </c>
      <c r="F69" s="945"/>
      <c r="G69" s="945">
        <v>9</v>
      </c>
      <c r="H69" s="945"/>
      <c r="I69" s="946">
        <v>1210</v>
      </c>
      <c r="J69" s="947">
        <v>9</v>
      </c>
      <c r="K69" s="947"/>
      <c r="L69" s="2145"/>
      <c r="M69" s="931" t="s">
        <v>2551</v>
      </c>
    </row>
    <row r="70" spans="1:13" s="352" customFormat="1" ht="12" customHeight="1" x14ac:dyDescent="0.2">
      <c r="A70" s="2147"/>
      <c r="B70" s="2073"/>
      <c r="C70" s="945">
        <v>40</v>
      </c>
      <c r="D70" s="945"/>
      <c r="E70" s="945">
        <v>40</v>
      </c>
      <c r="F70" s="945"/>
      <c r="G70" s="945">
        <v>40</v>
      </c>
      <c r="H70" s="945"/>
      <c r="I70" s="946">
        <v>2279</v>
      </c>
      <c r="J70" s="947">
        <v>40</v>
      </c>
      <c r="K70" s="947"/>
      <c r="L70" s="2145"/>
      <c r="M70" s="951" t="s">
        <v>2584</v>
      </c>
    </row>
    <row r="71" spans="1:13" s="352" customFormat="1" ht="12" customHeight="1" x14ac:dyDescent="0.2">
      <c r="A71" s="2148"/>
      <c r="B71" s="2073"/>
      <c r="C71" s="945">
        <v>90</v>
      </c>
      <c r="D71" s="945"/>
      <c r="E71" s="945">
        <v>90</v>
      </c>
      <c r="F71" s="945"/>
      <c r="G71" s="945">
        <v>90</v>
      </c>
      <c r="H71" s="945"/>
      <c r="I71" s="946">
        <v>2314</v>
      </c>
      <c r="J71" s="947">
        <v>90</v>
      </c>
      <c r="K71" s="947"/>
      <c r="L71" s="2108"/>
      <c r="M71" s="711" t="s">
        <v>2600</v>
      </c>
    </row>
    <row r="72" spans="1:13" s="352" customFormat="1" ht="12" customHeight="1" x14ac:dyDescent="0.2">
      <c r="A72" s="2146" t="s">
        <v>2601</v>
      </c>
      <c r="B72" s="2073" t="s">
        <v>2602</v>
      </c>
      <c r="C72" s="942">
        <f>C73+C74+C75</f>
        <v>980</v>
      </c>
      <c r="D72" s="942">
        <f t="shared" ref="D72:K72" si="15">D73+D74+D75</f>
        <v>0</v>
      </c>
      <c r="E72" s="942">
        <f t="shared" si="15"/>
        <v>980</v>
      </c>
      <c r="F72" s="942">
        <f t="shared" si="15"/>
        <v>0</v>
      </c>
      <c r="G72" s="942">
        <f t="shared" si="15"/>
        <v>980</v>
      </c>
      <c r="H72" s="942">
        <f t="shared" si="15"/>
        <v>0</v>
      </c>
      <c r="I72" s="942"/>
      <c r="J72" s="942">
        <f t="shared" si="15"/>
        <v>974</v>
      </c>
      <c r="K72" s="942">
        <f t="shared" si="15"/>
        <v>0</v>
      </c>
      <c r="L72" s="950"/>
      <c r="M72" s="944"/>
    </row>
    <row r="73" spans="1:13" s="352" customFormat="1" ht="12" customHeight="1" x14ac:dyDescent="0.2">
      <c r="A73" s="2147"/>
      <c r="B73" s="2073"/>
      <c r="C73" s="945">
        <v>761</v>
      </c>
      <c r="D73" s="945"/>
      <c r="E73" s="945">
        <v>761</v>
      </c>
      <c r="F73" s="945"/>
      <c r="G73" s="945">
        <v>761</v>
      </c>
      <c r="H73" s="945"/>
      <c r="I73" s="946">
        <v>1150</v>
      </c>
      <c r="J73" s="947">
        <v>756</v>
      </c>
      <c r="K73" s="947"/>
      <c r="L73" s="2107" t="s">
        <v>2603</v>
      </c>
      <c r="M73" s="711" t="s">
        <v>2604</v>
      </c>
    </row>
    <row r="74" spans="1:13" s="352" customFormat="1" ht="12" customHeight="1" x14ac:dyDescent="0.2">
      <c r="A74" s="2147"/>
      <c r="B74" s="2073"/>
      <c r="C74" s="945">
        <v>39</v>
      </c>
      <c r="D74" s="945"/>
      <c r="E74" s="945">
        <v>39</v>
      </c>
      <c r="F74" s="945"/>
      <c r="G74" s="945">
        <v>39</v>
      </c>
      <c r="H74" s="945"/>
      <c r="I74" s="946">
        <v>1210</v>
      </c>
      <c r="J74" s="947">
        <v>38</v>
      </c>
      <c r="K74" s="947"/>
      <c r="L74" s="2145"/>
      <c r="M74" s="931" t="s">
        <v>2551</v>
      </c>
    </row>
    <row r="75" spans="1:13" s="352" customFormat="1" ht="12" customHeight="1" x14ac:dyDescent="0.2">
      <c r="A75" s="2148"/>
      <c r="B75" s="2073"/>
      <c r="C75" s="945">
        <v>180</v>
      </c>
      <c r="D75" s="945"/>
      <c r="E75" s="945">
        <v>180</v>
      </c>
      <c r="F75" s="945"/>
      <c r="G75" s="945">
        <v>180</v>
      </c>
      <c r="H75" s="945"/>
      <c r="I75" s="946">
        <v>2314</v>
      </c>
      <c r="J75" s="947">
        <v>180</v>
      </c>
      <c r="K75" s="947"/>
      <c r="L75" s="2108"/>
      <c r="M75" s="711" t="s">
        <v>2605</v>
      </c>
    </row>
    <row r="76" spans="1:13" s="352" customFormat="1" ht="12" customHeight="1" x14ac:dyDescent="0.2">
      <c r="A76" s="2146" t="s">
        <v>2606</v>
      </c>
      <c r="B76" s="2073" t="s">
        <v>2607</v>
      </c>
      <c r="C76" s="942">
        <f>C77+C78+C79</f>
        <v>600</v>
      </c>
      <c r="D76" s="942">
        <f t="shared" ref="D76:K76" si="16">D77+D78+D79</f>
        <v>0</v>
      </c>
      <c r="E76" s="942">
        <f t="shared" si="16"/>
        <v>600</v>
      </c>
      <c r="F76" s="942">
        <f t="shared" si="16"/>
        <v>0</v>
      </c>
      <c r="G76" s="942">
        <f t="shared" si="16"/>
        <v>600</v>
      </c>
      <c r="H76" s="942">
        <f t="shared" si="16"/>
        <v>0</v>
      </c>
      <c r="I76" s="942"/>
      <c r="J76" s="942">
        <f t="shared" si="16"/>
        <v>528</v>
      </c>
      <c r="K76" s="942">
        <f t="shared" si="16"/>
        <v>0</v>
      </c>
      <c r="L76" s="943"/>
      <c r="M76" s="944"/>
    </row>
    <row r="77" spans="1:13" s="352" customFormat="1" ht="12" customHeight="1" x14ac:dyDescent="0.2">
      <c r="A77" s="2147"/>
      <c r="B77" s="2073"/>
      <c r="C77" s="945">
        <v>400</v>
      </c>
      <c r="D77" s="945"/>
      <c r="E77" s="945">
        <v>400</v>
      </c>
      <c r="F77" s="945"/>
      <c r="G77" s="945">
        <v>400</v>
      </c>
      <c r="H77" s="945"/>
      <c r="I77" s="946">
        <v>1150</v>
      </c>
      <c r="J77" s="947">
        <v>360</v>
      </c>
      <c r="K77" s="947"/>
      <c r="L77" s="2107" t="s">
        <v>2603</v>
      </c>
      <c r="M77" s="711" t="s">
        <v>2608</v>
      </c>
    </row>
    <row r="78" spans="1:13" s="352" customFormat="1" ht="12" customHeight="1" x14ac:dyDescent="0.2">
      <c r="A78" s="2147"/>
      <c r="B78" s="2073"/>
      <c r="C78" s="945">
        <v>20</v>
      </c>
      <c r="D78" s="945"/>
      <c r="E78" s="945">
        <v>20</v>
      </c>
      <c r="F78" s="945"/>
      <c r="G78" s="945">
        <v>20</v>
      </c>
      <c r="H78" s="945"/>
      <c r="I78" s="946">
        <v>1210</v>
      </c>
      <c r="J78" s="947">
        <v>18</v>
      </c>
      <c r="K78" s="947"/>
      <c r="L78" s="2145"/>
      <c r="M78" s="931" t="s">
        <v>2551</v>
      </c>
    </row>
    <row r="79" spans="1:13" s="352" customFormat="1" ht="12" customHeight="1" x14ac:dyDescent="0.2">
      <c r="A79" s="2148"/>
      <c r="B79" s="2073"/>
      <c r="C79" s="945">
        <v>180</v>
      </c>
      <c r="D79" s="945"/>
      <c r="E79" s="945">
        <v>180</v>
      </c>
      <c r="F79" s="945"/>
      <c r="G79" s="945">
        <v>180</v>
      </c>
      <c r="H79" s="945"/>
      <c r="I79" s="946">
        <v>2314</v>
      </c>
      <c r="J79" s="947">
        <f>25*6</f>
        <v>150</v>
      </c>
      <c r="K79" s="947"/>
      <c r="L79" s="2108"/>
      <c r="M79" s="952" t="s">
        <v>2609</v>
      </c>
    </row>
    <row r="80" spans="1:13" s="352" customFormat="1" ht="12" customHeight="1" x14ac:dyDescent="0.2">
      <c r="A80" s="2146" t="s">
        <v>2610</v>
      </c>
      <c r="B80" s="2073" t="s">
        <v>2611</v>
      </c>
      <c r="C80" s="942">
        <f>C81+C82+C83</f>
        <v>600</v>
      </c>
      <c r="D80" s="942">
        <f t="shared" ref="D80:K80" si="17">D81+D82+D83</f>
        <v>0</v>
      </c>
      <c r="E80" s="942">
        <f t="shared" si="17"/>
        <v>600</v>
      </c>
      <c r="F80" s="942">
        <f t="shared" si="17"/>
        <v>0</v>
      </c>
      <c r="G80" s="942">
        <f t="shared" si="17"/>
        <v>600</v>
      </c>
      <c r="H80" s="942">
        <f t="shared" si="17"/>
        <v>0</v>
      </c>
      <c r="I80" s="942"/>
      <c r="J80" s="942">
        <f t="shared" si="17"/>
        <v>400</v>
      </c>
      <c r="K80" s="942">
        <f t="shared" si="17"/>
        <v>0</v>
      </c>
      <c r="L80" s="953"/>
      <c r="M80" s="931" t="s">
        <v>2612</v>
      </c>
    </row>
    <row r="81" spans="1:13" s="352" customFormat="1" ht="12" customHeight="1" x14ac:dyDescent="0.2">
      <c r="A81" s="2147"/>
      <c r="B81" s="2073"/>
      <c r="C81" s="945">
        <v>476</v>
      </c>
      <c r="D81" s="945"/>
      <c r="E81" s="945">
        <v>476</v>
      </c>
      <c r="F81" s="945"/>
      <c r="G81" s="945">
        <v>285</v>
      </c>
      <c r="H81" s="945"/>
      <c r="I81" s="946">
        <v>1150</v>
      </c>
      <c r="J81" s="947">
        <v>285</v>
      </c>
      <c r="K81" s="947"/>
      <c r="L81" s="2107" t="s">
        <v>2613</v>
      </c>
      <c r="M81" s="931" t="s">
        <v>2614</v>
      </c>
    </row>
    <row r="82" spans="1:13" s="352" customFormat="1" ht="12" customHeight="1" x14ac:dyDescent="0.2">
      <c r="A82" s="2147"/>
      <c r="B82" s="2073"/>
      <c r="C82" s="945">
        <v>24</v>
      </c>
      <c r="D82" s="945"/>
      <c r="E82" s="945">
        <v>24</v>
      </c>
      <c r="F82" s="945"/>
      <c r="G82" s="945">
        <v>15</v>
      </c>
      <c r="H82" s="945"/>
      <c r="I82" s="946">
        <v>1210</v>
      </c>
      <c r="J82" s="947">
        <v>15</v>
      </c>
      <c r="K82" s="947"/>
      <c r="L82" s="2145"/>
      <c r="M82" s="931" t="s">
        <v>2551</v>
      </c>
    </row>
    <row r="83" spans="1:13" s="352" customFormat="1" ht="12" customHeight="1" x14ac:dyDescent="0.2">
      <c r="A83" s="2148"/>
      <c r="B83" s="2073"/>
      <c r="C83" s="945">
        <v>100</v>
      </c>
      <c r="D83" s="945"/>
      <c r="E83" s="945">
        <v>100</v>
      </c>
      <c r="F83" s="945"/>
      <c r="G83" s="945">
        <v>300</v>
      </c>
      <c r="H83" s="945"/>
      <c r="I83" s="946">
        <v>2314</v>
      </c>
      <c r="J83" s="947">
        <v>100</v>
      </c>
      <c r="K83" s="947"/>
      <c r="L83" s="2108"/>
      <c r="M83" s="711" t="s">
        <v>2615</v>
      </c>
    </row>
    <row r="84" spans="1:13" s="352" customFormat="1" x14ac:dyDescent="0.2">
      <c r="A84" s="954"/>
      <c r="B84" s="954"/>
      <c r="C84" s="955"/>
      <c r="D84" s="955"/>
      <c r="E84" s="955"/>
      <c r="F84" s="955"/>
      <c r="G84" s="955"/>
      <c r="H84" s="955"/>
      <c r="I84" s="956"/>
      <c r="J84" s="957"/>
      <c r="K84" s="957"/>
      <c r="L84" s="958"/>
      <c r="M84" s="782"/>
    </row>
    <row r="85" spans="1:13" s="352" customFormat="1" ht="15.75" x14ac:dyDescent="0.25">
      <c r="A85" s="1745" t="s">
        <v>440</v>
      </c>
      <c r="B85" s="1745"/>
      <c r="C85" s="1746" t="s">
        <v>2546</v>
      </c>
      <c r="D85" s="1746"/>
      <c r="E85" s="1746"/>
      <c r="F85" s="1746"/>
      <c r="G85" s="1746"/>
      <c r="H85" s="1746"/>
      <c r="I85" s="1746"/>
      <c r="J85" s="1746"/>
      <c r="K85" s="1746"/>
      <c r="L85" s="1746"/>
      <c r="M85" s="1746"/>
    </row>
    <row r="86" spans="1:13" s="352" customFormat="1" x14ac:dyDescent="0.2">
      <c r="A86" s="352" t="s">
        <v>129</v>
      </c>
      <c r="C86" s="1742" t="s">
        <v>2335</v>
      </c>
      <c r="D86" s="1742"/>
      <c r="E86" s="1742"/>
      <c r="F86" s="1742"/>
      <c r="G86" s="1742"/>
      <c r="H86" s="1742"/>
      <c r="I86" s="1742"/>
      <c r="J86" s="1742"/>
      <c r="K86" s="1742"/>
      <c r="L86" s="1742"/>
      <c r="M86" s="1742"/>
    </row>
    <row r="87" spans="1:13" s="352" customFormat="1" ht="15" customHeight="1" x14ac:dyDescent="0.2">
      <c r="A87" s="358" t="s">
        <v>131</v>
      </c>
      <c r="B87" s="358"/>
      <c r="C87" s="2154" t="s">
        <v>2093</v>
      </c>
      <c r="D87" s="2154"/>
      <c r="E87" s="2154"/>
      <c r="F87" s="2154"/>
      <c r="G87" s="2154"/>
      <c r="H87" s="2154"/>
      <c r="I87" s="2154"/>
      <c r="J87" s="2154"/>
      <c r="K87" s="2154"/>
      <c r="L87" s="2154"/>
      <c r="M87" s="2154"/>
    </row>
    <row r="88" spans="1:13" s="352" customFormat="1" ht="16.5" customHeight="1" x14ac:dyDescent="0.2">
      <c r="A88" s="1704" t="s">
        <v>4</v>
      </c>
      <c r="B88" s="1704" t="s">
        <v>133</v>
      </c>
      <c r="C88" s="2158" t="s">
        <v>528</v>
      </c>
      <c r="D88" s="2159"/>
      <c r="E88" s="2158" t="s">
        <v>529</v>
      </c>
      <c r="F88" s="2159"/>
      <c r="G88" s="2158" t="s">
        <v>530</v>
      </c>
      <c r="H88" s="2159"/>
      <c r="I88" s="1704" t="s">
        <v>135</v>
      </c>
      <c r="J88" s="1760" t="s">
        <v>3472</v>
      </c>
      <c r="K88" s="1760"/>
      <c r="L88" s="1704" t="s">
        <v>14</v>
      </c>
      <c r="M88" s="1704" t="s">
        <v>137</v>
      </c>
    </row>
    <row r="89" spans="1:13" s="352" customFormat="1" ht="24" x14ac:dyDescent="0.2">
      <c r="A89" s="1705"/>
      <c r="B89" s="1705"/>
      <c r="C89" s="312" t="s">
        <v>531</v>
      </c>
      <c r="D89" s="312" t="s">
        <v>532</v>
      </c>
      <c r="E89" s="312" t="s">
        <v>531</v>
      </c>
      <c r="F89" s="312" t="s">
        <v>532</v>
      </c>
      <c r="G89" s="312" t="s">
        <v>531</v>
      </c>
      <c r="H89" s="312" t="s">
        <v>532</v>
      </c>
      <c r="I89" s="1705"/>
      <c r="J89" s="312" t="s">
        <v>531</v>
      </c>
      <c r="K89" s="312" t="s">
        <v>532</v>
      </c>
      <c r="L89" s="1705"/>
      <c r="M89" s="1705"/>
    </row>
    <row r="90" spans="1:13" s="352" customFormat="1" x14ac:dyDescent="0.2">
      <c r="A90" s="2105" t="s">
        <v>533</v>
      </c>
      <c r="B90" s="2157"/>
      <c r="C90" s="942">
        <f>C91+C96+C106+C111+C113+C117+C122+C125+C127+C129+C133+C137+C141</f>
        <v>11843</v>
      </c>
      <c r="D90" s="942">
        <f t="shared" ref="D90:F90" si="18">D91+D96+D106+D111+D113+D117+D122+D125+D127+D129+D133+D137+D141</f>
        <v>0</v>
      </c>
      <c r="E90" s="942">
        <f t="shared" si="18"/>
        <v>11843</v>
      </c>
      <c r="F90" s="942">
        <f t="shared" si="18"/>
        <v>0</v>
      </c>
      <c r="G90" s="942">
        <f>G91+G96+G106+G111+G113+G117+G122+G125+G127+G129+G133+G137+G141</f>
        <v>26138</v>
      </c>
      <c r="H90" s="942">
        <f t="shared" ref="H90:K90" si="19">H91+H96+H106+H111+H113+H117+H122+H125+H127+H129+H133+H137+H141</f>
        <v>0</v>
      </c>
      <c r="I90" s="942"/>
      <c r="J90" s="927">
        <f>J91+J96+J106+J111+J113+J117+J122+J125+J127+J129+J133+J137+J141</f>
        <v>24194</v>
      </c>
      <c r="K90" s="942">
        <f t="shared" si="19"/>
        <v>0</v>
      </c>
      <c r="L90" s="928"/>
      <c r="M90" s="839"/>
    </row>
    <row r="91" spans="1:13" s="352" customFormat="1" ht="11.25" customHeight="1" x14ac:dyDescent="0.2">
      <c r="A91" s="2149" t="s">
        <v>1651</v>
      </c>
      <c r="B91" s="1695" t="s">
        <v>2555</v>
      </c>
      <c r="C91" s="959">
        <f>C92+C93+C94+C95</f>
        <v>700</v>
      </c>
      <c r="D91" s="959">
        <f t="shared" ref="D91:F91" si="20">D92+D93+D94+D95</f>
        <v>0</v>
      </c>
      <c r="E91" s="959">
        <f t="shared" si="20"/>
        <v>700</v>
      </c>
      <c r="F91" s="959">
        <f t="shared" si="20"/>
        <v>0</v>
      </c>
      <c r="G91" s="959">
        <f>G92+G93+G94+G95</f>
        <v>700</v>
      </c>
      <c r="H91" s="959">
        <f t="shared" ref="H91:K91" si="21">H92+H93+H94+H95</f>
        <v>0</v>
      </c>
      <c r="I91" s="959"/>
      <c r="J91" s="959">
        <f t="shared" si="21"/>
        <v>700</v>
      </c>
      <c r="K91" s="959">
        <f t="shared" si="21"/>
        <v>0</v>
      </c>
      <c r="L91" s="928"/>
      <c r="M91" s="944"/>
    </row>
    <row r="92" spans="1:13" s="352" customFormat="1" ht="11.25" customHeight="1" x14ac:dyDescent="0.2">
      <c r="A92" s="2150"/>
      <c r="B92" s="1695"/>
      <c r="C92" s="945">
        <v>333</v>
      </c>
      <c r="D92" s="945"/>
      <c r="E92" s="945">
        <v>333</v>
      </c>
      <c r="F92" s="945"/>
      <c r="G92" s="945">
        <v>333</v>
      </c>
      <c r="H92" s="945"/>
      <c r="I92" s="1576">
        <v>1150</v>
      </c>
      <c r="J92" s="947">
        <v>333</v>
      </c>
      <c r="K92" s="947"/>
      <c r="L92" s="2107" t="s">
        <v>2556</v>
      </c>
      <c r="M92" s="840" t="s">
        <v>2616</v>
      </c>
    </row>
    <row r="93" spans="1:13" s="352" customFormat="1" ht="11.25" customHeight="1" x14ac:dyDescent="0.2">
      <c r="A93" s="2150"/>
      <c r="B93" s="1695"/>
      <c r="C93" s="945">
        <v>17</v>
      </c>
      <c r="D93" s="945"/>
      <c r="E93" s="945">
        <v>17</v>
      </c>
      <c r="F93" s="945"/>
      <c r="G93" s="945">
        <v>17</v>
      </c>
      <c r="H93" s="945"/>
      <c r="I93" s="1576">
        <v>1210</v>
      </c>
      <c r="J93" s="947">
        <v>17</v>
      </c>
      <c r="K93" s="947"/>
      <c r="L93" s="2145"/>
      <c r="M93" s="931" t="s">
        <v>2551</v>
      </c>
    </row>
    <row r="94" spans="1:13" s="352" customFormat="1" ht="11.25" customHeight="1" x14ac:dyDescent="0.2">
      <c r="A94" s="2150"/>
      <c r="B94" s="1695"/>
      <c r="C94" s="945">
        <v>50</v>
      </c>
      <c r="D94" s="945"/>
      <c r="E94" s="945">
        <v>50</v>
      </c>
      <c r="F94" s="945"/>
      <c r="G94" s="945">
        <v>50</v>
      </c>
      <c r="H94" s="945"/>
      <c r="I94" s="1576">
        <v>2264</v>
      </c>
      <c r="J94" s="947">
        <v>50</v>
      </c>
      <c r="K94" s="947"/>
      <c r="L94" s="2145"/>
      <c r="M94" s="840" t="s">
        <v>2617</v>
      </c>
    </row>
    <row r="95" spans="1:13" s="352" customFormat="1" ht="19.5" customHeight="1" x14ac:dyDescent="0.2">
      <c r="A95" s="2151"/>
      <c r="B95" s="1695"/>
      <c r="C95" s="945">
        <v>300</v>
      </c>
      <c r="D95" s="945"/>
      <c r="E95" s="945">
        <v>300</v>
      </c>
      <c r="F95" s="945"/>
      <c r="G95" s="945">
        <v>300</v>
      </c>
      <c r="H95" s="945"/>
      <c r="I95" s="1576">
        <v>2314</v>
      </c>
      <c r="J95" s="947">
        <v>300</v>
      </c>
      <c r="K95" s="947"/>
      <c r="L95" s="2108"/>
      <c r="M95" s="960" t="s">
        <v>2618</v>
      </c>
    </row>
    <row r="96" spans="1:13" s="352" customFormat="1" ht="11.25" customHeight="1" x14ac:dyDescent="0.2">
      <c r="A96" s="2146" t="s">
        <v>1712</v>
      </c>
      <c r="B96" s="2073" t="s">
        <v>2619</v>
      </c>
      <c r="C96" s="942">
        <f>C97+C98+C99+C100+C101+C102+C103+C104+C105</f>
        <v>1464</v>
      </c>
      <c r="D96" s="942">
        <f t="shared" ref="D96:K96" si="22">D97+D98+D99+D100+D101+D102+D103+D104+D105</f>
        <v>0</v>
      </c>
      <c r="E96" s="942">
        <f t="shared" si="22"/>
        <v>1464</v>
      </c>
      <c r="F96" s="942">
        <f t="shared" si="22"/>
        <v>0</v>
      </c>
      <c r="G96" s="942">
        <f t="shared" si="22"/>
        <v>16709</v>
      </c>
      <c r="H96" s="942">
        <f t="shared" si="22"/>
        <v>0</v>
      </c>
      <c r="I96" s="1577"/>
      <c r="J96" s="927">
        <f t="shared" si="22"/>
        <v>15772</v>
      </c>
      <c r="K96" s="942">
        <f t="shared" si="22"/>
        <v>0</v>
      </c>
      <c r="L96" s="953"/>
      <c r="M96" s="931" t="s">
        <v>2620</v>
      </c>
    </row>
    <row r="97" spans="1:13" s="352" customFormat="1" ht="11.25" customHeight="1" x14ac:dyDescent="0.2">
      <c r="A97" s="2147"/>
      <c r="B97" s="2073"/>
      <c r="C97" s="945">
        <v>190</v>
      </c>
      <c r="D97" s="945"/>
      <c r="E97" s="945">
        <v>190</v>
      </c>
      <c r="F97" s="945"/>
      <c r="G97" s="945">
        <v>6954</v>
      </c>
      <c r="H97" s="1571"/>
      <c r="I97" s="1575">
        <v>1150</v>
      </c>
      <c r="J97" s="385">
        <f>6954-600</f>
        <v>6354</v>
      </c>
      <c r="K97" s="385"/>
      <c r="L97" s="2156" t="s">
        <v>2621</v>
      </c>
      <c r="M97" s="1572" t="s">
        <v>2622</v>
      </c>
    </row>
    <row r="98" spans="1:13" s="352" customFormat="1" ht="11.25" customHeight="1" x14ac:dyDescent="0.2">
      <c r="A98" s="2147"/>
      <c r="B98" s="2073"/>
      <c r="C98" s="945">
        <v>10</v>
      </c>
      <c r="D98" s="945"/>
      <c r="E98" s="945">
        <v>10</v>
      </c>
      <c r="F98" s="945"/>
      <c r="G98" s="945">
        <v>348</v>
      </c>
      <c r="H98" s="1571"/>
      <c r="I98" s="1575">
        <v>1210</v>
      </c>
      <c r="J98" s="385">
        <v>348</v>
      </c>
      <c r="K98" s="385"/>
      <c r="L98" s="2156"/>
      <c r="M98" s="1572" t="s">
        <v>2551</v>
      </c>
    </row>
    <row r="99" spans="1:13" s="352" customFormat="1" ht="11.25" customHeight="1" x14ac:dyDescent="0.2">
      <c r="A99" s="2147"/>
      <c r="B99" s="2073"/>
      <c r="C99" s="945"/>
      <c r="D99" s="945"/>
      <c r="E99" s="945"/>
      <c r="F99" s="945"/>
      <c r="G99" s="945">
        <v>180</v>
      </c>
      <c r="H99" s="1571"/>
      <c r="I99" s="1575">
        <v>2219</v>
      </c>
      <c r="J99" s="385">
        <v>180</v>
      </c>
      <c r="K99" s="385"/>
      <c r="L99" s="2156"/>
      <c r="M99" s="1572" t="s">
        <v>2623</v>
      </c>
    </row>
    <row r="100" spans="1:13" s="352" customFormat="1" ht="11.25" customHeight="1" x14ac:dyDescent="0.2">
      <c r="A100" s="2147"/>
      <c r="B100" s="2073"/>
      <c r="C100" s="945"/>
      <c r="D100" s="945"/>
      <c r="E100" s="945"/>
      <c r="F100" s="945"/>
      <c r="G100" s="945">
        <v>550</v>
      </c>
      <c r="H100" s="1571"/>
      <c r="I100" s="1575">
        <v>2231</v>
      </c>
      <c r="J100" s="385">
        <v>550</v>
      </c>
      <c r="K100" s="385"/>
      <c r="L100" s="2156"/>
      <c r="M100" s="1572" t="s">
        <v>2624</v>
      </c>
    </row>
    <row r="101" spans="1:13" s="352" customFormat="1" ht="11.25" hidden="1" customHeight="1" x14ac:dyDescent="0.2">
      <c r="A101" s="2147"/>
      <c r="B101" s="2073"/>
      <c r="C101" s="945">
        <v>414</v>
      </c>
      <c r="D101" s="945"/>
      <c r="E101" s="945">
        <v>414</v>
      </c>
      <c r="F101" s="945"/>
      <c r="G101" s="945"/>
      <c r="H101" s="1571"/>
      <c r="I101" s="1575">
        <v>2239</v>
      </c>
      <c r="J101" s="385">
        <v>0</v>
      </c>
      <c r="K101" s="385"/>
      <c r="L101" s="2156"/>
      <c r="M101" s="1573"/>
    </row>
    <row r="102" spans="1:13" s="352" customFormat="1" ht="11.25" customHeight="1" x14ac:dyDescent="0.2">
      <c r="A102" s="2147"/>
      <c r="B102" s="2073"/>
      <c r="C102" s="945">
        <v>176</v>
      </c>
      <c r="D102" s="945"/>
      <c r="E102" s="945">
        <v>176</v>
      </c>
      <c r="F102" s="945"/>
      <c r="G102" s="945">
        <v>300</v>
      </c>
      <c r="H102" s="1571"/>
      <c r="I102" s="1575">
        <v>2262</v>
      </c>
      <c r="J102" s="385">
        <v>300</v>
      </c>
      <c r="K102" s="385"/>
      <c r="L102" s="2156"/>
      <c r="M102" s="1572" t="s">
        <v>2625</v>
      </c>
    </row>
    <row r="103" spans="1:13" s="352" customFormat="1" ht="11.25" customHeight="1" x14ac:dyDescent="0.2">
      <c r="A103" s="2147"/>
      <c r="B103" s="2073"/>
      <c r="C103" s="384">
        <v>568</v>
      </c>
      <c r="D103" s="384"/>
      <c r="E103" s="384">
        <v>568</v>
      </c>
      <c r="F103" s="384"/>
      <c r="G103" s="384">
        <v>1230</v>
      </c>
      <c r="H103" s="384"/>
      <c r="I103" s="1575">
        <v>2279</v>
      </c>
      <c r="J103" s="833">
        <v>1230</v>
      </c>
      <c r="K103" s="833"/>
      <c r="L103" s="2156"/>
      <c r="M103" s="324" t="s">
        <v>2626</v>
      </c>
    </row>
    <row r="104" spans="1:13" s="352" customFormat="1" ht="11.25" customHeight="1" x14ac:dyDescent="0.2">
      <c r="A104" s="2147"/>
      <c r="B104" s="2073"/>
      <c r="C104" s="945">
        <v>106</v>
      </c>
      <c r="D104" s="945"/>
      <c r="E104" s="945">
        <v>106</v>
      </c>
      <c r="F104" s="945"/>
      <c r="G104" s="945">
        <v>5147</v>
      </c>
      <c r="H104" s="1571"/>
      <c r="I104" s="1575">
        <v>2314</v>
      </c>
      <c r="J104" s="385">
        <v>4947</v>
      </c>
      <c r="K104" s="385"/>
      <c r="L104" s="2156"/>
      <c r="M104" s="1572" t="s">
        <v>2627</v>
      </c>
    </row>
    <row r="105" spans="1:13" s="352" customFormat="1" ht="11.25" customHeight="1" x14ac:dyDescent="0.2">
      <c r="A105" s="2148"/>
      <c r="B105" s="2073"/>
      <c r="C105" s="945"/>
      <c r="D105" s="945"/>
      <c r="E105" s="945"/>
      <c r="F105" s="945"/>
      <c r="G105" s="315">
        <v>2000</v>
      </c>
      <c r="H105" s="717"/>
      <c r="I105" s="1578">
        <v>6422</v>
      </c>
      <c r="J105" s="322">
        <v>1863</v>
      </c>
      <c r="K105" s="388"/>
      <c r="L105" s="2156"/>
      <c r="M105" s="1574" t="s">
        <v>2628</v>
      </c>
    </row>
    <row r="106" spans="1:13" s="352" customFormat="1" ht="11.25" customHeight="1" x14ac:dyDescent="0.2">
      <c r="A106" s="2146" t="s">
        <v>1827</v>
      </c>
      <c r="B106" s="1695" t="s">
        <v>2629</v>
      </c>
      <c r="C106" s="942">
        <f>C107+C108+C109+C110</f>
        <v>548</v>
      </c>
      <c r="D106" s="942">
        <f t="shared" ref="D106:K106" si="23">D107+D108+D109+D110</f>
        <v>0</v>
      </c>
      <c r="E106" s="942">
        <f t="shared" si="23"/>
        <v>548</v>
      </c>
      <c r="F106" s="942">
        <f t="shared" si="23"/>
        <v>0</v>
      </c>
      <c r="G106" s="942">
        <f t="shared" si="23"/>
        <v>548</v>
      </c>
      <c r="H106" s="942">
        <f t="shared" si="23"/>
        <v>0</v>
      </c>
      <c r="I106" s="942"/>
      <c r="J106" s="942">
        <f t="shared" si="23"/>
        <v>547</v>
      </c>
      <c r="K106" s="942">
        <f t="shared" si="23"/>
        <v>0</v>
      </c>
      <c r="L106" s="943"/>
      <c r="M106" s="944"/>
    </row>
    <row r="107" spans="1:13" s="352" customFormat="1" ht="11.25" customHeight="1" x14ac:dyDescent="0.2">
      <c r="A107" s="2147"/>
      <c r="B107" s="1695"/>
      <c r="C107" s="315">
        <v>340</v>
      </c>
      <c r="D107" s="315"/>
      <c r="E107" s="315">
        <v>340</v>
      </c>
      <c r="F107" s="315"/>
      <c r="G107" s="315">
        <v>340</v>
      </c>
      <c r="H107" s="315"/>
      <c r="I107" s="365">
        <v>1150</v>
      </c>
      <c r="J107" s="322">
        <v>340</v>
      </c>
      <c r="K107" s="388"/>
      <c r="L107" s="1702" t="s">
        <v>2630</v>
      </c>
      <c r="M107" s="321" t="s">
        <v>2631</v>
      </c>
    </row>
    <row r="108" spans="1:13" s="352" customFormat="1" ht="11.25" customHeight="1" x14ac:dyDescent="0.2">
      <c r="A108" s="2147"/>
      <c r="B108" s="1695"/>
      <c r="C108" s="315">
        <v>18</v>
      </c>
      <c r="D108" s="315"/>
      <c r="E108" s="315">
        <v>18</v>
      </c>
      <c r="F108" s="315"/>
      <c r="G108" s="315">
        <v>18</v>
      </c>
      <c r="H108" s="315"/>
      <c r="I108" s="365">
        <v>1210</v>
      </c>
      <c r="J108" s="322">
        <v>17</v>
      </c>
      <c r="K108" s="388"/>
      <c r="L108" s="1735"/>
      <c r="M108" s="321"/>
    </row>
    <row r="109" spans="1:13" s="352" customFormat="1" ht="11.25" customHeight="1" x14ac:dyDescent="0.2">
      <c r="A109" s="2147"/>
      <c r="B109" s="1695"/>
      <c r="C109" s="315">
        <v>20</v>
      </c>
      <c r="D109" s="315"/>
      <c r="E109" s="315">
        <v>20</v>
      </c>
      <c r="F109" s="315"/>
      <c r="G109" s="315">
        <v>20</v>
      </c>
      <c r="H109" s="315"/>
      <c r="I109" s="365">
        <v>2311</v>
      </c>
      <c r="J109" s="322">
        <v>20</v>
      </c>
      <c r="K109" s="388"/>
      <c r="L109" s="1735"/>
      <c r="M109" s="936" t="s">
        <v>2632</v>
      </c>
    </row>
    <row r="110" spans="1:13" s="352" customFormat="1" ht="11.25" customHeight="1" x14ac:dyDescent="0.2">
      <c r="A110" s="2148"/>
      <c r="B110" s="1695"/>
      <c r="C110" s="315">
        <v>170</v>
      </c>
      <c r="D110" s="315"/>
      <c r="E110" s="315">
        <v>170</v>
      </c>
      <c r="F110" s="315"/>
      <c r="G110" s="315">
        <v>170</v>
      </c>
      <c r="H110" s="315"/>
      <c r="I110" s="365">
        <v>2314</v>
      </c>
      <c r="J110" s="322">
        <v>170</v>
      </c>
      <c r="K110" s="388"/>
      <c r="L110" s="1703"/>
      <c r="M110" s="960" t="s">
        <v>2633</v>
      </c>
    </row>
    <row r="111" spans="1:13" s="352" customFormat="1" x14ac:dyDescent="0.2">
      <c r="A111" s="2146" t="s">
        <v>1831</v>
      </c>
      <c r="B111" s="1695" t="s">
        <v>2634</v>
      </c>
      <c r="C111" s="942">
        <f>C112</f>
        <v>434</v>
      </c>
      <c r="D111" s="942">
        <f t="shared" ref="D111:K111" si="24">D112</f>
        <v>0</v>
      </c>
      <c r="E111" s="942">
        <f t="shared" si="24"/>
        <v>434</v>
      </c>
      <c r="F111" s="942">
        <f t="shared" si="24"/>
        <v>0</v>
      </c>
      <c r="G111" s="942">
        <f t="shared" si="24"/>
        <v>434</v>
      </c>
      <c r="H111" s="942">
        <f t="shared" si="24"/>
        <v>0</v>
      </c>
      <c r="I111" s="942"/>
      <c r="J111" s="942">
        <f t="shared" si="24"/>
        <v>434</v>
      </c>
      <c r="K111" s="942">
        <f t="shared" si="24"/>
        <v>0</v>
      </c>
      <c r="L111" s="943"/>
      <c r="M111" s="944"/>
    </row>
    <row r="112" spans="1:13" s="352" customFormat="1" ht="39.75" customHeight="1" x14ac:dyDescent="0.2">
      <c r="A112" s="2148"/>
      <c r="B112" s="1695"/>
      <c r="C112" s="945">
        <v>434</v>
      </c>
      <c r="D112" s="945"/>
      <c r="E112" s="945">
        <v>434</v>
      </c>
      <c r="F112" s="945"/>
      <c r="G112" s="945">
        <v>434</v>
      </c>
      <c r="H112" s="945"/>
      <c r="I112" s="946">
        <v>2314</v>
      </c>
      <c r="J112" s="947">
        <v>434</v>
      </c>
      <c r="K112" s="947"/>
      <c r="L112" s="379" t="s">
        <v>2635</v>
      </c>
      <c r="M112" s="931" t="s">
        <v>2636</v>
      </c>
    </row>
    <row r="113" spans="1:13" s="352" customFormat="1" ht="12" customHeight="1" x14ac:dyDescent="0.2">
      <c r="A113" s="2146" t="s">
        <v>2571</v>
      </c>
      <c r="B113" s="2073" t="s">
        <v>2637</v>
      </c>
      <c r="C113" s="942">
        <f>C114+C115+C116</f>
        <v>2242</v>
      </c>
      <c r="D113" s="942">
        <f t="shared" ref="D113:K113" si="25">D114+D115+D116</f>
        <v>0</v>
      </c>
      <c r="E113" s="942">
        <f t="shared" si="25"/>
        <v>2242</v>
      </c>
      <c r="F113" s="942">
        <f t="shared" si="25"/>
        <v>0</v>
      </c>
      <c r="G113" s="942">
        <f t="shared" si="25"/>
        <v>1702</v>
      </c>
      <c r="H113" s="942">
        <f t="shared" si="25"/>
        <v>0</v>
      </c>
      <c r="I113" s="942"/>
      <c r="J113" s="942">
        <f t="shared" si="25"/>
        <v>1370</v>
      </c>
      <c r="K113" s="942">
        <f t="shared" si="25"/>
        <v>0</v>
      </c>
      <c r="L113" s="943"/>
      <c r="M113" s="931" t="s">
        <v>2638</v>
      </c>
    </row>
    <row r="114" spans="1:13" s="352" customFormat="1" ht="12" customHeight="1" x14ac:dyDescent="0.2">
      <c r="A114" s="2147"/>
      <c r="B114" s="2073"/>
      <c r="C114" s="945">
        <v>1890</v>
      </c>
      <c r="D114" s="945"/>
      <c r="E114" s="945">
        <v>1890</v>
      </c>
      <c r="F114" s="945"/>
      <c r="G114" s="945">
        <v>1562</v>
      </c>
      <c r="H114" s="945"/>
      <c r="I114" s="946">
        <v>2279</v>
      </c>
      <c r="J114" s="947">
        <v>1270</v>
      </c>
      <c r="K114" s="947"/>
      <c r="L114" s="1702" t="s">
        <v>2639</v>
      </c>
      <c r="M114" s="960" t="s">
        <v>2640</v>
      </c>
    </row>
    <row r="115" spans="1:13" s="352" customFormat="1" ht="12" customHeight="1" x14ac:dyDescent="0.2">
      <c r="A115" s="2147"/>
      <c r="B115" s="2073"/>
      <c r="C115" s="945">
        <v>192</v>
      </c>
      <c r="D115" s="945"/>
      <c r="E115" s="945">
        <v>192</v>
      </c>
      <c r="F115" s="945"/>
      <c r="G115" s="945">
        <v>0</v>
      </c>
      <c r="H115" s="945"/>
      <c r="I115" s="946">
        <v>2231</v>
      </c>
      <c r="J115" s="947">
        <v>0</v>
      </c>
      <c r="K115" s="947"/>
      <c r="L115" s="1735"/>
      <c r="M115" s="961"/>
    </row>
    <row r="116" spans="1:13" s="352" customFormat="1" ht="12" customHeight="1" x14ac:dyDescent="0.2">
      <c r="A116" s="2148"/>
      <c r="B116" s="2073"/>
      <c r="C116" s="945">
        <v>160</v>
      </c>
      <c r="D116" s="945"/>
      <c r="E116" s="945">
        <v>160</v>
      </c>
      <c r="F116" s="945"/>
      <c r="G116" s="945">
        <v>140</v>
      </c>
      <c r="H116" s="945"/>
      <c r="I116" s="946">
        <v>2314</v>
      </c>
      <c r="J116" s="947">
        <v>100</v>
      </c>
      <c r="K116" s="947"/>
      <c r="L116" s="1703"/>
      <c r="M116" s="960" t="s">
        <v>2641</v>
      </c>
    </row>
    <row r="117" spans="1:13" s="352" customFormat="1" ht="12" customHeight="1" x14ac:dyDescent="0.2">
      <c r="A117" s="2146" t="s">
        <v>2601</v>
      </c>
      <c r="B117" s="2021" t="s">
        <v>2642</v>
      </c>
      <c r="C117" s="1118">
        <f>C118+C119+C120+C121</f>
        <v>624</v>
      </c>
      <c r="D117" s="1118">
        <f t="shared" ref="D117:K117" si="26">D118+D119+D120+D121</f>
        <v>0</v>
      </c>
      <c r="E117" s="1118">
        <f t="shared" si="26"/>
        <v>624</v>
      </c>
      <c r="F117" s="1118">
        <f t="shared" si="26"/>
        <v>0</v>
      </c>
      <c r="G117" s="1118">
        <f t="shared" si="26"/>
        <v>1052</v>
      </c>
      <c r="H117" s="1118">
        <f t="shared" si="26"/>
        <v>0</v>
      </c>
      <c r="I117" s="1118"/>
      <c r="J117" s="1184">
        <f t="shared" si="26"/>
        <v>802</v>
      </c>
      <c r="K117" s="1118">
        <f t="shared" si="26"/>
        <v>0</v>
      </c>
      <c r="L117" s="1185"/>
      <c r="M117" s="960" t="s">
        <v>2643</v>
      </c>
    </row>
    <row r="118" spans="1:13" s="352" customFormat="1" ht="12" customHeight="1" x14ac:dyDescent="0.2">
      <c r="A118" s="2147"/>
      <c r="B118" s="2021"/>
      <c r="C118" s="945"/>
      <c r="D118" s="945"/>
      <c r="E118" s="945"/>
      <c r="F118" s="945"/>
      <c r="G118" s="945">
        <v>400</v>
      </c>
      <c r="H118" s="945"/>
      <c r="I118" s="946">
        <v>1150</v>
      </c>
      <c r="J118" s="962">
        <v>200</v>
      </c>
      <c r="K118" s="947"/>
      <c r="L118" s="2107" t="s">
        <v>2644</v>
      </c>
      <c r="M118" s="960" t="s">
        <v>2645</v>
      </c>
    </row>
    <row r="119" spans="1:13" s="352" customFormat="1" ht="12" customHeight="1" x14ac:dyDescent="0.2">
      <c r="A119" s="2147"/>
      <c r="B119" s="2021"/>
      <c r="C119" s="945"/>
      <c r="D119" s="945"/>
      <c r="E119" s="945"/>
      <c r="F119" s="945"/>
      <c r="G119" s="945">
        <v>20</v>
      </c>
      <c r="H119" s="945"/>
      <c r="I119" s="946">
        <v>1210</v>
      </c>
      <c r="J119" s="962">
        <v>10</v>
      </c>
      <c r="K119" s="947"/>
      <c r="L119" s="2145"/>
      <c r="M119" s="931" t="s">
        <v>2551</v>
      </c>
    </row>
    <row r="120" spans="1:13" s="352" customFormat="1" ht="12" customHeight="1" x14ac:dyDescent="0.2">
      <c r="A120" s="2147"/>
      <c r="B120" s="2021"/>
      <c r="C120" s="945">
        <v>424</v>
      </c>
      <c r="D120" s="945"/>
      <c r="E120" s="945">
        <v>424</v>
      </c>
      <c r="F120" s="945"/>
      <c r="G120" s="945">
        <v>392</v>
      </c>
      <c r="H120" s="945"/>
      <c r="I120" s="946">
        <v>2262</v>
      </c>
      <c r="J120" s="962">
        <v>392</v>
      </c>
      <c r="K120" s="947"/>
      <c r="L120" s="2145"/>
      <c r="M120" s="321" t="s">
        <v>2646</v>
      </c>
    </row>
    <row r="121" spans="1:13" s="352" customFormat="1" ht="12" customHeight="1" x14ac:dyDescent="0.2">
      <c r="A121" s="2148"/>
      <c r="B121" s="2021"/>
      <c r="C121" s="945">
        <v>200</v>
      </c>
      <c r="D121" s="945"/>
      <c r="E121" s="945">
        <v>200</v>
      </c>
      <c r="F121" s="945"/>
      <c r="G121" s="945">
        <v>240</v>
      </c>
      <c r="H121" s="945"/>
      <c r="I121" s="946">
        <v>2314</v>
      </c>
      <c r="J121" s="962">
        <v>200</v>
      </c>
      <c r="K121" s="947"/>
      <c r="L121" s="2108"/>
      <c r="M121" s="931" t="s">
        <v>2647</v>
      </c>
    </row>
    <row r="122" spans="1:13" s="352" customFormat="1" x14ac:dyDescent="0.2">
      <c r="A122" s="2146" t="s">
        <v>2606</v>
      </c>
      <c r="B122" s="2073" t="s">
        <v>2648</v>
      </c>
      <c r="C122" s="942">
        <f>C123+C124</f>
        <v>1450</v>
      </c>
      <c r="D122" s="942">
        <f t="shared" ref="D122:K122" si="27">D123+D124</f>
        <v>0</v>
      </c>
      <c r="E122" s="942">
        <f t="shared" si="27"/>
        <v>1450</v>
      </c>
      <c r="F122" s="942">
        <f t="shared" si="27"/>
        <v>0</v>
      </c>
      <c r="G122" s="942">
        <f t="shared" si="27"/>
        <v>1450</v>
      </c>
      <c r="H122" s="942">
        <f t="shared" si="27"/>
        <v>0</v>
      </c>
      <c r="I122" s="942"/>
      <c r="J122" s="927">
        <f>J123+J124</f>
        <v>1450</v>
      </c>
      <c r="K122" s="942">
        <f t="shared" si="27"/>
        <v>0</v>
      </c>
      <c r="L122" s="943"/>
      <c r="M122" s="944"/>
    </row>
    <row r="123" spans="1:13" s="352" customFormat="1" ht="13.5" customHeight="1" x14ac:dyDescent="0.2">
      <c r="A123" s="2147"/>
      <c r="B123" s="2073"/>
      <c r="C123" s="945">
        <v>550</v>
      </c>
      <c r="D123" s="945"/>
      <c r="E123" s="945">
        <v>550</v>
      </c>
      <c r="F123" s="945"/>
      <c r="G123" s="945">
        <v>550</v>
      </c>
      <c r="H123" s="945"/>
      <c r="I123" s="946">
        <v>5234</v>
      </c>
      <c r="J123" s="947">
        <v>550</v>
      </c>
      <c r="K123" s="947"/>
      <c r="L123" s="1702" t="s">
        <v>2649</v>
      </c>
      <c r="M123" s="960" t="s">
        <v>2650</v>
      </c>
    </row>
    <row r="124" spans="1:13" s="352" customFormat="1" x14ac:dyDescent="0.2">
      <c r="A124" s="2148"/>
      <c r="B124" s="2073"/>
      <c r="C124" s="945">
        <v>900</v>
      </c>
      <c r="D124" s="945"/>
      <c r="E124" s="945">
        <v>900</v>
      </c>
      <c r="F124" s="945"/>
      <c r="G124" s="945">
        <v>900</v>
      </c>
      <c r="H124" s="945"/>
      <c r="I124" s="946">
        <v>5236</v>
      </c>
      <c r="J124" s="947">
        <v>900</v>
      </c>
      <c r="K124" s="947"/>
      <c r="L124" s="1703"/>
      <c r="M124" s="960" t="s">
        <v>2651</v>
      </c>
    </row>
    <row r="125" spans="1:13" s="352" customFormat="1" x14ac:dyDescent="0.2">
      <c r="A125" s="2146" t="s">
        <v>2610</v>
      </c>
      <c r="B125" s="1695" t="s">
        <v>2652</v>
      </c>
      <c r="C125" s="942">
        <f>C126</f>
        <v>600</v>
      </c>
      <c r="D125" s="942">
        <f t="shared" ref="D125:K125" si="28">D126</f>
        <v>0</v>
      </c>
      <c r="E125" s="942">
        <f t="shared" si="28"/>
        <v>600</v>
      </c>
      <c r="F125" s="942">
        <f t="shared" si="28"/>
        <v>0</v>
      </c>
      <c r="G125" s="942">
        <f t="shared" si="28"/>
        <v>600</v>
      </c>
      <c r="H125" s="942">
        <f t="shared" si="28"/>
        <v>0</v>
      </c>
      <c r="I125" s="942"/>
      <c r="J125" s="942">
        <f t="shared" si="28"/>
        <v>600</v>
      </c>
      <c r="K125" s="942">
        <f t="shared" si="28"/>
        <v>0</v>
      </c>
      <c r="L125" s="943"/>
      <c r="M125" s="944"/>
    </row>
    <row r="126" spans="1:13" s="352" customFormat="1" ht="27.75" customHeight="1" x14ac:dyDescent="0.2">
      <c r="A126" s="2148"/>
      <c r="B126" s="1695"/>
      <c r="C126" s="945">
        <v>600</v>
      </c>
      <c r="D126" s="945"/>
      <c r="E126" s="945">
        <v>600</v>
      </c>
      <c r="F126" s="945"/>
      <c r="G126" s="945">
        <v>600</v>
      </c>
      <c r="H126" s="945"/>
      <c r="I126" s="946">
        <v>2279</v>
      </c>
      <c r="J126" s="947">
        <v>600</v>
      </c>
      <c r="K126" s="947"/>
      <c r="L126" s="379" t="s">
        <v>2649</v>
      </c>
      <c r="M126" s="960" t="s">
        <v>2653</v>
      </c>
    </row>
    <row r="127" spans="1:13" s="352" customFormat="1" x14ac:dyDescent="0.2">
      <c r="A127" s="2146" t="s">
        <v>2654</v>
      </c>
      <c r="B127" s="2073" t="s">
        <v>2655</v>
      </c>
      <c r="C127" s="942">
        <f>C128</f>
        <v>131</v>
      </c>
      <c r="D127" s="942">
        <f t="shared" ref="D127:K127" si="29">D128</f>
        <v>0</v>
      </c>
      <c r="E127" s="942">
        <f t="shared" si="29"/>
        <v>131</v>
      </c>
      <c r="F127" s="942">
        <f t="shared" si="29"/>
        <v>0</v>
      </c>
      <c r="G127" s="942">
        <f t="shared" si="29"/>
        <v>175</v>
      </c>
      <c r="H127" s="942">
        <f t="shared" si="29"/>
        <v>0</v>
      </c>
      <c r="I127" s="942"/>
      <c r="J127" s="942">
        <f t="shared" si="29"/>
        <v>100</v>
      </c>
      <c r="K127" s="942">
        <f t="shared" si="29"/>
        <v>0</v>
      </c>
      <c r="L127" s="379"/>
      <c r="M127" s="931"/>
    </row>
    <row r="128" spans="1:13" s="352" customFormat="1" ht="38.25" customHeight="1" x14ac:dyDescent="0.2">
      <c r="A128" s="2148"/>
      <c r="B128" s="2073"/>
      <c r="C128" s="945">
        <v>131</v>
      </c>
      <c r="D128" s="945"/>
      <c r="E128" s="945">
        <v>131</v>
      </c>
      <c r="F128" s="945"/>
      <c r="G128" s="945">
        <v>175</v>
      </c>
      <c r="H128" s="945"/>
      <c r="I128" s="946">
        <v>2279</v>
      </c>
      <c r="J128" s="947">
        <v>100</v>
      </c>
      <c r="K128" s="947"/>
      <c r="L128" s="379" t="s">
        <v>2656</v>
      </c>
      <c r="M128" s="931" t="s">
        <v>2657</v>
      </c>
    </row>
    <row r="129" spans="1:13" s="352" customFormat="1" x14ac:dyDescent="0.2">
      <c r="A129" s="2146" t="s">
        <v>2658</v>
      </c>
      <c r="B129" s="1695" t="s">
        <v>2659</v>
      </c>
      <c r="C129" s="942">
        <f>C130+C131+C132</f>
        <v>683</v>
      </c>
      <c r="D129" s="942">
        <f t="shared" ref="D129:K129" si="30">D130+D131+D132</f>
        <v>0</v>
      </c>
      <c r="E129" s="942">
        <f t="shared" si="30"/>
        <v>683</v>
      </c>
      <c r="F129" s="942">
        <f t="shared" si="30"/>
        <v>0</v>
      </c>
      <c r="G129" s="942">
        <f t="shared" si="30"/>
        <v>1499</v>
      </c>
      <c r="H129" s="942">
        <f t="shared" si="30"/>
        <v>0</v>
      </c>
      <c r="I129" s="942"/>
      <c r="J129" s="942">
        <f t="shared" si="30"/>
        <v>1150</v>
      </c>
      <c r="K129" s="942">
        <f t="shared" si="30"/>
        <v>0</v>
      </c>
      <c r="L129" s="943"/>
      <c r="M129" s="931"/>
    </row>
    <row r="130" spans="1:13" s="352" customFormat="1" ht="13.5" customHeight="1" x14ac:dyDescent="0.2">
      <c r="A130" s="2147"/>
      <c r="B130" s="1695"/>
      <c r="C130" s="945">
        <v>142</v>
      </c>
      <c r="D130" s="945"/>
      <c r="E130" s="945">
        <v>142</v>
      </c>
      <c r="F130" s="945"/>
      <c r="G130" s="945">
        <v>142</v>
      </c>
      <c r="H130" s="945"/>
      <c r="I130" s="946">
        <v>1150</v>
      </c>
      <c r="J130" s="947">
        <v>142</v>
      </c>
      <c r="K130" s="947"/>
      <c r="L130" s="1702" t="s">
        <v>2660</v>
      </c>
      <c r="M130" s="963" t="s">
        <v>2661</v>
      </c>
    </row>
    <row r="131" spans="1:13" s="352" customFormat="1" ht="13.5" customHeight="1" x14ac:dyDescent="0.2">
      <c r="A131" s="2147"/>
      <c r="B131" s="1695"/>
      <c r="C131" s="945">
        <v>8</v>
      </c>
      <c r="D131" s="945"/>
      <c r="E131" s="945">
        <v>8</v>
      </c>
      <c r="F131" s="945"/>
      <c r="G131" s="945">
        <v>8</v>
      </c>
      <c r="H131" s="945"/>
      <c r="I131" s="946">
        <v>1210</v>
      </c>
      <c r="J131" s="947">
        <v>8</v>
      </c>
      <c r="K131" s="947"/>
      <c r="L131" s="1735"/>
      <c r="M131" s="931" t="s">
        <v>2551</v>
      </c>
    </row>
    <row r="132" spans="1:13" s="352" customFormat="1" ht="13.5" customHeight="1" x14ac:dyDescent="0.2">
      <c r="A132" s="2148"/>
      <c r="B132" s="1695"/>
      <c r="C132" s="945">
        <v>533</v>
      </c>
      <c r="D132" s="945"/>
      <c r="E132" s="945">
        <v>533</v>
      </c>
      <c r="F132" s="945"/>
      <c r="G132" s="945">
        <v>1349</v>
      </c>
      <c r="H132" s="945"/>
      <c r="I132" s="946">
        <v>2314</v>
      </c>
      <c r="J132" s="962">
        <v>1000</v>
      </c>
      <c r="K132" s="947"/>
      <c r="L132" s="1703"/>
      <c r="M132" s="964" t="s">
        <v>2662</v>
      </c>
    </row>
    <row r="133" spans="1:13" s="352" customFormat="1" ht="13.5" customHeight="1" x14ac:dyDescent="0.2">
      <c r="A133" s="2146" t="s">
        <v>2663</v>
      </c>
      <c r="B133" s="1695" t="s">
        <v>2664</v>
      </c>
      <c r="C133" s="942">
        <f>C134+C135+C136</f>
        <v>545</v>
      </c>
      <c r="D133" s="942">
        <f t="shared" ref="D133:K133" si="31">D134+D135+D136</f>
        <v>0</v>
      </c>
      <c r="E133" s="942">
        <f t="shared" si="31"/>
        <v>545</v>
      </c>
      <c r="F133" s="942">
        <f t="shared" si="31"/>
        <v>0</v>
      </c>
      <c r="G133" s="942">
        <f t="shared" si="31"/>
        <v>542</v>
      </c>
      <c r="H133" s="942">
        <f t="shared" si="31"/>
        <v>0</v>
      </c>
      <c r="I133" s="942"/>
      <c r="J133" s="942">
        <f t="shared" si="31"/>
        <v>542</v>
      </c>
      <c r="K133" s="942">
        <f t="shared" si="31"/>
        <v>0</v>
      </c>
      <c r="L133" s="943"/>
      <c r="M133" s="931" t="s">
        <v>2665</v>
      </c>
    </row>
    <row r="134" spans="1:13" s="352" customFormat="1" ht="13.5" customHeight="1" x14ac:dyDescent="0.2">
      <c r="A134" s="2147"/>
      <c r="B134" s="1695"/>
      <c r="C134" s="945">
        <v>362</v>
      </c>
      <c r="D134" s="945"/>
      <c r="E134" s="945">
        <v>362</v>
      </c>
      <c r="F134" s="945"/>
      <c r="G134" s="945">
        <v>272</v>
      </c>
      <c r="H134" s="945"/>
      <c r="I134" s="946">
        <v>2279</v>
      </c>
      <c r="J134" s="947">
        <v>272</v>
      </c>
      <c r="K134" s="947"/>
      <c r="L134" s="1702" t="s">
        <v>2666</v>
      </c>
      <c r="M134" s="931" t="s">
        <v>2667</v>
      </c>
    </row>
    <row r="135" spans="1:13" s="352" customFormat="1" ht="13.5" customHeight="1" x14ac:dyDescent="0.2">
      <c r="A135" s="2147"/>
      <c r="B135" s="1695"/>
      <c r="C135" s="945">
        <v>65</v>
      </c>
      <c r="D135" s="945"/>
      <c r="E135" s="945">
        <v>65</v>
      </c>
      <c r="F135" s="945"/>
      <c r="G135" s="945"/>
      <c r="H135" s="945"/>
      <c r="I135" s="946">
        <v>2312</v>
      </c>
      <c r="J135" s="947"/>
      <c r="K135" s="947"/>
      <c r="L135" s="1735"/>
      <c r="M135" s="931"/>
    </row>
    <row r="136" spans="1:13" s="352" customFormat="1" ht="22.5" customHeight="1" x14ac:dyDescent="0.2">
      <c r="A136" s="2148"/>
      <c r="B136" s="1695"/>
      <c r="C136" s="945">
        <v>118</v>
      </c>
      <c r="D136" s="945"/>
      <c r="E136" s="945">
        <v>118</v>
      </c>
      <c r="F136" s="945"/>
      <c r="G136" s="945">
        <v>270</v>
      </c>
      <c r="H136" s="945"/>
      <c r="I136" s="946">
        <v>2314</v>
      </c>
      <c r="J136" s="947">
        <v>270</v>
      </c>
      <c r="K136" s="947"/>
      <c r="L136" s="1703"/>
      <c r="M136" s="931" t="s">
        <v>2668</v>
      </c>
    </row>
    <row r="137" spans="1:13" s="352" customFormat="1" ht="13.5" hidden="1" customHeight="1" x14ac:dyDescent="0.2">
      <c r="A137" s="2146" t="s">
        <v>2669</v>
      </c>
      <c r="B137" s="2073" t="s">
        <v>2670</v>
      </c>
      <c r="C137" s="942">
        <f>C138+C139+C140</f>
        <v>2422</v>
      </c>
      <c r="D137" s="942">
        <f t="shared" ref="D137:K137" si="32">D138+D139+D140</f>
        <v>0</v>
      </c>
      <c r="E137" s="942">
        <f t="shared" si="32"/>
        <v>2422</v>
      </c>
      <c r="F137" s="942">
        <f t="shared" si="32"/>
        <v>0</v>
      </c>
      <c r="G137" s="942">
        <f t="shared" si="32"/>
        <v>0</v>
      </c>
      <c r="H137" s="942">
        <f t="shared" si="32"/>
        <v>0</v>
      </c>
      <c r="I137" s="942"/>
      <c r="J137" s="942">
        <f t="shared" si="32"/>
        <v>0</v>
      </c>
      <c r="K137" s="942">
        <f t="shared" si="32"/>
        <v>0</v>
      </c>
      <c r="L137" s="943"/>
      <c r="M137" s="931"/>
    </row>
    <row r="138" spans="1:13" s="352" customFormat="1" ht="13.5" hidden="1" customHeight="1" x14ac:dyDescent="0.2">
      <c r="A138" s="2147"/>
      <c r="B138" s="2073"/>
      <c r="C138" s="945">
        <v>945</v>
      </c>
      <c r="D138" s="945"/>
      <c r="E138" s="945">
        <v>945</v>
      </c>
      <c r="F138" s="945"/>
      <c r="G138" s="945"/>
      <c r="H138" s="945"/>
      <c r="I138" s="946">
        <v>1150</v>
      </c>
      <c r="J138" s="947">
        <v>0</v>
      </c>
      <c r="K138" s="947"/>
      <c r="L138" s="943"/>
      <c r="M138" s="931"/>
    </row>
    <row r="139" spans="1:13" s="352" customFormat="1" ht="13.5" hidden="1" customHeight="1" x14ac:dyDescent="0.2">
      <c r="A139" s="2147"/>
      <c r="B139" s="2073"/>
      <c r="C139" s="945">
        <v>48</v>
      </c>
      <c r="D139" s="945"/>
      <c r="E139" s="945">
        <v>48</v>
      </c>
      <c r="F139" s="945"/>
      <c r="G139" s="945"/>
      <c r="H139" s="945"/>
      <c r="I139" s="946">
        <v>1210</v>
      </c>
      <c r="J139" s="947">
        <v>0</v>
      </c>
      <c r="K139" s="947"/>
      <c r="L139" s="943"/>
      <c r="M139" s="931"/>
    </row>
    <row r="140" spans="1:13" s="352" customFormat="1" ht="13.5" hidden="1" customHeight="1" x14ac:dyDescent="0.2">
      <c r="A140" s="2148"/>
      <c r="B140" s="2073"/>
      <c r="C140" s="945">
        <v>1429</v>
      </c>
      <c r="D140" s="945"/>
      <c r="E140" s="945">
        <v>1429</v>
      </c>
      <c r="F140" s="945"/>
      <c r="G140" s="945"/>
      <c r="H140" s="945"/>
      <c r="I140" s="946">
        <v>2314</v>
      </c>
      <c r="J140" s="947">
        <v>0</v>
      </c>
      <c r="K140" s="947"/>
      <c r="L140" s="943"/>
      <c r="M140" s="931"/>
    </row>
    <row r="141" spans="1:13" s="352" customFormat="1" ht="13.5" customHeight="1" x14ac:dyDescent="0.2">
      <c r="A141" s="2146">
        <v>12</v>
      </c>
      <c r="B141" s="2073" t="s">
        <v>2671</v>
      </c>
      <c r="C141" s="942">
        <f>C142+C143+C144</f>
        <v>0</v>
      </c>
      <c r="D141" s="942">
        <f t="shared" ref="D141:K141" si="33">D142+D143+D144</f>
        <v>0</v>
      </c>
      <c r="E141" s="942">
        <f t="shared" si="33"/>
        <v>0</v>
      </c>
      <c r="F141" s="942">
        <f t="shared" si="33"/>
        <v>0</v>
      </c>
      <c r="G141" s="942">
        <f t="shared" si="33"/>
        <v>727</v>
      </c>
      <c r="H141" s="942">
        <f t="shared" si="33"/>
        <v>0</v>
      </c>
      <c r="I141" s="942"/>
      <c r="J141" s="942">
        <f t="shared" si="33"/>
        <v>727</v>
      </c>
      <c r="K141" s="942">
        <f t="shared" si="33"/>
        <v>0</v>
      </c>
      <c r="L141" s="953"/>
      <c r="M141" s="931" t="s">
        <v>2672</v>
      </c>
    </row>
    <row r="142" spans="1:13" s="352" customFormat="1" ht="13.5" customHeight="1" x14ac:dyDescent="0.2">
      <c r="A142" s="2147"/>
      <c r="B142" s="2073"/>
      <c r="C142" s="945"/>
      <c r="D142" s="945"/>
      <c r="E142" s="945"/>
      <c r="F142" s="945"/>
      <c r="G142" s="945">
        <v>305</v>
      </c>
      <c r="H142" s="945"/>
      <c r="I142" s="946">
        <v>1150</v>
      </c>
      <c r="J142" s="962">
        <v>305</v>
      </c>
      <c r="K142" s="947"/>
      <c r="L142" s="2107" t="s">
        <v>2673</v>
      </c>
      <c r="M142" s="931" t="s">
        <v>2674</v>
      </c>
    </row>
    <row r="143" spans="1:13" s="352" customFormat="1" ht="13.5" customHeight="1" x14ac:dyDescent="0.2">
      <c r="A143" s="2147"/>
      <c r="B143" s="2073"/>
      <c r="C143" s="945"/>
      <c r="D143" s="945"/>
      <c r="E143" s="945"/>
      <c r="F143" s="945"/>
      <c r="G143" s="945">
        <v>16</v>
      </c>
      <c r="H143" s="945"/>
      <c r="I143" s="946">
        <v>1210</v>
      </c>
      <c r="J143" s="962">
        <v>16</v>
      </c>
      <c r="K143" s="947"/>
      <c r="L143" s="2145"/>
      <c r="M143" s="931" t="s">
        <v>2551</v>
      </c>
    </row>
    <row r="144" spans="1:13" s="352" customFormat="1" ht="23.25" customHeight="1" x14ac:dyDescent="0.2">
      <c r="A144" s="2148"/>
      <c r="B144" s="2073"/>
      <c r="C144" s="945"/>
      <c r="D144" s="945"/>
      <c r="E144" s="945"/>
      <c r="F144" s="945"/>
      <c r="G144" s="945">
        <v>406</v>
      </c>
      <c r="H144" s="945"/>
      <c r="I144" s="946">
        <v>2314</v>
      </c>
      <c r="J144" s="962">
        <v>406</v>
      </c>
      <c r="K144" s="947"/>
      <c r="L144" s="2108"/>
      <c r="M144" s="711" t="s">
        <v>2675</v>
      </c>
    </row>
    <row r="145" spans="1:13" s="352" customFormat="1" x14ac:dyDescent="0.2">
      <c r="A145" s="965"/>
      <c r="B145" s="965"/>
      <c r="C145" s="324"/>
      <c r="D145" s="324"/>
      <c r="E145" s="324"/>
      <c r="F145" s="324"/>
      <c r="G145" s="324"/>
      <c r="H145" s="324"/>
      <c r="I145" s="324"/>
      <c r="J145" s="844"/>
      <c r="K145" s="844"/>
      <c r="L145" s="844"/>
      <c r="M145" s="844"/>
    </row>
    <row r="146" spans="1:13" s="352" customFormat="1" ht="15.75" x14ac:dyDescent="0.25">
      <c r="A146" s="1745" t="s">
        <v>440</v>
      </c>
      <c r="B146" s="1745"/>
      <c r="C146" s="1746" t="s">
        <v>2676</v>
      </c>
      <c r="D146" s="1746"/>
      <c r="E146" s="1746"/>
      <c r="F146" s="1746"/>
      <c r="G146" s="1746"/>
      <c r="H146" s="1746"/>
      <c r="I146" s="1746"/>
      <c r="J146" s="1746"/>
      <c r="K146" s="1746"/>
      <c r="L146" s="1746"/>
      <c r="M146" s="1746"/>
    </row>
    <row r="147" spans="1:13" s="352" customFormat="1" x14ac:dyDescent="0.2">
      <c r="A147" s="352" t="s">
        <v>129</v>
      </c>
      <c r="C147" s="1742" t="s">
        <v>2335</v>
      </c>
      <c r="D147" s="1742"/>
      <c r="E147" s="1742"/>
      <c r="F147" s="1742"/>
      <c r="G147" s="1742"/>
      <c r="H147" s="1742"/>
      <c r="I147" s="1742"/>
      <c r="J147" s="1742"/>
      <c r="K147" s="1742"/>
      <c r="L147" s="1742"/>
      <c r="M147" s="1742"/>
    </row>
    <row r="148" spans="1:13" s="352" customFormat="1" x14ac:dyDescent="0.2">
      <c r="A148" s="358" t="s">
        <v>131</v>
      </c>
      <c r="B148" s="358"/>
      <c r="C148" s="2154" t="s">
        <v>2093</v>
      </c>
      <c r="D148" s="2154"/>
      <c r="E148" s="2154"/>
      <c r="F148" s="2154"/>
      <c r="G148" s="2154"/>
      <c r="H148" s="2154"/>
      <c r="I148" s="2154"/>
      <c r="J148" s="2154"/>
      <c r="K148" s="2154"/>
      <c r="L148" s="2154"/>
      <c r="M148" s="2154"/>
    </row>
    <row r="149" spans="1:13" s="352" customFormat="1" ht="17.25" customHeight="1" x14ac:dyDescent="0.2">
      <c r="A149" s="1704" t="s">
        <v>4</v>
      </c>
      <c r="B149" s="1704" t="s">
        <v>133</v>
      </c>
      <c r="C149" s="2146" t="s">
        <v>528</v>
      </c>
      <c r="D149" s="2155"/>
      <c r="E149" s="2146" t="s">
        <v>529</v>
      </c>
      <c r="F149" s="2155"/>
      <c r="G149" s="2146" t="s">
        <v>530</v>
      </c>
      <c r="H149" s="2155"/>
      <c r="I149" s="1704" t="s">
        <v>135</v>
      </c>
      <c r="J149" s="1760" t="s">
        <v>3472</v>
      </c>
      <c r="K149" s="1760"/>
      <c r="L149" s="1704" t="s">
        <v>14</v>
      </c>
      <c r="M149" s="1704" t="s">
        <v>137</v>
      </c>
    </row>
    <row r="150" spans="1:13" s="352" customFormat="1" ht="24.75" customHeight="1" x14ac:dyDescent="0.2">
      <c r="A150" s="1705"/>
      <c r="B150" s="1705"/>
      <c r="C150" s="312" t="s">
        <v>531</v>
      </c>
      <c r="D150" s="312" t="s">
        <v>532</v>
      </c>
      <c r="E150" s="312" t="s">
        <v>531</v>
      </c>
      <c r="F150" s="312" t="s">
        <v>532</v>
      </c>
      <c r="G150" s="312" t="s">
        <v>531</v>
      </c>
      <c r="H150" s="312" t="s">
        <v>532</v>
      </c>
      <c r="I150" s="1705"/>
      <c r="J150" s="312" t="s">
        <v>531</v>
      </c>
      <c r="K150" s="312" t="s">
        <v>532</v>
      </c>
      <c r="L150" s="1705"/>
      <c r="M150" s="1705"/>
    </row>
    <row r="151" spans="1:13" s="352" customFormat="1" x14ac:dyDescent="0.2">
      <c r="A151" s="2152" t="s">
        <v>533</v>
      </c>
      <c r="B151" s="2153"/>
      <c r="C151" s="942">
        <f t="shared" ref="C151:H151" si="34">C152+C156+C160+C165+C169+C171+C173+C177</f>
        <v>8600</v>
      </c>
      <c r="D151" s="942">
        <f t="shared" si="34"/>
        <v>0</v>
      </c>
      <c r="E151" s="942">
        <f t="shared" si="34"/>
        <v>8600</v>
      </c>
      <c r="F151" s="942">
        <f t="shared" si="34"/>
        <v>0</v>
      </c>
      <c r="G151" s="942">
        <f t="shared" si="34"/>
        <v>9111</v>
      </c>
      <c r="H151" s="942">
        <f t="shared" si="34"/>
        <v>0</v>
      </c>
      <c r="I151" s="942"/>
      <c r="J151" s="942">
        <f>J152+J156+J160+J165+J169+J171+J173+J177</f>
        <v>7582</v>
      </c>
      <c r="K151" s="942">
        <f>K152+K156+K160+K165+K169+K171+K173+K177</f>
        <v>0</v>
      </c>
      <c r="L151" s="928"/>
      <c r="M151" s="839"/>
    </row>
    <row r="152" spans="1:13" s="352" customFormat="1" x14ac:dyDescent="0.2">
      <c r="A152" s="2149" t="s">
        <v>1651</v>
      </c>
      <c r="B152" s="1695" t="s">
        <v>2677</v>
      </c>
      <c r="C152" s="966">
        <f>C153+C154+C155</f>
        <v>440</v>
      </c>
      <c r="D152" s="959">
        <f t="shared" ref="D152:K152" si="35">D153+D154+D155</f>
        <v>0</v>
      </c>
      <c r="E152" s="959">
        <f t="shared" si="35"/>
        <v>440</v>
      </c>
      <c r="F152" s="959">
        <f t="shared" si="35"/>
        <v>0</v>
      </c>
      <c r="G152" s="959">
        <f t="shared" si="35"/>
        <v>440</v>
      </c>
      <c r="H152" s="959">
        <f t="shared" si="35"/>
        <v>0</v>
      </c>
      <c r="I152" s="959"/>
      <c r="J152" s="959">
        <f t="shared" si="35"/>
        <v>440</v>
      </c>
      <c r="K152" s="959">
        <f t="shared" si="35"/>
        <v>0</v>
      </c>
      <c r="L152" s="929"/>
      <c r="M152" s="930"/>
    </row>
    <row r="153" spans="1:13" s="352" customFormat="1" ht="13.5" customHeight="1" x14ac:dyDescent="0.2">
      <c r="A153" s="2150"/>
      <c r="B153" s="1695"/>
      <c r="C153" s="967">
        <v>304</v>
      </c>
      <c r="D153" s="315"/>
      <c r="E153" s="315">
        <v>304</v>
      </c>
      <c r="F153" s="315"/>
      <c r="G153" s="315">
        <v>304</v>
      </c>
      <c r="H153" s="315"/>
      <c r="I153" s="365">
        <v>1150</v>
      </c>
      <c r="J153" s="322">
        <v>304</v>
      </c>
      <c r="K153" s="388"/>
      <c r="L153" s="1702" t="s">
        <v>2678</v>
      </c>
      <c r="M153" s="711" t="s">
        <v>2679</v>
      </c>
    </row>
    <row r="154" spans="1:13" s="352" customFormat="1" ht="13.5" customHeight="1" x14ac:dyDescent="0.2">
      <c r="A154" s="2150"/>
      <c r="B154" s="1695"/>
      <c r="C154" s="968">
        <v>16</v>
      </c>
      <c r="D154" s="945"/>
      <c r="E154" s="945">
        <v>16</v>
      </c>
      <c r="F154" s="945"/>
      <c r="G154" s="945">
        <v>16</v>
      </c>
      <c r="H154" s="945"/>
      <c r="I154" s="946">
        <v>1210</v>
      </c>
      <c r="J154" s="947">
        <v>16</v>
      </c>
      <c r="K154" s="947"/>
      <c r="L154" s="1735"/>
      <c r="M154" s="931" t="s">
        <v>2551</v>
      </c>
    </row>
    <row r="155" spans="1:13" s="352" customFormat="1" ht="24.75" customHeight="1" x14ac:dyDescent="0.2">
      <c r="A155" s="2151"/>
      <c r="B155" s="1695"/>
      <c r="C155" s="968">
        <v>120</v>
      </c>
      <c r="D155" s="945"/>
      <c r="E155" s="945">
        <v>120</v>
      </c>
      <c r="F155" s="945"/>
      <c r="G155" s="945">
        <v>120</v>
      </c>
      <c r="H155" s="945"/>
      <c r="I155" s="946">
        <v>2314</v>
      </c>
      <c r="J155" s="947">
        <v>120</v>
      </c>
      <c r="K155" s="947"/>
      <c r="L155" s="1703"/>
      <c r="M155" s="931" t="s">
        <v>2680</v>
      </c>
    </row>
    <row r="156" spans="1:13" s="352" customFormat="1" ht="13.5" customHeight="1" x14ac:dyDescent="0.2">
      <c r="A156" s="2146" t="s">
        <v>1712</v>
      </c>
      <c r="B156" s="2073" t="s">
        <v>2681</v>
      </c>
      <c r="C156" s="969">
        <f>C157+C158+C159</f>
        <v>600</v>
      </c>
      <c r="D156" s="942">
        <f t="shared" ref="D156:K156" si="36">D157+D158+D159</f>
        <v>0</v>
      </c>
      <c r="E156" s="942">
        <f t="shared" si="36"/>
        <v>600</v>
      </c>
      <c r="F156" s="942">
        <f t="shared" si="36"/>
        <v>0</v>
      </c>
      <c r="G156" s="942">
        <f t="shared" si="36"/>
        <v>600</v>
      </c>
      <c r="H156" s="942">
        <f t="shared" si="36"/>
        <v>0</v>
      </c>
      <c r="I156" s="942"/>
      <c r="J156" s="942">
        <f t="shared" si="36"/>
        <v>600</v>
      </c>
      <c r="K156" s="942">
        <f t="shared" si="36"/>
        <v>0</v>
      </c>
      <c r="L156" s="943"/>
      <c r="M156" s="944"/>
    </row>
    <row r="157" spans="1:13" s="352" customFormat="1" ht="13.5" customHeight="1" x14ac:dyDescent="0.2">
      <c r="A157" s="2147"/>
      <c r="B157" s="2073"/>
      <c r="C157" s="968">
        <v>285</v>
      </c>
      <c r="D157" s="945"/>
      <c r="E157" s="945">
        <v>285</v>
      </c>
      <c r="F157" s="945"/>
      <c r="G157" s="945">
        <v>285</v>
      </c>
      <c r="H157" s="945"/>
      <c r="I157" s="365">
        <v>1150</v>
      </c>
      <c r="J157" s="947">
        <v>285</v>
      </c>
      <c r="K157" s="947"/>
      <c r="L157" s="1702" t="s">
        <v>2682</v>
      </c>
      <c r="M157" s="931" t="s">
        <v>2683</v>
      </c>
    </row>
    <row r="158" spans="1:13" s="352" customFormat="1" ht="13.5" customHeight="1" x14ac:dyDescent="0.2">
      <c r="A158" s="2147"/>
      <c r="B158" s="2073"/>
      <c r="C158" s="968">
        <v>15</v>
      </c>
      <c r="D158" s="945"/>
      <c r="E158" s="945">
        <v>15</v>
      </c>
      <c r="F158" s="945"/>
      <c r="G158" s="945">
        <v>15</v>
      </c>
      <c r="H158" s="945"/>
      <c r="I158" s="946">
        <v>1210</v>
      </c>
      <c r="J158" s="947">
        <v>15</v>
      </c>
      <c r="K158" s="947"/>
      <c r="L158" s="1735"/>
      <c r="M158" s="931" t="s">
        <v>2551</v>
      </c>
    </row>
    <row r="159" spans="1:13" s="352" customFormat="1" ht="13.5" customHeight="1" x14ac:dyDescent="0.2">
      <c r="A159" s="2148"/>
      <c r="B159" s="2073"/>
      <c r="C159" s="968">
        <v>300</v>
      </c>
      <c r="D159" s="945"/>
      <c r="E159" s="945">
        <v>300</v>
      </c>
      <c r="F159" s="945"/>
      <c r="G159" s="945">
        <v>300</v>
      </c>
      <c r="H159" s="945"/>
      <c r="I159" s="946">
        <v>2314</v>
      </c>
      <c r="J159" s="947">
        <v>300</v>
      </c>
      <c r="K159" s="947"/>
      <c r="L159" s="1703"/>
      <c r="M159" s="931" t="s">
        <v>2684</v>
      </c>
    </row>
    <row r="160" spans="1:13" s="352" customFormat="1" ht="13.5" customHeight="1" x14ac:dyDescent="0.2">
      <c r="A160" s="2149" t="s">
        <v>1827</v>
      </c>
      <c r="B160" s="1695" t="s">
        <v>2685</v>
      </c>
      <c r="C160" s="969">
        <f>C161+C162+C163+C164</f>
        <v>3850</v>
      </c>
      <c r="D160" s="942">
        <f t="shared" ref="D160:K160" si="37">D161+D162+D163+D164</f>
        <v>0</v>
      </c>
      <c r="E160" s="942">
        <f t="shared" si="37"/>
        <v>3850</v>
      </c>
      <c r="F160" s="942">
        <f t="shared" si="37"/>
        <v>0</v>
      </c>
      <c r="G160" s="942">
        <f t="shared" si="37"/>
        <v>3850</v>
      </c>
      <c r="H160" s="942">
        <f t="shared" si="37"/>
        <v>0</v>
      </c>
      <c r="I160" s="942"/>
      <c r="J160" s="942">
        <f t="shared" si="37"/>
        <v>3550</v>
      </c>
      <c r="K160" s="942">
        <f t="shared" si="37"/>
        <v>0</v>
      </c>
      <c r="L160" s="943"/>
      <c r="M160" s="944"/>
    </row>
    <row r="161" spans="1:13" s="352" customFormat="1" ht="13.5" customHeight="1" x14ac:dyDescent="0.2">
      <c r="A161" s="2150"/>
      <c r="B161" s="1695"/>
      <c r="C161" s="968">
        <v>1047</v>
      </c>
      <c r="D161" s="945"/>
      <c r="E161" s="945">
        <v>1047</v>
      </c>
      <c r="F161" s="945"/>
      <c r="G161" s="945">
        <v>1047</v>
      </c>
      <c r="H161" s="945"/>
      <c r="I161" s="946">
        <v>1150</v>
      </c>
      <c r="J161" s="947">
        <v>1047</v>
      </c>
      <c r="K161" s="947"/>
      <c r="L161" s="1702" t="s">
        <v>2678</v>
      </c>
      <c r="M161" s="970" t="s">
        <v>2686</v>
      </c>
    </row>
    <row r="162" spans="1:13" s="352" customFormat="1" ht="13.5" customHeight="1" x14ac:dyDescent="0.2">
      <c r="A162" s="2150"/>
      <c r="B162" s="1695"/>
      <c r="C162" s="968">
        <v>53</v>
      </c>
      <c r="D162" s="945"/>
      <c r="E162" s="945">
        <v>53</v>
      </c>
      <c r="F162" s="945"/>
      <c r="G162" s="945">
        <v>53</v>
      </c>
      <c r="H162" s="945"/>
      <c r="I162" s="946">
        <v>1210</v>
      </c>
      <c r="J162" s="947">
        <v>53</v>
      </c>
      <c r="K162" s="947"/>
      <c r="L162" s="1735"/>
      <c r="M162" s="931" t="s">
        <v>2551</v>
      </c>
    </row>
    <row r="163" spans="1:13" s="352" customFormat="1" ht="13.5" customHeight="1" x14ac:dyDescent="0.2">
      <c r="A163" s="2150"/>
      <c r="B163" s="1695"/>
      <c r="C163" s="968">
        <v>950</v>
      </c>
      <c r="D163" s="945"/>
      <c r="E163" s="945">
        <v>950</v>
      </c>
      <c r="F163" s="945"/>
      <c r="G163" s="945">
        <v>950</v>
      </c>
      <c r="H163" s="945"/>
      <c r="I163" s="946">
        <v>2314</v>
      </c>
      <c r="J163" s="947">
        <v>650</v>
      </c>
      <c r="K163" s="947"/>
      <c r="L163" s="1735"/>
      <c r="M163" s="971" t="s">
        <v>2687</v>
      </c>
    </row>
    <row r="164" spans="1:13" s="352" customFormat="1" ht="13.5" customHeight="1" x14ac:dyDescent="0.2">
      <c r="A164" s="2151"/>
      <c r="B164" s="1695"/>
      <c r="C164" s="967">
        <v>1800</v>
      </c>
      <c r="D164" s="315"/>
      <c r="E164" s="315">
        <v>1800</v>
      </c>
      <c r="F164" s="315"/>
      <c r="G164" s="315">
        <v>1800</v>
      </c>
      <c r="H164" s="315"/>
      <c r="I164" s="365">
        <v>6422</v>
      </c>
      <c r="J164" s="947">
        <v>1800</v>
      </c>
      <c r="K164" s="947"/>
      <c r="L164" s="1703"/>
      <c r="M164" s="840" t="s">
        <v>2688</v>
      </c>
    </row>
    <row r="165" spans="1:13" s="352" customFormat="1" ht="13.5" customHeight="1" x14ac:dyDescent="0.2">
      <c r="A165" s="2146" t="s">
        <v>1831</v>
      </c>
      <c r="B165" s="2073" t="s">
        <v>2370</v>
      </c>
      <c r="C165" s="972">
        <f t="shared" ref="C165:H165" si="38">C166+C167+C168</f>
        <v>740</v>
      </c>
      <c r="D165" s="927">
        <f t="shared" si="38"/>
        <v>0</v>
      </c>
      <c r="E165" s="927">
        <f t="shared" si="38"/>
        <v>740</v>
      </c>
      <c r="F165" s="927">
        <f t="shared" si="38"/>
        <v>0</v>
      </c>
      <c r="G165" s="927">
        <f t="shared" si="38"/>
        <v>1500</v>
      </c>
      <c r="H165" s="927">
        <f t="shared" si="38"/>
        <v>0</v>
      </c>
      <c r="I165" s="927"/>
      <c r="J165" s="927">
        <f>J166+J167+J168</f>
        <v>526</v>
      </c>
      <c r="K165" s="927">
        <f>K166+K167+K168</f>
        <v>0</v>
      </c>
      <c r="L165" s="943"/>
      <c r="M165" s="931" t="s">
        <v>2689</v>
      </c>
    </row>
    <row r="166" spans="1:13" s="352" customFormat="1" ht="13.5" customHeight="1" x14ac:dyDescent="0.2">
      <c r="A166" s="2147"/>
      <c r="B166" s="2073"/>
      <c r="C166" s="968"/>
      <c r="D166" s="945"/>
      <c r="E166" s="945"/>
      <c r="F166" s="945"/>
      <c r="G166" s="945">
        <v>220</v>
      </c>
      <c r="H166" s="945"/>
      <c r="I166" s="946">
        <v>1150</v>
      </c>
      <c r="J166" s="962">
        <v>160</v>
      </c>
      <c r="K166" s="947"/>
      <c r="L166" s="1702" t="s">
        <v>2678</v>
      </c>
      <c r="M166" s="943" t="s">
        <v>2690</v>
      </c>
    </row>
    <row r="167" spans="1:13" s="352" customFormat="1" ht="13.5" customHeight="1" x14ac:dyDescent="0.2">
      <c r="A167" s="2147"/>
      <c r="B167" s="2073"/>
      <c r="C167" s="973"/>
      <c r="D167" s="945"/>
      <c r="E167" s="945"/>
      <c r="F167" s="945"/>
      <c r="G167" s="945">
        <v>11</v>
      </c>
      <c r="H167" s="945"/>
      <c r="I167" s="946">
        <v>1210</v>
      </c>
      <c r="J167" s="974">
        <v>8</v>
      </c>
      <c r="K167" s="947"/>
      <c r="L167" s="1735"/>
      <c r="M167" s="931" t="s">
        <v>2551</v>
      </c>
    </row>
    <row r="168" spans="1:13" s="352" customFormat="1" ht="23.25" customHeight="1" x14ac:dyDescent="0.2">
      <c r="A168" s="2148"/>
      <c r="B168" s="2073"/>
      <c r="C168" s="968">
        <v>740</v>
      </c>
      <c r="D168" s="945"/>
      <c r="E168" s="945">
        <v>740</v>
      </c>
      <c r="F168" s="945"/>
      <c r="G168" s="945">
        <v>1269</v>
      </c>
      <c r="H168" s="945"/>
      <c r="I168" s="946">
        <v>2314</v>
      </c>
      <c r="J168" s="962">
        <v>358</v>
      </c>
      <c r="K168" s="947"/>
      <c r="L168" s="1703"/>
      <c r="M168" s="931" t="s">
        <v>2691</v>
      </c>
    </row>
    <row r="169" spans="1:13" s="352" customFormat="1" hidden="1" x14ac:dyDescent="0.2">
      <c r="A169" s="2146" t="s">
        <v>2571</v>
      </c>
      <c r="B169" s="2073" t="s">
        <v>2692</v>
      </c>
      <c r="C169" s="969">
        <f>C170</f>
        <v>2620</v>
      </c>
      <c r="D169" s="942">
        <f t="shared" ref="D169:F169" si="39">D170</f>
        <v>0</v>
      </c>
      <c r="E169" s="942">
        <f t="shared" si="39"/>
        <v>2620</v>
      </c>
      <c r="F169" s="942">
        <f t="shared" si="39"/>
        <v>0</v>
      </c>
      <c r="G169" s="942">
        <f>G170</f>
        <v>0</v>
      </c>
      <c r="H169" s="942">
        <f t="shared" ref="H169:K169" si="40">H170</f>
        <v>0</v>
      </c>
      <c r="I169" s="942"/>
      <c r="J169" s="927">
        <f>J170</f>
        <v>0</v>
      </c>
      <c r="K169" s="942">
        <f t="shared" si="40"/>
        <v>0</v>
      </c>
      <c r="L169" s="943"/>
      <c r="M169" s="931"/>
    </row>
    <row r="170" spans="1:13" s="352" customFormat="1" hidden="1" x14ac:dyDescent="0.2">
      <c r="A170" s="2148"/>
      <c r="B170" s="2073"/>
      <c r="C170" s="968">
        <v>2620</v>
      </c>
      <c r="D170" s="945"/>
      <c r="E170" s="945">
        <v>2620</v>
      </c>
      <c r="F170" s="945"/>
      <c r="G170" s="945"/>
      <c r="H170" s="945"/>
      <c r="I170" s="946">
        <v>2279</v>
      </c>
      <c r="J170" s="947">
        <v>0</v>
      </c>
      <c r="K170" s="947"/>
      <c r="L170" s="943"/>
      <c r="M170" s="931"/>
    </row>
    <row r="171" spans="1:13" s="352" customFormat="1" x14ac:dyDescent="0.2">
      <c r="A171" s="2146">
        <v>5</v>
      </c>
      <c r="B171" s="2073" t="s">
        <v>2693</v>
      </c>
      <c r="C171" s="969">
        <f>C172</f>
        <v>350</v>
      </c>
      <c r="D171" s="942">
        <f t="shared" ref="D171:F171" si="41">D172</f>
        <v>0</v>
      </c>
      <c r="E171" s="942">
        <f t="shared" si="41"/>
        <v>350</v>
      </c>
      <c r="F171" s="942">
        <f t="shared" si="41"/>
        <v>0</v>
      </c>
      <c r="G171" s="942">
        <f>G172</f>
        <v>350</v>
      </c>
      <c r="H171" s="942">
        <f t="shared" ref="H171:K171" si="42">H172</f>
        <v>0</v>
      </c>
      <c r="I171" s="942"/>
      <c r="J171" s="927">
        <f>J172</f>
        <v>200</v>
      </c>
      <c r="K171" s="942">
        <f t="shared" si="42"/>
        <v>0</v>
      </c>
      <c r="L171" s="943"/>
      <c r="M171" s="944"/>
    </row>
    <row r="172" spans="1:13" s="352" customFormat="1" ht="39.75" customHeight="1" x14ac:dyDescent="0.2">
      <c r="A172" s="2148"/>
      <c r="B172" s="2073"/>
      <c r="C172" s="968">
        <v>350</v>
      </c>
      <c r="D172" s="945"/>
      <c r="E172" s="945">
        <v>350</v>
      </c>
      <c r="F172" s="945"/>
      <c r="G172" s="945">
        <v>350</v>
      </c>
      <c r="H172" s="945"/>
      <c r="I172" s="946">
        <v>2314</v>
      </c>
      <c r="J172" s="962">
        <v>200</v>
      </c>
      <c r="K172" s="947"/>
      <c r="L172" s="379" t="s">
        <v>2694</v>
      </c>
      <c r="M172" s="931" t="s">
        <v>2695</v>
      </c>
    </row>
    <row r="173" spans="1:13" s="352" customFormat="1" ht="12.75" customHeight="1" x14ac:dyDescent="0.2">
      <c r="A173" s="2146">
        <v>6</v>
      </c>
      <c r="B173" s="2073" t="s">
        <v>2696</v>
      </c>
      <c r="C173" s="1118">
        <f>C174+C175+C176</f>
        <v>0</v>
      </c>
      <c r="D173" s="1118">
        <f t="shared" ref="D173:F173" si="43">D174+D175+D176</f>
        <v>0</v>
      </c>
      <c r="E173" s="1118">
        <f t="shared" si="43"/>
        <v>0</v>
      </c>
      <c r="F173" s="1118">
        <f t="shared" si="43"/>
        <v>0</v>
      </c>
      <c r="G173" s="1118">
        <f>G174+G175+G176</f>
        <v>1081</v>
      </c>
      <c r="H173" s="1118">
        <f t="shared" ref="H173:K173" si="44">H174+H175+H176</f>
        <v>0</v>
      </c>
      <c r="I173" s="1118"/>
      <c r="J173" s="1118">
        <f t="shared" si="44"/>
        <v>1081</v>
      </c>
      <c r="K173" s="1118">
        <f t="shared" si="44"/>
        <v>0</v>
      </c>
      <c r="L173" s="1185"/>
      <c r="M173" s="931" t="s">
        <v>2697</v>
      </c>
    </row>
    <row r="174" spans="1:13" s="352" customFormat="1" ht="13.5" customHeight="1" x14ac:dyDescent="0.2">
      <c r="A174" s="2147"/>
      <c r="B174" s="2073"/>
      <c r="C174" s="968"/>
      <c r="D174" s="945"/>
      <c r="E174" s="945"/>
      <c r="F174" s="945"/>
      <c r="G174" s="945">
        <v>220</v>
      </c>
      <c r="H174" s="945"/>
      <c r="I174" s="946">
        <v>1150</v>
      </c>
      <c r="J174" s="962">
        <v>220</v>
      </c>
      <c r="K174" s="947"/>
      <c r="L174" s="2107" t="s">
        <v>2698</v>
      </c>
      <c r="M174" s="931" t="s">
        <v>2699</v>
      </c>
    </row>
    <row r="175" spans="1:13" s="352" customFormat="1" ht="13.5" customHeight="1" x14ac:dyDescent="0.2">
      <c r="A175" s="2147"/>
      <c r="B175" s="2073"/>
      <c r="C175" s="968"/>
      <c r="D175" s="945"/>
      <c r="E175" s="945"/>
      <c r="F175" s="945"/>
      <c r="G175" s="945">
        <v>11</v>
      </c>
      <c r="H175" s="945"/>
      <c r="I175" s="946">
        <v>1210</v>
      </c>
      <c r="J175" s="962">
        <v>11</v>
      </c>
      <c r="K175" s="947"/>
      <c r="L175" s="2145"/>
      <c r="M175" s="931" t="s">
        <v>2551</v>
      </c>
    </row>
    <row r="176" spans="1:13" s="352" customFormat="1" ht="13.5" customHeight="1" x14ac:dyDescent="0.2">
      <c r="A176" s="2148"/>
      <c r="B176" s="2073"/>
      <c r="C176" s="968"/>
      <c r="D176" s="945"/>
      <c r="E176" s="945"/>
      <c r="F176" s="945"/>
      <c r="G176" s="945">
        <v>850</v>
      </c>
      <c r="H176" s="945"/>
      <c r="I176" s="946">
        <v>2314</v>
      </c>
      <c r="J176" s="962">
        <v>850</v>
      </c>
      <c r="K176" s="947"/>
      <c r="L176" s="2108"/>
      <c r="M176" s="931" t="s">
        <v>2700</v>
      </c>
    </row>
    <row r="177" spans="1:13" s="352" customFormat="1" ht="10.5" customHeight="1" x14ac:dyDescent="0.2">
      <c r="A177" s="2146">
        <v>7</v>
      </c>
      <c r="B177" s="2073" t="s">
        <v>2701</v>
      </c>
      <c r="C177" s="969">
        <f>C178+C179+C180</f>
        <v>0</v>
      </c>
      <c r="D177" s="942">
        <f t="shared" ref="D177:F177" si="45">D178+D179+D180</f>
        <v>0</v>
      </c>
      <c r="E177" s="942">
        <f t="shared" si="45"/>
        <v>0</v>
      </c>
      <c r="F177" s="942">
        <f t="shared" si="45"/>
        <v>0</v>
      </c>
      <c r="G177" s="942">
        <f>G178+G179+G180</f>
        <v>1290</v>
      </c>
      <c r="H177" s="942">
        <f t="shared" ref="H177:K177" si="46">H178+H179+H180</f>
        <v>0</v>
      </c>
      <c r="I177" s="942"/>
      <c r="J177" s="927">
        <f>J178+J179+J180</f>
        <v>1185</v>
      </c>
      <c r="K177" s="942">
        <f t="shared" si="46"/>
        <v>0</v>
      </c>
      <c r="L177" s="943"/>
      <c r="M177" s="931" t="s">
        <v>2702</v>
      </c>
    </row>
    <row r="178" spans="1:13" s="352" customFormat="1" ht="14.25" customHeight="1" x14ac:dyDescent="0.2">
      <c r="A178" s="2147"/>
      <c r="B178" s="2073"/>
      <c r="C178" s="968"/>
      <c r="D178" s="945"/>
      <c r="E178" s="945"/>
      <c r="F178" s="945"/>
      <c r="G178" s="945">
        <v>590</v>
      </c>
      <c r="H178" s="945"/>
      <c r="I178" s="946">
        <v>1150</v>
      </c>
      <c r="J178" s="962">
        <v>490</v>
      </c>
      <c r="K178" s="947"/>
      <c r="L178" s="1702" t="s">
        <v>2703</v>
      </c>
      <c r="M178" s="931" t="s">
        <v>2704</v>
      </c>
    </row>
    <row r="179" spans="1:13" s="352" customFormat="1" ht="14.25" customHeight="1" x14ac:dyDescent="0.2">
      <c r="A179" s="2147"/>
      <c r="B179" s="2073"/>
      <c r="C179" s="968"/>
      <c r="D179" s="945"/>
      <c r="E179" s="945"/>
      <c r="F179" s="945"/>
      <c r="G179" s="945">
        <v>30</v>
      </c>
      <c r="H179" s="945"/>
      <c r="I179" s="946">
        <v>1210</v>
      </c>
      <c r="J179" s="962">
        <v>25</v>
      </c>
      <c r="K179" s="947"/>
      <c r="L179" s="1735"/>
      <c r="M179" s="931" t="s">
        <v>2551</v>
      </c>
    </row>
    <row r="180" spans="1:13" s="352" customFormat="1" ht="23.25" customHeight="1" x14ac:dyDescent="0.2">
      <c r="A180" s="2148"/>
      <c r="B180" s="2073"/>
      <c r="C180" s="967"/>
      <c r="D180" s="315"/>
      <c r="E180" s="315"/>
      <c r="F180" s="315"/>
      <c r="G180" s="315">
        <v>670</v>
      </c>
      <c r="H180" s="315"/>
      <c r="I180" s="365">
        <v>2314</v>
      </c>
      <c r="J180" s="208">
        <v>670</v>
      </c>
      <c r="K180" s="388"/>
      <c r="L180" s="1703"/>
      <c r="M180" s="711" t="s">
        <v>2705</v>
      </c>
    </row>
    <row r="181" spans="1:13" ht="17.25" customHeight="1" x14ac:dyDescent="0.2">
      <c r="A181" s="352" t="s">
        <v>2706</v>
      </c>
    </row>
    <row r="182" spans="1:13" x14ac:dyDescent="0.2">
      <c r="A182" s="976" t="s">
        <v>3596</v>
      </c>
      <c r="B182" s="975"/>
      <c r="C182" s="975"/>
      <c r="D182" s="975"/>
    </row>
    <row r="183" spans="1:13" x14ac:dyDescent="0.2">
      <c r="A183" s="975" t="s">
        <v>330</v>
      </c>
      <c r="B183" s="975"/>
      <c r="C183" s="975"/>
      <c r="D183" s="975"/>
    </row>
    <row r="184" spans="1:13" x14ac:dyDescent="0.2">
      <c r="A184" s="975" t="s">
        <v>2707</v>
      </c>
      <c r="B184" s="975"/>
      <c r="C184" s="975"/>
      <c r="D184" s="975"/>
      <c r="E184" s="349"/>
    </row>
    <row r="185" spans="1:13" x14ac:dyDescent="0.2">
      <c r="A185" s="1579" t="s">
        <v>2708</v>
      </c>
      <c r="B185" s="1579"/>
      <c r="C185" s="975"/>
      <c r="D185" s="975"/>
    </row>
    <row r="186" spans="1:13" x14ac:dyDescent="0.2">
      <c r="A186" s="1483" t="s">
        <v>337</v>
      </c>
      <c r="B186" s="1579"/>
      <c r="C186" s="975"/>
      <c r="D186" s="975"/>
      <c r="E186" s="975"/>
      <c r="F186" s="975"/>
      <c r="G186" s="975"/>
      <c r="H186" s="975"/>
      <c r="J186" s="349"/>
    </row>
    <row r="187" spans="1:13" x14ac:dyDescent="0.2">
      <c r="A187" s="1579" t="s">
        <v>2709</v>
      </c>
      <c r="B187" s="1579"/>
      <c r="C187" s="975"/>
      <c r="D187" s="975"/>
      <c r="E187" s="975"/>
      <c r="F187" s="975"/>
      <c r="G187" s="975"/>
      <c r="H187" s="975"/>
      <c r="J187" s="349"/>
    </row>
    <row r="188" spans="1:13" x14ac:dyDescent="0.2">
      <c r="A188" s="1579" t="s">
        <v>2710</v>
      </c>
      <c r="B188" s="1579"/>
      <c r="C188" s="975"/>
      <c r="D188" s="975"/>
      <c r="E188" s="975"/>
      <c r="F188" s="975"/>
      <c r="G188" s="975"/>
      <c r="H188" s="975"/>
    </row>
    <row r="189" spans="1:13" x14ac:dyDescent="0.2">
      <c r="A189" s="1579" t="s">
        <v>2711</v>
      </c>
      <c r="B189" s="1579"/>
      <c r="C189" s="975"/>
      <c r="D189" s="975"/>
      <c r="E189" s="975"/>
      <c r="F189" s="975"/>
      <c r="G189" s="975"/>
      <c r="H189" s="975"/>
    </row>
    <row r="190" spans="1:13" x14ac:dyDescent="0.2">
      <c r="A190" s="1579" t="s">
        <v>2712</v>
      </c>
      <c r="B190" s="1579"/>
      <c r="C190" s="975"/>
      <c r="D190" s="975"/>
      <c r="E190" s="975"/>
      <c r="F190" s="975"/>
      <c r="G190" s="975"/>
      <c r="H190" s="975"/>
    </row>
    <row r="191" spans="1:13" x14ac:dyDescent="0.2">
      <c r="A191" s="1579" t="s">
        <v>2713</v>
      </c>
      <c r="B191" s="1579"/>
      <c r="C191" s="975"/>
      <c r="D191" s="975"/>
      <c r="E191" s="975"/>
      <c r="F191" s="975"/>
      <c r="G191" s="975"/>
      <c r="H191" s="975"/>
    </row>
    <row r="192" spans="1:13" x14ac:dyDescent="0.2">
      <c r="A192" s="1579" t="s">
        <v>2714</v>
      </c>
      <c r="B192" s="1579"/>
      <c r="C192" s="975"/>
      <c r="D192" s="975"/>
      <c r="E192" s="975"/>
      <c r="F192" s="975"/>
      <c r="G192" s="975"/>
      <c r="H192" s="975"/>
    </row>
    <row r="193" spans="1:13" x14ac:dyDescent="0.2">
      <c r="A193" s="1579" t="s">
        <v>2715</v>
      </c>
      <c r="B193" s="1579"/>
      <c r="C193" s="976"/>
      <c r="D193" s="976"/>
      <c r="E193" s="976"/>
      <c r="F193" s="975"/>
      <c r="G193" s="975"/>
      <c r="H193" s="975"/>
    </row>
    <row r="194" spans="1:13" x14ac:dyDescent="0.2">
      <c r="A194" s="1579"/>
      <c r="B194" s="1579"/>
      <c r="C194" s="975"/>
      <c r="D194" s="975"/>
      <c r="E194" s="975"/>
      <c r="F194" s="975"/>
      <c r="G194" s="975"/>
      <c r="H194" s="975"/>
    </row>
    <row r="195" spans="1:13" x14ac:dyDescent="0.2">
      <c r="A195" s="1580" t="s">
        <v>3564</v>
      </c>
      <c r="B195" s="329"/>
    </row>
    <row r="196" spans="1:13" x14ac:dyDescent="0.2">
      <c r="A196" s="919" t="s">
        <v>2716</v>
      </c>
      <c r="B196" s="329"/>
    </row>
    <row r="197" spans="1:13" x14ac:dyDescent="0.2">
      <c r="A197" s="919" t="s">
        <v>2717</v>
      </c>
      <c r="B197" s="329"/>
    </row>
    <row r="198" spans="1:13" x14ac:dyDescent="0.2">
      <c r="A198" s="919" t="s">
        <v>2718</v>
      </c>
      <c r="B198" s="329"/>
    </row>
    <row r="199" spans="1:13" x14ac:dyDescent="0.2">
      <c r="A199" s="919" t="s">
        <v>2719</v>
      </c>
      <c r="B199" s="329"/>
    </row>
    <row r="200" spans="1:13" x14ac:dyDescent="0.2">
      <c r="A200" s="919" t="s">
        <v>2720</v>
      </c>
      <c r="B200" s="351"/>
      <c r="C200" s="347"/>
      <c r="D200" s="347"/>
      <c r="E200" s="347"/>
      <c r="F200" s="347"/>
      <c r="G200" s="347"/>
      <c r="H200" s="347"/>
      <c r="I200" s="347"/>
      <c r="J200" s="347"/>
    </row>
    <row r="201" spans="1:13" s="352" customFormat="1" x14ac:dyDescent="0.2">
      <c r="A201" s="919" t="s">
        <v>2721</v>
      </c>
      <c r="B201" s="1581"/>
      <c r="C201" s="324"/>
      <c r="D201" s="324"/>
      <c r="E201" s="324"/>
      <c r="F201" s="324"/>
      <c r="G201" s="324"/>
      <c r="H201" s="324"/>
      <c r="I201" s="324"/>
      <c r="J201" s="324"/>
    </row>
    <row r="202" spans="1:13" s="352" customFormat="1" x14ac:dyDescent="0.2">
      <c r="A202" s="919" t="s">
        <v>2722</v>
      </c>
      <c r="B202" s="1582"/>
      <c r="C202" s="398"/>
      <c r="D202" s="398"/>
      <c r="E202" s="398"/>
      <c r="F202" s="398"/>
      <c r="G202" s="398"/>
      <c r="H202" s="398"/>
      <c r="I202" s="398"/>
      <c r="J202" s="398"/>
      <c r="K202" s="399"/>
      <c r="L202" s="399"/>
      <c r="M202" s="399"/>
    </row>
    <row r="203" spans="1:13" x14ac:dyDescent="0.2">
      <c r="A203" s="919" t="s">
        <v>2723</v>
      </c>
      <c r="B203" s="336"/>
      <c r="C203" s="335"/>
      <c r="D203" s="335"/>
      <c r="E203" s="335"/>
      <c r="F203" s="335"/>
      <c r="G203" s="335"/>
      <c r="H203" s="335"/>
      <c r="I203" s="335"/>
      <c r="J203" s="335"/>
      <c r="K203" s="335"/>
      <c r="L203" s="335"/>
      <c r="M203" s="335"/>
    </row>
    <row r="204" spans="1:13" x14ac:dyDescent="0.2">
      <c r="A204" s="919" t="s">
        <v>2724</v>
      </c>
      <c r="B204" s="329"/>
    </row>
    <row r="205" spans="1:13" x14ac:dyDescent="0.2">
      <c r="A205" s="919" t="s">
        <v>2725</v>
      </c>
      <c r="B205" s="329"/>
    </row>
    <row r="206" spans="1:13" x14ac:dyDescent="0.2">
      <c r="A206" s="919" t="s">
        <v>2726</v>
      </c>
      <c r="B206" s="329"/>
    </row>
    <row r="207" spans="1:13" x14ac:dyDescent="0.2">
      <c r="A207" s="919" t="s">
        <v>2727</v>
      </c>
      <c r="B207" s="329"/>
    </row>
    <row r="208" spans="1:13" x14ac:dyDescent="0.2">
      <c r="A208" s="919" t="s">
        <v>2728</v>
      </c>
      <c r="B208" s="329"/>
    </row>
    <row r="209" spans="1:2" x14ac:dyDescent="0.2">
      <c r="A209" s="329" t="s">
        <v>2729</v>
      </c>
      <c r="B209" s="329"/>
    </row>
    <row r="210" spans="1:2" x14ac:dyDescent="0.2">
      <c r="A210" s="329" t="s">
        <v>2730</v>
      </c>
      <c r="B210" s="329"/>
    </row>
    <row r="211" spans="1:2" x14ac:dyDescent="0.2">
      <c r="A211" s="329" t="s">
        <v>2731</v>
      </c>
      <c r="B211" s="329"/>
    </row>
    <row r="212" spans="1:2" x14ac:dyDescent="0.2">
      <c r="A212" s="329" t="s">
        <v>2732</v>
      </c>
      <c r="B212" s="329"/>
    </row>
    <row r="213" spans="1:2" x14ac:dyDescent="0.2">
      <c r="A213" s="329" t="s">
        <v>2733</v>
      </c>
      <c r="B213" s="329"/>
    </row>
    <row r="214" spans="1:2" x14ac:dyDescent="0.2">
      <c r="A214" s="329" t="s">
        <v>2734</v>
      </c>
      <c r="B214" s="329"/>
    </row>
    <row r="215" spans="1:2" x14ac:dyDescent="0.2">
      <c r="A215" s="329" t="s">
        <v>2735</v>
      </c>
      <c r="B215" s="329"/>
    </row>
    <row r="216" spans="1:2" x14ac:dyDescent="0.2">
      <c r="A216" s="329" t="s">
        <v>2736</v>
      </c>
      <c r="B216" s="329"/>
    </row>
    <row r="217" spans="1:2" x14ac:dyDescent="0.2">
      <c r="A217" s="329" t="s">
        <v>2737</v>
      </c>
      <c r="B217" s="329"/>
    </row>
    <row r="218" spans="1:2" x14ac:dyDescent="0.2">
      <c r="A218" s="329" t="s">
        <v>2738</v>
      </c>
      <c r="B218" s="329"/>
    </row>
    <row r="219" spans="1:2" x14ac:dyDescent="0.2">
      <c r="A219" s="329" t="s">
        <v>2739</v>
      </c>
      <c r="B219" s="329"/>
    </row>
    <row r="220" spans="1:2" x14ac:dyDescent="0.2">
      <c r="A220" s="1593" t="s">
        <v>3598</v>
      </c>
      <c r="B220" s="329"/>
    </row>
    <row r="221" spans="1:2" x14ac:dyDescent="0.2">
      <c r="A221" s="1593"/>
      <c r="B221" s="329" t="s">
        <v>3597</v>
      </c>
    </row>
    <row r="222" spans="1:2" x14ac:dyDescent="0.2">
      <c r="A222" s="329" t="s">
        <v>2740</v>
      </c>
      <c r="B222" s="329"/>
    </row>
    <row r="223" spans="1:2" x14ac:dyDescent="0.2">
      <c r="A223" s="329" t="s">
        <v>2741</v>
      </c>
      <c r="B223" s="329"/>
    </row>
    <row r="224" spans="1:2" x14ac:dyDescent="0.2">
      <c r="A224" s="329" t="s">
        <v>2742</v>
      </c>
      <c r="B224" s="329"/>
    </row>
    <row r="225" spans="1:13" x14ac:dyDescent="0.2">
      <c r="A225" s="329" t="s">
        <v>2743</v>
      </c>
      <c r="B225" s="329"/>
    </row>
    <row r="226" spans="1:13" x14ac:dyDescent="0.2">
      <c r="A226" s="1593" t="s">
        <v>3599</v>
      </c>
    </row>
    <row r="227" spans="1:13" x14ac:dyDescent="0.2">
      <c r="A227" s="1593" t="s">
        <v>3600</v>
      </c>
      <c r="B227" s="335"/>
      <c r="C227" s="335"/>
      <c r="D227" s="335"/>
      <c r="E227" s="335"/>
      <c r="F227" s="335"/>
      <c r="G227" s="335"/>
      <c r="H227" s="335"/>
      <c r="I227" s="335"/>
      <c r="J227" s="335"/>
      <c r="K227" s="335"/>
      <c r="L227" s="335"/>
      <c r="M227" s="335"/>
    </row>
    <row r="229" spans="1:13" x14ac:dyDescent="0.2">
      <c r="A229" s="1593"/>
    </row>
    <row r="231" spans="1:13" x14ac:dyDescent="0.2">
      <c r="A231" s="1593"/>
    </row>
  </sheetData>
  <sheetProtection algorithmName="SHA-512" hashValue="vq/Udfh3Tfz6J+U7wEwgHgBwoaE8LyPBGpFH9vp+hVIuE50oq8ev+CTiSn3O4Am6rZcwvF4PQ7+wn6RrmyqS4g==" saltValue="bKn/6b4MR6/MclutAQbdTw==" spinCount="100000" sheet="1" objects="1" scenarios="1"/>
  <mergeCells count="154">
    <mergeCell ref="C1:M1"/>
    <mergeCell ref="C2:M2"/>
    <mergeCell ref="A3:M3"/>
    <mergeCell ref="A5:B5"/>
    <mergeCell ref="C5:M5"/>
    <mergeCell ref="C6:M6"/>
    <mergeCell ref="A10:B10"/>
    <mergeCell ref="A11:A16"/>
    <mergeCell ref="B11:B16"/>
    <mergeCell ref="L12:L16"/>
    <mergeCell ref="A17:A22"/>
    <mergeCell ref="B17:B22"/>
    <mergeCell ref="L18:L22"/>
    <mergeCell ref="C7:M7"/>
    <mergeCell ref="A8:A9"/>
    <mergeCell ref="B8:B9"/>
    <mergeCell ref="C8:D8"/>
    <mergeCell ref="E8:F8"/>
    <mergeCell ref="G8:H8"/>
    <mergeCell ref="I8:I9"/>
    <mergeCell ref="J8:K8"/>
    <mergeCell ref="L8:L9"/>
    <mergeCell ref="M8:M9"/>
    <mergeCell ref="A34:A40"/>
    <mergeCell ref="B34:B40"/>
    <mergeCell ref="L35:L40"/>
    <mergeCell ref="A42:B42"/>
    <mergeCell ref="C42:M42"/>
    <mergeCell ref="C43:M43"/>
    <mergeCell ref="A23:A27"/>
    <mergeCell ref="B23:B27"/>
    <mergeCell ref="L24:L27"/>
    <mergeCell ref="A28:A33"/>
    <mergeCell ref="B28:B33"/>
    <mergeCell ref="L29:L33"/>
    <mergeCell ref="C44:M44"/>
    <mergeCell ref="A45:A46"/>
    <mergeCell ref="B45:B46"/>
    <mergeCell ref="C45:D45"/>
    <mergeCell ref="E45:F45"/>
    <mergeCell ref="G45:H45"/>
    <mergeCell ref="I45:I46"/>
    <mergeCell ref="J45:K45"/>
    <mergeCell ref="L45:L46"/>
    <mergeCell ref="M45:M46"/>
    <mergeCell ref="A57:A61"/>
    <mergeCell ref="B57:B61"/>
    <mergeCell ref="L58:L61"/>
    <mergeCell ref="A62:A66"/>
    <mergeCell ref="B62:B66"/>
    <mergeCell ref="L63:L66"/>
    <mergeCell ref="A47:B47"/>
    <mergeCell ref="A48:A54"/>
    <mergeCell ref="B48:B54"/>
    <mergeCell ref="L49:L54"/>
    <mergeCell ref="A55:A56"/>
    <mergeCell ref="B55:B56"/>
    <mergeCell ref="A76:A79"/>
    <mergeCell ref="B76:B79"/>
    <mergeCell ref="L77:L79"/>
    <mergeCell ref="A80:A83"/>
    <mergeCell ref="B80:B83"/>
    <mergeCell ref="L81:L83"/>
    <mergeCell ref="A67:A71"/>
    <mergeCell ref="B67:B71"/>
    <mergeCell ref="L68:L71"/>
    <mergeCell ref="A72:A75"/>
    <mergeCell ref="B72:B75"/>
    <mergeCell ref="L73:L75"/>
    <mergeCell ref="A85:B85"/>
    <mergeCell ref="C85:M85"/>
    <mergeCell ref="C86:M86"/>
    <mergeCell ref="C87:M87"/>
    <mergeCell ref="A88:A89"/>
    <mergeCell ref="B88:B89"/>
    <mergeCell ref="C88:D88"/>
    <mergeCell ref="E88:F88"/>
    <mergeCell ref="G88:H88"/>
    <mergeCell ref="I88:I89"/>
    <mergeCell ref="A96:A105"/>
    <mergeCell ref="B96:B105"/>
    <mergeCell ref="L97:L105"/>
    <mergeCell ref="A106:A110"/>
    <mergeCell ref="B106:B110"/>
    <mergeCell ref="L107:L110"/>
    <mergeCell ref="J88:K88"/>
    <mergeCell ref="L88:L89"/>
    <mergeCell ref="M88:M89"/>
    <mergeCell ref="A90:B90"/>
    <mergeCell ref="A91:A95"/>
    <mergeCell ref="B91:B95"/>
    <mergeCell ref="L92:L95"/>
    <mergeCell ref="A122:A124"/>
    <mergeCell ref="B122:B124"/>
    <mergeCell ref="L123:L124"/>
    <mergeCell ref="A125:A126"/>
    <mergeCell ref="B125:B126"/>
    <mergeCell ref="A127:A128"/>
    <mergeCell ref="B127:B128"/>
    <mergeCell ref="A111:A112"/>
    <mergeCell ref="B111:B112"/>
    <mergeCell ref="A113:A116"/>
    <mergeCell ref="B113:B116"/>
    <mergeCell ref="L114:L116"/>
    <mergeCell ref="A117:A121"/>
    <mergeCell ref="B117:B121"/>
    <mergeCell ref="L118:L121"/>
    <mergeCell ref="A141:A144"/>
    <mergeCell ref="B141:B144"/>
    <mergeCell ref="L142:L144"/>
    <mergeCell ref="A146:B146"/>
    <mergeCell ref="C146:M146"/>
    <mergeCell ref="C147:M147"/>
    <mergeCell ref="A129:A132"/>
    <mergeCell ref="B129:B132"/>
    <mergeCell ref="A133:A136"/>
    <mergeCell ref="B133:B136"/>
    <mergeCell ref="L134:L136"/>
    <mergeCell ref="A137:A140"/>
    <mergeCell ref="B137:B140"/>
    <mergeCell ref="L130:L132"/>
    <mergeCell ref="C148:M148"/>
    <mergeCell ref="A149:A150"/>
    <mergeCell ref="B149:B150"/>
    <mergeCell ref="C149:D149"/>
    <mergeCell ref="E149:F149"/>
    <mergeCell ref="G149:H149"/>
    <mergeCell ref="I149:I150"/>
    <mergeCell ref="J149:K149"/>
    <mergeCell ref="L149:L150"/>
    <mergeCell ref="M149:M150"/>
    <mergeCell ref="A160:A164"/>
    <mergeCell ref="B160:B164"/>
    <mergeCell ref="L161:L164"/>
    <mergeCell ref="A165:A168"/>
    <mergeCell ref="B165:B168"/>
    <mergeCell ref="L166:L168"/>
    <mergeCell ref="A151:B151"/>
    <mergeCell ref="A152:A155"/>
    <mergeCell ref="B152:B155"/>
    <mergeCell ref="L153:L155"/>
    <mergeCell ref="A156:A159"/>
    <mergeCell ref="B156:B159"/>
    <mergeCell ref="L157:L159"/>
    <mergeCell ref="L174:L176"/>
    <mergeCell ref="A177:A180"/>
    <mergeCell ref="B177:B180"/>
    <mergeCell ref="L178:L180"/>
    <mergeCell ref="A169:A170"/>
    <mergeCell ref="B169:B170"/>
    <mergeCell ref="A171:A172"/>
    <mergeCell ref="B171:B172"/>
    <mergeCell ref="A173:A176"/>
    <mergeCell ref="B173:B176"/>
  </mergeCells>
  <pageMargins left="0.78740157480314965" right="0.19685039370078741" top="0.59055118110236227" bottom="0.39370078740157483" header="0.23622047244094491" footer="0.23622047244094491"/>
  <pageSetup paperSize="9" scale="65" fitToHeight="0" orientation="portrait" r:id="rId1"/>
  <headerFooter>
    <oddHeader>&amp;R&amp;"Times New Roman,Regular"&amp;10 27.pielikums Jūrmalas pilsētas domes
2018.gada 18.decembra saistošajiem noteikumiem Nr.44
(protokols Nr.17, 2.punkts)</oddHeader>
    <oddFooter xml:space="preserve">&amp;R&amp;"Times New Roman,Regular"&amp;8&amp;P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3"/>
  <sheetViews>
    <sheetView view="pageLayout" zoomScaleNormal="100" workbookViewId="0">
      <selection activeCell="O6" sqref="O6"/>
    </sheetView>
  </sheetViews>
  <sheetFormatPr defaultRowHeight="12" x14ac:dyDescent="0.2"/>
  <cols>
    <col min="1" max="1" width="6.140625" style="306" customWidth="1"/>
    <col min="2" max="2" width="26.85546875" style="306" customWidth="1"/>
    <col min="3" max="3" width="11.85546875" style="1025" hidden="1" customWidth="1"/>
    <col min="4" max="4" width="11.140625" style="306" hidden="1" customWidth="1"/>
    <col min="5" max="5" width="10.28515625" style="1025" hidden="1" customWidth="1"/>
    <col min="6" max="6" width="10.5703125" style="306" customWidth="1"/>
    <col min="7" max="7" width="9.7109375" style="306" customWidth="1"/>
    <col min="8" max="8" width="17.140625" style="306" customWidth="1"/>
    <col min="9" max="9" width="40.7109375" style="306" hidden="1" customWidth="1"/>
    <col min="10" max="16384" width="9.140625" style="306"/>
  </cols>
  <sheetData>
    <row r="1" spans="1:9" x14ac:dyDescent="0.2">
      <c r="A1" s="1692" t="s">
        <v>438</v>
      </c>
      <c r="B1" s="1692"/>
      <c r="C1" s="2205" t="s">
        <v>1209</v>
      </c>
      <c r="D1" s="2205"/>
      <c r="E1" s="2205"/>
      <c r="F1" s="2205"/>
      <c r="G1" s="2205"/>
      <c r="H1" s="2205"/>
      <c r="I1" s="2205"/>
    </row>
    <row r="2" spans="1:9" x14ac:dyDescent="0.2">
      <c r="A2" s="1692" t="s">
        <v>439</v>
      </c>
      <c r="B2" s="1692"/>
      <c r="C2" s="2205">
        <v>90009249367</v>
      </c>
      <c r="D2" s="2205"/>
      <c r="E2" s="2205"/>
      <c r="F2" s="2205"/>
      <c r="G2" s="2205"/>
      <c r="H2" s="2205"/>
      <c r="I2" s="2205"/>
    </row>
    <row r="3" spans="1:9" ht="15.75" x14ac:dyDescent="0.25">
      <c r="A3" s="1693" t="s">
        <v>3639</v>
      </c>
      <c r="B3" s="1693"/>
      <c r="C3" s="1693"/>
      <c r="D3" s="1693"/>
      <c r="E3" s="1693"/>
      <c r="F3" s="1693"/>
      <c r="G3" s="1693"/>
      <c r="H3" s="1693"/>
      <c r="I3" s="1693"/>
    </row>
    <row r="4" spans="1:9" ht="15.75" x14ac:dyDescent="0.25">
      <c r="A4" s="307"/>
      <c r="B4" s="307"/>
      <c r="C4" s="977"/>
      <c r="D4" s="307"/>
      <c r="E4" s="977"/>
      <c r="F4" s="307"/>
      <c r="G4" s="307"/>
      <c r="H4" s="307"/>
      <c r="I4" s="307"/>
    </row>
    <row r="5" spans="1:9" ht="15.75" x14ac:dyDescent="0.25">
      <c r="A5" s="309" t="s">
        <v>440</v>
      </c>
      <c r="B5" s="309"/>
      <c r="C5" s="2206" t="s">
        <v>1209</v>
      </c>
      <c r="D5" s="2206"/>
      <c r="E5" s="2206"/>
      <c r="F5" s="2206"/>
      <c r="G5" s="2206"/>
      <c r="H5" s="2206"/>
      <c r="I5" s="2206"/>
    </row>
    <row r="6" spans="1:9" x14ac:dyDescent="0.2">
      <c r="A6" s="309" t="s">
        <v>129</v>
      </c>
      <c r="B6" s="309"/>
      <c r="C6" s="2203" t="s">
        <v>2744</v>
      </c>
      <c r="D6" s="2203"/>
      <c r="E6" s="2203"/>
      <c r="F6" s="2203"/>
      <c r="G6" s="2203"/>
      <c r="H6" s="2203"/>
      <c r="I6" s="2203"/>
    </row>
    <row r="7" spans="1:9" x14ac:dyDescent="0.2">
      <c r="A7" s="309" t="s">
        <v>131</v>
      </c>
      <c r="B7" s="309"/>
      <c r="C7" s="2204" t="s">
        <v>1208</v>
      </c>
      <c r="D7" s="2204"/>
      <c r="E7" s="2204"/>
      <c r="F7" s="2204"/>
      <c r="G7" s="2204"/>
      <c r="H7" s="2204"/>
      <c r="I7" s="2204"/>
    </row>
    <row r="8" spans="1:9" ht="50.25" customHeight="1" x14ac:dyDescent="0.2">
      <c r="A8" s="312" t="s">
        <v>4</v>
      </c>
      <c r="B8" s="410" t="s">
        <v>133</v>
      </c>
      <c r="C8" s="978" t="s">
        <v>17</v>
      </c>
      <c r="D8" s="312" t="s">
        <v>15</v>
      </c>
      <c r="E8" s="978" t="s">
        <v>134</v>
      </c>
      <c r="F8" s="312" t="s">
        <v>135</v>
      </c>
      <c r="G8" s="312" t="s">
        <v>3510</v>
      </c>
      <c r="H8" s="312" t="s">
        <v>14</v>
      </c>
      <c r="I8" s="312" t="s">
        <v>137</v>
      </c>
    </row>
    <row r="9" spans="1:9" x14ac:dyDescent="0.2">
      <c r="A9" s="2105" t="s">
        <v>138</v>
      </c>
      <c r="B9" s="2106"/>
      <c r="C9" s="979">
        <f>C10+C52+C72+C83+C92+C122+C135+C153+C173+C206+C220+C244+C260</f>
        <v>186061</v>
      </c>
      <c r="D9" s="979">
        <f>D10+D52+D72+D83+D92+D122+D135+D153+D173+D206+D220+D244+D260</f>
        <v>177567</v>
      </c>
      <c r="E9" s="979">
        <f>E10+E52+E72+E83+E92+E122+E135+E153+E173+E206+E220+E244+E260</f>
        <v>198490</v>
      </c>
      <c r="F9" s="979"/>
      <c r="G9" s="979">
        <f>G10+G52+G72+G83+G92+G122+G135+G153+G173+G206+G220+G244+G260</f>
        <v>186939</v>
      </c>
      <c r="H9" s="312"/>
      <c r="I9" s="312"/>
    </row>
    <row r="10" spans="1:9" ht="12.75" customHeight="1" x14ac:dyDescent="0.2">
      <c r="A10" s="980">
        <v>1</v>
      </c>
      <c r="B10" s="961" t="s">
        <v>2745</v>
      </c>
      <c r="C10" s="981">
        <f>SUM(C11+C38+C42)</f>
        <v>51584</v>
      </c>
      <c r="D10" s="981">
        <f t="shared" ref="D10:E10" si="0">SUM(D11+D38+D42)</f>
        <v>51584</v>
      </c>
      <c r="E10" s="981">
        <f t="shared" si="0"/>
        <v>46271</v>
      </c>
      <c r="F10" s="981"/>
      <c r="G10" s="981">
        <f t="shared" ref="G10" si="1">SUM(G11+G38+G42)</f>
        <v>44806</v>
      </c>
      <c r="H10" s="313"/>
      <c r="I10" s="315" t="s">
        <v>2746</v>
      </c>
    </row>
    <row r="11" spans="1:9" x14ac:dyDescent="0.2">
      <c r="A11" s="982" t="s">
        <v>1271</v>
      </c>
      <c r="B11" s="961" t="s">
        <v>2747</v>
      </c>
      <c r="C11" s="981">
        <f>SUM( C12+C17+C28)</f>
        <v>32452</v>
      </c>
      <c r="D11" s="981">
        <f t="shared" ref="D11:E11" si="2">SUM( D12+D17+D28)</f>
        <v>32452</v>
      </c>
      <c r="E11" s="981">
        <f t="shared" si="2"/>
        <v>26178</v>
      </c>
      <c r="F11" s="981"/>
      <c r="G11" s="981">
        <f t="shared" ref="G11" si="3">SUM( G12+G17+G28)</f>
        <v>25838</v>
      </c>
      <c r="H11" s="313"/>
      <c r="I11" s="315"/>
    </row>
    <row r="12" spans="1:9" ht="12.75" customHeight="1" x14ac:dyDescent="0.2">
      <c r="A12" s="2200" t="s">
        <v>2748</v>
      </c>
      <c r="B12" s="1695" t="s">
        <v>2749</v>
      </c>
      <c r="C12" s="981">
        <f>SUM(C13:C16)</f>
        <v>14554</v>
      </c>
      <c r="D12" s="981">
        <f t="shared" ref="D12:E12" si="4">SUM(D13:D16)</f>
        <v>14554</v>
      </c>
      <c r="E12" s="981">
        <f t="shared" si="4"/>
        <v>15100</v>
      </c>
      <c r="F12" s="981"/>
      <c r="G12" s="981">
        <f t="shared" ref="G12" si="5">SUM(G13:G16)</f>
        <v>15100</v>
      </c>
      <c r="H12" s="2107" t="s">
        <v>2750</v>
      </c>
      <c r="I12" s="959" t="s">
        <v>2751</v>
      </c>
    </row>
    <row r="13" spans="1:9" ht="11.25" customHeight="1" x14ac:dyDescent="0.2">
      <c r="A13" s="2201"/>
      <c r="B13" s="1695"/>
      <c r="C13" s="934">
        <v>573</v>
      </c>
      <c r="D13" s="322">
        <v>573</v>
      </c>
      <c r="E13" s="934">
        <v>1200</v>
      </c>
      <c r="F13" s="414">
        <v>2261</v>
      </c>
      <c r="G13" s="322">
        <v>1200</v>
      </c>
      <c r="H13" s="2145"/>
      <c r="I13" s="315" t="s">
        <v>2752</v>
      </c>
    </row>
    <row r="14" spans="1:9" ht="11.25" customHeight="1" x14ac:dyDescent="0.2">
      <c r="A14" s="2201"/>
      <c r="B14" s="1695"/>
      <c r="C14" s="934">
        <v>8000</v>
      </c>
      <c r="D14" s="322">
        <v>8000</v>
      </c>
      <c r="E14" s="934">
        <v>8000</v>
      </c>
      <c r="F14" s="414">
        <v>2262</v>
      </c>
      <c r="G14" s="322">
        <v>8000</v>
      </c>
      <c r="H14" s="2145"/>
      <c r="I14" s="315" t="s">
        <v>2753</v>
      </c>
    </row>
    <row r="15" spans="1:9" ht="11.25" customHeight="1" x14ac:dyDescent="0.2">
      <c r="A15" s="2201"/>
      <c r="B15" s="1695"/>
      <c r="C15" s="934">
        <v>3881</v>
      </c>
      <c r="D15" s="322">
        <v>3881</v>
      </c>
      <c r="E15" s="934">
        <v>3800</v>
      </c>
      <c r="F15" s="414">
        <v>2279</v>
      </c>
      <c r="G15" s="322">
        <v>3800</v>
      </c>
      <c r="H15" s="2145"/>
      <c r="I15" s="315" t="s">
        <v>2754</v>
      </c>
    </row>
    <row r="16" spans="1:9" ht="11.25" customHeight="1" x14ac:dyDescent="0.2">
      <c r="A16" s="2202"/>
      <c r="B16" s="1695"/>
      <c r="C16" s="934">
        <v>2100</v>
      </c>
      <c r="D16" s="322">
        <v>2100</v>
      </c>
      <c r="E16" s="934">
        <v>2100</v>
      </c>
      <c r="F16" s="414">
        <v>2363</v>
      </c>
      <c r="G16" s="322">
        <v>2100</v>
      </c>
      <c r="H16" s="2108"/>
      <c r="I16" s="315" t="s">
        <v>2755</v>
      </c>
    </row>
    <row r="17" spans="1:15" hidden="1" x14ac:dyDescent="0.2">
      <c r="A17" s="2200" t="s">
        <v>2756</v>
      </c>
      <c r="B17" s="1695" t="s">
        <v>2757</v>
      </c>
      <c r="C17" s="981">
        <f>SUM(C18:C27)</f>
        <v>17898</v>
      </c>
      <c r="D17" s="313">
        <f t="shared" ref="D17" si="6">SUM(D18:D27)</f>
        <v>17898</v>
      </c>
      <c r="E17" s="981">
        <f>SUM(E18:E27)</f>
        <v>0</v>
      </c>
      <c r="F17" s="1583"/>
      <c r="G17" s="313">
        <f>SUM(G18:G27)</f>
        <v>0</v>
      </c>
      <c r="H17" s="1702" t="s">
        <v>2758</v>
      </c>
      <c r="I17" s="1686" t="s">
        <v>2759</v>
      </c>
    </row>
    <row r="18" spans="1:15" ht="12.75" hidden="1" customHeight="1" x14ac:dyDescent="0.2">
      <c r="A18" s="2201"/>
      <c r="B18" s="1695"/>
      <c r="C18" s="983">
        <v>1700</v>
      </c>
      <c r="D18" s="342">
        <v>1700</v>
      </c>
      <c r="E18" s="983">
        <v>0</v>
      </c>
      <c r="F18" s="414">
        <v>1150</v>
      </c>
      <c r="G18" s="322">
        <v>0</v>
      </c>
      <c r="H18" s="1735"/>
      <c r="I18" s="1721"/>
    </row>
    <row r="19" spans="1:15" ht="12.75" hidden="1" customHeight="1" x14ac:dyDescent="0.2">
      <c r="A19" s="2201"/>
      <c r="B19" s="1695"/>
      <c r="C19" s="983">
        <v>410</v>
      </c>
      <c r="D19" s="342">
        <v>410</v>
      </c>
      <c r="E19" s="983">
        <v>0</v>
      </c>
      <c r="F19" s="414">
        <v>1210</v>
      </c>
      <c r="G19" s="322">
        <v>0</v>
      </c>
      <c r="H19" s="1735"/>
      <c r="I19" s="1721"/>
    </row>
    <row r="20" spans="1:15" ht="12.75" hidden="1" customHeight="1" x14ac:dyDescent="0.2">
      <c r="A20" s="2201"/>
      <c r="B20" s="1695"/>
      <c r="C20" s="843">
        <v>600</v>
      </c>
      <c r="D20" s="361">
        <v>600</v>
      </c>
      <c r="E20" s="843">
        <v>0</v>
      </c>
      <c r="F20" s="414">
        <v>2121</v>
      </c>
      <c r="G20" s="322">
        <v>0</v>
      </c>
      <c r="H20" s="1735"/>
      <c r="I20" s="1721"/>
      <c r="O20" s="710"/>
    </row>
    <row r="21" spans="1:15" ht="12.75" hidden="1" customHeight="1" x14ac:dyDescent="0.2">
      <c r="A21" s="2201"/>
      <c r="B21" s="1695"/>
      <c r="C21" s="843">
        <v>200</v>
      </c>
      <c r="D21" s="361">
        <v>200</v>
      </c>
      <c r="E21" s="843">
        <v>0</v>
      </c>
      <c r="F21" s="414">
        <v>2122</v>
      </c>
      <c r="G21" s="322">
        <v>0</v>
      </c>
      <c r="H21" s="1735"/>
      <c r="I21" s="1721"/>
      <c r="O21" s="710"/>
    </row>
    <row r="22" spans="1:15" ht="12.75" hidden="1" customHeight="1" x14ac:dyDescent="0.2">
      <c r="A22" s="2201"/>
      <c r="B22" s="1695"/>
      <c r="C22" s="983">
        <v>10072</v>
      </c>
      <c r="D22" s="342">
        <v>10072</v>
      </c>
      <c r="E22" s="983">
        <v>0</v>
      </c>
      <c r="F22" s="414">
        <v>2231</v>
      </c>
      <c r="G22" s="322">
        <v>0</v>
      </c>
      <c r="H22" s="1735"/>
      <c r="I22" s="1721"/>
      <c r="O22" s="710"/>
    </row>
    <row r="23" spans="1:15" ht="12.75" hidden="1" customHeight="1" x14ac:dyDescent="0.2">
      <c r="A23" s="2201"/>
      <c r="B23" s="1695"/>
      <c r="C23" s="983">
        <v>80</v>
      </c>
      <c r="D23" s="342">
        <v>80</v>
      </c>
      <c r="E23" s="983">
        <v>0</v>
      </c>
      <c r="F23" s="414">
        <v>2239</v>
      </c>
      <c r="G23" s="322">
        <v>0</v>
      </c>
      <c r="H23" s="1735"/>
      <c r="I23" s="1721"/>
      <c r="O23" s="710"/>
    </row>
    <row r="24" spans="1:15" ht="12.75" hidden="1" customHeight="1" x14ac:dyDescent="0.2">
      <c r="A24" s="2201"/>
      <c r="B24" s="1695"/>
      <c r="C24" s="983">
        <v>1825</v>
      </c>
      <c r="D24" s="342">
        <v>1825</v>
      </c>
      <c r="E24" s="983">
        <v>0</v>
      </c>
      <c r="F24" s="414">
        <v>2262</v>
      </c>
      <c r="G24" s="322">
        <v>0</v>
      </c>
      <c r="H24" s="1735"/>
      <c r="I24" s="1721"/>
      <c r="O24" s="710"/>
    </row>
    <row r="25" spans="1:15" ht="12.75" hidden="1" customHeight="1" x14ac:dyDescent="0.2">
      <c r="A25" s="2201"/>
      <c r="B25" s="1695"/>
      <c r="C25" s="983">
        <v>1451</v>
      </c>
      <c r="D25" s="342">
        <v>1451</v>
      </c>
      <c r="E25" s="983">
        <v>0</v>
      </c>
      <c r="F25" s="414">
        <v>2279</v>
      </c>
      <c r="G25" s="322">
        <v>0</v>
      </c>
      <c r="H25" s="1735"/>
      <c r="I25" s="1721"/>
      <c r="O25" s="710"/>
    </row>
    <row r="26" spans="1:15" ht="12.75" hidden="1" customHeight="1" x14ac:dyDescent="0.2">
      <c r="A26" s="2201"/>
      <c r="B26" s="1695"/>
      <c r="C26" s="983">
        <v>1510</v>
      </c>
      <c r="D26" s="342">
        <v>1510</v>
      </c>
      <c r="E26" s="983">
        <v>0</v>
      </c>
      <c r="F26" s="414">
        <v>2314</v>
      </c>
      <c r="G26" s="322">
        <v>0</v>
      </c>
      <c r="H26" s="1735"/>
      <c r="I26" s="1721"/>
      <c r="O26" s="710"/>
    </row>
    <row r="27" spans="1:15" ht="12.75" hidden="1" customHeight="1" x14ac:dyDescent="0.2">
      <c r="A27" s="2202"/>
      <c r="B27" s="1695"/>
      <c r="C27" s="983">
        <v>50</v>
      </c>
      <c r="D27" s="342">
        <v>50</v>
      </c>
      <c r="E27" s="983">
        <v>0</v>
      </c>
      <c r="F27" s="414">
        <v>2341</v>
      </c>
      <c r="G27" s="322">
        <v>0</v>
      </c>
      <c r="H27" s="1703"/>
      <c r="I27" s="1687"/>
      <c r="O27" s="710"/>
    </row>
    <row r="28" spans="1:15" ht="13.5" customHeight="1" x14ac:dyDescent="0.2">
      <c r="A28" s="2200" t="s">
        <v>2756</v>
      </c>
      <c r="B28" s="1708" t="s">
        <v>2760</v>
      </c>
      <c r="C28" s="981">
        <f>SUM(C29:C37)</f>
        <v>0</v>
      </c>
      <c r="D28" s="313">
        <f>SUM(D29:D37)</f>
        <v>0</v>
      </c>
      <c r="E28" s="981">
        <f>SUM(E29:E37)</f>
        <v>11078</v>
      </c>
      <c r="F28" s="1583"/>
      <c r="G28" s="313">
        <f>SUM(G29:G37)</f>
        <v>10738</v>
      </c>
      <c r="H28" s="1702" t="s">
        <v>2758</v>
      </c>
      <c r="I28" s="984" t="s">
        <v>2761</v>
      </c>
      <c r="O28" s="710"/>
    </row>
    <row r="29" spans="1:15" ht="12.75" customHeight="1" x14ac:dyDescent="0.2">
      <c r="A29" s="2201"/>
      <c r="B29" s="1708"/>
      <c r="C29" s="983">
        <v>0</v>
      </c>
      <c r="D29" s="342">
        <v>0</v>
      </c>
      <c r="E29" s="983">
        <v>2600</v>
      </c>
      <c r="F29" s="414">
        <v>1150</v>
      </c>
      <c r="G29" s="322">
        <v>2480</v>
      </c>
      <c r="H29" s="1735"/>
      <c r="I29" s="321" t="s">
        <v>2762</v>
      </c>
      <c r="O29" s="710"/>
    </row>
    <row r="30" spans="1:15" ht="12.75" customHeight="1" x14ac:dyDescent="0.2">
      <c r="A30" s="2201"/>
      <c r="B30" s="1708"/>
      <c r="C30" s="983">
        <v>0</v>
      </c>
      <c r="D30" s="342">
        <v>0</v>
      </c>
      <c r="E30" s="983">
        <v>627</v>
      </c>
      <c r="F30" s="414">
        <v>1210</v>
      </c>
      <c r="G30" s="322">
        <v>598</v>
      </c>
      <c r="H30" s="1735"/>
      <c r="I30" s="315" t="s">
        <v>2763</v>
      </c>
      <c r="O30" s="710"/>
    </row>
    <row r="31" spans="1:15" ht="12.75" customHeight="1" x14ac:dyDescent="0.2">
      <c r="A31" s="2201"/>
      <c r="B31" s="1708"/>
      <c r="C31" s="843">
        <v>0</v>
      </c>
      <c r="D31" s="361">
        <v>0</v>
      </c>
      <c r="E31" s="983">
        <v>405</v>
      </c>
      <c r="F31" s="414">
        <v>2121</v>
      </c>
      <c r="G31" s="322">
        <v>414</v>
      </c>
      <c r="H31" s="1735"/>
      <c r="I31" s="321" t="s">
        <v>2764</v>
      </c>
      <c r="O31" s="710"/>
    </row>
    <row r="32" spans="1:15" ht="12.75" customHeight="1" x14ac:dyDescent="0.2">
      <c r="A32" s="2201"/>
      <c r="B32" s="1708"/>
      <c r="C32" s="843">
        <v>0</v>
      </c>
      <c r="D32" s="361">
        <v>0</v>
      </c>
      <c r="E32" s="983">
        <v>159</v>
      </c>
      <c r="F32" s="414">
        <v>2122</v>
      </c>
      <c r="G32" s="322">
        <v>159</v>
      </c>
      <c r="H32" s="1735"/>
      <c r="I32" s="321" t="s">
        <v>2765</v>
      </c>
      <c r="O32" s="710"/>
    </row>
    <row r="33" spans="1:15" ht="12.75" customHeight="1" x14ac:dyDescent="0.2">
      <c r="A33" s="2201"/>
      <c r="B33" s="1708"/>
      <c r="C33" s="983">
        <v>0</v>
      </c>
      <c r="D33" s="342">
        <v>0</v>
      </c>
      <c r="E33" s="983">
        <v>3410</v>
      </c>
      <c r="F33" s="414">
        <v>2231</v>
      </c>
      <c r="G33" s="322">
        <v>3410</v>
      </c>
      <c r="H33" s="1735"/>
      <c r="I33" s="315" t="s">
        <v>2766</v>
      </c>
      <c r="O33" s="985"/>
    </row>
    <row r="34" spans="1:15" ht="12.75" customHeight="1" x14ac:dyDescent="0.2">
      <c r="A34" s="2201"/>
      <c r="B34" s="1708"/>
      <c r="C34" s="983">
        <v>0</v>
      </c>
      <c r="D34" s="342">
        <v>0</v>
      </c>
      <c r="E34" s="983">
        <v>90</v>
      </c>
      <c r="F34" s="414">
        <v>2239</v>
      </c>
      <c r="G34" s="322">
        <v>90</v>
      </c>
      <c r="H34" s="1735"/>
      <c r="I34" s="315" t="s">
        <v>2767</v>
      </c>
      <c r="O34" s="710"/>
    </row>
    <row r="35" spans="1:15" ht="12.75" customHeight="1" x14ac:dyDescent="0.2">
      <c r="A35" s="2201"/>
      <c r="B35" s="1708"/>
      <c r="C35" s="983">
        <v>0</v>
      </c>
      <c r="D35" s="342">
        <v>0</v>
      </c>
      <c r="E35" s="983">
        <v>2067</v>
      </c>
      <c r="F35" s="414">
        <v>2279</v>
      </c>
      <c r="G35" s="322">
        <v>2067</v>
      </c>
      <c r="H35" s="1735"/>
      <c r="I35" s="321" t="s">
        <v>2768</v>
      </c>
      <c r="O35" s="710"/>
    </row>
    <row r="36" spans="1:15" ht="12.75" customHeight="1" x14ac:dyDescent="0.2">
      <c r="A36" s="2201"/>
      <c r="B36" s="1708"/>
      <c r="C36" s="983">
        <v>0</v>
      </c>
      <c r="D36" s="342">
        <v>0</v>
      </c>
      <c r="E36" s="983">
        <v>1670</v>
      </c>
      <c r="F36" s="414">
        <v>2314</v>
      </c>
      <c r="G36" s="322">
        <v>1470</v>
      </c>
      <c r="H36" s="1735"/>
      <c r="I36" s="315" t="s">
        <v>2769</v>
      </c>
      <c r="O36" s="710"/>
    </row>
    <row r="37" spans="1:15" ht="12.75" customHeight="1" x14ac:dyDescent="0.2">
      <c r="A37" s="2202"/>
      <c r="B37" s="1708"/>
      <c r="C37" s="983">
        <v>0</v>
      </c>
      <c r="D37" s="342">
        <v>0</v>
      </c>
      <c r="E37" s="983">
        <v>50</v>
      </c>
      <c r="F37" s="414">
        <v>2341</v>
      </c>
      <c r="G37" s="322">
        <v>50</v>
      </c>
      <c r="H37" s="1703"/>
      <c r="I37" s="315" t="s">
        <v>2770</v>
      </c>
      <c r="O37" s="710"/>
    </row>
    <row r="38" spans="1:15" ht="12" customHeight="1" x14ac:dyDescent="0.2">
      <c r="A38" s="2169" t="s">
        <v>1274</v>
      </c>
      <c r="B38" s="2172" t="s">
        <v>2771</v>
      </c>
      <c r="C38" s="981">
        <f>SUM(C39:C41)</f>
        <v>2477</v>
      </c>
      <c r="D38" s="313">
        <f t="shared" ref="D38:E38" si="7">SUM(D39:D41)</f>
        <v>2477</v>
      </c>
      <c r="E38" s="981">
        <f t="shared" si="7"/>
        <v>3450</v>
      </c>
      <c r="F38" s="314"/>
      <c r="G38" s="313">
        <f>SUM(G39:G41)</f>
        <v>2325</v>
      </c>
      <c r="H38" s="1702" t="s">
        <v>2772</v>
      </c>
      <c r="I38" s="321"/>
      <c r="O38" s="710"/>
    </row>
    <row r="39" spans="1:15" ht="12" customHeight="1" x14ac:dyDescent="0.2">
      <c r="A39" s="2170"/>
      <c r="B39" s="2172"/>
      <c r="C39" s="983">
        <v>100</v>
      </c>
      <c r="D39" s="342">
        <v>100</v>
      </c>
      <c r="E39" s="983">
        <v>100</v>
      </c>
      <c r="F39" s="323">
        <v>2341</v>
      </c>
      <c r="G39" s="322">
        <v>100</v>
      </c>
      <c r="H39" s="1735"/>
      <c r="I39" s="315" t="s">
        <v>2773</v>
      </c>
      <c r="O39" s="710"/>
    </row>
    <row r="40" spans="1:15" ht="12" customHeight="1" x14ac:dyDescent="0.2">
      <c r="A40" s="2170"/>
      <c r="B40" s="2172"/>
      <c r="C40" s="983">
        <v>1200</v>
      </c>
      <c r="D40" s="342">
        <v>1200</v>
      </c>
      <c r="E40" s="983">
        <v>2250</v>
      </c>
      <c r="F40" s="323">
        <v>2361</v>
      </c>
      <c r="G40" s="208">
        <v>1125</v>
      </c>
      <c r="H40" s="1735"/>
      <c r="I40" s="321" t="s">
        <v>2774</v>
      </c>
    </row>
    <row r="41" spans="1:15" ht="12" customHeight="1" x14ac:dyDescent="0.2">
      <c r="A41" s="2171"/>
      <c r="B41" s="2172"/>
      <c r="C41" s="983">
        <v>1177</v>
      </c>
      <c r="D41" s="342">
        <v>1177</v>
      </c>
      <c r="E41" s="983">
        <v>1100</v>
      </c>
      <c r="F41" s="323">
        <v>2370</v>
      </c>
      <c r="G41" s="208">
        <v>1100</v>
      </c>
      <c r="H41" s="1703"/>
      <c r="I41" s="321" t="s">
        <v>2775</v>
      </c>
    </row>
    <row r="42" spans="1:15" x14ac:dyDescent="0.2">
      <c r="A42" s="986" t="s">
        <v>1709</v>
      </c>
      <c r="B42" s="987" t="s">
        <v>2776</v>
      </c>
      <c r="C42" s="988">
        <f>SUM( C43+C45)</f>
        <v>16655</v>
      </c>
      <c r="D42" s="988">
        <f>SUM( D43+D45)</f>
        <v>16655</v>
      </c>
      <c r="E42" s="988">
        <f>SUM( E43+E45)</f>
        <v>16643</v>
      </c>
      <c r="F42" s="989"/>
      <c r="G42" s="988">
        <f>SUM( G43+G45)</f>
        <v>16643</v>
      </c>
      <c r="H42" s="988"/>
      <c r="I42" s="810"/>
    </row>
    <row r="43" spans="1:15" x14ac:dyDescent="0.2">
      <c r="A43" s="2173" t="s">
        <v>2777</v>
      </c>
      <c r="B43" s="2176" t="s">
        <v>2778</v>
      </c>
      <c r="C43" s="988">
        <f>SUM(C44:C44)</f>
        <v>2800</v>
      </c>
      <c r="D43" s="988">
        <f t="shared" ref="D43:G43" si="8">SUM(D44:D44)</f>
        <v>2800</v>
      </c>
      <c r="E43" s="988">
        <f t="shared" si="8"/>
        <v>3500</v>
      </c>
      <c r="F43" s="989"/>
      <c r="G43" s="988">
        <f t="shared" si="8"/>
        <v>3500</v>
      </c>
      <c r="H43" s="2178" t="s">
        <v>2779</v>
      </c>
      <c r="I43" s="990" t="s">
        <v>2780</v>
      </c>
    </row>
    <row r="44" spans="1:15" x14ac:dyDescent="0.2">
      <c r="A44" s="2175"/>
      <c r="B44" s="2176"/>
      <c r="C44" s="811">
        <v>2800</v>
      </c>
      <c r="D44" s="811">
        <v>2800</v>
      </c>
      <c r="E44" s="811">
        <v>3500</v>
      </c>
      <c r="F44" s="991">
        <v>2363</v>
      </c>
      <c r="G44" s="811">
        <v>3500</v>
      </c>
      <c r="H44" s="2180"/>
      <c r="I44" s="992" t="s">
        <v>2781</v>
      </c>
    </row>
    <row r="45" spans="1:15" ht="12.75" customHeight="1" x14ac:dyDescent="0.2">
      <c r="A45" s="2197" t="s">
        <v>2782</v>
      </c>
      <c r="B45" s="2176" t="s">
        <v>2783</v>
      </c>
      <c r="C45" s="988">
        <f>SUM(C46:C51)</f>
        <v>13855</v>
      </c>
      <c r="D45" s="988">
        <f>SUM(D46:D51)</f>
        <v>13855</v>
      </c>
      <c r="E45" s="988">
        <f>SUM(E46:E51)</f>
        <v>13143</v>
      </c>
      <c r="F45" s="989"/>
      <c r="G45" s="988">
        <f>SUM(G46:G51)</f>
        <v>13143</v>
      </c>
      <c r="H45" s="2162" t="s">
        <v>2779</v>
      </c>
      <c r="I45" s="993" t="s">
        <v>2784</v>
      </c>
    </row>
    <row r="46" spans="1:15" ht="12.75" customHeight="1" x14ac:dyDescent="0.2">
      <c r="A46" s="2198"/>
      <c r="B46" s="2176"/>
      <c r="C46" s="994">
        <v>324</v>
      </c>
      <c r="D46" s="994">
        <v>324</v>
      </c>
      <c r="E46" s="994">
        <v>360</v>
      </c>
      <c r="F46" s="991">
        <v>2111</v>
      </c>
      <c r="G46" s="811">
        <v>360</v>
      </c>
      <c r="H46" s="2163"/>
      <c r="I46" s="992" t="s">
        <v>2785</v>
      </c>
    </row>
    <row r="47" spans="1:15" ht="12.75" customHeight="1" x14ac:dyDescent="0.2">
      <c r="A47" s="2198"/>
      <c r="B47" s="2176"/>
      <c r="C47" s="994">
        <v>5558</v>
      </c>
      <c r="D47" s="994">
        <v>5558</v>
      </c>
      <c r="E47" s="994">
        <v>5920</v>
      </c>
      <c r="F47" s="991">
        <v>2261</v>
      </c>
      <c r="G47" s="811">
        <v>5920</v>
      </c>
      <c r="H47" s="2163"/>
      <c r="I47" s="992" t="s">
        <v>2786</v>
      </c>
    </row>
    <row r="48" spans="1:15" ht="12.75" customHeight="1" x14ac:dyDescent="0.2">
      <c r="A48" s="2198"/>
      <c r="B48" s="2176"/>
      <c r="C48" s="995">
        <v>1030</v>
      </c>
      <c r="D48" s="995">
        <v>1030</v>
      </c>
      <c r="E48" s="995">
        <v>1200</v>
      </c>
      <c r="F48" s="996">
        <v>2262</v>
      </c>
      <c r="G48" s="811">
        <v>1200</v>
      </c>
      <c r="H48" s="2163"/>
      <c r="I48" s="992" t="s">
        <v>2787</v>
      </c>
    </row>
    <row r="49" spans="1:9" ht="12.75" customHeight="1" x14ac:dyDescent="0.2">
      <c r="A49" s="2198"/>
      <c r="B49" s="2176"/>
      <c r="C49" s="995">
        <v>360</v>
      </c>
      <c r="D49" s="995">
        <v>360</v>
      </c>
      <c r="E49" s="995">
        <v>333</v>
      </c>
      <c r="F49" s="996">
        <v>2279</v>
      </c>
      <c r="G49" s="811">
        <v>333</v>
      </c>
      <c r="H49" s="2163"/>
      <c r="I49" s="992" t="s">
        <v>2788</v>
      </c>
    </row>
    <row r="50" spans="1:9" ht="12.75" customHeight="1" x14ac:dyDescent="0.2">
      <c r="A50" s="2198"/>
      <c r="B50" s="2176"/>
      <c r="C50" s="994">
        <v>150</v>
      </c>
      <c r="D50" s="994">
        <v>150</v>
      </c>
      <c r="E50" s="994">
        <v>150</v>
      </c>
      <c r="F50" s="991">
        <v>2341</v>
      </c>
      <c r="G50" s="811">
        <v>150</v>
      </c>
      <c r="H50" s="2163"/>
      <c r="I50" s="992" t="s">
        <v>2789</v>
      </c>
    </row>
    <row r="51" spans="1:9" ht="12.75" customHeight="1" x14ac:dyDescent="0.2">
      <c r="A51" s="2199"/>
      <c r="B51" s="2176"/>
      <c r="C51" s="994">
        <v>6433</v>
      </c>
      <c r="D51" s="994">
        <v>6433</v>
      </c>
      <c r="E51" s="994">
        <v>5180</v>
      </c>
      <c r="F51" s="991">
        <v>2363</v>
      </c>
      <c r="G51" s="811">
        <v>5180</v>
      </c>
      <c r="H51" s="2164"/>
      <c r="I51" s="992" t="s">
        <v>2790</v>
      </c>
    </row>
    <row r="52" spans="1:9" ht="12.75" customHeight="1" x14ac:dyDescent="0.2">
      <c r="A52" s="980">
        <v>2</v>
      </c>
      <c r="B52" s="961" t="s">
        <v>2791</v>
      </c>
      <c r="C52" s="981">
        <f>SUM(C53+C64+C68)</f>
        <v>5595</v>
      </c>
      <c r="D52" s="313">
        <f t="shared" ref="D52" si="9">SUM(D53+D64+D68)</f>
        <v>5595</v>
      </c>
      <c r="E52" s="981">
        <f>SUM(E53+E64+E68)</f>
        <v>21336</v>
      </c>
      <c r="F52" s="314"/>
      <c r="G52" s="313">
        <f>SUM(G53+G64+G68)</f>
        <v>21186</v>
      </c>
      <c r="H52" s="313"/>
      <c r="I52" s="315" t="s">
        <v>2792</v>
      </c>
    </row>
    <row r="53" spans="1:9" ht="12.75" customHeight="1" x14ac:dyDescent="0.2">
      <c r="A53" s="982" t="s">
        <v>2793</v>
      </c>
      <c r="B53" s="961" t="s">
        <v>2794</v>
      </c>
      <c r="C53" s="981">
        <f>SUM( C54+C58)</f>
        <v>3250</v>
      </c>
      <c r="D53" s="981">
        <f t="shared" ref="D53:G53" si="10">SUM( D54+D58)</f>
        <v>3250</v>
      </c>
      <c r="E53" s="981">
        <f t="shared" si="10"/>
        <v>4895</v>
      </c>
      <c r="F53" s="997"/>
      <c r="G53" s="981">
        <f t="shared" si="10"/>
        <v>4895</v>
      </c>
      <c r="H53" s="313"/>
      <c r="I53" s="959" t="s">
        <v>2795</v>
      </c>
    </row>
    <row r="54" spans="1:9" ht="12.75" customHeight="1" x14ac:dyDescent="0.2">
      <c r="A54" s="2195" t="s">
        <v>2796</v>
      </c>
      <c r="B54" s="2073" t="s">
        <v>2797</v>
      </c>
      <c r="C54" s="981">
        <f>SUM(C55:C57)</f>
        <v>3250</v>
      </c>
      <c r="D54" s="313">
        <f>SUM(D55:D57)</f>
        <v>3250</v>
      </c>
      <c r="E54" s="981">
        <f>SUM(E55:E57)</f>
        <v>3680</v>
      </c>
      <c r="F54" s="314"/>
      <c r="G54" s="313">
        <f>SUM(G55:G57)</f>
        <v>3680</v>
      </c>
      <c r="H54" s="1702" t="s">
        <v>2750</v>
      </c>
      <c r="I54" s="315"/>
    </row>
    <row r="55" spans="1:9" ht="12.75" customHeight="1" x14ac:dyDescent="0.2">
      <c r="A55" s="2196"/>
      <c r="B55" s="2073"/>
      <c r="C55" s="934">
        <v>600</v>
      </c>
      <c r="D55" s="322">
        <v>600</v>
      </c>
      <c r="E55" s="934">
        <v>960</v>
      </c>
      <c r="F55" s="323">
        <v>2261</v>
      </c>
      <c r="G55" s="322">
        <v>960</v>
      </c>
      <c r="H55" s="1735"/>
      <c r="I55" s="315" t="s">
        <v>2798</v>
      </c>
    </row>
    <row r="56" spans="1:9" ht="12.75" customHeight="1" x14ac:dyDescent="0.2">
      <c r="A56" s="2196"/>
      <c r="B56" s="2073"/>
      <c r="C56" s="934">
        <v>1600</v>
      </c>
      <c r="D56" s="322">
        <v>1600</v>
      </c>
      <c r="E56" s="934">
        <v>1600</v>
      </c>
      <c r="F56" s="323">
        <v>2279</v>
      </c>
      <c r="G56" s="322">
        <v>1600</v>
      </c>
      <c r="H56" s="1735"/>
      <c r="I56" s="315" t="s">
        <v>2799</v>
      </c>
    </row>
    <row r="57" spans="1:9" ht="12.75" customHeight="1" x14ac:dyDescent="0.2">
      <c r="A57" s="2196"/>
      <c r="B57" s="2073"/>
      <c r="C57" s="934">
        <v>1050</v>
      </c>
      <c r="D57" s="322">
        <v>1050</v>
      </c>
      <c r="E57" s="934">
        <v>1120</v>
      </c>
      <c r="F57" s="323">
        <v>2363</v>
      </c>
      <c r="G57" s="322">
        <v>1120</v>
      </c>
      <c r="H57" s="1703"/>
      <c r="I57" s="315" t="s">
        <v>2800</v>
      </c>
    </row>
    <row r="58" spans="1:9" ht="12.75" customHeight="1" x14ac:dyDescent="0.2">
      <c r="A58" s="2195" t="s">
        <v>2801</v>
      </c>
      <c r="B58" s="2021" t="s">
        <v>2802</v>
      </c>
      <c r="C58" s="981">
        <f t="shared" ref="C58:D58" si="11">SUM(C59:C63)</f>
        <v>0</v>
      </c>
      <c r="D58" s="313">
        <f t="shared" si="11"/>
        <v>0</v>
      </c>
      <c r="E58" s="981">
        <f>SUM(E59:E63)</f>
        <v>1215</v>
      </c>
      <c r="F58" s="314"/>
      <c r="G58" s="318">
        <f t="shared" ref="G58" si="12">SUM(G59:G63)</f>
        <v>1215</v>
      </c>
      <c r="H58" s="1702" t="s">
        <v>2758</v>
      </c>
      <c r="I58" s="315"/>
    </row>
    <row r="59" spans="1:9" ht="12.75" customHeight="1" x14ac:dyDescent="0.2">
      <c r="A59" s="2196"/>
      <c r="B59" s="2021"/>
      <c r="C59" s="998">
        <v>0</v>
      </c>
      <c r="D59" s="385">
        <v>0</v>
      </c>
      <c r="E59" s="998">
        <v>145</v>
      </c>
      <c r="F59" s="414">
        <v>2121</v>
      </c>
      <c r="G59" s="316">
        <v>145</v>
      </c>
      <c r="H59" s="1735"/>
      <c r="I59" s="315" t="s">
        <v>2803</v>
      </c>
    </row>
    <row r="60" spans="1:9" ht="12.75" customHeight="1" x14ac:dyDescent="0.2">
      <c r="A60" s="2196"/>
      <c r="B60" s="2021"/>
      <c r="C60" s="998">
        <v>0</v>
      </c>
      <c r="D60" s="385">
        <v>0</v>
      </c>
      <c r="E60" s="998">
        <v>160</v>
      </c>
      <c r="F60" s="414">
        <v>2122</v>
      </c>
      <c r="G60" s="316">
        <v>160</v>
      </c>
      <c r="H60" s="1735"/>
      <c r="I60" s="315" t="s">
        <v>2804</v>
      </c>
    </row>
    <row r="61" spans="1:9" ht="12.75" customHeight="1" x14ac:dyDescent="0.2">
      <c r="A61" s="2196"/>
      <c r="B61" s="2021"/>
      <c r="C61" s="934">
        <v>0</v>
      </c>
      <c r="D61" s="322">
        <v>0</v>
      </c>
      <c r="E61" s="934">
        <v>360</v>
      </c>
      <c r="F61" s="323">
        <v>2261</v>
      </c>
      <c r="G61" s="208">
        <v>360</v>
      </c>
      <c r="H61" s="1735"/>
      <c r="I61" s="315" t="s">
        <v>2805</v>
      </c>
    </row>
    <row r="62" spans="1:9" ht="12.75" customHeight="1" x14ac:dyDescent="0.2">
      <c r="A62" s="2196"/>
      <c r="B62" s="2021"/>
      <c r="C62" s="934">
        <v>0</v>
      </c>
      <c r="D62" s="322">
        <v>0</v>
      </c>
      <c r="E62" s="934">
        <v>300</v>
      </c>
      <c r="F62" s="323">
        <v>2279</v>
      </c>
      <c r="G62" s="208">
        <v>300</v>
      </c>
      <c r="H62" s="1735"/>
      <c r="I62" s="315" t="s">
        <v>2806</v>
      </c>
    </row>
    <row r="63" spans="1:9" ht="12.75" customHeight="1" x14ac:dyDescent="0.2">
      <c r="A63" s="2196"/>
      <c r="B63" s="2021"/>
      <c r="C63" s="934">
        <v>0</v>
      </c>
      <c r="D63" s="322">
        <v>0</v>
      </c>
      <c r="E63" s="934">
        <v>250</v>
      </c>
      <c r="F63" s="323">
        <v>2363</v>
      </c>
      <c r="G63" s="208">
        <v>250</v>
      </c>
      <c r="H63" s="1703"/>
      <c r="I63" s="315" t="s">
        <v>2807</v>
      </c>
    </row>
    <row r="64" spans="1:9" ht="12.75" customHeight="1" x14ac:dyDescent="0.2">
      <c r="A64" s="2169" t="s">
        <v>1738</v>
      </c>
      <c r="B64" s="2172" t="s">
        <v>2808</v>
      </c>
      <c r="C64" s="981">
        <f>SUM(C65:C67)</f>
        <v>925</v>
      </c>
      <c r="D64" s="313">
        <f>SUM(D65:D67)</f>
        <v>925</v>
      </c>
      <c r="E64" s="981">
        <f>SUM(E65:E67)</f>
        <v>14805</v>
      </c>
      <c r="F64" s="314"/>
      <c r="G64" s="313">
        <f>SUM(G65:G67)</f>
        <v>14805</v>
      </c>
      <c r="H64" s="1702" t="s">
        <v>2809</v>
      </c>
      <c r="I64" s="315"/>
    </row>
    <row r="65" spans="1:9" ht="12.75" customHeight="1" x14ac:dyDescent="0.2">
      <c r="A65" s="2170"/>
      <c r="B65" s="2172"/>
      <c r="C65" s="934">
        <v>180</v>
      </c>
      <c r="D65" s="322">
        <v>180</v>
      </c>
      <c r="E65" s="934">
        <v>280</v>
      </c>
      <c r="F65" s="323">
        <v>2312</v>
      </c>
      <c r="G65" s="322">
        <v>280</v>
      </c>
      <c r="H65" s="1735"/>
      <c r="I65" s="321" t="s">
        <v>2810</v>
      </c>
    </row>
    <row r="66" spans="1:9" ht="12.75" customHeight="1" x14ac:dyDescent="0.2">
      <c r="A66" s="2170"/>
      <c r="B66" s="2172"/>
      <c r="C66" s="934">
        <v>25</v>
      </c>
      <c r="D66" s="322">
        <v>25</v>
      </c>
      <c r="E66" s="934">
        <v>25</v>
      </c>
      <c r="F66" s="323">
        <v>2341</v>
      </c>
      <c r="G66" s="322">
        <v>25</v>
      </c>
      <c r="H66" s="1735"/>
      <c r="I66" s="315" t="s">
        <v>2773</v>
      </c>
    </row>
    <row r="67" spans="1:9" ht="12.75" customHeight="1" x14ac:dyDescent="0.2">
      <c r="A67" s="2170"/>
      <c r="B67" s="2172"/>
      <c r="C67" s="983">
        <v>720</v>
      </c>
      <c r="D67" s="342">
        <v>720</v>
      </c>
      <c r="E67" s="983">
        <v>14500</v>
      </c>
      <c r="F67" s="323">
        <v>5239</v>
      </c>
      <c r="G67" s="208">
        <f>8500+6000</f>
        <v>14500</v>
      </c>
      <c r="H67" s="1703"/>
      <c r="I67" s="382" t="s">
        <v>2811</v>
      </c>
    </row>
    <row r="68" spans="1:9" x14ac:dyDescent="0.2">
      <c r="A68" s="2169" t="s">
        <v>2812</v>
      </c>
      <c r="B68" s="2172" t="s">
        <v>2813</v>
      </c>
      <c r="C68" s="981">
        <f>SUM(C69:C71)</f>
        <v>1420</v>
      </c>
      <c r="D68" s="313">
        <f>SUM(D69:D71)</f>
        <v>1420</v>
      </c>
      <c r="E68" s="981">
        <f>SUM(E69:E71)</f>
        <v>1636</v>
      </c>
      <c r="F68" s="314"/>
      <c r="G68" s="313">
        <f>SUM(G69:G71)</f>
        <v>1486</v>
      </c>
      <c r="H68" s="1702" t="s">
        <v>2772</v>
      </c>
      <c r="I68" s="833"/>
    </row>
    <row r="69" spans="1:9" x14ac:dyDescent="0.2">
      <c r="A69" s="2170"/>
      <c r="B69" s="2172"/>
      <c r="C69" s="934">
        <v>120</v>
      </c>
      <c r="D69" s="322">
        <v>120</v>
      </c>
      <c r="E69" s="934">
        <v>120</v>
      </c>
      <c r="F69" s="323">
        <v>2242</v>
      </c>
      <c r="G69" s="322">
        <v>120</v>
      </c>
      <c r="H69" s="1735"/>
      <c r="I69" s="321" t="s">
        <v>2814</v>
      </c>
    </row>
    <row r="70" spans="1:9" ht="21.75" customHeight="1" x14ac:dyDescent="0.2">
      <c r="A70" s="2170"/>
      <c r="B70" s="2172"/>
      <c r="C70" s="934">
        <v>1200</v>
      </c>
      <c r="D70" s="322">
        <v>1200</v>
      </c>
      <c r="E70" s="934">
        <v>1350</v>
      </c>
      <c r="F70" s="323">
        <v>2322</v>
      </c>
      <c r="G70" s="322">
        <v>1200</v>
      </c>
      <c r="H70" s="1735"/>
      <c r="I70" s="999" t="s">
        <v>2815</v>
      </c>
    </row>
    <row r="71" spans="1:9" ht="16.5" customHeight="1" x14ac:dyDescent="0.2">
      <c r="A71" s="2170"/>
      <c r="B71" s="2172"/>
      <c r="C71" s="983">
        <v>100</v>
      </c>
      <c r="D71" s="342">
        <v>100</v>
      </c>
      <c r="E71" s="983">
        <v>166</v>
      </c>
      <c r="F71" s="323">
        <v>2354</v>
      </c>
      <c r="G71" s="322">
        <v>166</v>
      </c>
      <c r="H71" s="1703"/>
      <c r="I71" s="315" t="s">
        <v>2816</v>
      </c>
    </row>
    <row r="72" spans="1:9" x14ac:dyDescent="0.2">
      <c r="A72" s="980">
        <v>3</v>
      </c>
      <c r="B72" s="1000" t="s">
        <v>2817</v>
      </c>
      <c r="C72" s="981">
        <f>C73+C76+C80</f>
        <v>6177</v>
      </c>
      <c r="D72" s="981">
        <f t="shared" ref="D72:E72" si="13">D73+D76+D80</f>
        <v>6077</v>
      </c>
      <c r="E72" s="981">
        <f t="shared" si="13"/>
        <v>7220</v>
      </c>
      <c r="F72" s="997"/>
      <c r="G72" s="981">
        <f>G73+G76+G80</f>
        <v>6855</v>
      </c>
      <c r="H72" s="313"/>
      <c r="I72" s="315" t="s">
        <v>2818</v>
      </c>
    </row>
    <row r="73" spans="1:9" x14ac:dyDescent="0.2">
      <c r="A73" s="2169" t="s">
        <v>1279</v>
      </c>
      <c r="B73" s="2172" t="s">
        <v>2797</v>
      </c>
      <c r="C73" s="981">
        <f>SUM(C74:C75)</f>
        <v>1540</v>
      </c>
      <c r="D73" s="313">
        <f t="shared" ref="D73:E73" si="14">SUM(D74:D75)</f>
        <v>1540</v>
      </c>
      <c r="E73" s="981">
        <f t="shared" si="14"/>
        <v>2010</v>
      </c>
      <c r="F73" s="314"/>
      <c r="G73" s="313">
        <f>SUM(G74:G75)</f>
        <v>1940</v>
      </c>
      <c r="H73" s="1702" t="s">
        <v>2750</v>
      </c>
      <c r="I73" s="959" t="s">
        <v>2819</v>
      </c>
    </row>
    <row r="74" spans="1:9" ht="12.75" customHeight="1" x14ac:dyDescent="0.2">
      <c r="A74" s="2170"/>
      <c r="B74" s="2172"/>
      <c r="C74" s="934">
        <v>1400</v>
      </c>
      <c r="D74" s="322">
        <v>1400</v>
      </c>
      <c r="E74" s="934">
        <v>1800</v>
      </c>
      <c r="F74" s="323">
        <v>2279</v>
      </c>
      <c r="G74" s="322">
        <v>1800</v>
      </c>
      <c r="H74" s="1735"/>
      <c r="I74" s="315" t="s">
        <v>2820</v>
      </c>
    </row>
    <row r="75" spans="1:9" ht="12.75" customHeight="1" x14ac:dyDescent="0.2">
      <c r="A75" s="2171"/>
      <c r="B75" s="2172"/>
      <c r="C75" s="934">
        <v>140</v>
      </c>
      <c r="D75" s="322">
        <v>140</v>
      </c>
      <c r="E75" s="934">
        <v>210</v>
      </c>
      <c r="F75" s="323">
        <v>2363</v>
      </c>
      <c r="G75" s="322">
        <v>140</v>
      </c>
      <c r="H75" s="1703"/>
      <c r="I75" s="210" t="s">
        <v>2821</v>
      </c>
    </row>
    <row r="76" spans="1:9" ht="12.75" customHeight="1" x14ac:dyDescent="0.2">
      <c r="A76" s="2169" t="s">
        <v>1284</v>
      </c>
      <c r="B76" s="2172" t="s">
        <v>2822</v>
      </c>
      <c r="C76" s="981">
        <f>SUM(C77:C79)</f>
        <v>750</v>
      </c>
      <c r="D76" s="313">
        <f>SUM(D77:D79)</f>
        <v>750</v>
      </c>
      <c r="E76" s="981">
        <f>SUM(E77:E79)</f>
        <v>1495</v>
      </c>
      <c r="F76" s="314"/>
      <c r="G76" s="313">
        <f>SUM(G77:G79)</f>
        <v>1200</v>
      </c>
      <c r="H76" s="1702" t="s">
        <v>2772</v>
      </c>
      <c r="I76" s="315"/>
    </row>
    <row r="77" spans="1:9" ht="12.75" customHeight="1" x14ac:dyDescent="0.2">
      <c r="A77" s="2170"/>
      <c r="B77" s="2172"/>
      <c r="C77" s="934">
        <v>50</v>
      </c>
      <c r="D77" s="322">
        <v>50</v>
      </c>
      <c r="E77" s="934">
        <v>50</v>
      </c>
      <c r="F77" s="323">
        <v>2341</v>
      </c>
      <c r="G77" s="322">
        <v>50</v>
      </c>
      <c r="H77" s="1735"/>
      <c r="I77" s="315" t="s">
        <v>2773</v>
      </c>
    </row>
    <row r="78" spans="1:9" ht="12.75" customHeight="1" x14ac:dyDescent="0.2">
      <c r="A78" s="2170"/>
      <c r="B78" s="2172"/>
      <c r="C78" s="934">
        <v>700</v>
      </c>
      <c r="D78" s="322">
        <v>700</v>
      </c>
      <c r="E78" s="934">
        <v>1050</v>
      </c>
      <c r="F78" s="323">
        <v>2361</v>
      </c>
      <c r="G78" s="322">
        <v>1050</v>
      </c>
      <c r="H78" s="1735"/>
      <c r="I78" s="315" t="s">
        <v>2823</v>
      </c>
    </row>
    <row r="79" spans="1:9" ht="12.75" customHeight="1" x14ac:dyDescent="0.2">
      <c r="A79" s="2171"/>
      <c r="B79" s="2172"/>
      <c r="C79" s="934">
        <v>0</v>
      </c>
      <c r="D79" s="322">
        <v>0</v>
      </c>
      <c r="E79" s="934">
        <v>395</v>
      </c>
      <c r="F79" s="323">
        <v>2370</v>
      </c>
      <c r="G79" s="322">
        <v>100</v>
      </c>
      <c r="H79" s="1703"/>
      <c r="I79" s="315" t="s">
        <v>2824</v>
      </c>
    </row>
    <row r="80" spans="1:9" ht="12.75" customHeight="1" x14ac:dyDescent="0.2">
      <c r="A80" s="2191" t="s">
        <v>1288</v>
      </c>
      <c r="B80" s="2194" t="s">
        <v>2778</v>
      </c>
      <c r="C80" s="988">
        <f>SUM(C81:C82)</f>
        <v>3887</v>
      </c>
      <c r="D80" s="988">
        <f t="shared" ref="D80:E80" si="15">SUM(D81:D82)</f>
        <v>3787</v>
      </c>
      <c r="E80" s="988">
        <f t="shared" si="15"/>
        <v>3715</v>
      </c>
      <c r="F80" s="989"/>
      <c r="G80" s="988">
        <f>SUM(G81:G82)</f>
        <v>3715</v>
      </c>
      <c r="H80" s="2162" t="s">
        <v>2779</v>
      </c>
      <c r="I80" s="990" t="s">
        <v>2825</v>
      </c>
    </row>
    <row r="81" spans="1:9" ht="12.75" customHeight="1" x14ac:dyDescent="0.2">
      <c r="A81" s="2192"/>
      <c r="B81" s="2194"/>
      <c r="C81" s="1001">
        <v>2660</v>
      </c>
      <c r="D81" s="1001">
        <v>2660</v>
      </c>
      <c r="E81" s="1001">
        <v>2700</v>
      </c>
      <c r="F81" s="989">
        <v>2261</v>
      </c>
      <c r="G81" s="1001">
        <v>2700</v>
      </c>
      <c r="H81" s="2163"/>
      <c r="I81" s="810" t="s">
        <v>2826</v>
      </c>
    </row>
    <row r="82" spans="1:9" ht="12.75" customHeight="1" x14ac:dyDescent="0.2">
      <c r="A82" s="2193"/>
      <c r="B82" s="2194"/>
      <c r="C82" s="811">
        <v>1227</v>
      </c>
      <c r="D82" s="811">
        <v>1127</v>
      </c>
      <c r="E82" s="811">
        <v>1015</v>
      </c>
      <c r="F82" s="991">
        <v>2363</v>
      </c>
      <c r="G82" s="811">
        <v>1015</v>
      </c>
      <c r="H82" s="2164"/>
      <c r="I82" s="810" t="s">
        <v>2827</v>
      </c>
    </row>
    <row r="83" spans="1:9" ht="12.75" customHeight="1" x14ac:dyDescent="0.2">
      <c r="A83" s="980">
        <v>4</v>
      </c>
      <c r="B83" s="1000" t="s">
        <v>2828</v>
      </c>
      <c r="C83" s="981">
        <f>C84+C89</f>
        <v>575</v>
      </c>
      <c r="D83" s="981">
        <f t="shared" ref="D83:E83" si="16">D84+D89</f>
        <v>575</v>
      </c>
      <c r="E83" s="981">
        <f t="shared" si="16"/>
        <v>2388</v>
      </c>
      <c r="F83" s="997"/>
      <c r="G83" s="981">
        <f>G84+G89</f>
        <v>1040</v>
      </c>
      <c r="H83" s="313"/>
      <c r="I83" s="315" t="s">
        <v>2829</v>
      </c>
    </row>
    <row r="84" spans="1:9" ht="12.75" customHeight="1" x14ac:dyDescent="0.2">
      <c r="A84" s="2169" t="s">
        <v>2356</v>
      </c>
      <c r="B84" s="2172" t="s">
        <v>2797</v>
      </c>
      <c r="C84" s="981">
        <f>SUM(C86:C88)</f>
        <v>350</v>
      </c>
      <c r="D84" s="313">
        <f t="shared" ref="D84" si="17">SUM(D86:D88)</f>
        <v>350</v>
      </c>
      <c r="E84" s="981">
        <f>SUM(E85:E88)</f>
        <v>2138</v>
      </c>
      <c r="F84" s="314"/>
      <c r="G84" s="313">
        <f>SUM(G85:G88)</f>
        <v>878</v>
      </c>
      <c r="H84" s="1702" t="s">
        <v>2750</v>
      </c>
      <c r="I84" s="959" t="s">
        <v>2830</v>
      </c>
    </row>
    <row r="85" spans="1:9" ht="12.75" customHeight="1" x14ac:dyDescent="0.2">
      <c r="A85" s="2170"/>
      <c r="B85" s="2172"/>
      <c r="C85" s="998">
        <v>0</v>
      </c>
      <c r="D85" s="385">
        <v>0</v>
      </c>
      <c r="E85" s="998">
        <v>384</v>
      </c>
      <c r="F85" s="314">
        <v>2261</v>
      </c>
      <c r="G85" s="316">
        <v>192</v>
      </c>
      <c r="H85" s="1735"/>
      <c r="I85" s="315" t="s">
        <v>2831</v>
      </c>
    </row>
    <row r="86" spans="1:9" ht="12.75" hidden="1" customHeight="1" x14ac:dyDescent="0.2">
      <c r="A86" s="2170"/>
      <c r="B86" s="2172"/>
      <c r="C86" s="934">
        <v>0</v>
      </c>
      <c r="D86" s="322">
        <v>0</v>
      </c>
      <c r="E86" s="934">
        <v>800</v>
      </c>
      <c r="F86" s="323">
        <v>2262</v>
      </c>
      <c r="G86" s="208">
        <v>0</v>
      </c>
      <c r="H86" s="1735"/>
      <c r="I86" s="1117" t="s">
        <v>3368</v>
      </c>
    </row>
    <row r="87" spans="1:9" ht="12.75" customHeight="1" x14ac:dyDescent="0.2">
      <c r="A87" s="2170"/>
      <c r="B87" s="2172"/>
      <c r="C87" s="934">
        <v>350</v>
      </c>
      <c r="D87" s="322">
        <v>350</v>
      </c>
      <c r="E87" s="934">
        <v>450</v>
      </c>
      <c r="F87" s="323">
        <v>2279</v>
      </c>
      <c r="G87" s="208">
        <v>350</v>
      </c>
      <c r="H87" s="1735"/>
      <c r="I87" s="315" t="s">
        <v>2832</v>
      </c>
    </row>
    <row r="88" spans="1:9" ht="12.75" customHeight="1" x14ac:dyDescent="0.2">
      <c r="A88" s="2171"/>
      <c r="B88" s="2172"/>
      <c r="C88" s="934">
        <v>0</v>
      </c>
      <c r="D88" s="322">
        <v>0</v>
      </c>
      <c r="E88" s="934">
        <v>504</v>
      </c>
      <c r="F88" s="323">
        <v>2363</v>
      </c>
      <c r="G88" s="208">
        <v>336</v>
      </c>
      <c r="H88" s="1703"/>
      <c r="I88" s="315" t="s">
        <v>2833</v>
      </c>
    </row>
    <row r="89" spans="1:9" ht="12.75" customHeight="1" x14ac:dyDescent="0.2">
      <c r="A89" s="2169" t="s">
        <v>2360</v>
      </c>
      <c r="B89" s="2172" t="s">
        <v>2834</v>
      </c>
      <c r="C89" s="981">
        <f>SUM(C91:C91)</f>
        <v>225</v>
      </c>
      <c r="D89" s="313">
        <f>SUM(D91:D91)</f>
        <v>225</v>
      </c>
      <c r="E89" s="981">
        <f>SUM(E90:E91)</f>
        <v>250</v>
      </c>
      <c r="F89" s="314"/>
      <c r="G89" s="313">
        <f>SUM(G90:G91)</f>
        <v>162</v>
      </c>
      <c r="H89" s="1702" t="s">
        <v>2758</v>
      </c>
      <c r="I89" s="315"/>
    </row>
    <row r="90" spans="1:9" ht="12.75" customHeight="1" x14ac:dyDescent="0.2">
      <c r="A90" s="2170"/>
      <c r="B90" s="2172"/>
      <c r="C90" s="998">
        <v>0</v>
      </c>
      <c r="D90" s="385">
        <v>0</v>
      </c>
      <c r="E90" s="998">
        <v>25</v>
      </c>
      <c r="F90" s="314">
        <v>2341</v>
      </c>
      <c r="G90" s="385">
        <v>25</v>
      </c>
      <c r="H90" s="1735"/>
      <c r="I90" s="315" t="s">
        <v>2773</v>
      </c>
    </row>
    <row r="91" spans="1:9" ht="12.75" customHeight="1" x14ac:dyDescent="0.2">
      <c r="A91" s="2171"/>
      <c r="B91" s="2172"/>
      <c r="C91" s="934">
        <v>225</v>
      </c>
      <c r="D91" s="322">
        <v>225</v>
      </c>
      <c r="E91" s="934">
        <v>225</v>
      </c>
      <c r="F91" s="323">
        <v>2370</v>
      </c>
      <c r="G91" s="322">
        <v>137</v>
      </c>
      <c r="H91" s="1703"/>
      <c r="I91" s="315" t="s">
        <v>2835</v>
      </c>
    </row>
    <row r="92" spans="1:9" ht="12.75" customHeight="1" x14ac:dyDescent="0.2">
      <c r="A92" s="980">
        <v>5</v>
      </c>
      <c r="B92" s="1000" t="s">
        <v>2836</v>
      </c>
      <c r="C92" s="981">
        <f>C93+C98+C107+C103+C111</f>
        <v>24720</v>
      </c>
      <c r="D92" s="981">
        <f t="shared" ref="D92:E92" si="18">D93+D98+D107+D103+D111</f>
        <v>24720</v>
      </c>
      <c r="E92" s="981">
        <f t="shared" si="18"/>
        <v>27768</v>
      </c>
      <c r="F92" s="997"/>
      <c r="G92" s="981">
        <f>G93+G98+G107+G103+G111</f>
        <v>19936</v>
      </c>
      <c r="H92" s="313"/>
      <c r="I92" s="315" t="s">
        <v>2837</v>
      </c>
    </row>
    <row r="93" spans="1:9" ht="12.75" customHeight="1" x14ac:dyDescent="0.2">
      <c r="A93" s="2188" t="s">
        <v>1238</v>
      </c>
      <c r="B93" s="2172" t="s">
        <v>2797</v>
      </c>
      <c r="C93" s="981">
        <f>SUM(C94:C97)</f>
        <v>10328</v>
      </c>
      <c r="D93" s="313">
        <f>SUM(D94:D97)</f>
        <v>10328</v>
      </c>
      <c r="E93" s="981">
        <f>SUM(E94:E97)</f>
        <v>10158</v>
      </c>
      <c r="F93" s="314"/>
      <c r="G93" s="313">
        <f>SUM(G94:G97)</f>
        <v>10158</v>
      </c>
      <c r="H93" s="322"/>
      <c r="I93" s="959" t="s">
        <v>2751</v>
      </c>
    </row>
    <row r="94" spans="1:9" ht="12.75" customHeight="1" x14ac:dyDescent="0.2">
      <c r="A94" s="2189"/>
      <c r="B94" s="2172"/>
      <c r="C94" s="934">
        <v>330</v>
      </c>
      <c r="D94" s="322">
        <v>330</v>
      </c>
      <c r="E94" s="934">
        <v>240</v>
      </c>
      <c r="F94" s="323">
        <v>2261</v>
      </c>
      <c r="G94" s="322">
        <v>240</v>
      </c>
      <c r="H94" s="1702" t="s">
        <v>2750</v>
      </c>
      <c r="I94" s="315" t="s">
        <v>2838</v>
      </c>
    </row>
    <row r="95" spans="1:9" ht="12.75" customHeight="1" x14ac:dyDescent="0.2">
      <c r="A95" s="2189"/>
      <c r="B95" s="2172"/>
      <c r="C95" s="934">
        <v>7200</v>
      </c>
      <c r="D95" s="322">
        <v>7200</v>
      </c>
      <c r="E95" s="934">
        <v>7200</v>
      </c>
      <c r="F95" s="323">
        <v>2262</v>
      </c>
      <c r="G95" s="322">
        <v>7200</v>
      </c>
      <c r="H95" s="1735"/>
      <c r="I95" s="315" t="s">
        <v>2839</v>
      </c>
    </row>
    <row r="96" spans="1:9" ht="12.75" customHeight="1" x14ac:dyDescent="0.2">
      <c r="A96" s="2189"/>
      <c r="B96" s="2172"/>
      <c r="C96" s="934">
        <v>1720</v>
      </c>
      <c r="D96" s="322">
        <v>1720</v>
      </c>
      <c r="E96" s="934">
        <v>1720</v>
      </c>
      <c r="F96" s="323">
        <v>2279</v>
      </c>
      <c r="G96" s="322">
        <v>1720</v>
      </c>
      <c r="H96" s="1735"/>
      <c r="I96" s="315" t="s">
        <v>2840</v>
      </c>
    </row>
    <row r="97" spans="1:9" ht="12.75" customHeight="1" x14ac:dyDescent="0.2">
      <c r="A97" s="2190"/>
      <c r="B97" s="2172"/>
      <c r="C97" s="934">
        <v>1078</v>
      </c>
      <c r="D97" s="322">
        <v>1078</v>
      </c>
      <c r="E97" s="934">
        <v>998</v>
      </c>
      <c r="F97" s="323">
        <v>2363</v>
      </c>
      <c r="G97" s="322">
        <v>998</v>
      </c>
      <c r="H97" s="1703"/>
      <c r="I97" s="315" t="s">
        <v>2841</v>
      </c>
    </row>
    <row r="98" spans="1:9" hidden="1" x14ac:dyDescent="0.2">
      <c r="A98" s="2184" t="s">
        <v>1242</v>
      </c>
      <c r="B98" s="2161" t="s">
        <v>2842</v>
      </c>
      <c r="C98" s="981">
        <f>SUM(C99:C102)</f>
        <v>0</v>
      </c>
      <c r="D98" s="313">
        <f>SUM(D99:D102)</f>
        <v>0</v>
      </c>
      <c r="E98" s="981">
        <f>SUM(E99:E102)</f>
        <v>6832</v>
      </c>
      <c r="F98" s="314"/>
      <c r="G98" s="318">
        <f>SUM(G99:G102)</f>
        <v>0</v>
      </c>
      <c r="H98" s="1702" t="s">
        <v>2758</v>
      </c>
      <c r="I98" s="315"/>
    </row>
    <row r="99" spans="1:9" ht="24" hidden="1" customHeight="1" x14ac:dyDescent="0.2">
      <c r="A99" s="2185"/>
      <c r="B99" s="2161"/>
      <c r="C99" s="983">
        <v>0</v>
      </c>
      <c r="D99" s="322">
        <v>0</v>
      </c>
      <c r="E99" s="934">
        <v>5000</v>
      </c>
      <c r="F99" s="323">
        <v>2262</v>
      </c>
      <c r="G99" s="208">
        <v>0</v>
      </c>
      <c r="H99" s="1735"/>
      <c r="I99" s="315" t="s">
        <v>2843</v>
      </c>
    </row>
    <row r="100" spans="1:9" ht="36" hidden="1" x14ac:dyDescent="0.2">
      <c r="A100" s="2185"/>
      <c r="B100" s="2161"/>
      <c r="C100" s="983">
        <v>0</v>
      </c>
      <c r="D100" s="322">
        <v>0</v>
      </c>
      <c r="E100" s="934">
        <v>810</v>
      </c>
      <c r="F100" s="323">
        <v>2122</v>
      </c>
      <c r="G100" s="208">
        <v>0</v>
      </c>
      <c r="H100" s="1735"/>
      <c r="I100" s="315" t="s">
        <v>2844</v>
      </c>
    </row>
    <row r="101" spans="1:9" hidden="1" x14ac:dyDescent="0.2">
      <c r="A101" s="2185"/>
      <c r="B101" s="2161"/>
      <c r="C101" s="983">
        <v>0</v>
      </c>
      <c r="D101" s="322">
        <v>0</v>
      </c>
      <c r="E101" s="934">
        <v>500</v>
      </c>
      <c r="F101" s="323">
        <v>2279</v>
      </c>
      <c r="G101" s="208">
        <v>0</v>
      </c>
      <c r="H101" s="1735"/>
      <c r="I101" s="322" t="s">
        <v>2845</v>
      </c>
    </row>
    <row r="102" spans="1:9" ht="24" hidden="1" x14ac:dyDescent="0.2">
      <c r="A102" s="2186"/>
      <c r="B102" s="2161"/>
      <c r="C102" s="843">
        <v>0</v>
      </c>
      <c r="D102" s="361">
        <v>0</v>
      </c>
      <c r="E102" s="934">
        <v>522</v>
      </c>
      <c r="F102" s="323">
        <v>2121</v>
      </c>
      <c r="G102" s="208">
        <v>0</v>
      </c>
      <c r="H102" s="1703"/>
      <c r="I102" s="322" t="s">
        <v>2846</v>
      </c>
    </row>
    <row r="103" spans="1:9" hidden="1" x14ac:dyDescent="0.2">
      <c r="A103" s="2184" t="s">
        <v>2382</v>
      </c>
      <c r="B103" s="2161" t="s">
        <v>2847</v>
      </c>
      <c r="C103" s="981">
        <f>SUM(C104:C106)</f>
        <v>3844</v>
      </c>
      <c r="D103" s="313">
        <f t="shared" ref="D103" si="19">SUM(D104:D106)</f>
        <v>3844</v>
      </c>
      <c r="E103" s="981">
        <f>SUM(E104:E106)</f>
        <v>0</v>
      </c>
      <c r="F103" s="314"/>
      <c r="G103" s="313">
        <f>SUM(G104:G106)</f>
        <v>0</v>
      </c>
      <c r="H103" s="1702"/>
      <c r="I103" s="1702"/>
    </row>
    <row r="104" spans="1:9" ht="12.75" hidden="1" customHeight="1" x14ac:dyDescent="0.2">
      <c r="A104" s="2185"/>
      <c r="B104" s="2161"/>
      <c r="C104" s="843">
        <v>232</v>
      </c>
      <c r="D104" s="361">
        <v>232</v>
      </c>
      <c r="E104" s="934"/>
      <c r="F104" s="323">
        <v>2121</v>
      </c>
      <c r="G104" s="322">
        <v>0</v>
      </c>
      <c r="H104" s="1735"/>
      <c r="I104" s="1735"/>
    </row>
    <row r="105" spans="1:9" ht="12.75" hidden="1" customHeight="1" x14ac:dyDescent="0.2">
      <c r="A105" s="2185"/>
      <c r="B105" s="2161"/>
      <c r="C105" s="843">
        <v>112</v>
      </c>
      <c r="D105" s="361">
        <v>112</v>
      </c>
      <c r="E105" s="934"/>
      <c r="F105" s="323">
        <v>2122</v>
      </c>
      <c r="G105" s="322">
        <v>0</v>
      </c>
      <c r="H105" s="1735"/>
      <c r="I105" s="1735"/>
    </row>
    <row r="106" spans="1:9" ht="12.75" hidden="1" customHeight="1" x14ac:dyDescent="0.2">
      <c r="A106" s="2186"/>
      <c r="B106" s="2161"/>
      <c r="C106" s="843">
        <v>3500</v>
      </c>
      <c r="D106" s="361">
        <v>3500</v>
      </c>
      <c r="E106" s="934"/>
      <c r="F106" s="323">
        <v>2262</v>
      </c>
      <c r="G106" s="322">
        <v>0</v>
      </c>
      <c r="H106" s="1703"/>
      <c r="I106" s="1703"/>
    </row>
    <row r="107" spans="1:9" x14ac:dyDescent="0.2">
      <c r="A107" s="2169" t="s">
        <v>2386</v>
      </c>
      <c r="B107" s="2187" t="s">
        <v>2848</v>
      </c>
      <c r="C107" s="981">
        <f>SUM(C108:C110)</f>
        <v>3032</v>
      </c>
      <c r="D107" s="313">
        <f>SUM(D108:D110)</f>
        <v>3032</v>
      </c>
      <c r="E107" s="981">
        <f>SUM(E108:E110)</f>
        <v>3100</v>
      </c>
      <c r="F107" s="314"/>
      <c r="G107" s="313">
        <f>SUM(G108:G110)</f>
        <v>2100</v>
      </c>
      <c r="H107" s="1702" t="s">
        <v>2849</v>
      </c>
      <c r="I107" s="315"/>
    </row>
    <row r="108" spans="1:9" x14ac:dyDescent="0.2">
      <c r="A108" s="2170"/>
      <c r="B108" s="2187"/>
      <c r="C108" s="934">
        <v>75</v>
      </c>
      <c r="D108" s="322">
        <v>75</v>
      </c>
      <c r="E108" s="934">
        <v>100</v>
      </c>
      <c r="F108" s="323">
        <v>2341</v>
      </c>
      <c r="G108" s="322">
        <v>100</v>
      </c>
      <c r="H108" s="1735"/>
      <c r="I108" s="315" t="s">
        <v>2773</v>
      </c>
    </row>
    <row r="109" spans="1:9" ht="12" customHeight="1" x14ac:dyDescent="0.2">
      <c r="A109" s="2170"/>
      <c r="B109" s="2187"/>
      <c r="C109" s="934">
        <v>500</v>
      </c>
      <c r="D109" s="322">
        <v>500</v>
      </c>
      <c r="E109" s="934">
        <v>500</v>
      </c>
      <c r="F109" s="323">
        <v>2361</v>
      </c>
      <c r="G109" s="208">
        <v>500</v>
      </c>
      <c r="H109" s="1735"/>
      <c r="I109" s="321" t="s">
        <v>2850</v>
      </c>
    </row>
    <row r="110" spans="1:9" ht="12.75" customHeight="1" x14ac:dyDescent="0.2">
      <c r="A110" s="2171"/>
      <c r="B110" s="2187"/>
      <c r="C110" s="934">
        <v>2457</v>
      </c>
      <c r="D110" s="322">
        <v>2457</v>
      </c>
      <c r="E110" s="934">
        <v>2500</v>
      </c>
      <c r="F110" s="323">
        <v>2370</v>
      </c>
      <c r="G110" s="322">
        <f>50*30</f>
        <v>1500</v>
      </c>
      <c r="H110" s="1703"/>
      <c r="I110" s="362" t="s">
        <v>2851</v>
      </c>
    </row>
    <row r="111" spans="1:9" x14ac:dyDescent="0.2">
      <c r="A111" s="986" t="s">
        <v>2390</v>
      </c>
      <c r="B111" s="987" t="s">
        <v>2776</v>
      </c>
      <c r="C111" s="988">
        <f>SUM( C112+C117)</f>
        <v>7516</v>
      </c>
      <c r="D111" s="988">
        <f t="shared" ref="D111:E111" si="20">SUM( D112+D117)</f>
        <v>7516</v>
      </c>
      <c r="E111" s="988">
        <f t="shared" si="20"/>
        <v>7678</v>
      </c>
      <c r="F111" s="989"/>
      <c r="G111" s="988">
        <f t="shared" ref="G111" si="21">SUM( G112+G117)</f>
        <v>7678</v>
      </c>
      <c r="H111" s="988"/>
      <c r="I111" s="810"/>
    </row>
    <row r="112" spans="1:9" ht="12" customHeight="1" x14ac:dyDescent="0.2">
      <c r="A112" s="2173" t="s">
        <v>2852</v>
      </c>
      <c r="B112" s="2176" t="s">
        <v>2778</v>
      </c>
      <c r="C112" s="988">
        <f>SUM(C113:C116)</f>
        <v>1669</v>
      </c>
      <c r="D112" s="988">
        <f t="shared" ref="D112:G112" si="22">SUM(D113:D116)</f>
        <v>1669</v>
      </c>
      <c r="E112" s="988">
        <f t="shared" si="22"/>
        <v>1760</v>
      </c>
      <c r="F112" s="989"/>
      <c r="G112" s="988">
        <f t="shared" si="22"/>
        <v>1760</v>
      </c>
      <c r="H112" s="2162" t="s">
        <v>2779</v>
      </c>
      <c r="I112" s="810" t="s">
        <v>2853</v>
      </c>
    </row>
    <row r="113" spans="1:9" x14ac:dyDescent="0.2">
      <c r="A113" s="2174"/>
      <c r="B113" s="2176"/>
      <c r="C113" s="1001">
        <v>296</v>
      </c>
      <c r="D113" s="1001">
        <v>296</v>
      </c>
      <c r="E113" s="1001">
        <v>300</v>
      </c>
      <c r="F113" s="1585">
        <v>2262</v>
      </c>
      <c r="G113" s="1001">
        <v>300</v>
      </c>
      <c r="H113" s="2163"/>
      <c r="I113" s="810" t="s">
        <v>2854</v>
      </c>
    </row>
    <row r="114" spans="1:9" hidden="1" x14ac:dyDescent="0.2">
      <c r="A114" s="2174"/>
      <c r="B114" s="2176"/>
      <c r="C114" s="1001">
        <v>0</v>
      </c>
      <c r="D114" s="1001">
        <v>0</v>
      </c>
      <c r="E114" s="1001">
        <v>0</v>
      </c>
      <c r="F114" s="1585">
        <v>2279</v>
      </c>
      <c r="G114" s="1001">
        <v>0</v>
      </c>
      <c r="H114" s="2163"/>
      <c r="I114" s="810"/>
    </row>
    <row r="115" spans="1:9" x14ac:dyDescent="0.2">
      <c r="A115" s="2174"/>
      <c r="B115" s="2176"/>
      <c r="C115" s="1001">
        <v>60</v>
      </c>
      <c r="D115" s="1001">
        <v>60</v>
      </c>
      <c r="E115" s="1001">
        <v>60</v>
      </c>
      <c r="F115" s="1585">
        <v>2341</v>
      </c>
      <c r="G115" s="1001">
        <v>60</v>
      </c>
      <c r="H115" s="2163"/>
      <c r="I115" s="810" t="s">
        <v>2789</v>
      </c>
    </row>
    <row r="116" spans="1:9" x14ac:dyDescent="0.2">
      <c r="A116" s="2175"/>
      <c r="B116" s="2176"/>
      <c r="C116" s="811">
        <v>1313</v>
      </c>
      <c r="D116" s="811">
        <v>1313</v>
      </c>
      <c r="E116" s="811">
        <v>1400</v>
      </c>
      <c r="F116" s="996">
        <v>2363</v>
      </c>
      <c r="G116" s="811">
        <v>1400</v>
      </c>
      <c r="H116" s="2164"/>
      <c r="I116" s="810" t="s">
        <v>2855</v>
      </c>
    </row>
    <row r="117" spans="1:9" ht="12" customHeight="1" x14ac:dyDescent="0.2">
      <c r="A117" s="2177" t="s">
        <v>2856</v>
      </c>
      <c r="B117" s="2176" t="s">
        <v>2783</v>
      </c>
      <c r="C117" s="988">
        <f>SUM(C118:C121)</f>
        <v>5847</v>
      </c>
      <c r="D117" s="988">
        <f>SUM(D118:D121)</f>
        <v>5847</v>
      </c>
      <c r="E117" s="988">
        <f>SUM(E118:E121)</f>
        <v>5918</v>
      </c>
      <c r="F117" s="1585"/>
      <c r="G117" s="988">
        <f>SUM(G118:G121)</f>
        <v>5918</v>
      </c>
      <c r="H117" s="2162" t="s">
        <v>2779</v>
      </c>
      <c r="I117" s="1002" t="s">
        <v>2857</v>
      </c>
    </row>
    <row r="118" spans="1:9" x14ac:dyDescent="0.2">
      <c r="A118" s="2177"/>
      <c r="B118" s="2176"/>
      <c r="C118" s="994">
        <v>60</v>
      </c>
      <c r="D118" s="994">
        <v>60</v>
      </c>
      <c r="E118" s="1003">
        <v>168</v>
      </c>
      <c r="F118" s="996">
        <v>2111</v>
      </c>
      <c r="G118" s="811">
        <v>168</v>
      </c>
      <c r="H118" s="2163"/>
      <c r="I118" s="810" t="s">
        <v>2858</v>
      </c>
    </row>
    <row r="119" spans="1:9" x14ac:dyDescent="0.2">
      <c r="A119" s="2177"/>
      <c r="B119" s="2176"/>
      <c r="C119" s="994">
        <v>2768</v>
      </c>
      <c r="D119" s="994">
        <v>2768</v>
      </c>
      <c r="E119" s="1003">
        <v>2800</v>
      </c>
      <c r="F119" s="996">
        <v>2261</v>
      </c>
      <c r="G119" s="811">
        <v>2800</v>
      </c>
      <c r="H119" s="2163"/>
      <c r="I119" s="810" t="s">
        <v>2859</v>
      </c>
    </row>
    <row r="120" spans="1:9" x14ac:dyDescent="0.2">
      <c r="A120" s="2177"/>
      <c r="B120" s="2176"/>
      <c r="C120" s="995">
        <v>437</v>
      </c>
      <c r="D120" s="995">
        <v>437</v>
      </c>
      <c r="E120" s="1003">
        <v>500</v>
      </c>
      <c r="F120" s="996">
        <v>2262</v>
      </c>
      <c r="G120" s="811">
        <v>500</v>
      </c>
      <c r="H120" s="2163"/>
      <c r="I120" s="992" t="s">
        <v>2860</v>
      </c>
    </row>
    <row r="121" spans="1:9" x14ac:dyDescent="0.2">
      <c r="A121" s="2177"/>
      <c r="B121" s="2176"/>
      <c r="C121" s="994">
        <v>2582</v>
      </c>
      <c r="D121" s="994">
        <v>2582</v>
      </c>
      <c r="E121" s="1003">
        <v>2450</v>
      </c>
      <c r="F121" s="996">
        <v>2363</v>
      </c>
      <c r="G121" s="811">
        <v>2450</v>
      </c>
      <c r="H121" s="2164"/>
      <c r="I121" s="810" t="s">
        <v>2861</v>
      </c>
    </row>
    <row r="122" spans="1:9" x14ac:dyDescent="0.2">
      <c r="A122" s="980">
        <v>6</v>
      </c>
      <c r="B122" s="1000" t="s">
        <v>2862</v>
      </c>
      <c r="C122" s="981">
        <f t="shared" ref="C122:E122" si="23">C123+C128+C132</f>
        <v>4336</v>
      </c>
      <c r="D122" s="981">
        <f t="shared" si="23"/>
        <v>4336</v>
      </c>
      <c r="E122" s="981">
        <f t="shared" si="23"/>
        <v>4340</v>
      </c>
      <c r="F122" s="1586"/>
      <c r="G122" s="981">
        <f>G123+G128+G132</f>
        <v>4210</v>
      </c>
      <c r="H122" s="313"/>
      <c r="I122" s="315" t="s">
        <v>2863</v>
      </c>
    </row>
    <row r="123" spans="1:9" x14ac:dyDescent="0.2">
      <c r="A123" s="2169" t="s">
        <v>2407</v>
      </c>
      <c r="B123" s="2172" t="s">
        <v>2797</v>
      </c>
      <c r="C123" s="981">
        <f>SUM(C124:C127)</f>
        <v>3371</v>
      </c>
      <c r="D123" s="313">
        <f>SUM(D124:D127)</f>
        <v>3371</v>
      </c>
      <c r="E123" s="981">
        <f>SUM(E124:E127)</f>
        <v>3305</v>
      </c>
      <c r="F123" s="314"/>
      <c r="G123" s="313">
        <f>SUM(G124:G127)</f>
        <v>3305</v>
      </c>
      <c r="H123" s="1702" t="s">
        <v>2750</v>
      </c>
      <c r="I123" s="959" t="s">
        <v>2864</v>
      </c>
    </row>
    <row r="124" spans="1:9" ht="12.75" customHeight="1" x14ac:dyDescent="0.2">
      <c r="A124" s="2170"/>
      <c r="B124" s="2172"/>
      <c r="C124" s="934">
        <v>480</v>
      </c>
      <c r="D124" s="322">
        <v>480</v>
      </c>
      <c r="E124" s="934">
        <v>480</v>
      </c>
      <c r="F124" s="323">
        <v>2261</v>
      </c>
      <c r="G124" s="322">
        <v>480</v>
      </c>
      <c r="H124" s="1735"/>
      <c r="I124" s="315" t="s">
        <v>2865</v>
      </c>
    </row>
    <row r="125" spans="1:9" ht="12.75" customHeight="1" x14ac:dyDescent="0.2">
      <c r="A125" s="2170"/>
      <c r="B125" s="2172"/>
      <c r="C125" s="934">
        <v>2066</v>
      </c>
      <c r="D125" s="322">
        <v>2066</v>
      </c>
      <c r="E125" s="934">
        <v>2000</v>
      </c>
      <c r="F125" s="323">
        <v>2262</v>
      </c>
      <c r="G125" s="322">
        <v>2000</v>
      </c>
      <c r="H125" s="1735"/>
      <c r="I125" s="315" t="s">
        <v>2866</v>
      </c>
    </row>
    <row r="126" spans="1:9" ht="12.75" customHeight="1" x14ac:dyDescent="0.2">
      <c r="A126" s="2170"/>
      <c r="B126" s="2172"/>
      <c r="C126" s="934">
        <v>300</v>
      </c>
      <c r="D126" s="322">
        <v>300</v>
      </c>
      <c r="E126" s="934">
        <v>300</v>
      </c>
      <c r="F126" s="323">
        <v>2279</v>
      </c>
      <c r="G126" s="322">
        <v>300</v>
      </c>
      <c r="H126" s="1735"/>
      <c r="I126" s="315" t="s">
        <v>2867</v>
      </c>
    </row>
    <row r="127" spans="1:9" ht="12.75" customHeight="1" x14ac:dyDescent="0.2">
      <c r="A127" s="2171"/>
      <c r="B127" s="2172"/>
      <c r="C127" s="934">
        <v>525</v>
      </c>
      <c r="D127" s="322">
        <v>525</v>
      </c>
      <c r="E127" s="934">
        <v>525</v>
      </c>
      <c r="F127" s="323">
        <v>2363</v>
      </c>
      <c r="G127" s="322">
        <v>525</v>
      </c>
      <c r="H127" s="1703"/>
      <c r="I127" s="315" t="s">
        <v>2868</v>
      </c>
    </row>
    <row r="128" spans="1:9" ht="12.75" customHeight="1" x14ac:dyDescent="0.2">
      <c r="A128" s="2169" t="s">
        <v>2411</v>
      </c>
      <c r="B128" s="2172" t="s">
        <v>2869</v>
      </c>
      <c r="C128" s="981">
        <f>SUM(C129:C131)</f>
        <v>685</v>
      </c>
      <c r="D128" s="313">
        <f>SUM(D129:D131)</f>
        <v>685</v>
      </c>
      <c r="E128" s="981">
        <f>SUM(E129:E131)</f>
        <v>685</v>
      </c>
      <c r="F128" s="314"/>
      <c r="G128" s="313">
        <f>SUM(G129:G131)</f>
        <v>555</v>
      </c>
      <c r="H128" s="1702" t="s">
        <v>2849</v>
      </c>
      <c r="I128" s="315"/>
    </row>
    <row r="129" spans="1:9" ht="12.75" customHeight="1" x14ac:dyDescent="0.2">
      <c r="A129" s="2170"/>
      <c r="B129" s="2172"/>
      <c r="C129" s="934">
        <v>25</v>
      </c>
      <c r="D129" s="322">
        <v>25</v>
      </c>
      <c r="E129" s="934">
        <v>25</v>
      </c>
      <c r="F129" s="323">
        <v>2341</v>
      </c>
      <c r="G129" s="322">
        <v>25</v>
      </c>
      <c r="H129" s="1735"/>
      <c r="I129" s="315" t="s">
        <v>2773</v>
      </c>
    </row>
    <row r="130" spans="1:9" ht="12.75" customHeight="1" x14ac:dyDescent="0.2">
      <c r="A130" s="2170"/>
      <c r="B130" s="2172"/>
      <c r="C130" s="934">
        <v>560</v>
      </c>
      <c r="D130" s="322">
        <v>560</v>
      </c>
      <c r="E130" s="934">
        <v>400</v>
      </c>
      <c r="F130" s="323">
        <v>2361</v>
      </c>
      <c r="G130" s="322">
        <v>400</v>
      </c>
      <c r="H130" s="1735"/>
      <c r="I130" s="321" t="s">
        <v>2870</v>
      </c>
    </row>
    <row r="131" spans="1:9" ht="12.75" customHeight="1" x14ac:dyDescent="0.2">
      <c r="A131" s="2171"/>
      <c r="B131" s="2172"/>
      <c r="C131" s="934">
        <v>100</v>
      </c>
      <c r="D131" s="322">
        <v>100</v>
      </c>
      <c r="E131" s="934">
        <v>260</v>
      </c>
      <c r="F131" s="323">
        <v>2370</v>
      </c>
      <c r="G131" s="322">
        <v>130</v>
      </c>
      <c r="H131" s="1703"/>
      <c r="I131" s="321" t="s">
        <v>2871</v>
      </c>
    </row>
    <row r="132" spans="1:9" x14ac:dyDescent="0.2">
      <c r="A132" s="986" t="s">
        <v>2413</v>
      </c>
      <c r="B132" s="987" t="s">
        <v>2776</v>
      </c>
      <c r="C132" s="988">
        <f>SUM( C133)</f>
        <v>280</v>
      </c>
      <c r="D132" s="988">
        <f>SUM( D133)</f>
        <v>280</v>
      </c>
      <c r="E132" s="988">
        <f>SUM( E133)</f>
        <v>350</v>
      </c>
      <c r="F132" s="989"/>
      <c r="G132" s="988">
        <f>SUM( G133)</f>
        <v>350</v>
      </c>
      <c r="H132" s="988"/>
      <c r="I132" s="810"/>
    </row>
    <row r="133" spans="1:9" ht="12" customHeight="1" x14ac:dyDescent="0.2">
      <c r="A133" s="2173" t="s">
        <v>2872</v>
      </c>
      <c r="B133" s="2176" t="s">
        <v>2778</v>
      </c>
      <c r="C133" s="988">
        <f>SUM(C134:C134)</f>
        <v>280</v>
      </c>
      <c r="D133" s="988">
        <f>SUM(D134:D134)</f>
        <v>280</v>
      </c>
      <c r="E133" s="988">
        <f>SUM(E134:E134)</f>
        <v>350</v>
      </c>
      <c r="F133" s="989"/>
      <c r="G133" s="988">
        <f>SUM(G134:G134)</f>
        <v>350</v>
      </c>
      <c r="H133" s="2162" t="s">
        <v>2779</v>
      </c>
      <c r="I133" s="990" t="s">
        <v>2825</v>
      </c>
    </row>
    <row r="134" spans="1:9" x14ac:dyDescent="0.2">
      <c r="A134" s="2175"/>
      <c r="B134" s="2176"/>
      <c r="C134" s="811">
        <v>280</v>
      </c>
      <c r="D134" s="811">
        <v>280</v>
      </c>
      <c r="E134" s="811">
        <v>350</v>
      </c>
      <c r="F134" s="991">
        <v>2363</v>
      </c>
      <c r="G134" s="811">
        <v>350</v>
      </c>
      <c r="H134" s="2164"/>
      <c r="I134" s="810" t="s">
        <v>2873</v>
      </c>
    </row>
    <row r="135" spans="1:9" x14ac:dyDescent="0.2">
      <c r="A135" s="980">
        <v>7</v>
      </c>
      <c r="B135" s="1000" t="s">
        <v>2874</v>
      </c>
      <c r="C135" s="981">
        <f>C136+C140+C144</f>
        <v>10558</v>
      </c>
      <c r="D135" s="981">
        <f t="shared" ref="D135:G135" si="24">D136+D140+D144</f>
        <v>10558</v>
      </c>
      <c r="E135" s="981">
        <f t="shared" si="24"/>
        <v>13689</v>
      </c>
      <c r="F135" s="997"/>
      <c r="G135" s="981">
        <f t="shared" si="24"/>
        <v>13089</v>
      </c>
      <c r="H135" s="313"/>
      <c r="I135" s="315" t="s">
        <v>2875</v>
      </c>
    </row>
    <row r="136" spans="1:9" x14ac:dyDescent="0.2">
      <c r="A136" s="2169" t="s">
        <v>2424</v>
      </c>
      <c r="B136" s="2172" t="s">
        <v>2797</v>
      </c>
      <c r="C136" s="981">
        <f>SUM(C137:C139)</f>
        <v>5745</v>
      </c>
      <c r="D136" s="313">
        <f>SUM(D137:D139)</f>
        <v>5745</v>
      </c>
      <c r="E136" s="981">
        <f>SUM(E137:E139)</f>
        <v>6270</v>
      </c>
      <c r="F136" s="314"/>
      <c r="G136" s="313">
        <f>SUM(G137:G139)</f>
        <v>6270</v>
      </c>
      <c r="H136" s="1731" t="s">
        <v>2750</v>
      </c>
      <c r="I136" s="966" t="s">
        <v>2876</v>
      </c>
    </row>
    <row r="137" spans="1:9" ht="12.75" customHeight="1" x14ac:dyDescent="0.2">
      <c r="A137" s="2170"/>
      <c r="B137" s="2172"/>
      <c r="C137" s="934">
        <v>3625</v>
      </c>
      <c r="D137" s="322">
        <v>3625</v>
      </c>
      <c r="E137" s="934">
        <v>4080</v>
      </c>
      <c r="F137" s="323">
        <v>2262</v>
      </c>
      <c r="G137" s="322">
        <v>4080</v>
      </c>
      <c r="H137" s="1731"/>
      <c r="I137" s="967" t="s">
        <v>2877</v>
      </c>
    </row>
    <row r="138" spans="1:9" x14ac:dyDescent="0.2">
      <c r="A138" s="2170"/>
      <c r="B138" s="2172"/>
      <c r="C138" s="934">
        <v>1000</v>
      </c>
      <c r="D138" s="322">
        <v>1000</v>
      </c>
      <c r="E138" s="934">
        <v>1000</v>
      </c>
      <c r="F138" s="414">
        <v>2279</v>
      </c>
      <c r="G138" s="322">
        <v>1000</v>
      </c>
      <c r="H138" s="1731"/>
      <c r="I138" s="967" t="s">
        <v>2878</v>
      </c>
    </row>
    <row r="139" spans="1:9" ht="12.75" customHeight="1" x14ac:dyDescent="0.2">
      <c r="A139" s="2171"/>
      <c r="B139" s="2172"/>
      <c r="C139" s="934">
        <v>1120</v>
      </c>
      <c r="D139" s="322">
        <v>1120</v>
      </c>
      <c r="E139" s="934">
        <v>1190</v>
      </c>
      <c r="F139" s="414">
        <v>2363</v>
      </c>
      <c r="G139" s="322">
        <v>1190</v>
      </c>
      <c r="H139" s="1731"/>
      <c r="I139" s="967" t="s">
        <v>2879</v>
      </c>
    </row>
    <row r="140" spans="1:9" x14ac:dyDescent="0.2">
      <c r="A140" s="2169" t="s">
        <v>2428</v>
      </c>
      <c r="B140" s="2172" t="s">
        <v>2880</v>
      </c>
      <c r="C140" s="981">
        <f>SUM(C141:C143)</f>
        <v>872</v>
      </c>
      <c r="D140" s="313">
        <f>SUM(D141:D143)</f>
        <v>872</v>
      </c>
      <c r="E140" s="981">
        <f>SUM(E141:E143)</f>
        <v>1300</v>
      </c>
      <c r="F140" s="1583"/>
      <c r="G140" s="313">
        <f>SUM(G141:G143)</f>
        <v>700</v>
      </c>
      <c r="H140" s="1731" t="s">
        <v>2849</v>
      </c>
      <c r="I140" s="967"/>
    </row>
    <row r="141" spans="1:9" x14ac:dyDescent="0.2">
      <c r="A141" s="2170"/>
      <c r="B141" s="2172"/>
      <c r="C141" s="934">
        <v>50</v>
      </c>
      <c r="D141" s="322">
        <v>50</v>
      </c>
      <c r="E141" s="934">
        <v>50</v>
      </c>
      <c r="F141" s="414">
        <v>2341</v>
      </c>
      <c r="G141" s="322">
        <v>50</v>
      </c>
      <c r="H141" s="1731"/>
      <c r="I141" s="967" t="s">
        <v>2773</v>
      </c>
    </row>
    <row r="142" spans="1:9" ht="12.75" customHeight="1" x14ac:dyDescent="0.2">
      <c r="A142" s="2170"/>
      <c r="B142" s="2172"/>
      <c r="C142" s="934">
        <v>400</v>
      </c>
      <c r="D142" s="934">
        <v>400</v>
      </c>
      <c r="E142" s="934">
        <v>500</v>
      </c>
      <c r="F142" s="1584">
        <v>2361</v>
      </c>
      <c r="G142" s="934">
        <v>500</v>
      </c>
      <c r="H142" s="1731"/>
      <c r="I142" s="1588" t="s">
        <v>2881</v>
      </c>
    </row>
    <row r="143" spans="1:9" x14ac:dyDescent="0.2">
      <c r="A143" s="2171"/>
      <c r="B143" s="2172"/>
      <c r="C143" s="934">
        <v>422</v>
      </c>
      <c r="D143" s="322">
        <v>422</v>
      </c>
      <c r="E143" s="934">
        <v>750</v>
      </c>
      <c r="F143" s="414">
        <v>2370</v>
      </c>
      <c r="G143" s="322">
        <v>150</v>
      </c>
      <c r="H143" s="1731"/>
      <c r="I143" s="1491" t="s">
        <v>2882</v>
      </c>
    </row>
    <row r="144" spans="1:9" s="1005" customFormat="1" x14ac:dyDescent="0.2">
      <c r="A144" s="986" t="s">
        <v>2431</v>
      </c>
      <c r="B144" s="987" t="s">
        <v>2776</v>
      </c>
      <c r="C144" s="988">
        <f>SUM( C145+C147)</f>
        <v>3941</v>
      </c>
      <c r="D144" s="988">
        <f>SUM( D145+D147)</f>
        <v>3941</v>
      </c>
      <c r="E144" s="988">
        <f>SUM( E145+E147)</f>
        <v>6119</v>
      </c>
      <c r="F144" s="1585"/>
      <c r="G144" s="988">
        <f>SUM( G145+G147)</f>
        <v>6119</v>
      </c>
      <c r="H144" s="988"/>
      <c r="I144" s="1589"/>
    </row>
    <row r="145" spans="1:9" s="1005" customFormat="1" ht="12" customHeight="1" x14ac:dyDescent="0.2">
      <c r="A145" s="2173" t="s">
        <v>2883</v>
      </c>
      <c r="B145" s="2176" t="s">
        <v>2778</v>
      </c>
      <c r="C145" s="988">
        <f>SUM(C146:C146)</f>
        <v>469</v>
      </c>
      <c r="D145" s="988">
        <f>SUM(D146:D146)</f>
        <v>469</v>
      </c>
      <c r="E145" s="988">
        <f>SUM(E146:E146)</f>
        <v>525</v>
      </c>
      <c r="F145" s="1585"/>
      <c r="G145" s="988">
        <f>SUM(G146:G146)</f>
        <v>525</v>
      </c>
      <c r="H145" s="2182" t="s">
        <v>2779</v>
      </c>
      <c r="I145" s="1590" t="s">
        <v>2825</v>
      </c>
    </row>
    <row r="146" spans="1:9" s="1005" customFormat="1" x14ac:dyDescent="0.2">
      <c r="A146" s="2175"/>
      <c r="B146" s="2176"/>
      <c r="C146" s="811">
        <v>469</v>
      </c>
      <c r="D146" s="811">
        <v>469</v>
      </c>
      <c r="E146" s="811">
        <v>525</v>
      </c>
      <c r="F146" s="996">
        <v>2363</v>
      </c>
      <c r="G146" s="811">
        <v>525</v>
      </c>
      <c r="H146" s="2182"/>
      <c r="I146" s="1589" t="s">
        <v>2884</v>
      </c>
    </row>
    <row r="147" spans="1:9" s="1005" customFormat="1" x14ac:dyDescent="0.2">
      <c r="A147" s="2177" t="s">
        <v>2885</v>
      </c>
      <c r="B147" s="2176" t="s">
        <v>2783</v>
      </c>
      <c r="C147" s="988">
        <f>SUM(C148:C152)</f>
        <v>3472</v>
      </c>
      <c r="D147" s="988">
        <f t="shared" ref="D147:G147" si="25">SUM(D148:D152)</f>
        <v>3472</v>
      </c>
      <c r="E147" s="988">
        <f t="shared" si="25"/>
        <v>5594</v>
      </c>
      <c r="F147" s="1585"/>
      <c r="G147" s="988">
        <f t="shared" si="25"/>
        <v>5594</v>
      </c>
      <c r="H147" s="811"/>
      <c r="I147" s="1590" t="s">
        <v>2886</v>
      </c>
    </row>
    <row r="148" spans="1:9" s="1005" customFormat="1" ht="11.25" customHeight="1" x14ac:dyDescent="0.2">
      <c r="A148" s="2177"/>
      <c r="B148" s="2176"/>
      <c r="C148" s="994">
        <v>30</v>
      </c>
      <c r="D148" s="994">
        <v>30</v>
      </c>
      <c r="E148" s="994">
        <v>84</v>
      </c>
      <c r="F148" s="996">
        <v>2111</v>
      </c>
      <c r="G148" s="811">
        <v>84</v>
      </c>
      <c r="H148" s="2182" t="s">
        <v>2779</v>
      </c>
      <c r="I148" s="1591" t="s">
        <v>2887</v>
      </c>
    </row>
    <row r="149" spans="1:9" s="1005" customFormat="1" ht="11.25" customHeight="1" x14ac:dyDescent="0.2">
      <c r="A149" s="2177"/>
      <c r="B149" s="2176"/>
      <c r="C149" s="994">
        <v>2224</v>
      </c>
      <c r="D149" s="994">
        <v>2224</v>
      </c>
      <c r="E149" s="994">
        <v>3640</v>
      </c>
      <c r="F149" s="996">
        <v>2261</v>
      </c>
      <c r="G149" s="811">
        <v>3640</v>
      </c>
      <c r="H149" s="2182"/>
      <c r="I149" s="1591" t="s">
        <v>2888</v>
      </c>
    </row>
    <row r="150" spans="1:9" s="1005" customFormat="1" ht="11.25" customHeight="1" x14ac:dyDescent="0.2">
      <c r="A150" s="2177"/>
      <c r="B150" s="2176"/>
      <c r="C150" s="995">
        <v>188</v>
      </c>
      <c r="D150" s="995">
        <v>188</v>
      </c>
      <c r="E150" s="995">
        <v>350</v>
      </c>
      <c r="F150" s="996">
        <v>2262</v>
      </c>
      <c r="G150" s="811">
        <v>350</v>
      </c>
      <c r="H150" s="2182"/>
      <c r="I150" s="1592" t="s">
        <v>2889</v>
      </c>
    </row>
    <row r="151" spans="1:9" s="1005" customFormat="1" ht="11.25" customHeight="1" x14ac:dyDescent="0.2">
      <c r="A151" s="2177"/>
      <c r="B151" s="2176"/>
      <c r="C151" s="995">
        <v>50</v>
      </c>
      <c r="D151" s="995">
        <v>50</v>
      </c>
      <c r="E151" s="995">
        <v>50</v>
      </c>
      <c r="F151" s="996">
        <v>2341</v>
      </c>
      <c r="G151" s="811">
        <v>50</v>
      </c>
      <c r="H151" s="2182"/>
      <c r="I151" s="1007" t="s">
        <v>2789</v>
      </c>
    </row>
    <row r="152" spans="1:9" s="1005" customFormat="1" ht="11.25" customHeight="1" x14ac:dyDescent="0.2">
      <c r="A152" s="2177"/>
      <c r="B152" s="2176"/>
      <c r="C152" s="994">
        <v>980</v>
      </c>
      <c r="D152" s="994">
        <v>980</v>
      </c>
      <c r="E152" s="994">
        <v>1470</v>
      </c>
      <c r="F152" s="996">
        <v>2363</v>
      </c>
      <c r="G152" s="811">
        <v>1470</v>
      </c>
      <c r="H152" s="2182"/>
      <c r="I152" s="1008" t="s">
        <v>2890</v>
      </c>
    </row>
    <row r="153" spans="1:9" x14ac:dyDescent="0.2">
      <c r="A153" s="980">
        <v>8</v>
      </c>
      <c r="B153" s="1000" t="s">
        <v>2891</v>
      </c>
      <c r="C153" s="981">
        <f>C154+C159+C163</f>
        <v>13643</v>
      </c>
      <c r="D153" s="981">
        <f t="shared" ref="D153:E153" si="26">D154+D159+D163</f>
        <v>13643</v>
      </c>
      <c r="E153" s="981">
        <f t="shared" si="26"/>
        <v>18280</v>
      </c>
      <c r="F153" s="997"/>
      <c r="G153" s="981">
        <f>G154+G159+G163</f>
        <v>16760</v>
      </c>
      <c r="H153" s="313"/>
      <c r="I153" s="967" t="s">
        <v>2892</v>
      </c>
    </row>
    <row r="154" spans="1:9" ht="12.75" customHeight="1" x14ac:dyDescent="0.2">
      <c r="A154" s="2169" t="s">
        <v>2444</v>
      </c>
      <c r="B154" s="2172" t="s">
        <v>2797</v>
      </c>
      <c r="C154" s="981">
        <f>SUM(C155:C158)</f>
        <v>4838</v>
      </c>
      <c r="D154" s="313">
        <f>SUM(D155:D158)</f>
        <v>4838</v>
      </c>
      <c r="E154" s="981">
        <f>SUM(E155:E158)</f>
        <v>7480</v>
      </c>
      <c r="F154" s="314"/>
      <c r="G154" s="313">
        <f>SUM(G155:G158)</f>
        <v>6260</v>
      </c>
      <c r="H154" s="1731" t="s">
        <v>2750</v>
      </c>
      <c r="I154" s="966" t="s">
        <v>2893</v>
      </c>
    </row>
    <row r="155" spans="1:9" ht="12.75" customHeight="1" x14ac:dyDescent="0.2">
      <c r="A155" s="2170"/>
      <c r="B155" s="2172"/>
      <c r="C155" s="934">
        <v>715</v>
      </c>
      <c r="D155" s="322">
        <v>715</v>
      </c>
      <c r="E155" s="934">
        <v>1440</v>
      </c>
      <c r="F155" s="323">
        <v>2261</v>
      </c>
      <c r="G155" s="322">
        <v>1440</v>
      </c>
      <c r="H155" s="1731"/>
      <c r="I155" s="967" t="s">
        <v>2894</v>
      </c>
    </row>
    <row r="156" spans="1:9" ht="12.75" customHeight="1" x14ac:dyDescent="0.2">
      <c r="A156" s="2170"/>
      <c r="B156" s="2172"/>
      <c r="C156" s="934">
        <v>1400</v>
      </c>
      <c r="D156" s="322">
        <v>1400</v>
      </c>
      <c r="E156" s="934">
        <v>2000</v>
      </c>
      <c r="F156" s="323">
        <v>2262</v>
      </c>
      <c r="G156" s="322">
        <v>1280</v>
      </c>
      <c r="H156" s="1731"/>
      <c r="I156" s="967" t="s">
        <v>2866</v>
      </c>
    </row>
    <row r="157" spans="1:9" ht="12.75" customHeight="1" x14ac:dyDescent="0.2">
      <c r="A157" s="2170"/>
      <c r="B157" s="2172"/>
      <c r="C157" s="934">
        <v>1820</v>
      </c>
      <c r="D157" s="322">
        <v>1820</v>
      </c>
      <c r="E157" s="934">
        <v>2500</v>
      </c>
      <c r="F157" s="323">
        <v>2279</v>
      </c>
      <c r="G157" s="322">
        <v>2000</v>
      </c>
      <c r="H157" s="1731"/>
      <c r="I157" s="967" t="s">
        <v>2895</v>
      </c>
    </row>
    <row r="158" spans="1:9" ht="12.75" customHeight="1" x14ac:dyDescent="0.2">
      <c r="A158" s="2171"/>
      <c r="B158" s="2172"/>
      <c r="C158" s="934">
        <v>903</v>
      </c>
      <c r="D158" s="322">
        <v>903</v>
      </c>
      <c r="E158" s="934">
        <v>1540</v>
      </c>
      <c r="F158" s="323">
        <v>2363</v>
      </c>
      <c r="G158" s="322">
        <v>1540</v>
      </c>
      <c r="H158" s="1731"/>
      <c r="I158" s="967" t="s">
        <v>2896</v>
      </c>
    </row>
    <row r="159" spans="1:9" ht="12.75" customHeight="1" x14ac:dyDescent="0.2">
      <c r="A159" s="2169" t="s">
        <v>2447</v>
      </c>
      <c r="B159" s="2172" t="s">
        <v>2897</v>
      </c>
      <c r="C159" s="981">
        <f>SUM(C160:C162)</f>
        <v>1350</v>
      </c>
      <c r="D159" s="313">
        <f>SUM(D160:D162)</f>
        <v>1350</v>
      </c>
      <c r="E159" s="981">
        <f>SUM(E160:E162)</f>
        <v>2870</v>
      </c>
      <c r="F159" s="314"/>
      <c r="G159" s="313">
        <f>SUM(G160:G162)</f>
        <v>2570</v>
      </c>
      <c r="H159" s="1731" t="s">
        <v>2849</v>
      </c>
      <c r="I159" s="967"/>
    </row>
    <row r="160" spans="1:9" ht="12.75" customHeight="1" x14ac:dyDescent="0.2">
      <c r="A160" s="2170"/>
      <c r="B160" s="2172"/>
      <c r="C160" s="934">
        <v>50</v>
      </c>
      <c r="D160" s="322">
        <v>50</v>
      </c>
      <c r="E160" s="934">
        <v>50</v>
      </c>
      <c r="F160" s="323">
        <v>2341</v>
      </c>
      <c r="G160" s="322">
        <v>50</v>
      </c>
      <c r="H160" s="1731"/>
      <c r="I160" s="967" t="s">
        <v>2773</v>
      </c>
    </row>
    <row r="161" spans="1:9" ht="12.75" customHeight="1" x14ac:dyDescent="0.2">
      <c r="A161" s="2170"/>
      <c r="B161" s="2172"/>
      <c r="C161" s="934">
        <v>300</v>
      </c>
      <c r="D161" s="322">
        <v>300</v>
      </c>
      <c r="E161" s="934">
        <v>1350</v>
      </c>
      <c r="F161" s="323">
        <v>2361</v>
      </c>
      <c r="G161" s="208">
        <v>1050</v>
      </c>
      <c r="H161" s="1731"/>
      <c r="I161" s="1491" t="s">
        <v>2898</v>
      </c>
    </row>
    <row r="162" spans="1:9" ht="12.75" customHeight="1" x14ac:dyDescent="0.2">
      <c r="A162" s="2171"/>
      <c r="B162" s="2172"/>
      <c r="C162" s="934">
        <v>1000</v>
      </c>
      <c r="D162" s="322">
        <v>1000</v>
      </c>
      <c r="E162" s="934">
        <v>1470</v>
      </c>
      <c r="F162" s="323">
        <v>2370</v>
      </c>
      <c r="G162" s="208">
        <v>1470</v>
      </c>
      <c r="H162" s="1731"/>
      <c r="I162" s="1491" t="s">
        <v>2899</v>
      </c>
    </row>
    <row r="163" spans="1:9" s="1005" customFormat="1" x14ac:dyDescent="0.2">
      <c r="A163" s="986" t="s">
        <v>2450</v>
      </c>
      <c r="B163" s="987" t="s">
        <v>2776</v>
      </c>
      <c r="C163" s="988">
        <f>SUM( C164+C167)</f>
        <v>7455</v>
      </c>
      <c r="D163" s="988">
        <f t="shared" ref="D163:G163" si="27">SUM( D164+D167)</f>
        <v>7455</v>
      </c>
      <c r="E163" s="988">
        <f t="shared" si="27"/>
        <v>7930</v>
      </c>
      <c r="F163" s="989"/>
      <c r="G163" s="988">
        <f t="shared" si="27"/>
        <v>7930</v>
      </c>
      <c r="H163" s="988"/>
      <c r="I163" s="1589"/>
    </row>
    <row r="164" spans="1:9" s="1005" customFormat="1" ht="12" customHeight="1" x14ac:dyDescent="0.2">
      <c r="A164" s="2173" t="s">
        <v>2900</v>
      </c>
      <c r="B164" s="2176" t="s">
        <v>2778</v>
      </c>
      <c r="C164" s="988">
        <f>SUM(C165:C166)</f>
        <v>2538</v>
      </c>
      <c r="D164" s="988">
        <f t="shared" ref="D164:G164" si="28">SUM(D165:D166)</f>
        <v>2538</v>
      </c>
      <c r="E164" s="988">
        <f t="shared" si="28"/>
        <v>2850</v>
      </c>
      <c r="F164" s="989"/>
      <c r="G164" s="988">
        <f t="shared" si="28"/>
        <v>2850</v>
      </c>
      <c r="H164" s="2182" t="s">
        <v>2779</v>
      </c>
      <c r="I164" s="1590" t="s">
        <v>2901</v>
      </c>
    </row>
    <row r="165" spans="1:9" s="1005" customFormat="1" ht="12.75" customHeight="1" x14ac:dyDescent="0.2">
      <c r="A165" s="2174"/>
      <c r="B165" s="2176"/>
      <c r="C165" s="1001">
        <v>50</v>
      </c>
      <c r="D165" s="1001">
        <v>50</v>
      </c>
      <c r="E165" s="988">
        <v>50</v>
      </c>
      <c r="F165" s="989">
        <v>2341</v>
      </c>
      <c r="G165" s="988">
        <v>50</v>
      </c>
      <c r="H165" s="2182"/>
      <c r="I165" s="1589" t="s">
        <v>2789</v>
      </c>
    </row>
    <row r="166" spans="1:9" s="1005" customFormat="1" x14ac:dyDescent="0.2">
      <c r="A166" s="2175"/>
      <c r="B166" s="2176"/>
      <c r="C166" s="811">
        <v>2488</v>
      </c>
      <c r="D166" s="811">
        <v>2488</v>
      </c>
      <c r="E166" s="811">
        <v>2800</v>
      </c>
      <c r="F166" s="991">
        <v>2363</v>
      </c>
      <c r="G166" s="811">
        <v>2800</v>
      </c>
      <c r="H166" s="2182"/>
      <c r="I166" s="1589" t="s">
        <v>2902</v>
      </c>
    </row>
    <row r="167" spans="1:9" s="1005" customFormat="1" ht="12" customHeight="1" x14ac:dyDescent="0.2">
      <c r="A167" s="2177" t="s">
        <v>2903</v>
      </c>
      <c r="B167" s="2176" t="s">
        <v>2783</v>
      </c>
      <c r="C167" s="988">
        <f>SUM(C168:C172)</f>
        <v>4917</v>
      </c>
      <c r="D167" s="988">
        <f>SUM(D168:D172)</f>
        <v>4917</v>
      </c>
      <c r="E167" s="988">
        <f>SUM(E168:E172)</f>
        <v>5080</v>
      </c>
      <c r="F167" s="989"/>
      <c r="G167" s="988">
        <f>SUM(G168:G172)</f>
        <v>5080</v>
      </c>
      <c r="H167" s="811"/>
      <c r="I167" s="1590" t="s">
        <v>2904</v>
      </c>
    </row>
    <row r="168" spans="1:9" s="1005" customFormat="1" ht="12" customHeight="1" x14ac:dyDescent="0.2">
      <c r="A168" s="2177"/>
      <c r="B168" s="2176"/>
      <c r="C168" s="994">
        <v>126</v>
      </c>
      <c r="D168" s="994">
        <v>126</v>
      </c>
      <c r="E168" s="994">
        <v>180</v>
      </c>
      <c r="F168" s="991">
        <v>2111</v>
      </c>
      <c r="G168" s="811">
        <v>180</v>
      </c>
      <c r="H168" s="2182" t="s">
        <v>2779</v>
      </c>
      <c r="I168" s="1591" t="s">
        <v>2905</v>
      </c>
    </row>
    <row r="169" spans="1:9" s="1005" customFormat="1" ht="12" customHeight="1" x14ac:dyDescent="0.2">
      <c r="A169" s="2177"/>
      <c r="B169" s="2176"/>
      <c r="C169" s="994">
        <v>2288</v>
      </c>
      <c r="D169" s="994">
        <v>2288</v>
      </c>
      <c r="E169" s="994">
        <v>2400</v>
      </c>
      <c r="F169" s="991">
        <v>2261</v>
      </c>
      <c r="G169" s="811">
        <v>2400</v>
      </c>
      <c r="H169" s="2182"/>
      <c r="I169" s="1591" t="s">
        <v>2906</v>
      </c>
    </row>
    <row r="170" spans="1:9" s="1005" customFormat="1" ht="12" customHeight="1" x14ac:dyDescent="0.2">
      <c r="A170" s="2177"/>
      <c r="B170" s="2176"/>
      <c r="C170" s="995">
        <v>319</v>
      </c>
      <c r="D170" s="995">
        <v>319</v>
      </c>
      <c r="E170" s="995">
        <v>400</v>
      </c>
      <c r="F170" s="996">
        <v>2262</v>
      </c>
      <c r="G170" s="811">
        <v>400</v>
      </c>
      <c r="H170" s="2182"/>
      <c r="I170" s="1591" t="s">
        <v>2907</v>
      </c>
    </row>
    <row r="171" spans="1:9" s="1005" customFormat="1" ht="12" hidden="1" customHeight="1" x14ac:dyDescent="0.2">
      <c r="A171" s="2177"/>
      <c r="B171" s="2176"/>
      <c r="C171" s="995">
        <v>0</v>
      </c>
      <c r="D171" s="995">
        <v>0</v>
      </c>
      <c r="E171" s="995">
        <v>0</v>
      </c>
      <c r="F171" s="996">
        <v>2279</v>
      </c>
      <c r="G171" s="811">
        <v>0</v>
      </c>
      <c r="H171" s="2182"/>
      <c r="I171" s="1007"/>
    </row>
    <row r="172" spans="1:9" s="1005" customFormat="1" ht="12" customHeight="1" x14ac:dyDescent="0.2">
      <c r="A172" s="2177"/>
      <c r="B172" s="2176"/>
      <c r="C172" s="994">
        <v>2184</v>
      </c>
      <c r="D172" s="994">
        <v>2184</v>
      </c>
      <c r="E172" s="994">
        <v>2100</v>
      </c>
      <c r="F172" s="991">
        <v>2363</v>
      </c>
      <c r="G172" s="811">
        <v>2100</v>
      </c>
      <c r="H172" s="2182"/>
      <c r="I172" s="1007" t="s">
        <v>2908</v>
      </c>
    </row>
    <row r="173" spans="1:9" ht="12" customHeight="1" x14ac:dyDescent="0.2">
      <c r="A173" s="980">
        <v>9</v>
      </c>
      <c r="B173" s="1000" t="s">
        <v>2909</v>
      </c>
      <c r="C173" s="981">
        <f>C174+C179+C183</f>
        <v>32369</v>
      </c>
      <c r="D173" s="981">
        <f t="shared" ref="D173:E173" si="29">D174+D179+D183</f>
        <v>32369</v>
      </c>
      <c r="E173" s="981">
        <f t="shared" si="29"/>
        <v>31958</v>
      </c>
      <c r="F173" s="997"/>
      <c r="G173" s="981">
        <f>G174+G179+G183</f>
        <v>28018</v>
      </c>
      <c r="H173" s="313"/>
      <c r="I173" s="967" t="s">
        <v>2910</v>
      </c>
    </row>
    <row r="174" spans="1:9" ht="12" customHeight="1" x14ac:dyDescent="0.2">
      <c r="A174" s="2169" t="s">
        <v>2474</v>
      </c>
      <c r="B174" s="2172" t="s">
        <v>2797</v>
      </c>
      <c r="C174" s="981">
        <f>SUM(C175:C178)</f>
        <v>14773</v>
      </c>
      <c r="D174" s="313">
        <f>SUM(D175:D178)</f>
        <v>14773</v>
      </c>
      <c r="E174" s="981">
        <f>SUM(E175:E178)</f>
        <v>14935</v>
      </c>
      <c r="F174" s="314"/>
      <c r="G174" s="313">
        <f>SUM(G175:G178)</f>
        <v>12450</v>
      </c>
      <c r="H174" s="1731" t="s">
        <v>2750</v>
      </c>
      <c r="I174" s="966" t="s">
        <v>2911</v>
      </c>
    </row>
    <row r="175" spans="1:9" ht="12" customHeight="1" x14ac:dyDescent="0.2">
      <c r="A175" s="2170"/>
      <c r="B175" s="2172"/>
      <c r="C175" s="934">
        <v>1200</v>
      </c>
      <c r="D175" s="322">
        <v>1200</v>
      </c>
      <c r="E175" s="934">
        <v>1200</v>
      </c>
      <c r="F175" s="323">
        <v>2261</v>
      </c>
      <c r="G175" s="322">
        <v>1200</v>
      </c>
      <c r="H175" s="1731"/>
      <c r="I175" s="967" t="s">
        <v>2912</v>
      </c>
    </row>
    <row r="176" spans="1:9" ht="12" customHeight="1" x14ac:dyDescent="0.2">
      <c r="A176" s="2170"/>
      <c r="B176" s="2172"/>
      <c r="C176" s="934">
        <v>7020</v>
      </c>
      <c r="D176" s="322">
        <v>7020</v>
      </c>
      <c r="E176" s="934">
        <v>7020</v>
      </c>
      <c r="F176" s="323">
        <v>2262</v>
      </c>
      <c r="G176" s="322">
        <v>4680</v>
      </c>
      <c r="H176" s="1731"/>
      <c r="I176" s="967" t="s">
        <v>2913</v>
      </c>
    </row>
    <row r="177" spans="1:9" ht="12" customHeight="1" x14ac:dyDescent="0.2">
      <c r="A177" s="2170"/>
      <c r="B177" s="2172"/>
      <c r="C177" s="934">
        <v>4855</v>
      </c>
      <c r="D177" s="322">
        <v>4855</v>
      </c>
      <c r="E177" s="934">
        <v>5000</v>
      </c>
      <c r="F177" s="323">
        <v>2279</v>
      </c>
      <c r="G177" s="322">
        <v>4855</v>
      </c>
      <c r="H177" s="1731"/>
      <c r="I177" s="967" t="s">
        <v>2914</v>
      </c>
    </row>
    <row r="178" spans="1:9" ht="12" customHeight="1" x14ac:dyDescent="0.2">
      <c r="A178" s="2171"/>
      <c r="B178" s="2172"/>
      <c r="C178" s="934">
        <v>1698</v>
      </c>
      <c r="D178" s="322">
        <v>1698</v>
      </c>
      <c r="E178" s="934">
        <v>1715</v>
      </c>
      <c r="F178" s="323">
        <v>2363</v>
      </c>
      <c r="G178" s="322">
        <v>1715</v>
      </c>
      <c r="H178" s="1731"/>
      <c r="I178" s="967" t="s">
        <v>2915</v>
      </c>
    </row>
    <row r="179" spans="1:9" ht="12" customHeight="1" x14ac:dyDescent="0.2">
      <c r="A179" s="2169" t="s">
        <v>2477</v>
      </c>
      <c r="B179" s="2172" t="s">
        <v>2916</v>
      </c>
      <c r="C179" s="981">
        <f>SUM(C180:C182)</f>
        <v>3572</v>
      </c>
      <c r="D179" s="313">
        <f>SUM(D180:D182)</f>
        <v>3572</v>
      </c>
      <c r="E179" s="981">
        <f>SUM(E180:E182)</f>
        <v>3595</v>
      </c>
      <c r="F179" s="314"/>
      <c r="G179" s="313">
        <f>SUM(G180:G182)</f>
        <v>2140</v>
      </c>
      <c r="H179" s="1731" t="s">
        <v>2849</v>
      </c>
      <c r="I179" s="967"/>
    </row>
    <row r="180" spans="1:9" ht="12" customHeight="1" x14ac:dyDescent="0.2">
      <c r="A180" s="2170"/>
      <c r="B180" s="2172"/>
      <c r="C180" s="934">
        <v>50</v>
      </c>
      <c r="D180" s="322">
        <v>50</v>
      </c>
      <c r="E180" s="934">
        <v>100</v>
      </c>
      <c r="F180" s="323">
        <v>2341</v>
      </c>
      <c r="G180" s="322">
        <v>100</v>
      </c>
      <c r="H180" s="1731"/>
      <c r="I180" s="967" t="s">
        <v>2917</v>
      </c>
    </row>
    <row r="181" spans="1:9" ht="12" customHeight="1" x14ac:dyDescent="0.2">
      <c r="A181" s="2170"/>
      <c r="B181" s="2172"/>
      <c r="C181" s="934">
        <v>1050</v>
      </c>
      <c r="D181" s="322">
        <v>1050</v>
      </c>
      <c r="E181" s="934">
        <v>2000</v>
      </c>
      <c r="F181" s="323">
        <v>2361</v>
      </c>
      <c r="G181" s="322">
        <v>1200</v>
      </c>
      <c r="H181" s="1731"/>
      <c r="I181" s="1491" t="s">
        <v>2918</v>
      </c>
    </row>
    <row r="182" spans="1:9" ht="12" customHeight="1" x14ac:dyDescent="0.2">
      <c r="A182" s="2171"/>
      <c r="B182" s="2172"/>
      <c r="C182" s="934">
        <v>2472</v>
      </c>
      <c r="D182" s="322">
        <v>2472</v>
      </c>
      <c r="E182" s="934">
        <v>1495</v>
      </c>
      <c r="F182" s="323">
        <v>2370</v>
      </c>
      <c r="G182" s="208">
        <v>840</v>
      </c>
      <c r="H182" s="1731"/>
      <c r="I182" s="1491" t="s">
        <v>2919</v>
      </c>
    </row>
    <row r="183" spans="1:9" s="1005" customFormat="1" ht="12" customHeight="1" x14ac:dyDescent="0.2">
      <c r="A183" s="1181" t="s">
        <v>2480</v>
      </c>
      <c r="B183" s="1182" t="s">
        <v>2776</v>
      </c>
      <c r="C183" s="988">
        <f>SUM( C184+C191+C195+C199+C201)</f>
        <v>14024</v>
      </c>
      <c r="D183" s="988">
        <f t="shared" ref="D183:G183" si="30">SUM( D184+D191+D195+D199+D201)</f>
        <v>14024</v>
      </c>
      <c r="E183" s="988">
        <f t="shared" si="30"/>
        <v>13428</v>
      </c>
      <c r="F183" s="989"/>
      <c r="G183" s="988">
        <f t="shared" si="30"/>
        <v>13428</v>
      </c>
      <c r="H183" s="988"/>
      <c r="I183" s="1589"/>
    </row>
    <row r="184" spans="1:9" s="1005" customFormat="1" ht="12" customHeight="1" x14ac:dyDescent="0.2">
      <c r="A184" s="2173" t="s">
        <v>2920</v>
      </c>
      <c r="B184" s="2176" t="s">
        <v>2921</v>
      </c>
      <c r="C184" s="988">
        <f>SUM(C185:C190)</f>
        <v>3427</v>
      </c>
      <c r="D184" s="988">
        <f>SUM(D185:D190)</f>
        <v>3427</v>
      </c>
      <c r="E184" s="988">
        <f t="shared" ref="E184:G184" si="31">SUM(E185:E190)</f>
        <v>3368</v>
      </c>
      <c r="F184" s="989"/>
      <c r="G184" s="988">
        <f t="shared" si="31"/>
        <v>3368</v>
      </c>
      <c r="H184" s="2183" t="s">
        <v>2922</v>
      </c>
      <c r="I184" s="1590" t="s">
        <v>2923</v>
      </c>
    </row>
    <row r="185" spans="1:9" s="1005" customFormat="1" ht="12" customHeight="1" x14ac:dyDescent="0.2">
      <c r="A185" s="2174"/>
      <c r="B185" s="2176"/>
      <c r="C185" s="1001">
        <v>261</v>
      </c>
      <c r="D185" s="1001">
        <v>261</v>
      </c>
      <c r="E185" s="1001">
        <v>406</v>
      </c>
      <c r="F185" s="989">
        <v>2121</v>
      </c>
      <c r="G185" s="1001">
        <v>406</v>
      </c>
      <c r="H185" s="2183"/>
      <c r="I185" s="1589" t="s">
        <v>2924</v>
      </c>
    </row>
    <row r="186" spans="1:9" s="1005" customFormat="1" ht="12" customHeight="1" x14ac:dyDescent="0.2">
      <c r="A186" s="2174"/>
      <c r="B186" s="2176"/>
      <c r="C186" s="1001">
        <v>116</v>
      </c>
      <c r="D186" s="1001">
        <v>116</v>
      </c>
      <c r="E186" s="1001">
        <v>112</v>
      </c>
      <c r="F186" s="989">
        <v>2122</v>
      </c>
      <c r="G186" s="1001">
        <v>112</v>
      </c>
      <c r="H186" s="2183"/>
      <c r="I186" s="1589" t="s">
        <v>2925</v>
      </c>
    </row>
    <row r="187" spans="1:9" s="1005" customFormat="1" ht="12" customHeight="1" x14ac:dyDescent="0.2">
      <c r="A187" s="2174"/>
      <c r="B187" s="2176"/>
      <c r="C187" s="1001">
        <v>1280</v>
      </c>
      <c r="D187" s="1001">
        <v>1280</v>
      </c>
      <c r="E187" s="1001">
        <v>1120</v>
      </c>
      <c r="F187" s="989">
        <v>2261</v>
      </c>
      <c r="G187" s="1001">
        <v>1120</v>
      </c>
      <c r="H187" s="2183"/>
      <c r="I187" s="1589" t="s">
        <v>2926</v>
      </c>
    </row>
    <row r="188" spans="1:9" s="1005" customFormat="1" ht="12" customHeight="1" x14ac:dyDescent="0.2">
      <c r="A188" s="2174"/>
      <c r="B188" s="2176"/>
      <c r="C188" s="1001">
        <v>600</v>
      </c>
      <c r="D188" s="1001">
        <v>600</v>
      </c>
      <c r="E188" s="1001">
        <v>700</v>
      </c>
      <c r="F188" s="989">
        <v>2262</v>
      </c>
      <c r="G188" s="1001">
        <v>700</v>
      </c>
      <c r="H188" s="2183"/>
      <c r="I188" s="1591" t="s">
        <v>2927</v>
      </c>
    </row>
    <row r="189" spans="1:9" s="1005" customFormat="1" ht="12" customHeight="1" x14ac:dyDescent="0.2">
      <c r="A189" s="2174"/>
      <c r="B189" s="2176"/>
      <c r="C189" s="1001">
        <v>50</v>
      </c>
      <c r="D189" s="1001">
        <v>50</v>
      </c>
      <c r="E189" s="1001">
        <v>50</v>
      </c>
      <c r="F189" s="989">
        <v>2341</v>
      </c>
      <c r="G189" s="1001">
        <v>50</v>
      </c>
      <c r="H189" s="2183"/>
      <c r="I189" s="1589" t="s">
        <v>2789</v>
      </c>
    </row>
    <row r="190" spans="1:9" s="1005" customFormat="1" ht="12" customHeight="1" x14ac:dyDescent="0.2">
      <c r="A190" s="2175"/>
      <c r="B190" s="2176"/>
      <c r="C190" s="811">
        <v>1120</v>
      </c>
      <c r="D190" s="811">
        <v>1120</v>
      </c>
      <c r="E190" s="811">
        <v>980</v>
      </c>
      <c r="F190" s="991">
        <v>2363</v>
      </c>
      <c r="G190" s="811">
        <v>980</v>
      </c>
      <c r="H190" s="2183"/>
      <c r="I190" s="1589" t="s">
        <v>2928</v>
      </c>
    </row>
    <row r="191" spans="1:9" s="1005" customFormat="1" ht="12" customHeight="1" x14ac:dyDescent="0.2">
      <c r="A191" s="2177" t="s">
        <v>2929</v>
      </c>
      <c r="B191" s="2176" t="s">
        <v>2930</v>
      </c>
      <c r="C191" s="988">
        <f>SUM(C192:C194)</f>
        <v>3291</v>
      </c>
      <c r="D191" s="988">
        <f>SUM(D192:D194)</f>
        <v>3291</v>
      </c>
      <c r="E191" s="988">
        <f>SUM(E192:E194)</f>
        <v>3160</v>
      </c>
      <c r="F191" s="989"/>
      <c r="G191" s="988">
        <f>SUM(G192:G194)</f>
        <v>3160</v>
      </c>
      <c r="H191" s="811"/>
      <c r="I191" s="1590" t="s">
        <v>2931</v>
      </c>
    </row>
    <row r="192" spans="1:9" s="1005" customFormat="1" ht="12" customHeight="1" x14ac:dyDescent="0.2">
      <c r="A192" s="2177"/>
      <c r="B192" s="2176"/>
      <c r="C192" s="995">
        <v>166</v>
      </c>
      <c r="D192" s="995">
        <v>166</v>
      </c>
      <c r="E192" s="995">
        <v>200</v>
      </c>
      <c r="F192" s="996">
        <v>2262</v>
      </c>
      <c r="G192" s="811">
        <v>200</v>
      </c>
      <c r="H192" s="2182" t="s">
        <v>2779</v>
      </c>
      <c r="I192" s="1591" t="s">
        <v>2932</v>
      </c>
    </row>
    <row r="193" spans="1:9" s="1005" customFormat="1" ht="12" customHeight="1" x14ac:dyDescent="0.2">
      <c r="A193" s="2177"/>
      <c r="B193" s="2176"/>
      <c r="C193" s="995">
        <v>150</v>
      </c>
      <c r="D193" s="995">
        <v>150</v>
      </c>
      <c r="E193" s="995">
        <v>160</v>
      </c>
      <c r="F193" s="996">
        <v>2279</v>
      </c>
      <c r="G193" s="811">
        <v>160</v>
      </c>
      <c r="H193" s="2182"/>
      <c r="I193" s="1007" t="s">
        <v>2933</v>
      </c>
    </row>
    <row r="194" spans="1:9" s="1005" customFormat="1" ht="12" customHeight="1" x14ac:dyDescent="0.2">
      <c r="A194" s="2177"/>
      <c r="B194" s="2176"/>
      <c r="C194" s="994">
        <v>2975</v>
      </c>
      <c r="D194" s="994">
        <v>2975</v>
      </c>
      <c r="E194" s="994">
        <v>2800</v>
      </c>
      <c r="F194" s="991">
        <v>2363</v>
      </c>
      <c r="G194" s="811">
        <v>2800</v>
      </c>
      <c r="H194" s="2182"/>
      <c r="I194" s="1009" t="s">
        <v>2934</v>
      </c>
    </row>
    <row r="195" spans="1:9" s="1005" customFormat="1" ht="12" customHeight="1" x14ac:dyDescent="0.2">
      <c r="A195" s="2177" t="s">
        <v>2935</v>
      </c>
      <c r="B195" s="2176" t="s">
        <v>2936</v>
      </c>
      <c r="C195" s="988">
        <f>SUM(C196:C198)</f>
        <v>3290</v>
      </c>
      <c r="D195" s="988">
        <f>SUM(D196:D198)</f>
        <v>3290</v>
      </c>
      <c r="E195" s="988">
        <f>SUM(E196:E198)</f>
        <v>3160</v>
      </c>
      <c r="F195" s="989"/>
      <c r="G195" s="988">
        <f>SUM(G196:G198)</f>
        <v>3160</v>
      </c>
      <c r="H195" s="811"/>
      <c r="I195" s="1590" t="s">
        <v>2931</v>
      </c>
    </row>
    <row r="196" spans="1:9" s="1005" customFormat="1" ht="12" customHeight="1" x14ac:dyDescent="0.2">
      <c r="A196" s="2177"/>
      <c r="B196" s="2176"/>
      <c r="C196" s="995">
        <v>165</v>
      </c>
      <c r="D196" s="995">
        <v>165</v>
      </c>
      <c r="E196" s="995">
        <v>200</v>
      </c>
      <c r="F196" s="996">
        <v>2262</v>
      </c>
      <c r="G196" s="811">
        <v>200</v>
      </c>
      <c r="H196" s="2182" t="s">
        <v>2779</v>
      </c>
      <c r="I196" s="1591" t="s">
        <v>2932</v>
      </c>
    </row>
    <row r="197" spans="1:9" s="1005" customFormat="1" ht="12" customHeight="1" x14ac:dyDescent="0.2">
      <c r="A197" s="2177"/>
      <c r="B197" s="2176"/>
      <c r="C197" s="995">
        <v>150</v>
      </c>
      <c r="D197" s="995">
        <v>150</v>
      </c>
      <c r="E197" s="995">
        <v>160</v>
      </c>
      <c r="F197" s="996">
        <v>2279</v>
      </c>
      <c r="G197" s="811">
        <v>160</v>
      </c>
      <c r="H197" s="2182"/>
      <c r="I197" s="1007" t="s">
        <v>2933</v>
      </c>
    </row>
    <row r="198" spans="1:9" s="1005" customFormat="1" ht="12" customHeight="1" x14ac:dyDescent="0.2">
      <c r="A198" s="2177"/>
      <c r="B198" s="2176"/>
      <c r="C198" s="994">
        <v>2975</v>
      </c>
      <c r="D198" s="994">
        <v>2975</v>
      </c>
      <c r="E198" s="994">
        <v>2800</v>
      </c>
      <c r="F198" s="991">
        <v>2363</v>
      </c>
      <c r="G198" s="811">
        <v>2800</v>
      </c>
      <c r="H198" s="2182"/>
      <c r="I198" s="1009" t="s">
        <v>2934</v>
      </c>
    </row>
    <row r="199" spans="1:9" s="1005" customFormat="1" ht="12" hidden="1" customHeight="1" x14ac:dyDescent="0.2">
      <c r="A199" s="2177" t="s">
        <v>2937</v>
      </c>
      <c r="B199" s="2176" t="s">
        <v>2938</v>
      </c>
      <c r="C199" s="988">
        <f>SUM(C200:C200)</f>
        <v>560</v>
      </c>
      <c r="D199" s="988">
        <f>SUM(D200:D200)</f>
        <v>560</v>
      </c>
      <c r="E199" s="988">
        <f>SUM(E200:E200)</f>
        <v>0</v>
      </c>
      <c r="F199" s="989"/>
      <c r="G199" s="988">
        <f>SUM(G200:G200)</f>
        <v>0</v>
      </c>
      <c r="H199" s="1018"/>
      <c r="I199" s="1009"/>
    </row>
    <row r="200" spans="1:9" s="1005" customFormat="1" ht="12" hidden="1" customHeight="1" x14ac:dyDescent="0.2">
      <c r="A200" s="2177"/>
      <c r="B200" s="2176"/>
      <c r="C200" s="994">
        <v>560</v>
      </c>
      <c r="D200" s="994">
        <v>560</v>
      </c>
      <c r="E200" s="994">
        <v>0</v>
      </c>
      <c r="F200" s="991">
        <v>2363</v>
      </c>
      <c r="G200" s="811">
        <v>0</v>
      </c>
      <c r="H200" s="1018"/>
      <c r="I200" s="1009"/>
    </row>
    <row r="201" spans="1:9" s="1005" customFormat="1" ht="12" customHeight="1" x14ac:dyDescent="0.2">
      <c r="A201" s="2173" t="s">
        <v>2937</v>
      </c>
      <c r="B201" s="2176" t="s">
        <v>2939</v>
      </c>
      <c r="C201" s="988">
        <f>SUM(C202:C205)</f>
        <v>3456</v>
      </c>
      <c r="D201" s="988">
        <f>SUM(D202:D205)</f>
        <v>3456</v>
      </c>
      <c r="E201" s="988">
        <f>SUM(E202:E205)</f>
        <v>3740</v>
      </c>
      <c r="F201" s="989"/>
      <c r="G201" s="988">
        <f>SUM(G202:G205)</f>
        <v>3740</v>
      </c>
      <c r="H201" s="1018"/>
      <c r="I201" s="1010" t="s">
        <v>2923</v>
      </c>
    </row>
    <row r="202" spans="1:9" s="1005" customFormat="1" ht="12" customHeight="1" x14ac:dyDescent="0.2">
      <c r="A202" s="2174"/>
      <c r="B202" s="2176"/>
      <c r="C202" s="1001">
        <v>406</v>
      </c>
      <c r="D202" s="1001">
        <v>406</v>
      </c>
      <c r="E202" s="1001">
        <v>580</v>
      </c>
      <c r="F202" s="989">
        <v>2121</v>
      </c>
      <c r="G202" s="1001">
        <v>580</v>
      </c>
      <c r="H202" s="2181" t="s">
        <v>2922</v>
      </c>
      <c r="I202" s="1589" t="s">
        <v>2940</v>
      </c>
    </row>
    <row r="203" spans="1:9" s="1005" customFormat="1" ht="12" customHeight="1" x14ac:dyDescent="0.2">
      <c r="A203" s="2174"/>
      <c r="B203" s="2176"/>
      <c r="C203" s="1001">
        <v>0</v>
      </c>
      <c r="D203" s="1001">
        <v>0</v>
      </c>
      <c r="E203" s="1001">
        <v>160</v>
      </c>
      <c r="F203" s="989">
        <v>2122</v>
      </c>
      <c r="G203" s="1001">
        <v>160</v>
      </c>
      <c r="H203" s="2181"/>
      <c r="I203" s="1589" t="s">
        <v>2941</v>
      </c>
    </row>
    <row r="204" spans="1:9" s="1005" customFormat="1" ht="12" customHeight="1" x14ac:dyDescent="0.2">
      <c r="A204" s="2174"/>
      <c r="B204" s="2176"/>
      <c r="C204" s="1001">
        <v>2000</v>
      </c>
      <c r="D204" s="1001">
        <v>2000</v>
      </c>
      <c r="E204" s="1001">
        <v>1600</v>
      </c>
      <c r="F204" s="989">
        <v>2261</v>
      </c>
      <c r="G204" s="1001">
        <v>1600</v>
      </c>
      <c r="H204" s="2181"/>
      <c r="I204" s="1589" t="s">
        <v>2942</v>
      </c>
    </row>
    <row r="205" spans="1:9" s="1005" customFormat="1" ht="12" customHeight="1" x14ac:dyDescent="0.2">
      <c r="A205" s="2175"/>
      <c r="B205" s="2176"/>
      <c r="C205" s="811">
        <v>1050</v>
      </c>
      <c r="D205" s="811">
        <v>1050</v>
      </c>
      <c r="E205" s="811">
        <v>1400</v>
      </c>
      <c r="F205" s="991">
        <v>2363</v>
      </c>
      <c r="G205" s="811">
        <v>1400</v>
      </c>
      <c r="H205" s="2181"/>
      <c r="I205" s="1008" t="s">
        <v>2943</v>
      </c>
    </row>
    <row r="206" spans="1:9" ht="12" customHeight="1" x14ac:dyDescent="0.2">
      <c r="A206" s="980">
        <v>10</v>
      </c>
      <c r="B206" s="1000" t="s">
        <v>2944</v>
      </c>
      <c r="C206" s="981">
        <f>C207+C211+C215</f>
        <v>5795</v>
      </c>
      <c r="D206" s="981">
        <f t="shared" ref="D206:E206" si="32">D207+D211+D215</f>
        <v>5305</v>
      </c>
      <c r="E206" s="981">
        <f t="shared" si="32"/>
        <v>5595</v>
      </c>
      <c r="F206" s="997"/>
      <c r="G206" s="981">
        <f>G207+G211+G215</f>
        <v>5199</v>
      </c>
      <c r="H206" s="313"/>
      <c r="I206" s="967" t="s">
        <v>2945</v>
      </c>
    </row>
    <row r="207" spans="1:9" ht="12" customHeight="1" x14ac:dyDescent="0.2">
      <c r="A207" s="2169" t="s">
        <v>2490</v>
      </c>
      <c r="B207" s="2172" t="s">
        <v>2797</v>
      </c>
      <c r="C207" s="981">
        <f>SUM(C208:C210)</f>
        <v>2985</v>
      </c>
      <c r="D207" s="313">
        <f>SUM(D208:D210)</f>
        <v>2495</v>
      </c>
      <c r="E207" s="981">
        <f>SUM(E208:E210)</f>
        <v>2945</v>
      </c>
      <c r="F207" s="314"/>
      <c r="G207" s="313">
        <f>SUM(G208:G210)</f>
        <v>2549</v>
      </c>
      <c r="H207" s="1731" t="s">
        <v>2750</v>
      </c>
      <c r="I207" s="966" t="s">
        <v>2864</v>
      </c>
    </row>
    <row r="208" spans="1:9" ht="12" customHeight="1" x14ac:dyDescent="0.2">
      <c r="A208" s="2170"/>
      <c r="B208" s="2172"/>
      <c r="C208" s="934">
        <v>2040</v>
      </c>
      <c r="D208" s="322">
        <v>2040</v>
      </c>
      <c r="E208" s="934">
        <v>2000</v>
      </c>
      <c r="F208" s="323">
        <v>2262</v>
      </c>
      <c r="G208" s="322">
        <v>1800</v>
      </c>
      <c r="H208" s="1731"/>
      <c r="I208" s="967" t="s">
        <v>2946</v>
      </c>
    </row>
    <row r="209" spans="1:9" ht="12" customHeight="1" x14ac:dyDescent="0.2">
      <c r="A209" s="2170"/>
      <c r="B209" s="2172"/>
      <c r="C209" s="934">
        <v>455</v>
      </c>
      <c r="D209" s="322">
        <v>455</v>
      </c>
      <c r="E209" s="934">
        <v>455</v>
      </c>
      <c r="F209" s="323">
        <v>2279</v>
      </c>
      <c r="G209" s="322">
        <v>455</v>
      </c>
      <c r="H209" s="1731"/>
      <c r="I209" s="967" t="s">
        <v>2947</v>
      </c>
    </row>
    <row r="210" spans="1:9" ht="12" customHeight="1" x14ac:dyDescent="0.2">
      <c r="A210" s="2171"/>
      <c r="B210" s="2172"/>
      <c r="C210" s="934">
        <v>490</v>
      </c>
      <c r="D210" s="322">
        <v>0</v>
      </c>
      <c r="E210" s="934">
        <v>490</v>
      </c>
      <c r="F210" s="323">
        <v>2363</v>
      </c>
      <c r="G210" s="322">
        <v>294</v>
      </c>
      <c r="H210" s="1731"/>
      <c r="I210" s="967" t="s">
        <v>2948</v>
      </c>
    </row>
    <row r="211" spans="1:9" x14ac:dyDescent="0.2">
      <c r="A211" s="2169" t="s">
        <v>2493</v>
      </c>
      <c r="B211" s="2172" t="s">
        <v>2949</v>
      </c>
      <c r="C211" s="981">
        <f>SUM(C212:C214)</f>
        <v>1370</v>
      </c>
      <c r="D211" s="313">
        <f>SUM(D212:D214)</f>
        <v>1370</v>
      </c>
      <c r="E211" s="981">
        <f>SUM(E212:E214)</f>
        <v>1000</v>
      </c>
      <c r="F211" s="314"/>
      <c r="G211" s="313">
        <f>SUM(G212:G214)</f>
        <v>1000</v>
      </c>
      <c r="H211" s="1731" t="s">
        <v>2849</v>
      </c>
      <c r="I211" s="967"/>
    </row>
    <row r="212" spans="1:9" x14ac:dyDescent="0.2">
      <c r="A212" s="2170"/>
      <c r="B212" s="2172"/>
      <c r="C212" s="934">
        <v>50</v>
      </c>
      <c r="D212" s="322">
        <v>50</v>
      </c>
      <c r="E212" s="934">
        <v>50</v>
      </c>
      <c r="F212" s="323">
        <v>2341</v>
      </c>
      <c r="G212" s="208">
        <v>50</v>
      </c>
      <c r="H212" s="1731"/>
      <c r="I212" s="967" t="s">
        <v>2773</v>
      </c>
    </row>
    <row r="213" spans="1:9" x14ac:dyDescent="0.2">
      <c r="A213" s="2170"/>
      <c r="B213" s="2172"/>
      <c r="C213" s="934">
        <v>800</v>
      </c>
      <c r="D213" s="934">
        <v>800</v>
      </c>
      <c r="E213" s="934">
        <v>750</v>
      </c>
      <c r="F213" s="1004">
        <v>2361</v>
      </c>
      <c r="G213" s="208">
        <v>750</v>
      </c>
      <c r="H213" s="1731"/>
      <c r="I213" s="1588" t="s">
        <v>2950</v>
      </c>
    </row>
    <row r="214" spans="1:9" x14ac:dyDescent="0.2">
      <c r="A214" s="2171"/>
      <c r="B214" s="2172"/>
      <c r="C214" s="934">
        <v>520</v>
      </c>
      <c r="D214" s="934">
        <v>520</v>
      </c>
      <c r="E214" s="934">
        <v>200</v>
      </c>
      <c r="F214" s="1004">
        <v>2370</v>
      </c>
      <c r="G214" s="208">
        <v>200</v>
      </c>
      <c r="H214" s="1731"/>
      <c r="I214" s="1588" t="s">
        <v>2951</v>
      </c>
    </row>
    <row r="215" spans="1:9" s="1005" customFormat="1" x14ac:dyDescent="0.2">
      <c r="A215" s="986" t="s">
        <v>2497</v>
      </c>
      <c r="B215" s="987" t="s">
        <v>2776</v>
      </c>
      <c r="C215" s="988">
        <f>SUM(C216:C219)</f>
        <v>1440</v>
      </c>
      <c r="D215" s="988">
        <f t="shared" ref="D215:E215" si="33">SUM(D216:D219)</f>
        <v>1440</v>
      </c>
      <c r="E215" s="988">
        <f t="shared" si="33"/>
        <v>1650</v>
      </c>
      <c r="F215" s="989"/>
      <c r="G215" s="988">
        <f>SUM(G216:G219)</f>
        <v>1650</v>
      </c>
      <c r="H215" s="988"/>
      <c r="I215" s="810"/>
    </row>
    <row r="216" spans="1:9" s="1005" customFormat="1" ht="12" customHeight="1" x14ac:dyDescent="0.2">
      <c r="A216" s="2177" t="s">
        <v>2952</v>
      </c>
      <c r="B216" s="2176" t="s">
        <v>2778</v>
      </c>
      <c r="C216" s="1011">
        <v>50</v>
      </c>
      <c r="D216" s="1001">
        <v>50</v>
      </c>
      <c r="E216" s="1001">
        <v>200</v>
      </c>
      <c r="F216" s="989">
        <v>2262</v>
      </c>
      <c r="G216" s="1001">
        <v>200</v>
      </c>
      <c r="H216" s="2162" t="s">
        <v>2779</v>
      </c>
      <c r="I216" s="1012" t="s">
        <v>2953</v>
      </c>
    </row>
    <row r="217" spans="1:9" s="1005" customFormat="1" ht="12" customHeight="1" x14ac:dyDescent="0.2">
      <c r="A217" s="2177"/>
      <c r="B217" s="2176"/>
      <c r="C217" s="1011">
        <v>160</v>
      </c>
      <c r="D217" s="1001">
        <v>160</v>
      </c>
      <c r="E217" s="1001">
        <v>175</v>
      </c>
      <c r="F217" s="989">
        <v>2279</v>
      </c>
      <c r="G217" s="1001">
        <v>175</v>
      </c>
      <c r="H217" s="2163"/>
      <c r="I217" s="1012" t="s">
        <v>2954</v>
      </c>
    </row>
    <row r="218" spans="1:9" s="1005" customFormat="1" ht="12" customHeight="1" x14ac:dyDescent="0.2">
      <c r="A218" s="2177"/>
      <c r="B218" s="2176"/>
      <c r="C218" s="1011">
        <v>50</v>
      </c>
      <c r="D218" s="1001">
        <v>50</v>
      </c>
      <c r="E218" s="1001">
        <v>50</v>
      </c>
      <c r="F218" s="989">
        <v>2341</v>
      </c>
      <c r="G218" s="1001">
        <v>50</v>
      </c>
      <c r="H218" s="2163"/>
      <c r="I218" s="1012" t="s">
        <v>2789</v>
      </c>
    </row>
    <row r="219" spans="1:9" s="1005" customFormat="1" ht="32.25" customHeight="1" x14ac:dyDescent="0.2">
      <c r="A219" s="2177"/>
      <c r="B219" s="2176"/>
      <c r="C219" s="1011">
        <v>1180</v>
      </c>
      <c r="D219" s="1001">
        <v>1180</v>
      </c>
      <c r="E219" s="1001">
        <v>1225</v>
      </c>
      <c r="F219" s="991">
        <v>2363</v>
      </c>
      <c r="G219" s="1001">
        <v>1225</v>
      </c>
      <c r="H219" s="2164"/>
      <c r="I219" s="1012" t="s">
        <v>2955</v>
      </c>
    </row>
    <row r="220" spans="1:9" ht="12" customHeight="1" x14ac:dyDescent="0.2">
      <c r="A220" s="1013">
        <v>11</v>
      </c>
      <c r="B220" s="1000" t="s">
        <v>2956</v>
      </c>
      <c r="C220" s="981">
        <f>C221+C226+C231</f>
        <v>16881</v>
      </c>
      <c r="D220" s="981">
        <f t="shared" ref="D220:G220" si="34">D221+D226+D231</f>
        <v>15767</v>
      </c>
      <c r="E220" s="981">
        <f t="shared" si="34"/>
        <v>12960</v>
      </c>
      <c r="F220" s="997"/>
      <c r="G220" s="981">
        <f t="shared" si="34"/>
        <v>12102</v>
      </c>
      <c r="H220" s="313"/>
      <c r="I220" s="315" t="s">
        <v>2957</v>
      </c>
    </row>
    <row r="221" spans="1:9" ht="12" customHeight="1" x14ac:dyDescent="0.2">
      <c r="A221" s="2169" t="s">
        <v>2958</v>
      </c>
      <c r="B221" s="2172" t="s">
        <v>2797</v>
      </c>
      <c r="C221" s="981">
        <f>SUM(C222:C225)</f>
        <v>3140</v>
      </c>
      <c r="D221" s="313">
        <f>SUM(D222:D225)</f>
        <v>3140</v>
      </c>
      <c r="E221" s="981">
        <f>SUM(E222:E225)</f>
        <v>3060</v>
      </c>
      <c r="F221" s="314"/>
      <c r="G221" s="313">
        <f>SUM(G222:G225)</f>
        <v>2818</v>
      </c>
      <c r="H221" s="1702" t="s">
        <v>2750</v>
      </c>
      <c r="I221" s="959" t="s">
        <v>2864</v>
      </c>
    </row>
    <row r="222" spans="1:9" ht="12" customHeight="1" x14ac:dyDescent="0.2">
      <c r="A222" s="2170"/>
      <c r="B222" s="2172"/>
      <c r="C222" s="934">
        <v>240</v>
      </c>
      <c r="D222" s="322">
        <v>240</v>
      </c>
      <c r="E222" s="934">
        <v>240</v>
      </c>
      <c r="F222" s="414">
        <v>2261</v>
      </c>
      <c r="G222" s="322">
        <v>240</v>
      </c>
      <c r="H222" s="1735"/>
      <c r="I222" s="315" t="s">
        <v>2959</v>
      </c>
    </row>
    <row r="223" spans="1:9" ht="12" customHeight="1" x14ac:dyDescent="0.2">
      <c r="A223" s="2170"/>
      <c r="B223" s="2172"/>
      <c r="C223" s="934">
        <v>2080</v>
      </c>
      <c r="D223" s="322">
        <v>2080</v>
      </c>
      <c r="E223" s="934">
        <v>2000</v>
      </c>
      <c r="F223" s="414">
        <v>2262</v>
      </c>
      <c r="G223" s="322">
        <v>1800</v>
      </c>
      <c r="H223" s="1735"/>
      <c r="I223" s="315" t="s">
        <v>2946</v>
      </c>
    </row>
    <row r="224" spans="1:9" ht="12" customHeight="1" x14ac:dyDescent="0.2">
      <c r="A224" s="2170"/>
      <c r="B224" s="2172"/>
      <c r="C224" s="934">
        <v>400</v>
      </c>
      <c r="D224" s="322">
        <v>400</v>
      </c>
      <c r="E224" s="934">
        <v>400</v>
      </c>
      <c r="F224" s="414">
        <v>2279</v>
      </c>
      <c r="G224" s="322">
        <v>400</v>
      </c>
      <c r="H224" s="1735"/>
      <c r="I224" s="315" t="s">
        <v>2960</v>
      </c>
    </row>
    <row r="225" spans="1:9" ht="12" customHeight="1" x14ac:dyDescent="0.2">
      <c r="A225" s="2171"/>
      <c r="B225" s="2172"/>
      <c r="C225" s="934">
        <v>420</v>
      </c>
      <c r="D225" s="322">
        <v>420</v>
      </c>
      <c r="E225" s="934">
        <v>420</v>
      </c>
      <c r="F225" s="414">
        <v>2363</v>
      </c>
      <c r="G225" s="322">
        <v>378</v>
      </c>
      <c r="H225" s="1703"/>
      <c r="I225" s="315" t="s">
        <v>2961</v>
      </c>
    </row>
    <row r="226" spans="1:9" ht="11.25" customHeight="1" x14ac:dyDescent="0.2">
      <c r="A226" s="2169" t="s">
        <v>2962</v>
      </c>
      <c r="B226" s="2172" t="s">
        <v>2963</v>
      </c>
      <c r="C226" s="981">
        <f>SUM(C227:C230)</f>
        <v>3480</v>
      </c>
      <c r="D226" s="313">
        <f t="shared" ref="D226:E226" si="35">SUM(D227:D230)</f>
        <v>2366</v>
      </c>
      <c r="E226" s="981">
        <f t="shared" si="35"/>
        <v>1330</v>
      </c>
      <c r="F226" s="1583"/>
      <c r="G226" s="313">
        <f>SUM(G227:G230)</f>
        <v>714</v>
      </c>
      <c r="H226" s="1702" t="s">
        <v>2849</v>
      </c>
      <c r="I226" s="315"/>
    </row>
    <row r="227" spans="1:9" ht="11.25" hidden="1" customHeight="1" x14ac:dyDescent="0.2">
      <c r="A227" s="2170"/>
      <c r="B227" s="2172"/>
      <c r="C227" s="998">
        <v>2520</v>
      </c>
      <c r="D227" s="385">
        <v>1406</v>
      </c>
      <c r="E227" s="998">
        <v>0</v>
      </c>
      <c r="F227" s="1583">
        <v>2279</v>
      </c>
      <c r="G227" s="385">
        <v>0</v>
      </c>
      <c r="H227" s="1735"/>
      <c r="I227" s="315" t="s">
        <v>2964</v>
      </c>
    </row>
    <row r="228" spans="1:9" ht="11.25" customHeight="1" x14ac:dyDescent="0.2">
      <c r="A228" s="2170"/>
      <c r="B228" s="2172"/>
      <c r="C228" s="934">
        <v>50</v>
      </c>
      <c r="D228" s="322">
        <v>50</v>
      </c>
      <c r="E228" s="934">
        <v>50</v>
      </c>
      <c r="F228" s="414">
        <v>2341</v>
      </c>
      <c r="G228" s="322">
        <v>50</v>
      </c>
      <c r="H228" s="1735"/>
      <c r="I228" s="315" t="s">
        <v>2773</v>
      </c>
    </row>
    <row r="229" spans="1:9" ht="11.25" customHeight="1" x14ac:dyDescent="0.2">
      <c r="A229" s="2170"/>
      <c r="B229" s="2172"/>
      <c r="C229" s="934">
        <v>350</v>
      </c>
      <c r="D229" s="322">
        <v>350</v>
      </c>
      <c r="E229" s="934">
        <v>720</v>
      </c>
      <c r="F229" s="414">
        <v>2361</v>
      </c>
      <c r="G229" s="322">
        <v>300</v>
      </c>
      <c r="H229" s="1735"/>
      <c r="I229" s="321" t="s">
        <v>2965</v>
      </c>
    </row>
    <row r="230" spans="1:9" ht="11.25" customHeight="1" x14ac:dyDescent="0.2">
      <c r="A230" s="2171"/>
      <c r="B230" s="2172"/>
      <c r="C230" s="934">
        <v>560</v>
      </c>
      <c r="D230" s="322">
        <v>560</v>
      </c>
      <c r="E230" s="934">
        <v>560</v>
      </c>
      <c r="F230" s="414">
        <v>2370</v>
      </c>
      <c r="G230" s="322">
        <v>364</v>
      </c>
      <c r="H230" s="1703"/>
      <c r="I230" s="321" t="s">
        <v>2966</v>
      </c>
    </row>
    <row r="231" spans="1:9" s="1005" customFormat="1" x14ac:dyDescent="0.2">
      <c r="A231" s="1014" t="s">
        <v>2967</v>
      </c>
      <c r="B231" s="1015" t="s">
        <v>2776</v>
      </c>
      <c r="C231" s="988">
        <f>SUM( C232+C234+C240)</f>
        <v>10261</v>
      </c>
      <c r="D231" s="988">
        <f t="shared" ref="D231" si="36">SUM( D232+D234+D240)</f>
        <v>10261</v>
      </c>
      <c r="E231" s="988">
        <f>SUM( E232+E234+E240)</f>
        <v>8570</v>
      </c>
      <c r="F231" s="1585"/>
      <c r="G231" s="988">
        <f>SUM( G232+G234+G240)</f>
        <v>8570</v>
      </c>
      <c r="H231" s="988"/>
      <c r="I231" s="810"/>
    </row>
    <row r="232" spans="1:9" s="1005" customFormat="1" x14ac:dyDescent="0.2">
      <c r="A232" s="2177" t="s">
        <v>2968</v>
      </c>
      <c r="B232" s="2176" t="s">
        <v>2778</v>
      </c>
      <c r="C232" s="988">
        <f>SUM(C233:C233)</f>
        <v>1103</v>
      </c>
      <c r="D232" s="988">
        <f>SUM(D233:D233)</f>
        <v>1103</v>
      </c>
      <c r="E232" s="988">
        <f>SUM(E233:E233)</f>
        <v>1050</v>
      </c>
      <c r="F232" s="1585"/>
      <c r="G232" s="988">
        <f>SUM(G233:G233)</f>
        <v>1050</v>
      </c>
      <c r="H232" s="2162" t="s">
        <v>2779</v>
      </c>
      <c r="I232" s="990" t="s">
        <v>2969</v>
      </c>
    </row>
    <row r="233" spans="1:9" s="1005" customFormat="1" x14ac:dyDescent="0.2">
      <c r="A233" s="2177"/>
      <c r="B233" s="2176"/>
      <c r="C233" s="811">
        <v>1103</v>
      </c>
      <c r="D233" s="811">
        <v>1103</v>
      </c>
      <c r="E233" s="811">
        <v>1050</v>
      </c>
      <c r="F233" s="996">
        <v>2363</v>
      </c>
      <c r="G233" s="811">
        <v>1050</v>
      </c>
      <c r="H233" s="2164"/>
      <c r="I233" s="810" t="s">
        <v>2970</v>
      </c>
    </row>
    <row r="234" spans="1:9" s="1005" customFormat="1" x14ac:dyDescent="0.2">
      <c r="A234" s="2177" t="s">
        <v>2971</v>
      </c>
      <c r="B234" s="2176" t="s">
        <v>2783</v>
      </c>
      <c r="C234" s="988">
        <f>SUM(C235:C239)</f>
        <v>4028</v>
      </c>
      <c r="D234" s="988">
        <f t="shared" ref="D234:E234" si="37">SUM(D235:D239)</f>
        <v>4028</v>
      </c>
      <c r="E234" s="988">
        <f t="shared" si="37"/>
        <v>3160</v>
      </c>
      <c r="F234" s="1585"/>
      <c r="G234" s="988">
        <f t="shared" ref="G234" si="38">SUM(G235:G239)</f>
        <v>3160</v>
      </c>
      <c r="H234" s="811"/>
      <c r="I234" s="990" t="s">
        <v>2972</v>
      </c>
    </row>
    <row r="235" spans="1:9" s="1005" customFormat="1" x14ac:dyDescent="0.2">
      <c r="A235" s="2177"/>
      <c r="B235" s="2176"/>
      <c r="C235" s="994">
        <v>108</v>
      </c>
      <c r="D235" s="994">
        <v>108</v>
      </c>
      <c r="E235" s="994">
        <v>120</v>
      </c>
      <c r="F235" s="996">
        <v>2111</v>
      </c>
      <c r="G235" s="811">
        <v>120</v>
      </c>
      <c r="H235" s="2162" t="s">
        <v>2779</v>
      </c>
      <c r="I235" s="1006" t="s">
        <v>2973</v>
      </c>
    </row>
    <row r="236" spans="1:9" s="1005" customFormat="1" ht="12.75" customHeight="1" x14ac:dyDescent="0.2">
      <c r="A236" s="2177"/>
      <c r="B236" s="2176"/>
      <c r="C236" s="994">
        <v>2160</v>
      </c>
      <c r="D236" s="994">
        <v>2160</v>
      </c>
      <c r="E236" s="994">
        <v>1760</v>
      </c>
      <c r="F236" s="996">
        <v>2261</v>
      </c>
      <c r="G236" s="811">
        <v>1760</v>
      </c>
      <c r="H236" s="2163"/>
      <c r="I236" s="1006" t="s">
        <v>2974</v>
      </c>
    </row>
    <row r="237" spans="1:9" s="1005" customFormat="1" ht="12.75" customHeight="1" x14ac:dyDescent="0.2">
      <c r="A237" s="2177"/>
      <c r="B237" s="2176"/>
      <c r="C237" s="995">
        <v>350</v>
      </c>
      <c r="D237" s="995">
        <v>350</v>
      </c>
      <c r="E237" s="995">
        <v>200</v>
      </c>
      <c r="F237" s="996">
        <v>2262</v>
      </c>
      <c r="G237" s="811">
        <v>200</v>
      </c>
      <c r="H237" s="2163"/>
      <c r="I237" s="1006" t="s">
        <v>2975</v>
      </c>
    </row>
    <row r="238" spans="1:9" s="1005" customFormat="1" ht="12.75" customHeight="1" x14ac:dyDescent="0.2">
      <c r="A238" s="2177"/>
      <c r="B238" s="2176"/>
      <c r="C238" s="995">
        <v>150</v>
      </c>
      <c r="D238" s="995">
        <v>150</v>
      </c>
      <c r="E238" s="995">
        <v>100</v>
      </c>
      <c r="F238" s="991">
        <v>2341</v>
      </c>
      <c r="G238" s="811">
        <v>100</v>
      </c>
      <c r="H238" s="2163"/>
      <c r="I238" s="1006" t="s">
        <v>2789</v>
      </c>
    </row>
    <row r="239" spans="1:9" s="1005" customFormat="1" x14ac:dyDescent="0.2">
      <c r="A239" s="2177"/>
      <c r="B239" s="2176"/>
      <c r="C239" s="994">
        <v>1260</v>
      </c>
      <c r="D239" s="994">
        <v>1260</v>
      </c>
      <c r="E239" s="994">
        <v>980</v>
      </c>
      <c r="F239" s="991">
        <v>2363</v>
      </c>
      <c r="G239" s="811">
        <v>980</v>
      </c>
      <c r="H239" s="2164"/>
      <c r="I239" s="1016" t="s">
        <v>2976</v>
      </c>
    </row>
    <row r="240" spans="1:9" s="1005" customFormat="1" x14ac:dyDescent="0.2">
      <c r="A240" s="2177" t="s">
        <v>2977</v>
      </c>
      <c r="B240" s="2176" t="s">
        <v>2978</v>
      </c>
      <c r="C240" s="988">
        <f>SUM(C241:C243)</f>
        <v>5130</v>
      </c>
      <c r="D240" s="988">
        <f>SUM(D241:D243)</f>
        <v>5130</v>
      </c>
      <c r="E240" s="988">
        <f>SUM(E241:E243)</f>
        <v>4360</v>
      </c>
      <c r="F240" s="989"/>
      <c r="G240" s="988">
        <f>SUM(G241:G243)</f>
        <v>4360</v>
      </c>
      <c r="H240" s="2178" t="s">
        <v>2979</v>
      </c>
      <c r="I240" s="990" t="s">
        <v>2980</v>
      </c>
    </row>
    <row r="241" spans="1:9" s="1005" customFormat="1" ht="11.25" customHeight="1" x14ac:dyDescent="0.2">
      <c r="A241" s="2177"/>
      <c r="B241" s="2176"/>
      <c r="C241" s="994">
        <v>840</v>
      </c>
      <c r="D241" s="994">
        <v>840</v>
      </c>
      <c r="E241" s="994">
        <v>800</v>
      </c>
      <c r="F241" s="991">
        <v>2121</v>
      </c>
      <c r="G241" s="811">
        <v>800</v>
      </c>
      <c r="H241" s="2179"/>
      <c r="I241" s="1006" t="s">
        <v>2981</v>
      </c>
    </row>
    <row r="242" spans="1:9" s="1005" customFormat="1" ht="11.25" customHeight="1" x14ac:dyDescent="0.2">
      <c r="A242" s="2177"/>
      <c r="B242" s="2176"/>
      <c r="C242" s="994">
        <v>890</v>
      </c>
      <c r="D242" s="994">
        <v>890</v>
      </c>
      <c r="E242" s="994">
        <v>890</v>
      </c>
      <c r="F242" s="991">
        <v>2122</v>
      </c>
      <c r="G242" s="811">
        <v>890</v>
      </c>
      <c r="H242" s="2179"/>
      <c r="I242" s="1006" t="s">
        <v>2982</v>
      </c>
    </row>
    <row r="243" spans="1:9" s="1005" customFormat="1" ht="11.25" customHeight="1" x14ac:dyDescent="0.2">
      <c r="A243" s="2177"/>
      <c r="B243" s="2176"/>
      <c r="C243" s="995">
        <v>3400</v>
      </c>
      <c r="D243" s="995">
        <v>3400</v>
      </c>
      <c r="E243" s="995">
        <v>2670</v>
      </c>
      <c r="F243" s="991">
        <v>2279</v>
      </c>
      <c r="G243" s="811">
        <v>2670</v>
      </c>
      <c r="H243" s="2180"/>
      <c r="I243" s="1006" t="s">
        <v>2983</v>
      </c>
    </row>
    <row r="244" spans="1:9" ht="11.25" customHeight="1" x14ac:dyDescent="0.2">
      <c r="A244" s="980">
        <v>12</v>
      </c>
      <c r="B244" s="1000" t="s">
        <v>2984</v>
      </c>
      <c r="C244" s="981">
        <f>C245+C250+C254</f>
        <v>7038</v>
      </c>
      <c r="D244" s="981">
        <f t="shared" ref="D244:G244" si="39">D245+D250+D254</f>
        <v>7038</v>
      </c>
      <c r="E244" s="981">
        <f t="shared" si="39"/>
        <v>6685</v>
      </c>
      <c r="F244" s="997"/>
      <c r="G244" s="981">
        <f t="shared" si="39"/>
        <v>6158</v>
      </c>
      <c r="H244" s="313"/>
      <c r="I244" s="315" t="s">
        <v>2985</v>
      </c>
    </row>
    <row r="245" spans="1:9" ht="11.25" customHeight="1" x14ac:dyDescent="0.2">
      <c r="A245" s="2169" t="s">
        <v>2986</v>
      </c>
      <c r="B245" s="2172" t="s">
        <v>2797</v>
      </c>
      <c r="C245" s="981">
        <f>SUM(C246:C249)</f>
        <v>3700</v>
      </c>
      <c r="D245" s="313">
        <f>SUM(D246:D249)</f>
        <v>3700</v>
      </c>
      <c r="E245" s="981">
        <f>SUM(E246:E249)</f>
        <v>3648</v>
      </c>
      <c r="F245" s="314"/>
      <c r="G245" s="313">
        <f>SUM(G246:G249)</f>
        <v>3406</v>
      </c>
      <c r="H245" s="1702" t="s">
        <v>2750</v>
      </c>
      <c r="I245" s="959" t="s">
        <v>2864</v>
      </c>
    </row>
    <row r="246" spans="1:9" ht="11.25" customHeight="1" x14ac:dyDescent="0.2">
      <c r="A246" s="2170"/>
      <c r="B246" s="2172"/>
      <c r="C246" s="934">
        <v>400</v>
      </c>
      <c r="D246" s="322">
        <v>400</v>
      </c>
      <c r="E246" s="934">
        <v>384</v>
      </c>
      <c r="F246" s="1492">
        <v>2261</v>
      </c>
      <c r="G246" s="322">
        <v>384</v>
      </c>
      <c r="H246" s="1735"/>
      <c r="I246" s="315" t="s">
        <v>2987</v>
      </c>
    </row>
    <row r="247" spans="1:9" ht="11.25" customHeight="1" x14ac:dyDescent="0.2">
      <c r="A247" s="2170"/>
      <c r="B247" s="2172"/>
      <c r="C247" s="934">
        <v>1980</v>
      </c>
      <c r="D247" s="322">
        <v>1980</v>
      </c>
      <c r="E247" s="934">
        <v>2000</v>
      </c>
      <c r="F247" s="1492">
        <v>2262</v>
      </c>
      <c r="G247" s="322">
        <v>1800</v>
      </c>
      <c r="H247" s="1735"/>
      <c r="I247" s="315" t="s">
        <v>2988</v>
      </c>
    </row>
    <row r="248" spans="1:9" ht="11.25" customHeight="1" x14ac:dyDescent="0.2">
      <c r="A248" s="2170"/>
      <c r="B248" s="2172"/>
      <c r="C248" s="934">
        <v>760</v>
      </c>
      <c r="D248" s="322">
        <v>760</v>
      </c>
      <c r="E248" s="934">
        <v>760</v>
      </c>
      <c r="F248" s="1492">
        <v>2279</v>
      </c>
      <c r="G248" s="322">
        <v>760</v>
      </c>
      <c r="H248" s="1735"/>
      <c r="I248" s="315" t="s">
        <v>2989</v>
      </c>
    </row>
    <row r="249" spans="1:9" ht="11.25" customHeight="1" x14ac:dyDescent="0.2">
      <c r="A249" s="2171"/>
      <c r="B249" s="2172"/>
      <c r="C249" s="934">
        <v>560</v>
      </c>
      <c r="D249" s="322">
        <v>560</v>
      </c>
      <c r="E249" s="934">
        <v>504</v>
      </c>
      <c r="F249" s="1492">
        <v>2363</v>
      </c>
      <c r="G249" s="322">
        <v>462</v>
      </c>
      <c r="H249" s="1703"/>
      <c r="I249" s="315" t="s">
        <v>2990</v>
      </c>
    </row>
    <row r="250" spans="1:9" ht="11.25" customHeight="1" x14ac:dyDescent="0.2">
      <c r="A250" s="2169" t="s">
        <v>2991</v>
      </c>
      <c r="B250" s="2172" t="s">
        <v>2992</v>
      </c>
      <c r="C250" s="981">
        <f>SUM(C251:C253)</f>
        <v>690</v>
      </c>
      <c r="D250" s="313">
        <f>SUM(D251:D253)</f>
        <v>690</v>
      </c>
      <c r="E250" s="981">
        <f>SUM(E251:E253)</f>
        <v>905</v>
      </c>
      <c r="F250" s="314"/>
      <c r="G250" s="313">
        <f>SUM(G251:G253)</f>
        <v>620</v>
      </c>
      <c r="H250" s="1702" t="s">
        <v>2849</v>
      </c>
      <c r="I250" s="315"/>
    </row>
    <row r="251" spans="1:9" ht="11.25" customHeight="1" x14ac:dyDescent="0.2">
      <c r="A251" s="2170"/>
      <c r="B251" s="2172"/>
      <c r="C251" s="934">
        <v>50</v>
      </c>
      <c r="D251" s="322">
        <v>50</v>
      </c>
      <c r="E251" s="934">
        <v>25</v>
      </c>
      <c r="F251" s="1492">
        <v>2341</v>
      </c>
      <c r="G251" s="322">
        <v>25</v>
      </c>
      <c r="H251" s="1735"/>
      <c r="I251" s="315" t="s">
        <v>2773</v>
      </c>
    </row>
    <row r="252" spans="1:9" ht="11.25" customHeight="1" x14ac:dyDescent="0.2">
      <c r="A252" s="2170"/>
      <c r="B252" s="2172"/>
      <c r="C252" s="934">
        <v>0</v>
      </c>
      <c r="D252" s="322">
        <v>0</v>
      </c>
      <c r="E252" s="934">
        <v>630</v>
      </c>
      <c r="F252" s="1492">
        <v>2361</v>
      </c>
      <c r="G252" s="208">
        <v>420</v>
      </c>
      <c r="H252" s="1735"/>
      <c r="I252" s="321" t="s">
        <v>2993</v>
      </c>
    </row>
    <row r="253" spans="1:9" ht="11.25" customHeight="1" x14ac:dyDescent="0.2">
      <c r="A253" s="2171"/>
      <c r="B253" s="2172"/>
      <c r="C253" s="934">
        <v>640</v>
      </c>
      <c r="D253" s="322">
        <v>640</v>
      </c>
      <c r="E253" s="934">
        <v>250</v>
      </c>
      <c r="F253" s="1492">
        <v>2370</v>
      </c>
      <c r="G253" s="322">
        <v>175</v>
      </c>
      <c r="H253" s="1703"/>
      <c r="I253" s="321" t="s">
        <v>2994</v>
      </c>
    </row>
    <row r="254" spans="1:9" s="1005" customFormat="1" x14ac:dyDescent="0.2">
      <c r="A254" s="1014" t="s">
        <v>2995</v>
      </c>
      <c r="B254" s="1015" t="s">
        <v>2776</v>
      </c>
      <c r="C254" s="988">
        <f>SUM( C255)</f>
        <v>2648</v>
      </c>
      <c r="D254" s="988">
        <f t="shared" ref="D254:G254" si="40">SUM( D255)</f>
        <v>2648</v>
      </c>
      <c r="E254" s="988">
        <f t="shared" si="40"/>
        <v>2132</v>
      </c>
      <c r="F254" s="989"/>
      <c r="G254" s="988">
        <f t="shared" si="40"/>
        <v>2132</v>
      </c>
      <c r="H254" s="988"/>
      <c r="I254" s="810"/>
    </row>
    <row r="255" spans="1:9" s="1005" customFormat="1" ht="11.25" customHeight="1" x14ac:dyDescent="0.2">
      <c r="A255" s="2173" t="s">
        <v>2996</v>
      </c>
      <c r="B255" s="2176" t="s">
        <v>2997</v>
      </c>
      <c r="C255" s="988">
        <f>SUM(C256:C259)</f>
        <v>2648</v>
      </c>
      <c r="D255" s="988">
        <f>SUM(D256:D259)</f>
        <v>2648</v>
      </c>
      <c r="E255" s="988">
        <f>SUM(E256:E259)</f>
        <v>2132</v>
      </c>
      <c r="F255" s="989"/>
      <c r="G255" s="988">
        <f>SUM(G256:G259)</f>
        <v>2132</v>
      </c>
      <c r="H255" s="2162" t="s">
        <v>2779</v>
      </c>
      <c r="I255" s="990" t="s">
        <v>2998</v>
      </c>
    </row>
    <row r="256" spans="1:9" s="1005" customFormat="1" ht="11.25" customHeight="1" x14ac:dyDescent="0.2">
      <c r="A256" s="2174"/>
      <c r="B256" s="2176"/>
      <c r="C256" s="1001">
        <v>48</v>
      </c>
      <c r="D256" s="1001">
        <v>48</v>
      </c>
      <c r="E256" s="1001">
        <v>42</v>
      </c>
      <c r="F256" s="989">
        <v>2111</v>
      </c>
      <c r="G256" s="1001">
        <v>42</v>
      </c>
      <c r="H256" s="2163"/>
      <c r="I256" s="810" t="s">
        <v>2999</v>
      </c>
    </row>
    <row r="257" spans="1:9" s="1005" customFormat="1" ht="11.25" customHeight="1" x14ac:dyDescent="0.2">
      <c r="A257" s="2174"/>
      <c r="B257" s="2176"/>
      <c r="C257" s="1001">
        <v>1280</v>
      </c>
      <c r="D257" s="1001">
        <v>1280</v>
      </c>
      <c r="E257" s="1001">
        <v>1008</v>
      </c>
      <c r="F257" s="989">
        <v>2261</v>
      </c>
      <c r="G257" s="1001">
        <v>1008</v>
      </c>
      <c r="H257" s="2163"/>
      <c r="I257" s="810" t="s">
        <v>3000</v>
      </c>
    </row>
    <row r="258" spans="1:9" s="1005" customFormat="1" ht="11.25" customHeight="1" x14ac:dyDescent="0.2">
      <c r="A258" s="2174"/>
      <c r="B258" s="2176"/>
      <c r="C258" s="1001">
        <v>200</v>
      </c>
      <c r="D258" s="1001">
        <v>200</v>
      </c>
      <c r="E258" s="1001">
        <v>200</v>
      </c>
      <c r="F258" s="989">
        <v>2262</v>
      </c>
      <c r="G258" s="1001">
        <v>200</v>
      </c>
      <c r="H258" s="2163"/>
      <c r="I258" s="810" t="s">
        <v>3001</v>
      </c>
    </row>
    <row r="259" spans="1:9" s="1005" customFormat="1" ht="11.25" customHeight="1" x14ac:dyDescent="0.2">
      <c r="A259" s="2175"/>
      <c r="B259" s="2176"/>
      <c r="C259" s="811">
        <v>1120</v>
      </c>
      <c r="D259" s="811">
        <v>1120</v>
      </c>
      <c r="E259" s="811">
        <v>882</v>
      </c>
      <c r="F259" s="991">
        <v>2363</v>
      </c>
      <c r="G259" s="811">
        <v>882</v>
      </c>
      <c r="H259" s="2164"/>
      <c r="I259" s="810" t="s">
        <v>3002</v>
      </c>
    </row>
    <row r="260" spans="1:9" s="1005" customFormat="1" ht="11.25" customHeight="1" x14ac:dyDescent="0.2">
      <c r="A260" s="2160">
        <v>13</v>
      </c>
      <c r="B260" s="2161" t="s">
        <v>3003</v>
      </c>
      <c r="C260" s="207">
        <f>SUM(C261:C265)</f>
        <v>6790</v>
      </c>
      <c r="D260" s="207">
        <f>SUM(D261:D265)</f>
        <v>0</v>
      </c>
      <c r="E260" s="207">
        <f t="shared" ref="E260" si="41">SUM(E261:E265)</f>
        <v>0</v>
      </c>
      <c r="F260" s="207"/>
      <c r="G260" s="708">
        <f>SUM(G261:G265)</f>
        <v>7580</v>
      </c>
      <c r="H260" s="1017"/>
      <c r="I260" s="810"/>
    </row>
    <row r="261" spans="1:9" s="1005" customFormat="1" ht="11.25" customHeight="1" x14ac:dyDescent="0.2">
      <c r="A261" s="2160"/>
      <c r="B261" s="2161"/>
      <c r="C261" s="1018">
        <v>1918</v>
      </c>
      <c r="D261" s="811"/>
      <c r="E261" s="811"/>
      <c r="F261" s="207">
        <v>2121</v>
      </c>
      <c r="G261" s="811">
        <v>1175</v>
      </c>
      <c r="H261" s="2162" t="s">
        <v>3602</v>
      </c>
      <c r="I261" s="2165" t="s">
        <v>3004</v>
      </c>
    </row>
    <row r="262" spans="1:9" s="1005" customFormat="1" ht="11.25" customHeight="1" x14ac:dyDescent="0.2">
      <c r="A262" s="2160"/>
      <c r="B262" s="2161"/>
      <c r="C262" s="1018">
        <v>1275</v>
      </c>
      <c r="D262" s="811"/>
      <c r="E262" s="811"/>
      <c r="F262" s="207">
        <v>2122</v>
      </c>
      <c r="G262" s="811">
        <v>1890</v>
      </c>
      <c r="H262" s="2163"/>
      <c r="I262" s="2166"/>
    </row>
    <row r="263" spans="1:9" s="1005" customFormat="1" ht="11.25" customHeight="1" x14ac:dyDescent="0.2">
      <c r="A263" s="2160"/>
      <c r="B263" s="2161"/>
      <c r="C263" s="1018">
        <v>2247</v>
      </c>
      <c r="D263" s="811"/>
      <c r="E263" s="811"/>
      <c r="F263" s="207">
        <v>2279</v>
      </c>
      <c r="G263" s="811">
        <v>3065</v>
      </c>
      <c r="H263" s="2163"/>
      <c r="I263" s="2166"/>
    </row>
    <row r="264" spans="1:9" s="1005" customFormat="1" ht="11.25" customHeight="1" x14ac:dyDescent="0.2">
      <c r="A264" s="2160"/>
      <c r="B264" s="2161"/>
      <c r="C264" s="1018">
        <v>950</v>
      </c>
      <c r="D264" s="811"/>
      <c r="E264" s="811"/>
      <c r="F264" s="207">
        <v>2341</v>
      </c>
      <c r="G264" s="811">
        <v>950</v>
      </c>
      <c r="H264" s="2163"/>
      <c r="I264" s="2166"/>
    </row>
    <row r="265" spans="1:9" s="1005" customFormat="1" ht="11.25" customHeight="1" x14ac:dyDescent="0.2">
      <c r="A265" s="2160"/>
      <c r="B265" s="2161"/>
      <c r="C265" s="1183">
        <v>400</v>
      </c>
      <c r="D265" s="811"/>
      <c r="E265" s="811"/>
      <c r="F265" s="207">
        <v>2370</v>
      </c>
      <c r="G265" s="811">
        <v>500</v>
      </c>
      <c r="H265" s="2164"/>
      <c r="I265" s="2167"/>
    </row>
    <row r="266" spans="1:9" x14ac:dyDescent="0.2">
      <c r="A266" s="1019"/>
      <c r="B266" s="1019"/>
      <c r="C266" s="1020"/>
      <c r="D266" s="370"/>
      <c r="E266" s="1020"/>
      <c r="F266" s="1021"/>
      <c r="G266" s="370"/>
      <c r="H266" s="370"/>
      <c r="I266" s="398"/>
    </row>
    <row r="267" spans="1:9" x14ac:dyDescent="0.2">
      <c r="A267" s="1019"/>
      <c r="B267" s="309" t="s">
        <v>3005</v>
      </c>
      <c r="C267" s="1020"/>
      <c r="D267" s="370"/>
      <c r="E267" s="1020"/>
      <c r="F267" s="1021"/>
      <c r="G267" s="370"/>
      <c r="H267" s="370"/>
      <c r="I267" s="398"/>
    </row>
    <row r="268" spans="1:9" x14ac:dyDescent="0.2">
      <c r="A268" s="1019"/>
      <c r="B268" s="1022" t="s">
        <v>3006</v>
      </c>
      <c r="C268" s="1020"/>
      <c r="D268" s="370"/>
      <c r="E268" s="1020"/>
      <c r="F268" s="1021"/>
      <c r="G268" s="370"/>
      <c r="H268" s="370"/>
      <c r="I268" s="398"/>
    </row>
    <row r="269" spans="1:9" x14ac:dyDescent="0.2">
      <c r="A269" s="1019"/>
      <c r="B269" s="1023" t="s">
        <v>3007</v>
      </c>
      <c r="C269" s="1020"/>
      <c r="D269" s="370"/>
      <c r="E269" s="1020"/>
      <c r="F269" s="1021"/>
      <c r="G269" s="370"/>
      <c r="H269" s="370"/>
      <c r="I269" s="398"/>
    </row>
    <row r="270" spans="1:9" x14ac:dyDescent="0.2">
      <c r="A270" s="1019"/>
      <c r="B270" s="1023" t="s">
        <v>3008</v>
      </c>
      <c r="C270" s="1020"/>
      <c r="D270" s="370"/>
      <c r="E270" s="1020"/>
      <c r="F270" s="1021"/>
      <c r="G270" s="370"/>
      <c r="H270" s="370"/>
      <c r="I270" s="398"/>
    </row>
    <row r="271" spans="1:9" x14ac:dyDescent="0.2">
      <c r="A271" s="1019"/>
      <c r="B271" s="1023" t="s">
        <v>3009</v>
      </c>
      <c r="C271" s="1020"/>
      <c r="D271" s="370"/>
      <c r="E271" s="1020"/>
      <c r="F271" s="1021"/>
      <c r="G271" s="370"/>
      <c r="H271" s="370"/>
      <c r="I271" s="398"/>
    </row>
    <row r="272" spans="1:9" x14ac:dyDescent="0.2">
      <c r="A272" s="1019"/>
      <c r="B272" s="1023" t="s">
        <v>3011</v>
      </c>
      <c r="C272" s="1020"/>
      <c r="D272" s="370"/>
      <c r="E272" s="1020"/>
      <c r="F272" s="1021"/>
      <c r="G272" s="370"/>
      <c r="H272" s="370"/>
      <c r="I272" s="398"/>
    </row>
    <row r="273" spans="1:9" x14ac:dyDescent="0.2">
      <c r="A273" s="1019"/>
      <c r="B273" s="1023" t="s">
        <v>3010</v>
      </c>
      <c r="C273" s="1020"/>
      <c r="D273" s="370"/>
      <c r="E273" s="1020"/>
      <c r="F273" s="1021"/>
      <c r="G273" s="370"/>
      <c r="H273" s="370"/>
      <c r="I273" s="398"/>
    </row>
    <row r="274" spans="1:9" x14ac:dyDescent="0.2">
      <c r="A274" s="1019"/>
      <c r="B274" s="1023" t="s">
        <v>3603</v>
      </c>
      <c r="C274" s="1020"/>
      <c r="D274" s="370"/>
      <c r="E274" s="1020"/>
      <c r="F274" s="1021"/>
      <c r="G274" s="370"/>
      <c r="H274" s="370"/>
      <c r="I274" s="398"/>
    </row>
    <row r="275" spans="1:9" x14ac:dyDescent="0.2">
      <c r="A275" s="1019"/>
      <c r="C275" s="1020"/>
      <c r="D275" s="370"/>
      <c r="E275" s="1020"/>
      <c r="F275" s="1021"/>
      <c r="G275" s="370"/>
      <c r="H275" s="370"/>
      <c r="I275" s="398"/>
    </row>
    <row r="276" spans="1:9" x14ac:dyDescent="0.2">
      <c r="A276" s="1019"/>
      <c r="B276" s="1024" t="s">
        <v>3012</v>
      </c>
      <c r="C276" s="1020"/>
      <c r="D276" s="370"/>
      <c r="E276" s="1020"/>
      <c r="F276" s="1021"/>
      <c r="G276" s="370"/>
      <c r="H276" s="370"/>
      <c r="I276" s="398"/>
    </row>
    <row r="277" spans="1:9" x14ac:dyDescent="0.2">
      <c r="A277" s="1019"/>
      <c r="B277" s="1023" t="s">
        <v>3013</v>
      </c>
      <c r="C277" s="1020"/>
      <c r="D277" s="370"/>
      <c r="E277" s="1020"/>
      <c r="F277" s="1021"/>
      <c r="G277" s="370"/>
      <c r="H277" s="370"/>
      <c r="I277" s="398"/>
    </row>
    <row r="278" spans="1:9" x14ac:dyDescent="0.2">
      <c r="A278" s="1019"/>
      <c r="B278" s="1023" t="s">
        <v>3014</v>
      </c>
      <c r="C278" s="1020"/>
      <c r="D278" s="370"/>
      <c r="E278" s="1020"/>
      <c r="F278" s="1021"/>
      <c r="G278" s="370"/>
      <c r="H278" s="370"/>
      <c r="I278" s="398"/>
    </row>
    <row r="279" spans="1:9" x14ac:dyDescent="0.2">
      <c r="A279" s="1019"/>
      <c r="B279" s="1023" t="s">
        <v>3604</v>
      </c>
      <c r="C279" s="1020"/>
      <c r="D279" s="370"/>
      <c r="E279" s="1020"/>
      <c r="F279" s="1021"/>
      <c r="G279" s="370"/>
      <c r="H279" s="370"/>
      <c r="I279" s="398"/>
    </row>
    <row r="280" spans="1:9" x14ac:dyDescent="0.2">
      <c r="A280" s="1019"/>
      <c r="B280" s="1023" t="s">
        <v>3015</v>
      </c>
      <c r="C280" s="1020"/>
      <c r="D280" s="370"/>
      <c r="E280" s="1020"/>
      <c r="F280" s="1021"/>
      <c r="G280" s="370"/>
      <c r="H280" s="370"/>
      <c r="I280" s="398"/>
    </row>
    <row r="281" spans="1:9" x14ac:dyDescent="0.2">
      <c r="A281" s="1019"/>
      <c r="B281" s="1587" t="s">
        <v>3016</v>
      </c>
      <c r="C281" s="1020"/>
      <c r="D281" s="370"/>
      <c r="E281" s="1020"/>
      <c r="F281" s="1021"/>
      <c r="G281" s="370"/>
      <c r="H281" s="370"/>
      <c r="I281" s="398"/>
    </row>
    <row r="282" spans="1:9" x14ac:dyDescent="0.2">
      <c r="A282" s="1019"/>
      <c r="B282" s="2168" t="s">
        <v>3017</v>
      </c>
      <c r="C282" s="2168"/>
      <c r="D282" s="2168"/>
      <c r="E282" s="2168"/>
      <c r="F282" s="2168"/>
      <c r="G282" s="2168"/>
      <c r="H282" s="2168"/>
      <c r="I282" s="2168"/>
    </row>
    <row r="283" spans="1:9" x14ac:dyDescent="0.2">
      <c r="A283" s="1019"/>
      <c r="B283" s="1019"/>
      <c r="C283" s="1020"/>
      <c r="D283" s="370"/>
      <c r="E283" s="1020"/>
      <c r="F283" s="1021"/>
      <c r="G283" s="370"/>
      <c r="H283" s="370"/>
      <c r="I283" s="398"/>
    </row>
  </sheetData>
  <sheetProtection algorithmName="SHA-512" hashValue="V+lgqeoWaowFd7rHMHdjxvgoIRDI0/Xt6l4sRts8vsvGxTmvu1TRza20i1BlSzPRQAegI8yOQ5/nxERCU1p9zA==" saltValue="cQGmYjesDWDLfTdH7vHpzA==" spinCount="100000" sheet="1" objects="1" scenarios="1"/>
  <mergeCells count="165">
    <mergeCell ref="A1:B1"/>
    <mergeCell ref="C1:I1"/>
    <mergeCell ref="A2:B2"/>
    <mergeCell ref="C2:I2"/>
    <mergeCell ref="A3:I3"/>
    <mergeCell ref="C5:I5"/>
    <mergeCell ref="A17:A27"/>
    <mergeCell ref="B17:B27"/>
    <mergeCell ref="H17:H27"/>
    <mergeCell ref="I17:I27"/>
    <mergeCell ref="A28:A37"/>
    <mergeCell ref="B28:B37"/>
    <mergeCell ref="H28:H37"/>
    <mergeCell ref="C6:I6"/>
    <mergeCell ref="C7:I7"/>
    <mergeCell ref="A9:B9"/>
    <mergeCell ref="A12:A16"/>
    <mergeCell ref="B12:B16"/>
    <mergeCell ref="H12:H16"/>
    <mergeCell ref="A45:A51"/>
    <mergeCell ref="B45:B51"/>
    <mergeCell ref="H45:H51"/>
    <mergeCell ref="A54:A57"/>
    <mergeCell ref="B54:B57"/>
    <mergeCell ref="H54:H57"/>
    <mergeCell ref="A38:A41"/>
    <mergeCell ref="B38:B41"/>
    <mergeCell ref="H38:H41"/>
    <mergeCell ref="A43:A44"/>
    <mergeCell ref="B43:B44"/>
    <mergeCell ref="H43:H44"/>
    <mergeCell ref="A68:A71"/>
    <mergeCell ref="B68:B71"/>
    <mergeCell ref="H68:H71"/>
    <mergeCell ref="A73:A75"/>
    <mergeCell ref="B73:B75"/>
    <mergeCell ref="H73:H75"/>
    <mergeCell ref="A58:A63"/>
    <mergeCell ref="B58:B63"/>
    <mergeCell ref="H58:H63"/>
    <mergeCell ref="A64:A67"/>
    <mergeCell ref="B64:B67"/>
    <mergeCell ref="H64:H67"/>
    <mergeCell ref="A84:A88"/>
    <mergeCell ref="B84:B88"/>
    <mergeCell ref="H84:H88"/>
    <mergeCell ref="A89:A91"/>
    <mergeCell ref="B89:B91"/>
    <mergeCell ref="H89:H91"/>
    <mergeCell ref="A76:A79"/>
    <mergeCell ref="B76:B79"/>
    <mergeCell ref="H76:H79"/>
    <mergeCell ref="A80:A82"/>
    <mergeCell ref="B80:B82"/>
    <mergeCell ref="H80:H82"/>
    <mergeCell ref="A103:A106"/>
    <mergeCell ref="B103:B106"/>
    <mergeCell ref="H103:H106"/>
    <mergeCell ref="I103:I106"/>
    <mergeCell ref="A107:A110"/>
    <mergeCell ref="B107:B110"/>
    <mergeCell ref="H107:H110"/>
    <mergeCell ref="A93:A97"/>
    <mergeCell ref="B93:B97"/>
    <mergeCell ref="H94:H97"/>
    <mergeCell ref="A98:A102"/>
    <mergeCell ref="B98:B102"/>
    <mergeCell ref="H98:H102"/>
    <mergeCell ref="A123:A127"/>
    <mergeCell ref="B123:B127"/>
    <mergeCell ref="H123:H127"/>
    <mergeCell ref="A128:A131"/>
    <mergeCell ref="B128:B131"/>
    <mergeCell ref="H128:H131"/>
    <mergeCell ref="A112:A116"/>
    <mergeCell ref="B112:B116"/>
    <mergeCell ref="H112:H116"/>
    <mergeCell ref="A117:A121"/>
    <mergeCell ref="B117:B121"/>
    <mergeCell ref="H117:H121"/>
    <mergeCell ref="A140:A143"/>
    <mergeCell ref="B140:B143"/>
    <mergeCell ref="H140:H143"/>
    <mergeCell ref="A145:A146"/>
    <mergeCell ref="B145:B146"/>
    <mergeCell ref="H145:H146"/>
    <mergeCell ref="A133:A134"/>
    <mergeCell ref="B133:B134"/>
    <mergeCell ref="H133:H134"/>
    <mergeCell ref="A136:A139"/>
    <mergeCell ref="B136:B139"/>
    <mergeCell ref="H136:H139"/>
    <mergeCell ref="A159:A162"/>
    <mergeCell ref="B159:B162"/>
    <mergeCell ref="H159:H162"/>
    <mergeCell ref="A164:A166"/>
    <mergeCell ref="B164:B166"/>
    <mergeCell ref="H164:H166"/>
    <mergeCell ref="A147:A152"/>
    <mergeCell ref="B147:B152"/>
    <mergeCell ref="H148:H152"/>
    <mergeCell ref="A154:A158"/>
    <mergeCell ref="B154:B158"/>
    <mergeCell ref="H154:H158"/>
    <mergeCell ref="A179:A182"/>
    <mergeCell ref="B179:B182"/>
    <mergeCell ref="H179:H182"/>
    <mergeCell ref="A184:A190"/>
    <mergeCell ref="B184:B190"/>
    <mergeCell ref="H184:H190"/>
    <mergeCell ref="A167:A172"/>
    <mergeCell ref="B167:B172"/>
    <mergeCell ref="H168:H172"/>
    <mergeCell ref="A174:A178"/>
    <mergeCell ref="B174:B178"/>
    <mergeCell ref="H174:H178"/>
    <mergeCell ref="A199:A200"/>
    <mergeCell ref="B199:B200"/>
    <mergeCell ref="A201:A205"/>
    <mergeCell ref="B201:B205"/>
    <mergeCell ref="H202:H205"/>
    <mergeCell ref="A207:A210"/>
    <mergeCell ref="B207:B210"/>
    <mergeCell ref="H207:H210"/>
    <mergeCell ref="A191:A194"/>
    <mergeCell ref="B191:B194"/>
    <mergeCell ref="H192:H194"/>
    <mergeCell ref="A195:A198"/>
    <mergeCell ref="B195:B198"/>
    <mergeCell ref="H196:H198"/>
    <mergeCell ref="A221:A225"/>
    <mergeCell ref="B221:B225"/>
    <mergeCell ref="H221:H225"/>
    <mergeCell ref="A226:A230"/>
    <mergeCell ref="B226:B230"/>
    <mergeCell ref="H226:H230"/>
    <mergeCell ref="A211:A214"/>
    <mergeCell ref="B211:B214"/>
    <mergeCell ref="H211:H214"/>
    <mergeCell ref="A216:A219"/>
    <mergeCell ref="B216:B219"/>
    <mergeCell ref="H216:H219"/>
    <mergeCell ref="A240:A243"/>
    <mergeCell ref="B240:B243"/>
    <mergeCell ref="H240:H243"/>
    <mergeCell ref="A245:A249"/>
    <mergeCell ref="B245:B249"/>
    <mergeCell ref="H245:H249"/>
    <mergeCell ref="A232:A233"/>
    <mergeCell ref="B232:B233"/>
    <mergeCell ref="H232:H233"/>
    <mergeCell ref="A234:A239"/>
    <mergeCell ref="B234:B239"/>
    <mergeCell ref="H235:H239"/>
    <mergeCell ref="A260:A265"/>
    <mergeCell ref="B260:B265"/>
    <mergeCell ref="H261:H265"/>
    <mergeCell ref="I261:I265"/>
    <mergeCell ref="B282:I282"/>
    <mergeCell ref="A250:A253"/>
    <mergeCell ref="B250:B253"/>
    <mergeCell ref="H250:H253"/>
    <mergeCell ref="A255:A259"/>
    <mergeCell ref="B255:B259"/>
    <mergeCell ref="H255:H259"/>
  </mergeCells>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28.pielikums Jūrmalas pilsētas domes
2018.gada 18.decembra saistošajiem noteikumiem Nr.44
(protokols Nr.17, 2.punkts) </oddHeader>
    <oddFooter xml:space="preserve">&amp;R&amp;"Times New Roman,Regular"&amp;8&amp;P (&amp;N)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6"/>
  <sheetViews>
    <sheetView view="pageLayout" zoomScaleNormal="100" workbookViewId="0">
      <selection activeCell="P8" sqref="P8"/>
    </sheetView>
  </sheetViews>
  <sheetFormatPr defaultRowHeight="12" x14ac:dyDescent="0.2"/>
  <cols>
    <col min="1" max="1" width="6.14062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9.7109375" style="274" customWidth="1"/>
    <col min="8" max="8" width="19.140625" style="274" customWidth="1"/>
    <col min="9" max="9" width="28.7109375" style="274" hidden="1" customWidth="1"/>
    <col min="10" max="10" width="0" style="274" hidden="1" customWidth="1"/>
    <col min="11" max="16384" width="9.140625" style="274"/>
  </cols>
  <sheetData>
    <row r="1" spans="1:9" x14ac:dyDescent="0.2">
      <c r="A1" s="1903" t="s">
        <v>438</v>
      </c>
      <c r="B1" s="1903"/>
      <c r="C1" s="1903" t="s">
        <v>3018</v>
      </c>
      <c r="D1" s="1903"/>
      <c r="E1" s="1903"/>
      <c r="F1" s="1903"/>
      <c r="G1" s="1903"/>
      <c r="H1" s="1903"/>
      <c r="I1" s="1903"/>
    </row>
    <row r="2" spans="1:9" x14ac:dyDescent="0.2">
      <c r="A2" s="1903" t="s">
        <v>439</v>
      </c>
      <c r="B2" s="1903"/>
      <c r="C2" s="1903">
        <v>90000594245</v>
      </c>
      <c r="D2" s="1903"/>
      <c r="E2" s="1903"/>
      <c r="F2" s="1903"/>
      <c r="G2" s="1903"/>
      <c r="H2" s="1903"/>
      <c r="I2" s="1903"/>
    </row>
    <row r="3" spans="1:9" ht="15.75" x14ac:dyDescent="0.25">
      <c r="A3" s="1905" t="s">
        <v>3639</v>
      </c>
      <c r="B3" s="1905"/>
      <c r="C3" s="1905"/>
      <c r="D3" s="1905"/>
      <c r="E3" s="1905"/>
      <c r="F3" s="1905"/>
      <c r="G3" s="1905"/>
      <c r="H3" s="1905"/>
      <c r="I3" s="1905"/>
    </row>
    <row r="4" spans="1:9" ht="15.75" x14ac:dyDescent="0.25">
      <c r="A4" s="421"/>
      <c r="B4" s="421"/>
      <c r="C4" s="421"/>
      <c r="D4" s="421"/>
      <c r="E4" s="421"/>
      <c r="F4" s="421"/>
      <c r="G4" s="421"/>
      <c r="H4" s="421"/>
      <c r="I4" s="421"/>
    </row>
    <row r="5" spans="1:9" ht="15.75" x14ac:dyDescent="0.25">
      <c r="A5" s="287" t="s">
        <v>440</v>
      </c>
      <c r="B5" s="287"/>
      <c r="C5" s="2220" t="s">
        <v>3019</v>
      </c>
      <c r="D5" s="2220"/>
      <c r="E5" s="2220"/>
      <c r="F5" s="2220"/>
      <c r="G5" s="2220"/>
      <c r="H5" s="2220"/>
      <c r="I5" s="2220"/>
    </row>
    <row r="6" spans="1:9" x14ac:dyDescent="0.2">
      <c r="A6" s="287" t="s">
        <v>129</v>
      </c>
      <c r="B6" s="287"/>
      <c r="C6" s="2212" t="s">
        <v>3020</v>
      </c>
      <c r="D6" s="2212"/>
      <c r="E6" s="2212"/>
      <c r="F6" s="2212"/>
      <c r="G6" s="2212"/>
      <c r="H6" s="2212"/>
      <c r="I6" s="2212"/>
    </row>
    <row r="7" spans="1:9" x14ac:dyDescent="0.2">
      <c r="A7" s="287" t="s">
        <v>131</v>
      </c>
      <c r="B7" s="287"/>
      <c r="C7" s="2213" t="s">
        <v>3021</v>
      </c>
      <c r="D7" s="2213"/>
      <c r="E7" s="2213"/>
      <c r="F7" s="2213"/>
      <c r="G7" s="2213"/>
      <c r="H7" s="2213"/>
      <c r="I7" s="2213"/>
    </row>
    <row r="8" spans="1:9" ht="48" x14ac:dyDescent="0.2">
      <c r="A8" s="426" t="s">
        <v>4</v>
      </c>
      <c r="B8" s="1026" t="s">
        <v>133</v>
      </c>
      <c r="C8" s="161" t="s">
        <v>17</v>
      </c>
      <c r="D8" s="161" t="s">
        <v>15</v>
      </c>
      <c r="E8" s="161" t="s">
        <v>134</v>
      </c>
      <c r="F8" s="161" t="s">
        <v>135</v>
      </c>
      <c r="G8" s="161" t="s">
        <v>3510</v>
      </c>
      <c r="H8" s="161" t="s">
        <v>14</v>
      </c>
      <c r="I8" s="161" t="s">
        <v>137</v>
      </c>
    </row>
    <row r="9" spans="1:9" ht="12.75" customHeight="1" x14ac:dyDescent="0.2">
      <c r="A9" s="2209" t="s">
        <v>138</v>
      </c>
      <c r="B9" s="2210"/>
      <c r="C9" s="1027">
        <f>SUM(C10:C18)</f>
        <v>239356</v>
      </c>
      <c r="D9" s="1027">
        <f>SUM(D10:D18)</f>
        <v>232856</v>
      </c>
      <c r="E9" s="1027">
        <f>SUM(E10:E18)</f>
        <v>246227.20000000001</v>
      </c>
      <c r="F9" s="1027"/>
      <c r="G9" s="1027">
        <f>SUM(G10:G18)</f>
        <v>382227</v>
      </c>
      <c r="H9" s="1027"/>
      <c r="I9" s="1028"/>
    </row>
    <row r="10" spans="1:9" ht="28.5" customHeight="1" x14ac:dyDescent="0.2">
      <c r="A10" s="496">
        <v>1</v>
      </c>
      <c r="B10" s="428" t="s">
        <v>3022</v>
      </c>
      <c r="C10" s="252">
        <v>17485</v>
      </c>
      <c r="D10" s="166">
        <v>17485</v>
      </c>
      <c r="E10" s="166">
        <v>25020</v>
      </c>
      <c r="F10" s="1029">
        <v>6255</v>
      </c>
      <c r="G10" s="166">
        <v>25020</v>
      </c>
      <c r="H10" s="188" t="s">
        <v>3023</v>
      </c>
      <c r="I10" s="2214" t="s">
        <v>3024</v>
      </c>
    </row>
    <row r="11" spans="1:9" ht="28.5" customHeight="1" x14ac:dyDescent="0.2">
      <c r="A11" s="496">
        <v>2</v>
      </c>
      <c r="B11" s="428" t="s">
        <v>3025</v>
      </c>
      <c r="C11" s="252">
        <v>2736</v>
      </c>
      <c r="D11" s="166">
        <v>2736</v>
      </c>
      <c r="E11" s="166">
        <v>2736</v>
      </c>
      <c r="F11" s="1029">
        <v>6423</v>
      </c>
      <c r="G11" s="166">
        <v>2736</v>
      </c>
      <c r="H11" s="188" t="s">
        <v>3023</v>
      </c>
      <c r="I11" s="2215"/>
    </row>
    <row r="12" spans="1:9" ht="28.5" customHeight="1" x14ac:dyDescent="0.2">
      <c r="A12" s="496">
        <v>3</v>
      </c>
      <c r="B12" s="428" t="s">
        <v>3026</v>
      </c>
      <c r="C12" s="252">
        <v>188500</v>
      </c>
      <c r="D12" s="166">
        <v>182000</v>
      </c>
      <c r="E12" s="166">
        <v>182000</v>
      </c>
      <c r="F12" s="1029">
        <v>6423</v>
      </c>
      <c r="G12" s="166">
        <v>318000</v>
      </c>
      <c r="H12" s="188" t="s">
        <v>3027</v>
      </c>
      <c r="I12" s="1030" t="s">
        <v>3028</v>
      </c>
    </row>
    <row r="13" spans="1:9" ht="28.5" customHeight="1" x14ac:dyDescent="0.2">
      <c r="A13" s="496">
        <v>4</v>
      </c>
      <c r="B13" s="428" t="s">
        <v>3029</v>
      </c>
      <c r="C13" s="252">
        <v>10560</v>
      </c>
      <c r="D13" s="166">
        <v>10560</v>
      </c>
      <c r="E13" s="166">
        <v>10560</v>
      </c>
      <c r="F13" s="1029">
        <v>6423</v>
      </c>
      <c r="G13" s="166">
        <v>10560</v>
      </c>
      <c r="H13" s="188" t="s">
        <v>3023</v>
      </c>
      <c r="I13" s="1030" t="s">
        <v>3030</v>
      </c>
    </row>
    <row r="14" spans="1:9" ht="28.5" customHeight="1" x14ac:dyDescent="0.2">
      <c r="A14" s="496">
        <v>5</v>
      </c>
      <c r="B14" s="428" t="s">
        <v>3031</v>
      </c>
      <c r="C14" s="261">
        <v>10480</v>
      </c>
      <c r="D14" s="291">
        <v>10480</v>
      </c>
      <c r="E14" s="291">
        <v>10480</v>
      </c>
      <c r="F14" s="1029">
        <v>6423</v>
      </c>
      <c r="G14" s="166">
        <v>10480</v>
      </c>
      <c r="H14" s="188" t="s">
        <v>3032</v>
      </c>
      <c r="I14" s="1030" t="s">
        <v>3033</v>
      </c>
    </row>
    <row r="15" spans="1:9" x14ac:dyDescent="0.2">
      <c r="A15" s="1762">
        <v>6</v>
      </c>
      <c r="B15" s="2216" t="s">
        <v>3034</v>
      </c>
      <c r="C15" s="291">
        <v>430</v>
      </c>
      <c r="D15" s="291">
        <v>430</v>
      </c>
      <c r="E15" s="291">
        <v>430</v>
      </c>
      <c r="F15" s="1029">
        <v>2314</v>
      </c>
      <c r="G15" s="166">
        <v>430</v>
      </c>
      <c r="H15" s="1674" t="s">
        <v>3023</v>
      </c>
      <c r="I15" s="2214" t="s">
        <v>3035</v>
      </c>
    </row>
    <row r="16" spans="1:9" ht="12.75" customHeight="1" x14ac:dyDescent="0.2">
      <c r="A16" s="1763"/>
      <c r="B16" s="2217"/>
      <c r="C16" s="291">
        <v>300</v>
      </c>
      <c r="D16" s="291">
        <v>300</v>
      </c>
      <c r="E16" s="291">
        <v>300</v>
      </c>
      <c r="F16" s="1029">
        <v>2279</v>
      </c>
      <c r="G16" s="166">
        <v>300</v>
      </c>
      <c r="H16" s="1774"/>
      <c r="I16" s="2219"/>
    </row>
    <row r="17" spans="1:12" ht="12.75" customHeight="1" x14ac:dyDescent="0.2">
      <c r="A17" s="1779"/>
      <c r="B17" s="2218"/>
      <c r="C17" s="1031">
        <v>1750</v>
      </c>
      <c r="D17" s="1031">
        <v>1750</v>
      </c>
      <c r="E17" s="1031">
        <v>1750</v>
      </c>
      <c r="F17" s="1029">
        <v>2314</v>
      </c>
      <c r="G17" s="166">
        <v>1750</v>
      </c>
      <c r="H17" s="1675"/>
      <c r="I17" s="2215"/>
    </row>
    <row r="18" spans="1:12" ht="40.5" customHeight="1" x14ac:dyDescent="0.2">
      <c r="A18" s="496">
        <v>7</v>
      </c>
      <c r="B18" s="1032" t="s">
        <v>3036</v>
      </c>
      <c r="C18" s="261">
        <v>7115</v>
      </c>
      <c r="D18" s="1031">
        <v>7115</v>
      </c>
      <c r="E18" s="1031">
        <f>365*35.48+1</f>
        <v>12951.199999999999</v>
      </c>
      <c r="F18" s="1029">
        <v>7247</v>
      </c>
      <c r="G18" s="166">
        <v>12951</v>
      </c>
      <c r="H18" s="188" t="s">
        <v>3037</v>
      </c>
      <c r="I18" s="1030" t="s">
        <v>3038</v>
      </c>
    </row>
    <row r="19" spans="1:12" x14ac:dyDescent="0.2">
      <c r="A19" s="487"/>
      <c r="B19" s="487"/>
      <c r="C19" s="173"/>
      <c r="D19" s="173"/>
      <c r="E19" s="173"/>
      <c r="F19" s="173"/>
      <c r="G19" s="173"/>
      <c r="H19" s="173"/>
      <c r="I19" s="173"/>
    </row>
    <row r="20" spans="1:12" x14ac:dyDescent="0.2">
      <c r="A20" s="287" t="s">
        <v>129</v>
      </c>
      <c r="B20" s="287"/>
      <c r="C20" s="2207" t="s">
        <v>3039</v>
      </c>
      <c r="D20" s="2207"/>
      <c r="E20" s="2207"/>
      <c r="F20" s="2207"/>
      <c r="G20" s="2207"/>
      <c r="H20" s="2207"/>
      <c r="I20" s="2207"/>
    </row>
    <row r="21" spans="1:12" x14ac:dyDescent="0.2">
      <c r="A21" s="287" t="s">
        <v>131</v>
      </c>
      <c r="B21" s="287"/>
      <c r="C21" s="2208" t="s">
        <v>3040</v>
      </c>
      <c r="D21" s="2208"/>
      <c r="E21" s="2208"/>
      <c r="F21" s="2208"/>
      <c r="G21" s="2208"/>
      <c r="H21" s="2208"/>
      <c r="I21" s="2208"/>
    </row>
    <row r="22" spans="1:12" ht="48" x14ac:dyDescent="0.2">
      <c r="A22" s="426" t="s">
        <v>4</v>
      </c>
      <c r="B22" s="1026" t="s">
        <v>133</v>
      </c>
      <c r="C22" s="161" t="s">
        <v>17</v>
      </c>
      <c r="D22" s="161" t="s">
        <v>15</v>
      </c>
      <c r="E22" s="161" t="s">
        <v>134</v>
      </c>
      <c r="F22" s="161" t="s">
        <v>135</v>
      </c>
      <c r="G22" s="1489" t="s">
        <v>3510</v>
      </c>
      <c r="H22" s="161" t="s">
        <v>14</v>
      </c>
      <c r="I22" s="161" t="s">
        <v>137</v>
      </c>
    </row>
    <row r="23" spans="1:12" x14ac:dyDescent="0.2">
      <c r="A23" s="2209" t="s">
        <v>138</v>
      </c>
      <c r="B23" s="2210"/>
      <c r="C23" s="1027">
        <f>SUM(C24:C24)</f>
        <v>21337</v>
      </c>
      <c r="D23" s="1027">
        <f>SUM(D24:D24)</f>
        <v>14400</v>
      </c>
      <c r="E23" s="1027">
        <f>SUM(E24:E24)</f>
        <v>14400</v>
      </c>
      <c r="F23" s="1027"/>
      <c r="G23" s="1027">
        <f>SUM(G24:G24)</f>
        <v>14400</v>
      </c>
      <c r="H23" s="1027"/>
      <c r="I23" s="1033"/>
    </row>
    <row r="24" spans="1:12" ht="63" customHeight="1" x14ac:dyDescent="0.2">
      <c r="A24" s="496">
        <v>1</v>
      </c>
      <c r="B24" s="1034" t="s">
        <v>3041</v>
      </c>
      <c r="C24" s="252">
        <v>21337</v>
      </c>
      <c r="D24" s="166">
        <v>14400</v>
      </c>
      <c r="E24" s="166">
        <f>12*12*100</f>
        <v>14400</v>
      </c>
      <c r="F24" s="1029">
        <v>6255</v>
      </c>
      <c r="G24" s="166">
        <v>14400</v>
      </c>
      <c r="H24" s="188" t="s">
        <v>3042</v>
      </c>
      <c r="I24" s="1030" t="s">
        <v>3043</v>
      </c>
    </row>
    <row r="25" spans="1:12" x14ac:dyDescent="0.2">
      <c r="A25" s="487"/>
      <c r="B25" s="487"/>
      <c r="C25" s="173"/>
      <c r="D25" s="173"/>
      <c r="E25" s="173"/>
      <c r="F25" s="173"/>
      <c r="G25" s="174"/>
      <c r="H25" s="174"/>
      <c r="I25" s="173"/>
    </row>
    <row r="26" spans="1:12" x14ac:dyDescent="0.2">
      <c r="A26" s="287" t="s">
        <v>129</v>
      </c>
      <c r="B26" s="287"/>
      <c r="C26" s="1651" t="s">
        <v>3044</v>
      </c>
      <c r="D26" s="1651"/>
      <c r="E26" s="1651"/>
      <c r="F26" s="1651"/>
      <c r="G26" s="1651"/>
      <c r="H26" s="1651"/>
      <c r="I26" s="1651"/>
      <c r="J26" s="1651"/>
      <c r="K26" s="1651"/>
      <c r="L26" s="1651"/>
    </row>
    <row r="27" spans="1:12" x14ac:dyDescent="0.2">
      <c r="A27" s="287" t="s">
        <v>131</v>
      </c>
      <c r="B27" s="287"/>
      <c r="C27" s="2211" t="s">
        <v>297</v>
      </c>
      <c r="D27" s="2211"/>
      <c r="E27" s="2211"/>
      <c r="F27" s="2211"/>
      <c r="G27" s="2211"/>
      <c r="H27" s="2211"/>
      <c r="I27" s="2211"/>
    </row>
    <row r="28" spans="1:12" ht="48" x14ac:dyDescent="0.2">
      <c r="A28" s="426" t="s">
        <v>4</v>
      </c>
      <c r="B28" s="1026" t="s">
        <v>133</v>
      </c>
      <c r="C28" s="161" t="s">
        <v>17</v>
      </c>
      <c r="D28" s="161" t="s">
        <v>15</v>
      </c>
      <c r="E28" s="161" t="s">
        <v>134</v>
      </c>
      <c r="F28" s="161" t="s">
        <v>135</v>
      </c>
      <c r="G28" s="1489" t="s">
        <v>3510</v>
      </c>
      <c r="H28" s="161" t="s">
        <v>14</v>
      </c>
      <c r="I28" s="161" t="s">
        <v>137</v>
      </c>
    </row>
    <row r="29" spans="1:12" x14ac:dyDescent="0.2">
      <c r="A29" s="2209" t="s">
        <v>138</v>
      </c>
      <c r="B29" s="2210"/>
      <c r="C29" s="1027">
        <f>SUM(C30:C34)</f>
        <v>53982</v>
      </c>
      <c r="D29" s="1027">
        <f>SUM(D30:D34)</f>
        <v>50917</v>
      </c>
      <c r="E29" s="1027">
        <f>SUM(E30:E34)</f>
        <v>51239</v>
      </c>
      <c r="F29" s="1027"/>
      <c r="G29" s="1027">
        <f>SUM(G30:G34)</f>
        <v>51239</v>
      </c>
      <c r="H29" s="1027"/>
      <c r="I29" s="1033"/>
    </row>
    <row r="30" spans="1:12" ht="27.75" customHeight="1" x14ac:dyDescent="0.2">
      <c r="A30" s="496">
        <v>1</v>
      </c>
      <c r="B30" s="428" t="s">
        <v>3045</v>
      </c>
      <c r="C30" s="252">
        <v>9896</v>
      </c>
      <c r="D30" s="166">
        <v>9896</v>
      </c>
      <c r="E30" s="166">
        <f>72*12*12</f>
        <v>10368</v>
      </c>
      <c r="F30" s="1035">
        <v>6423</v>
      </c>
      <c r="G30" s="166">
        <v>10368</v>
      </c>
      <c r="H30" s="188" t="s">
        <v>3027</v>
      </c>
      <c r="I30" s="1030" t="s">
        <v>3046</v>
      </c>
    </row>
    <row r="31" spans="1:12" ht="27.75" customHeight="1" x14ac:dyDescent="0.2">
      <c r="A31" s="496">
        <v>2</v>
      </c>
      <c r="B31" s="428" t="s">
        <v>3047</v>
      </c>
      <c r="C31" s="252">
        <v>8550</v>
      </c>
      <c r="D31" s="166">
        <v>8550</v>
      </c>
      <c r="E31" s="166">
        <v>8550</v>
      </c>
      <c r="F31" s="1029">
        <v>6423</v>
      </c>
      <c r="G31" s="166">
        <v>8550</v>
      </c>
      <c r="H31" s="188" t="s">
        <v>3037</v>
      </c>
      <c r="I31" s="1030" t="s">
        <v>3048</v>
      </c>
    </row>
    <row r="32" spans="1:12" ht="50.25" customHeight="1" x14ac:dyDescent="0.2">
      <c r="A32" s="496">
        <v>3</v>
      </c>
      <c r="B32" s="252" t="s">
        <v>3601</v>
      </c>
      <c r="C32" s="252">
        <v>26376</v>
      </c>
      <c r="D32" s="166">
        <v>23311</v>
      </c>
      <c r="E32" s="166">
        <v>23311</v>
      </c>
      <c r="F32" s="1029">
        <v>6255</v>
      </c>
      <c r="G32" s="166">
        <v>23311</v>
      </c>
      <c r="H32" s="188" t="s">
        <v>3027</v>
      </c>
      <c r="I32" s="1036" t="s">
        <v>3049</v>
      </c>
    </row>
    <row r="33" spans="1:10" ht="48" x14ac:dyDescent="0.2">
      <c r="A33" s="496">
        <v>4</v>
      </c>
      <c r="B33" s="252" t="s">
        <v>3050</v>
      </c>
      <c r="C33" s="252">
        <v>1760</v>
      </c>
      <c r="D33" s="166">
        <v>1760</v>
      </c>
      <c r="E33" s="166">
        <v>1760</v>
      </c>
      <c r="F33" s="1029">
        <v>2279</v>
      </c>
      <c r="G33" s="166">
        <v>1760</v>
      </c>
      <c r="H33" s="188" t="s">
        <v>3027</v>
      </c>
      <c r="I33" s="1036"/>
      <c r="J33" s="1037" t="s">
        <v>3051</v>
      </c>
    </row>
    <row r="34" spans="1:10" ht="36.75" customHeight="1" x14ac:dyDescent="0.2">
      <c r="A34" s="496">
        <v>5</v>
      </c>
      <c r="B34" s="252" t="s">
        <v>3052</v>
      </c>
      <c r="C34" s="252">
        <v>7400</v>
      </c>
      <c r="D34" s="166">
        <v>7400</v>
      </c>
      <c r="E34" s="166">
        <v>7250</v>
      </c>
      <c r="F34" s="1029">
        <v>6255</v>
      </c>
      <c r="G34" s="166">
        <v>7250</v>
      </c>
      <c r="H34" s="188" t="s">
        <v>3027</v>
      </c>
      <c r="I34" s="1038" t="s">
        <v>3053</v>
      </c>
    </row>
    <row r="35" spans="1:10" x14ac:dyDescent="0.2">
      <c r="A35" s="274" t="s">
        <v>455</v>
      </c>
    </row>
    <row r="36" spans="1:10" x14ac:dyDescent="0.2">
      <c r="A36" s="1594" t="s">
        <v>3054</v>
      </c>
      <c r="B36" s="145"/>
      <c r="C36" s="145"/>
      <c r="D36" s="145"/>
    </row>
    <row r="37" spans="1:10" x14ac:dyDescent="0.2">
      <c r="A37" s="145"/>
      <c r="B37" s="145" t="s">
        <v>3055</v>
      </c>
      <c r="D37" s="145"/>
    </row>
    <row r="38" spans="1:10" x14ac:dyDescent="0.2">
      <c r="A38" s="145"/>
      <c r="B38" s="145"/>
      <c r="C38" s="145"/>
      <c r="D38" s="145"/>
    </row>
    <row r="39" spans="1:10" x14ac:dyDescent="0.2">
      <c r="A39" s="1594" t="s">
        <v>326</v>
      </c>
      <c r="B39" s="145"/>
      <c r="C39" s="145"/>
      <c r="D39" s="145"/>
    </row>
    <row r="40" spans="1:10" x14ac:dyDescent="0.2">
      <c r="A40" s="145"/>
      <c r="B40" s="145" t="s">
        <v>3056</v>
      </c>
      <c r="D40" s="145"/>
    </row>
    <row r="41" spans="1:10" x14ac:dyDescent="0.2">
      <c r="A41" s="145"/>
      <c r="B41" s="24" t="s">
        <v>3057</v>
      </c>
      <c r="C41" s="145"/>
      <c r="D41" s="145"/>
    </row>
    <row r="42" spans="1:10" x14ac:dyDescent="0.2">
      <c r="A42" s="145"/>
      <c r="B42" s="24" t="s">
        <v>3058</v>
      </c>
      <c r="D42" s="145"/>
    </row>
    <row r="43" spans="1:10" x14ac:dyDescent="0.2">
      <c r="A43" s="145"/>
      <c r="B43" s="24" t="s">
        <v>3059</v>
      </c>
      <c r="D43" s="145"/>
    </row>
    <row r="44" spans="1:10" ht="12.75" x14ac:dyDescent="0.2">
      <c r="A44" s="1039"/>
      <c r="B44" s="24" t="s">
        <v>3060</v>
      </c>
      <c r="D44" s="1040"/>
    </row>
    <row r="45" spans="1:10" ht="12.75" x14ac:dyDescent="0.2">
      <c r="A45" s="1039"/>
      <c r="B45" s="24" t="s">
        <v>3061</v>
      </c>
      <c r="D45" s="1040"/>
    </row>
    <row r="46" spans="1:10" ht="12.75" x14ac:dyDescent="0.2">
      <c r="A46" s="1039"/>
      <c r="B46" s="24" t="s">
        <v>3062</v>
      </c>
      <c r="D46" s="1040"/>
    </row>
  </sheetData>
  <sheetProtection algorithmName="SHA-512" hashValue="ngD2L4rec5MsbIHftzTZigy6rZeX/vjAuraKwgcqnARNo9WUBhWo4FqzkLcuM3N8rqw20Q06iVJMYDJsu1lhSA==" saltValue="VRB0SMULxUcExlb3cP3fTw==" spinCount="100000" sheet="1" objects="1" scenarios="1"/>
  <mergeCells count="20">
    <mergeCell ref="C5:I5"/>
    <mergeCell ref="A1:B1"/>
    <mergeCell ref="C1:I1"/>
    <mergeCell ref="A2:B2"/>
    <mergeCell ref="C2:I2"/>
    <mergeCell ref="A3:I3"/>
    <mergeCell ref="C6:I6"/>
    <mergeCell ref="C7:I7"/>
    <mergeCell ref="A9:B9"/>
    <mergeCell ref="I10:I11"/>
    <mergeCell ref="A15:A17"/>
    <mergeCell ref="B15:B17"/>
    <mergeCell ref="H15:H17"/>
    <mergeCell ref="I15:I17"/>
    <mergeCell ref="C20:I20"/>
    <mergeCell ref="C21:I21"/>
    <mergeCell ref="A23:B23"/>
    <mergeCell ref="C27:I27"/>
    <mergeCell ref="A29:B29"/>
    <mergeCell ref="C26:L26"/>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29.pielikums Jūrmalas pilsētas domes
2018.gada 18.decembra saistošajiem noteikumiem Nr.44
(protokols Nr.17, 2.punkts)</oddHeader>
    <oddFooter xml:space="preserve">&amp;R&amp;"Times New Roman,Regular"&amp;8&amp;P (&amp;N)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9"/>
  <sheetViews>
    <sheetView view="pageLayout" zoomScaleNormal="100" workbookViewId="0">
      <selection activeCell="O9" sqref="O9"/>
    </sheetView>
  </sheetViews>
  <sheetFormatPr defaultRowHeight="12" x14ac:dyDescent="0.2"/>
  <cols>
    <col min="1" max="1" width="6.14062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9.7109375" style="274" customWidth="1"/>
    <col min="8" max="8" width="19.140625" style="274" customWidth="1"/>
    <col min="9" max="9" width="28.7109375" style="274" hidden="1" customWidth="1"/>
    <col min="10" max="16384" width="9.140625" style="274"/>
  </cols>
  <sheetData>
    <row r="1" spans="1:9" x14ac:dyDescent="0.2">
      <c r="A1" s="1903" t="s">
        <v>438</v>
      </c>
      <c r="B1" s="1903"/>
      <c r="C1" s="1903" t="s">
        <v>3018</v>
      </c>
      <c r="D1" s="1903"/>
      <c r="E1" s="1903"/>
      <c r="F1" s="1903"/>
      <c r="G1" s="1903"/>
      <c r="H1" s="1903"/>
      <c r="I1" s="1903"/>
    </row>
    <row r="2" spans="1:9" x14ac:dyDescent="0.2">
      <c r="A2" s="1903" t="s">
        <v>439</v>
      </c>
      <c r="B2" s="1903"/>
      <c r="C2" s="1903">
        <v>90000594245</v>
      </c>
      <c r="D2" s="1903"/>
      <c r="E2" s="1903"/>
      <c r="F2" s="1903"/>
      <c r="G2" s="1903"/>
      <c r="H2" s="1903"/>
      <c r="I2" s="1903"/>
    </row>
    <row r="3" spans="1:9" ht="15.75" x14ac:dyDescent="0.25">
      <c r="A3" s="1905" t="s">
        <v>3639</v>
      </c>
      <c r="B3" s="1905"/>
      <c r="C3" s="1905"/>
      <c r="D3" s="1905"/>
      <c r="E3" s="1905"/>
      <c r="F3" s="1905"/>
      <c r="G3" s="1905"/>
      <c r="H3" s="1905"/>
      <c r="I3" s="1905"/>
    </row>
    <row r="4" spans="1:9" ht="15.75" x14ac:dyDescent="0.25">
      <c r="A4" s="421"/>
      <c r="B4" s="421"/>
      <c r="C4" s="421"/>
      <c r="D4" s="421"/>
      <c r="E4" s="421"/>
      <c r="F4" s="421"/>
      <c r="G4" s="421"/>
      <c r="H4" s="421"/>
      <c r="I4" s="421"/>
    </row>
    <row r="5" spans="1:9" ht="15.75" x14ac:dyDescent="0.25">
      <c r="A5" s="287" t="s">
        <v>440</v>
      </c>
      <c r="B5" s="287"/>
      <c r="C5" s="2235" t="s">
        <v>3063</v>
      </c>
      <c r="D5" s="2235"/>
      <c r="E5" s="2235"/>
      <c r="F5" s="2235"/>
      <c r="G5" s="2235"/>
      <c r="H5" s="2235"/>
      <c r="I5" s="2235"/>
    </row>
    <row r="6" spans="1:9" x14ac:dyDescent="0.2">
      <c r="A6" s="287" t="s">
        <v>129</v>
      </c>
      <c r="B6" s="287"/>
      <c r="C6" s="2236" t="s">
        <v>3064</v>
      </c>
      <c r="D6" s="2236"/>
      <c r="E6" s="2236"/>
      <c r="F6" s="2236"/>
      <c r="G6" s="2236"/>
      <c r="H6" s="2236"/>
      <c r="I6" s="2236"/>
    </row>
    <row r="7" spans="1:9" x14ac:dyDescent="0.2">
      <c r="A7" s="287" t="s">
        <v>131</v>
      </c>
      <c r="B7" s="287"/>
      <c r="C7" s="2208" t="s">
        <v>3065</v>
      </c>
      <c r="D7" s="2208"/>
      <c r="E7" s="2208"/>
      <c r="F7" s="2208"/>
      <c r="G7" s="2208"/>
      <c r="H7" s="2208"/>
      <c r="I7" s="2208"/>
    </row>
    <row r="8" spans="1:9" ht="48" x14ac:dyDescent="0.2">
      <c r="A8" s="426" t="s">
        <v>4</v>
      </c>
      <c r="B8" s="1026" t="s">
        <v>133</v>
      </c>
      <c r="C8" s="161" t="s">
        <v>17</v>
      </c>
      <c r="D8" s="161" t="s">
        <v>15</v>
      </c>
      <c r="E8" s="161" t="s">
        <v>134</v>
      </c>
      <c r="F8" s="161" t="s">
        <v>135</v>
      </c>
      <c r="G8" s="161" t="s">
        <v>3510</v>
      </c>
      <c r="H8" s="161" t="s">
        <v>14</v>
      </c>
      <c r="I8" s="161" t="s">
        <v>137</v>
      </c>
    </row>
    <row r="9" spans="1:9" ht="12.75" customHeight="1" x14ac:dyDescent="0.2">
      <c r="A9" s="2209" t="s">
        <v>138</v>
      </c>
      <c r="B9" s="2210"/>
      <c r="C9" s="1027">
        <f>SUM(C10:C12)</f>
        <v>5586</v>
      </c>
      <c r="D9" s="1027">
        <f>SUM(D10:D12)</f>
        <v>5586</v>
      </c>
      <c r="E9" s="1027">
        <f>SUM(E10:E12)</f>
        <v>5802</v>
      </c>
      <c r="F9" s="1027"/>
      <c r="G9" s="1027">
        <f>SUM(G10:G12)</f>
        <v>5802</v>
      </c>
      <c r="H9" s="1027"/>
      <c r="I9" s="1033"/>
    </row>
    <row r="10" spans="1:9" ht="12" customHeight="1" x14ac:dyDescent="0.2">
      <c r="A10" s="1894">
        <v>1</v>
      </c>
      <c r="B10" s="2224" t="s">
        <v>3066</v>
      </c>
      <c r="C10" s="162">
        <v>1500</v>
      </c>
      <c r="D10" s="188">
        <v>1500</v>
      </c>
      <c r="E10" s="188">
        <v>1500</v>
      </c>
      <c r="F10" s="1029">
        <v>6259</v>
      </c>
      <c r="G10" s="166">
        <v>1500</v>
      </c>
      <c r="H10" s="2221" t="s">
        <v>3067</v>
      </c>
      <c r="I10" s="2226" t="s">
        <v>3068</v>
      </c>
    </row>
    <row r="11" spans="1:9" ht="12" customHeight="1" x14ac:dyDescent="0.2">
      <c r="A11" s="1896"/>
      <c r="B11" s="2225"/>
      <c r="C11" s="162">
        <v>1710</v>
      </c>
      <c r="D11" s="188">
        <v>1710</v>
      </c>
      <c r="E11" s="188">
        <v>1710</v>
      </c>
      <c r="F11" s="1029">
        <v>6423</v>
      </c>
      <c r="G11" s="166">
        <v>1710</v>
      </c>
      <c r="H11" s="2222"/>
      <c r="I11" s="2227"/>
    </row>
    <row r="12" spans="1:9" ht="27" customHeight="1" x14ac:dyDescent="0.2">
      <c r="A12" s="496">
        <v>2</v>
      </c>
      <c r="B12" s="1042" t="s">
        <v>3069</v>
      </c>
      <c r="C12" s="162">
        <v>2376</v>
      </c>
      <c r="D12" s="188">
        <v>2376</v>
      </c>
      <c r="E12" s="188">
        <v>2592</v>
      </c>
      <c r="F12" s="1029">
        <v>6423</v>
      </c>
      <c r="G12" s="166">
        <v>2592</v>
      </c>
      <c r="H12" s="2223"/>
      <c r="I12" s="1030" t="s">
        <v>3070</v>
      </c>
    </row>
    <row r="13" spans="1:9" x14ac:dyDescent="0.2">
      <c r="A13" s="487"/>
      <c r="B13" s="487"/>
      <c r="C13" s="173"/>
      <c r="D13" s="173"/>
      <c r="E13" s="173"/>
      <c r="F13" s="173"/>
      <c r="G13" s="173"/>
      <c r="H13" s="173"/>
      <c r="I13" s="173"/>
    </row>
    <row r="14" spans="1:9" x14ac:dyDescent="0.2">
      <c r="A14" s="287" t="s">
        <v>129</v>
      </c>
      <c r="B14" s="287"/>
      <c r="C14" s="2207" t="s">
        <v>3071</v>
      </c>
      <c r="D14" s="2207"/>
      <c r="E14" s="2207"/>
      <c r="F14" s="2207"/>
      <c r="G14" s="2207"/>
      <c r="H14" s="2207"/>
      <c r="I14" s="2207"/>
    </row>
    <row r="15" spans="1:9" x14ac:dyDescent="0.2">
      <c r="A15" s="287" t="s">
        <v>131</v>
      </c>
      <c r="B15" s="287"/>
      <c r="C15" s="2208" t="s">
        <v>3072</v>
      </c>
      <c r="D15" s="2208"/>
      <c r="E15" s="2208"/>
      <c r="F15" s="2208"/>
      <c r="G15" s="2208"/>
      <c r="H15" s="2208"/>
      <c r="I15" s="2208"/>
    </row>
    <row r="16" spans="1:9" ht="48" x14ac:dyDescent="0.2">
      <c r="A16" s="426" t="s">
        <v>4</v>
      </c>
      <c r="B16" s="1026" t="s">
        <v>133</v>
      </c>
      <c r="C16" s="161" t="s">
        <v>17</v>
      </c>
      <c r="D16" s="161" t="s">
        <v>15</v>
      </c>
      <c r="E16" s="161" t="s">
        <v>134</v>
      </c>
      <c r="F16" s="161" t="s">
        <v>135</v>
      </c>
      <c r="G16" s="1489" t="s">
        <v>3510</v>
      </c>
      <c r="H16" s="161" t="s">
        <v>14</v>
      </c>
      <c r="I16" s="161" t="s">
        <v>137</v>
      </c>
    </row>
    <row r="17" spans="1:9" ht="12.75" customHeight="1" x14ac:dyDescent="0.2">
      <c r="A17" s="2209" t="s">
        <v>138</v>
      </c>
      <c r="B17" s="2210"/>
      <c r="C17" s="1027">
        <f>SUM(C18:C20)</f>
        <v>582000</v>
      </c>
      <c r="D17" s="1027">
        <f>SUM(D18:D20)</f>
        <v>514800</v>
      </c>
      <c r="E17" s="1027">
        <f>SUM(E18:E20)</f>
        <v>533050</v>
      </c>
      <c r="F17" s="1027"/>
      <c r="G17" s="1027">
        <f>SUM(G18:G20)</f>
        <v>533050</v>
      </c>
      <c r="H17" s="1027"/>
      <c r="I17" s="1033"/>
    </row>
    <row r="18" spans="1:9" ht="12" customHeight="1" x14ac:dyDescent="0.2">
      <c r="A18" s="1894">
        <v>1</v>
      </c>
      <c r="B18" s="2230" t="s">
        <v>3073</v>
      </c>
      <c r="C18" s="162">
        <v>37000</v>
      </c>
      <c r="D18" s="188">
        <v>37000</v>
      </c>
      <c r="E18" s="188">
        <v>37000</v>
      </c>
      <c r="F18" s="1029">
        <v>6252</v>
      </c>
      <c r="G18" s="166">
        <v>37000</v>
      </c>
      <c r="H18" s="1674" t="s">
        <v>3067</v>
      </c>
      <c r="I18" s="2226" t="s">
        <v>3074</v>
      </c>
    </row>
    <row r="19" spans="1:9" ht="12" customHeight="1" x14ac:dyDescent="0.2">
      <c r="A19" s="1896"/>
      <c r="B19" s="2231"/>
      <c r="C19" s="162">
        <v>15000</v>
      </c>
      <c r="D19" s="188">
        <v>15000</v>
      </c>
      <c r="E19" s="188">
        <v>15000</v>
      </c>
      <c r="F19" s="1045">
        <v>6423</v>
      </c>
      <c r="G19" s="166">
        <v>15000</v>
      </c>
      <c r="H19" s="1774"/>
      <c r="I19" s="2227"/>
    </row>
    <row r="20" spans="1:9" ht="25.5" customHeight="1" x14ac:dyDescent="0.2">
      <c r="A20" s="820">
        <v>2</v>
      </c>
      <c r="B20" s="1044" t="s">
        <v>3075</v>
      </c>
      <c r="C20" s="162">
        <v>530000</v>
      </c>
      <c r="D20" s="188">
        <v>462800</v>
      </c>
      <c r="E20" s="188">
        <f>D20+18250</f>
        <v>481050</v>
      </c>
      <c r="F20" s="1045">
        <v>6423</v>
      </c>
      <c r="G20" s="166">
        <v>481050</v>
      </c>
      <c r="H20" s="1675"/>
      <c r="I20" s="1046" t="s">
        <v>3076</v>
      </c>
    </row>
    <row r="21" spans="1:9" x14ac:dyDescent="0.2">
      <c r="A21" s="487"/>
      <c r="B21" s="487"/>
      <c r="C21" s="173"/>
      <c r="D21" s="173"/>
      <c r="E21" s="173"/>
      <c r="F21" s="173"/>
      <c r="G21" s="173"/>
      <c r="H21" s="173"/>
      <c r="I21" s="173"/>
    </row>
    <row r="22" spans="1:9" x14ac:dyDescent="0.2">
      <c r="A22" s="287" t="s">
        <v>129</v>
      </c>
      <c r="B22" s="287"/>
      <c r="C22" s="2229" t="s">
        <v>3020</v>
      </c>
      <c r="D22" s="2229"/>
      <c r="E22" s="2229"/>
      <c r="F22" s="2229"/>
      <c r="G22" s="2229"/>
      <c r="H22" s="2229"/>
      <c r="I22" s="2229"/>
    </row>
    <row r="23" spans="1:9" x14ac:dyDescent="0.2">
      <c r="A23" s="287" t="s">
        <v>131</v>
      </c>
      <c r="B23" s="287"/>
      <c r="C23" s="2208" t="s">
        <v>3021</v>
      </c>
      <c r="D23" s="2208"/>
      <c r="E23" s="2208"/>
      <c r="F23" s="2208"/>
      <c r="G23" s="2208"/>
      <c r="H23" s="2208"/>
      <c r="I23" s="2208"/>
    </row>
    <row r="24" spans="1:9" ht="48" x14ac:dyDescent="0.2">
      <c r="A24" s="426" t="s">
        <v>4</v>
      </c>
      <c r="B24" s="1026" t="s">
        <v>133</v>
      </c>
      <c r="C24" s="161" t="s">
        <v>17</v>
      </c>
      <c r="D24" s="161" t="s">
        <v>15</v>
      </c>
      <c r="E24" s="161" t="s">
        <v>134</v>
      </c>
      <c r="F24" s="161" t="s">
        <v>135</v>
      </c>
      <c r="G24" s="1489" t="s">
        <v>3510</v>
      </c>
      <c r="H24" s="161" t="s">
        <v>14</v>
      </c>
      <c r="I24" s="161" t="s">
        <v>137</v>
      </c>
    </row>
    <row r="25" spans="1:9" ht="12.75" customHeight="1" x14ac:dyDescent="0.2">
      <c r="A25" s="2209" t="s">
        <v>138</v>
      </c>
      <c r="B25" s="2210"/>
      <c r="C25" s="1027">
        <f>SUM(C26:C30)</f>
        <v>86200</v>
      </c>
      <c r="D25" s="1027">
        <f>SUM(D26:D30)</f>
        <v>84370</v>
      </c>
      <c r="E25" s="1027">
        <f>SUM(E26:E30)</f>
        <v>84435</v>
      </c>
      <c r="F25" s="1027"/>
      <c r="G25" s="1027">
        <f>SUM(G26:G30)</f>
        <v>80265</v>
      </c>
      <c r="H25" s="1027"/>
      <c r="I25" s="1033"/>
    </row>
    <row r="26" spans="1:9" ht="26.25" customHeight="1" x14ac:dyDescent="0.2">
      <c r="A26" s="496">
        <v>1</v>
      </c>
      <c r="B26" s="252" t="s">
        <v>3077</v>
      </c>
      <c r="C26" s="162">
        <v>29000</v>
      </c>
      <c r="D26" s="188">
        <v>27170</v>
      </c>
      <c r="E26" s="188">
        <v>27170</v>
      </c>
      <c r="F26" s="1041">
        <v>6260</v>
      </c>
      <c r="G26" s="166">
        <v>27000</v>
      </c>
      <c r="H26" s="1043" t="s">
        <v>3067</v>
      </c>
      <c r="I26" s="1030" t="s">
        <v>3078</v>
      </c>
    </row>
    <row r="27" spans="1:9" ht="26.25" customHeight="1" x14ac:dyDescent="0.2">
      <c r="A27" s="1047">
        <v>2</v>
      </c>
      <c r="B27" s="428" t="s">
        <v>3073</v>
      </c>
      <c r="C27" s="162">
        <v>9500</v>
      </c>
      <c r="D27" s="188">
        <v>9500</v>
      </c>
      <c r="E27" s="188">
        <v>9500</v>
      </c>
      <c r="F27" s="1041">
        <v>6252</v>
      </c>
      <c r="G27" s="166">
        <v>9500</v>
      </c>
      <c r="H27" s="1048" t="s">
        <v>3067</v>
      </c>
      <c r="I27" s="1030" t="s">
        <v>3079</v>
      </c>
    </row>
    <row r="28" spans="1:9" ht="26.25" customHeight="1" x14ac:dyDescent="0.2">
      <c r="A28" s="496">
        <v>3</v>
      </c>
      <c r="B28" s="428" t="s">
        <v>3080</v>
      </c>
      <c r="C28" s="162">
        <v>20500</v>
      </c>
      <c r="D28" s="188">
        <v>20500</v>
      </c>
      <c r="E28" s="188">
        <v>20500</v>
      </c>
      <c r="F28" s="1041">
        <v>6423</v>
      </c>
      <c r="G28" s="166">
        <v>20500</v>
      </c>
      <c r="H28" s="1043" t="s">
        <v>3067</v>
      </c>
      <c r="I28" s="1030" t="s">
        <v>3081</v>
      </c>
    </row>
    <row r="29" spans="1:9" ht="26.25" customHeight="1" x14ac:dyDescent="0.2">
      <c r="A29" s="496">
        <v>4</v>
      </c>
      <c r="B29" s="428" t="s">
        <v>3082</v>
      </c>
      <c r="C29" s="252">
        <v>18700</v>
      </c>
      <c r="D29" s="166">
        <v>18700</v>
      </c>
      <c r="E29" s="166">
        <v>18765</v>
      </c>
      <c r="F29" s="1041">
        <v>6423</v>
      </c>
      <c r="G29" s="166">
        <v>18765</v>
      </c>
      <c r="H29" s="1043" t="s">
        <v>3083</v>
      </c>
      <c r="I29" s="1030" t="s">
        <v>3084</v>
      </c>
    </row>
    <row r="30" spans="1:9" ht="26.25" customHeight="1" x14ac:dyDescent="0.2">
      <c r="A30" s="470">
        <v>5</v>
      </c>
      <c r="B30" s="1049" t="s">
        <v>3085</v>
      </c>
      <c r="C30" s="166">
        <v>8500</v>
      </c>
      <c r="D30" s="166">
        <v>8500</v>
      </c>
      <c r="E30" s="166">
        <v>8500</v>
      </c>
      <c r="F30" s="1041">
        <v>6259</v>
      </c>
      <c r="G30" s="166">
        <v>4500</v>
      </c>
      <c r="H30" s="188" t="s">
        <v>3067</v>
      </c>
      <c r="I30" s="1033" t="s">
        <v>3086</v>
      </c>
    </row>
    <row r="31" spans="1:9" x14ac:dyDescent="0.2">
      <c r="A31" s="487"/>
      <c r="B31" s="487"/>
      <c r="C31" s="173"/>
      <c r="D31" s="173"/>
      <c r="E31" s="173"/>
      <c r="F31" s="173"/>
      <c r="G31" s="173"/>
      <c r="H31" s="173"/>
      <c r="I31" s="173"/>
    </row>
    <row r="32" spans="1:9" x14ac:dyDescent="0.2">
      <c r="A32" s="287" t="s">
        <v>129</v>
      </c>
      <c r="B32" s="287"/>
      <c r="C32" s="2207" t="s">
        <v>3039</v>
      </c>
      <c r="D32" s="2207"/>
      <c r="E32" s="2207"/>
      <c r="F32" s="2207"/>
      <c r="G32" s="2207"/>
      <c r="H32" s="2207"/>
      <c r="I32" s="2207"/>
    </row>
    <row r="33" spans="1:11" x14ac:dyDescent="0.2">
      <c r="A33" s="287" t="s">
        <v>131</v>
      </c>
      <c r="B33" s="287"/>
      <c r="C33" s="2208" t="s">
        <v>3040</v>
      </c>
      <c r="D33" s="2208"/>
      <c r="E33" s="2208"/>
      <c r="F33" s="2208"/>
      <c r="G33" s="2208"/>
      <c r="H33" s="2208"/>
      <c r="I33" s="2208"/>
    </row>
    <row r="34" spans="1:11" ht="48" x14ac:dyDescent="0.2">
      <c r="A34" s="426" t="s">
        <v>4</v>
      </c>
      <c r="B34" s="1026" t="s">
        <v>133</v>
      </c>
      <c r="C34" s="161" t="s">
        <v>17</v>
      </c>
      <c r="D34" s="161" t="s">
        <v>15</v>
      </c>
      <c r="E34" s="161" t="s">
        <v>134</v>
      </c>
      <c r="F34" s="161" t="s">
        <v>135</v>
      </c>
      <c r="G34" s="1489" t="s">
        <v>3510</v>
      </c>
      <c r="H34" s="161" t="s">
        <v>14</v>
      </c>
      <c r="I34" s="161" t="s">
        <v>137</v>
      </c>
    </row>
    <row r="35" spans="1:11" x14ac:dyDescent="0.2">
      <c r="A35" s="2209" t="s">
        <v>138</v>
      </c>
      <c r="B35" s="2210"/>
      <c r="C35" s="1027">
        <f>SUM(C36:C40)</f>
        <v>237200</v>
      </c>
      <c r="D35" s="1027">
        <f>SUM(D36:D40)</f>
        <v>233200</v>
      </c>
      <c r="E35" s="1027">
        <f>SUM(E36:E40)</f>
        <v>233200</v>
      </c>
      <c r="F35" s="1027"/>
      <c r="G35" s="1027">
        <f>SUM(G36:G40)</f>
        <v>230200</v>
      </c>
      <c r="H35" s="1027"/>
      <c r="I35" s="1033"/>
    </row>
    <row r="36" spans="1:11" ht="11.25" customHeight="1" x14ac:dyDescent="0.2">
      <c r="A36" s="1762">
        <v>1</v>
      </c>
      <c r="B36" s="1960" t="s">
        <v>3087</v>
      </c>
      <c r="C36" s="188">
        <v>204200</v>
      </c>
      <c r="D36" s="188">
        <v>204200</v>
      </c>
      <c r="E36" s="188">
        <v>204200</v>
      </c>
      <c r="F36" s="1045">
        <v>6360</v>
      </c>
      <c r="G36" s="166">
        <v>204200</v>
      </c>
      <c r="H36" s="2221" t="s">
        <v>3067</v>
      </c>
      <c r="I36" s="1030" t="s">
        <v>3088</v>
      </c>
    </row>
    <row r="37" spans="1:11" ht="11.25" customHeight="1" x14ac:dyDescent="0.2">
      <c r="A37" s="1763"/>
      <c r="B37" s="2228"/>
      <c r="C37" s="188">
        <v>3000</v>
      </c>
      <c r="D37" s="188">
        <v>2000</v>
      </c>
      <c r="E37" s="188">
        <v>2000</v>
      </c>
      <c r="F37" s="1045">
        <v>6270</v>
      </c>
      <c r="G37" s="166">
        <v>2000</v>
      </c>
      <c r="H37" s="2222"/>
      <c r="I37" s="1030" t="s">
        <v>3088</v>
      </c>
    </row>
    <row r="38" spans="1:11" ht="11.25" customHeight="1" x14ac:dyDescent="0.2">
      <c r="A38" s="1763"/>
      <c r="B38" s="2228"/>
      <c r="C38" s="188">
        <v>1000</v>
      </c>
      <c r="D38" s="188">
        <v>1000</v>
      </c>
      <c r="E38" s="188">
        <v>1000</v>
      </c>
      <c r="F38" s="1045">
        <v>6324</v>
      </c>
      <c r="G38" s="166">
        <v>1000</v>
      </c>
      <c r="H38" s="2222"/>
      <c r="I38" s="1030" t="s">
        <v>3089</v>
      </c>
    </row>
    <row r="39" spans="1:11" ht="11.25" customHeight="1" x14ac:dyDescent="0.2">
      <c r="A39" s="1763"/>
      <c r="B39" s="2228"/>
      <c r="C39" s="188">
        <v>1000</v>
      </c>
      <c r="D39" s="188">
        <v>1000</v>
      </c>
      <c r="E39" s="188">
        <v>1000</v>
      </c>
      <c r="F39" s="1045">
        <v>6255</v>
      </c>
      <c r="G39" s="166">
        <v>1000</v>
      </c>
      <c r="H39" s="2222"/>
      <c r="I39" s="1030" t="s">
        <v>3090</v>
      </c>
    </row>
    <row r="40" spans="1:11" ht="11.25" customHeight="1" x14ac:dyDescent="0.2">
      <c r="A40" s="1779"/>
      <c r="B40" s="1961"/>
      <c r="C40" s="188">
        <v>28000</v>
      </c>
      <c r="D40" s="188">
        <v>25000</v>
      </c>
      <c r="E40" s="188">
        <v>25000</v>
      </c>
      <c r="F40" s="1045">
        <v>6423</v>
      </c>
      <c r="G40" s="166">
        <v>22000</v>
      </c>
      <c r="H40" s="2223"/>
      <c r="I40" s="1030" t="s">
        <v>3091</v>
      </c>
    </row>
    <row r="41" spans="1:11" x14ac:dyDescent="0.2">
      <c r="A41" s="487"/>
      <c r="B41" s="487"/>
      <c r="C41" s="173"/>
      <c r="D41" s="173"/>
      <c r="E41" s="173"/>
      <c r="F41" s="173"/>
      <c r="G41" s="174"/>
      <c r="H41" s="174"/>
      <c r="I41" s="173"/>
    </row>
    <row r="42" spans="1:11" x14ac:dyDescent="0.2">
      <c r="A42" s="287" t="s">
        <v>129</v>
      </c>
      <c r="B42" s="287"/>
      <c r="C42" s="2207" t="s">
        <v>3092</v>
      </c>
      <c r="D42" s="2207"/>
      <c r="E42" s="2207"/>
      <c r="F42" s="2207"/>
      <c r="G42" s="2207"/>
      <c r="H42" s="2207"/>
      <c r="I42" s="2207"/>
      <c r="J42" s="2207"/>
      <c r="K42" s="2207"/>
    </row>
    <row r="43" spans="1:11" x14ac:dyDescent="0.2">
      <c r="A43" s="287" t="s">
        <v>131</v>
      </c>
      <c r="B43" s="287"/>
      <c r="C43" s="2208" t="s">
        <v>3093</v>
      </c>
      <c r="D43" s="2208"/>
      <c r="E43" s="2208"/>
      <c r="F43" s="2208"/>
      <c r="G43" s="2208"/>
      <c r="H43" s="2208"/>
      <c r="I43" s="2208"/>
    </row>
    <row r="44" spans="1:11" ht="48" x14ac:dyDescent="0.2">
      <c r="A44" s="426" t="s">
        <v>4</v>
      </c>
      <c r="B44" s="1026" t="s">
        <v>133</v>
      </c>
      <c r="C44" s="161" t="s">
        <v>17</v>
      </c>
      <c r="D44" s="161" t="s">
        <v>15</v>
      </c>
      <c r="E44" s="161" t="s">
        <v>134</v>
      </c>
      <c r="F44" s="161" t="s">
        <v>135</v>
      </c>
      <c r="G44" s="1489" t="s">
        <v>3510</v>
      </c>
      <c r="H44" s="161" t="s">
        <v>14</v>
      </c>
      <c r="I44" s="161" t="s">
        <v>137</v>
      </c>
    </row>
    <row r="45" spans="1:11" x14ac:dyDescent="0.2">
      <c r="A45" s="2209" t="s">
        <v>138</v>
      </c>
      <c r="B45" s="2210"/>
      <c r="C45" s="1027">
        <f>SUM(C46:C50)</f>
        <v>93970</v>
      </c>
      <c r="D45" s="1027">
        <f>SUM(D46:D50)</f>
        <v>89970</v>
      </c>
      <c r="E45" s="1027">
        <f>SUM(E46:E50)</f>
        <v>90420</v>
      </c>
      <c r="F45" s="1027"/>
      <c r="G45" s="1027">
        <f>SUM(G46:G50)</f>
        <v>88470</v>
      </c>
      <c r="H45" s="1027"/>
      <c r="I45" s="1033"/>
    </row>
    <row r="46" spans="1:11" ht="24.75" customHeight="1" x14ac:dyDescent="0.2">
      <c r="A46" s="496">
        <v>1</v>
      </c>
      <c r="B46" s="252" t="s">
        <v>3077</v>
      </c>
      <c r="C46" s="162">
        <v>56000</v>
      </c>
      <c r="D46" s="188">
        <v>52000</v>
      </c>
      <c r="E46" s="188">
        <v>52000</v>
      </c>
      <c r="F46" s="1029">
        <v>6260</v>
      </c>
      <c r="G46" s="166">
        <v>52000</v>
      </c>
      <c r="H46" s="2221" t="s">
        <v>3067</v>
      </c>
      <c r="I46" s="1030" t="s">
        <v>3094</v>
      </c>
    </row>
    <row r="47" spans="1:11" ht="13.5" customHeight="1" x14ac:dyDescent="0.2">
      <c r="A47" s="496">
        <v>2</v>
      </c>
      <c r="B47" s="428" t="s">
        <v>3073</v>
      </c>
      <c r="C47" s="162">
        <v>6970</v>
      </c>
      <c r="D47" s="188">
        <v>6970</v>
      </c>
      <c r="E47" s="188">
        <v>6970</v>
      </c>
      <c r="F47" s="1029">
        <v>6252</v>
      </c>
      <c r="G47" s="166">
        <v>6970</v>
      </c>
      <c r="H47" s="2222"/>
      <c r="I47" s="1030" t="s">
        <v>3095</v>
      </c>
    </row>
    <row r="48" spans="1:11" ht="13.5" customHeight="1" x14ac:dyDescent="0.2">
      <c r="A48" s="496">
        <v>3</v>
      </c>
      <c r="B48" s="428" t="s">
        <v>3096</v>
      </c>
      <c r="C48" s="162">
        <v>12500</v>
      </c>
      <c r="D48" s="188">
        <v>12500</v>
      </c>
      <c r="E48" s="188">
        <v>12950</v>
      </c>
      <c r="F48" s="1029">
        <v>6423</v>
      </c>
      <c r="G48" s="166">
        <v>12500</v>
      </c>
      <c r="H48" s="2222"/>
      <c r="I48" s="1030" t="s">
        <v>3097</v>
      </c>
    </row>
    <row r="49" spans="1:9" ht="21" customHeight="1" x14ac:dyDescent="0.2">
      <c r="A49" s="1762">
        <v>4</v>
      </c>
      <c r="B49" s="2224" t="s">
        <v>3098</v>
      </c>
      <c r="C49" s="162">
        <v>6700</v>
      </c>
      <c r="D49" s="188">
        <v>6700</v>
      </c>
      <c r="E49" s="188">
        <v>6700</v>
      </c>
      <c r="F49" s="1041">
        <v>6254</v>
      </c>
      <c r="G49" s="166">
        <v>6000</v>
      </c>
      <c r="H49" s="2222"/>
      <c r="I49" s="2226" t="s">
        <v>3088</v>
      </c>
    </row>
    <row r="50" spans="1:9" ht="17.25" customHeight="1" x14ac:dyDescent="0.2">
      <c r="A50" s="1779"/>
      <c r="B50" s="2225"/>
      <c r="C50" s="162">
        <v>11800</v>
      </c>
      <c r="D50" s="188">
        <v>11800</v>
      </c>
      <c r="E50" s="188">
        <v>11800</v>
      </c>
      <c r="F50" s="1041">
        <v>6423</v>
      </c>
      <c r="G50" s="166">
        <v>11000</v>
      </c>
      <c r="H50" s="2223"/>
      <c r="I50" s="2227"/>
    </row>
    <row r="51" spans="1:9" x14ac:dyDescent="0.2">
      <c r="A51" s="487"/>
      <c r="B51" s="487"/>
      <c r="C51" s="173"/>
      <c r="D51" s="173"/>
      <c r="E51" s="173"/>
      <c r="F51" s="173"/>
      <c r="G51" s="174"/>
      <c r="H51" s="174"/>
      <c r="I51" s="173"/>
    </row>
    <row r="52" spans="1:9" x14ac:dyDescent="0.2">
      <c r="A52" s="287" t="s">
        <v>129</v>
      </c>
      <c r="B52" s="287"/>
      <c r="C52" s="2207" t="s">
        <v>3099</v>
      </c>
      <c r="D52" s="2207"/>
      <c r="E52" s="2207"/>
      <c r="F52" s="2207"/>
      <c r="G52" s="2207"/>
      <c r="H52" s="2207"/>
      <c r="I52" s="2207"/>
    </row>
    <row r="53" spans="1:9" x14ac:dyDescent="0.2">
      <c r="A53" s="287" t="s">
        <v>131</v>
      </c>
      <c r="B53" s="287"/>
      <c r="C53" s="2208" t="s">
        <v>3100</v>
      </c>
      <c r="D53" s="2208"/>
      <c r="E53" s="2208"/>
      <c r="F53" s="2208"/>
      <c r="G53" s="2208"/>
      <c r="H53" s="2208"/>
      <c r="I53" s="2208"/>
    </row>
    <row r="54" spans="1:9" ht="48" x14ac:dyDescent="0.2">
      <c r="A54" s="426" t="s">
        <v>4</v>
      </c>
      <c r="B54" s="1026" t="s">
        <v>133</v>
      </c>
      <c r="C54" s="426" t="s">
        <v>17</v>
      </c>
      <c r="D54" s="426" t="s">
        <v>15</v>
      </c>
      <c r="E54" s="426" t="s">
        <v>134</v>
      </c>
      <c r="F54" s="426" t="s">
        <v>135</v>
      </c>
      <c r="G54" s="1489" t="s">
        <v>3510</v>
      </c>
      <c r="H54" s="426" t="s">
        <v>14</v>
      </c>
      <c r="I54" s="426" t="s">
        <v>137</v>
      </c>
    </row>
    <row r="55" spans="1:9" x14ac:dyDescent="0.2">
      <c r="A55" s="2209" t="s">
        <v>138</v>
      </c>
      <c r="B55" s="2210"/>
      <c r="C55" s="1050">
        <f t="shared" ref="C55:D55" si="0">SUM(C56:C59)</f>
        <v>355548</v>
      </c>
      <c r="D55" s="1050">
        <f t="shared" si="0"/>
        <v>343306</v>
      </c>
      <c r="E55" s="1050">
        <f>SUM(E56:E59)</f>
        <v>342922</v>
      </c>
      <c r="F55" s="1050"/>
      <c r="G55" s="1050">
        <f>SUM(G56:G59)</f>
        <v>341522</v>
      </c>
      <c r="H55" s="1050"/>
      <c r="I55" s="1051"/>
    </row>
    <row r="56" spans="1:9" ht="25.5" customHeight="1" x14ac:dyDescent="0.2">
      <c r="A56" s="496">
        <v>1</v>
      </c>
      <c r="B56" s="252" t="s">
        <v>3101</v>
      </c>
      <c r="C56" s="162">
        <v>333998</v>
      </c>
      <c r="D56" s="496">
        <v>325656</v>
      </c>
      <c r="E56" s="496">
        <f>373*72*12</f>
        <v>322272</v>
      </c>
      <c r="F56" s="1029">
        <v>6423</v>
      </c>
      <c r="G56" s="483">
        <v>322272</v>
      </c>
      <c r="H56" s="2232" t="s">
        <v>3067</v>
      </c>
      <c r="I56" s="1052" t="s">
        <v>3102</v>
      </c>
    </row>
    <row r="57" spans="1:9" ht="14.25" customHeight="1" x14ac:dyDescent="0.2">
      <c r="A57" s="496">
        <v>2</v>
      </c>
      <c r="B57" s="252" t="s">
        <v>3103</v>
      </c>
      <c r="C57" s="162">
        <v>1350</v>
      </c>
      <c r="D57" s="496">
        <v>1050</v>
      </c>
      <c r="E57" s="496">
        <v>1050</v>
      </c>
      <c r="F57" s="1029">
        <v>6423</v>
      </c>
      <c r="G57" s="483">
        <v>1050</v>
      </c>
      <c r="H57" s="2233"/>
      <c r="I57" s="1052" t="s">
        <v>3104</v>
      </c>
    </row>
    <row r="58" spans="1:9" ht="24" customHeight="1" x14ac:dyDescent="0.2">
      <c r="A58" s="496">
        <v>3</v>
      </c>
      <c r="B58" s="1596" t="s">
        <v>3105</v>
      </c>
      <c r="C58" s="1054">
        <v>15000</v>
      </c>
      <c r="D58" s="496">
        <v>11400</v>
      </c>
      <c r="E58" s="496">
        <f>9*100*12+3600</f>
        <v>14400</v>
      </c>
      <c r="F58" s="1055">
        <v>6423</v>
      </c>
      <c r="G58" s="483">
        <v>13000</v>
      </c>
      <c r="H58" s="2233"/>
      <c r="I58" s="1052" t="s">
        <v>3106</v>
      </c>
    </row>
    <row r="59" spans="1:9" ht="36.75" customHeight="1" x14ac:dyDescent="0.2">
      <c r="A59" s="496">
        <v>4</v>
      </c>
      <c r="B59" s="1053" t="s">
        <v>3107</v>
      </c>
      <c r="C59" s="1054">
        <v>5200</v>
      </c>
      <c r="D59" s="496">
        <v>5200</v>
      </c>
      <c r="E59" s="496">
        <v>5200</v>
      </c>
      <c r="F59" s="1055">
        <v>6423</v>
      </c>
      <c r="G59" s="483">
        <v>5200</v>
      </c>
      <c r="H59" s="2234"/>
      <c r="I59" s="1052" t="s">
        <v>3108</v>
      </c>
    </row>
    <row r="60" spans="1:9" x14ac:dyDescent="0.2">
      <c r="A60" s="274" t="s">
        <v>455</v>
      </c>
    </row>
    <row r="61" spans="1:9" x14ac:dyDescent="0.2">
      <c r="A61" s="1594" t="s">
        <v>3054</v>
      </c>
      <c r="B61" s="145"/>
      <c r="C61" s="145"/>
      <c r="D61" s="145"/>
    </row>
    <row r="62" spans="1:9" x14ac:dyDescent="0.2">
      <c r="A62" s="145"/>
      <c r="B62" s="145" t="s">
        <v>3055</v>
      </c>
      <c r="D62" s="145"/>
    </row>
    <row r="63" spans="1:9" x14ac:dyDescent="0.2">
      <c r="A63" s="145"/>
      <c r="B63" s="145"/>
      <c r="C63" s="145"/>
      <c r="D63" s="145"/>
    </row>
    <row r="64" spans="1:9" x14ac:dyDescent="0.2">
      <c r="A64" s="1594" t="s">
        <v>326</v>
      </c>
      <c r="B64" s="145"/>
      <c r="C64" s="145"/>
      <c r="D64" s="145"/>
    </row>
    <row r="65" spans="1:4" x14ac:dyDescent="0.2">
      <c r="A65" s="145"/>
      <c r="B65" s="145" t="s">
        <v>3056</v>
      </c>
      <c r="D65" s="145"/>
    </row>
    <row r="66" spans="1:4" x14ac:dyDescent="0.2">
      <c r="A66" s="145"/>
      <c r="B66" s="145" t="s">
        <v>3057</v>
      </c>
      <c r="C66" s="145"/>
      <c r="D66" s="145"/>
    </row>
    <row r="67" spans="1:4" x14ac:dyDescent="0.2">
      <c r="A67" s="145"/>
      <c r="B67" s="145" t="s">
        <v>3059</v>
      </c>
      <c r="D67" s="145"/>
    </row>
    <row r="68" spans="1:4" ht="12.75" x14ac:dyDescent="0.2">
      <c r="A68" s="1039"/>
      <c r="B68" s="145" t="s">
        <v>3061</v>
      </c>
      <c r="D68" s="1040"/>
    </row>
    <row r="69" spans="1:4" x14ac:dyDescent="0.2">
      <c r="A69" s="486"/>
      <c r="B69" s="486"/>
      <c r="C69" s="486"/>
      <c r="D69" s="486"/>
    </row>
  </sheetData>
  <sheetProtection algorithmName="SHA-512" hashValue="tCgVAkpf1TCfJAZvNGdIYVnuzVk6+T+c2FCvtoqTlc9qB1s5OufBhzffBhGosa2ZI7xIMKxGXNGvtW+vzlT5DA==" saltValue="mLMyWi1TsDB9mstw+O+Dkw==" spinCount="100000" sheet="1" objects="1" scenarios="1"/>
  <mergeCells count="40">
    <mergeCell ref="H56:H59"/>
    <mergeCell ref="C5:I5"/>
    <mergeCell ref="A1:B1"/>
    <mergeCell ref="C1:I1"/>
    <mergeCell ref="A2:B2"/>
    <mergeCell ref="C2:I2"/>
    <mergeCell ref="A3:I3"/>
    <mergeCell ref="C6:I6"/>
    <mergeCell ref="C7:I7"/>
    <mergeCell ref="A9:B9"/>
    <mergeCell ref="A10:A11"/>
    <mergeCell ref="B10:B11"/>
    <mergeCell ref="I10:I11"/>
    <mergeCell ref="H10:H12"/>
    <mergeCell ref="A35:B35"/>
    <mergeCell ref="C14:I14"/>
    <mergeCell ref="C15:I15"/>
    <mergeCell ref="A17:B17"/>
    <mergeCell ref="A18:A19"/>
    <mergeCell ref="B18:B19"/>
    <mergeCell ref="I18:I19"/>
    <mergeCell ref="H18:H20"/>
    <mergeCell ref="C22:I22"/>
    <mergeCell ref="C23:I23"/>
    <mergeCell ref="A25:B25"/>
    <mergeCell ref="C32:I32"/>
    <mergeCell ref="C33:I33"/>
    <mergeCell ref="H36:H40"/>
    <mergeCell ref="C43:I43"/>
    <mergeCell ref="A55:B55"/>
    <mergeCell ref="A49:A50"/>
    <mergeCell ref="B49:B50"/>
    <mergeCell ref="I49:I50"/>
    <mergeCell ref="C52:I52"/>
    <mergeCell ref="C53:I53"/>
    <mergeCell ref="A45:B45"/>
    <mergeCell ref="A36:A40"/>
    <mergeCell ref="B36:B40"/>
    <mergeCell ref="C42:K42"/>
    <mergeCell ref="H46:H50"/>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30.pielikums Jūrmalas pilsētas domes
2018.gada 18.decembra saistošajiem noteikumiem Nr.44
(protokols Nr.17, 2.punkts)</oddHeader>
    <oddFooter xml:space="preserve">&amp;R&amp;"Times New Roman,Regular"&amp;8&amp;P (&amp;N)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9"/>
  <sheetViews>
    <sheetView view="pageLayout" zoomScaleNormal="100" workbookViewId="0">
      <selection activeCell="N14" sqref="N14"/>
    </sheetView>
  </sheetViews>
  <sheetFormatPr defaultRowHeight="12" x14ac:dyDescent="0.2"/>
  <cols>
    <col min="1" max="1" width="3.14062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9.7109375" style="274" customWidth="1"/>
    <col min="8" max="8" width="19.140625" style="274" customWidth="1"/>
    <col min="9" max="9" width="31.5703125" style="274" hidden="1" customWidth="1"/>
    <col min="10" max="10" width="0" style="274" hidden="1" customWidth="1"/>
    <col min="11" max="16384" width="9.140625" style="274"/>
  </cols>
  <sheetData>
    <row r="1" spans="1:9" x14ac:dyDescent="0.2">
      <c r="A1" s="1903" t="s">
        <v>438</v>
      </c>
      <c r="B1" s="1903"/>
      <c r="C1" s="1903" t="s">
        <v>3018</v>
      </c>
      <c r="D1" s="1903"/>
      <c r="E1" s="1903"/>
      <c r="F1" s="1903"/>
      <c r="G1" s="1903"/>
      <c r="H1" s="1903"/>
      <c r="I1" s="1903"/>
    </row>
    <row r="2" spans="1:9" x14ac:dyDescent="0.2">
      <c r="A2" s="1903" t="s">
        <v>439</v>
      </c>
      <c r="B2" s="1903"/>
      <c r="C2" s="1903">
        <v>90000594245</v>
      </c>
      <c r="D2" s="1903"/>
      <c r="E2" s="1903"/>
      <c r="F2" s="1903"/>
      <c r="G2" s="1903"/>
      <c r="H2" s="1903"/>
      <c r="I2" s="1903"/>
    </row>
    <row r="3" spans="1:9" ht="15.75" x14ac:dyDescent="0.25">
      <c r="A3" s="1905" t="s">
        <v>3639</v>
      </c>
      <c r="B3" s="1905"/>
      <c r="C3" s="1905"/>
      <c r="D3" s="1905"/>
      <c r="E3" s="1905"/>
      <c r="F3" s="1905"/>
      <c r="G3" s="1905"/>
      <c r="H3" s="1905"/>
      <c r="I3" s="1905"/>
    </row>
    <row r="4" spans="1:9" ht="15.75" x14ac:dyDescent="0.25">
      <c r="A4" s="421"/>
      <c r="B4" s="421"/>
      <c r="C4" s="421"/>
      <c r="D4" s="421"/>
      <c r="E4" s="421"/>
      <c r="F4" s="421"/>
      <c r="G4" s="421"/>
      <c r="H4" s="421"/>
      <c r="I4" s="421"/>
    </row>
    <row r="5" spans="1:9" ht="15.75" x14ac:dyDescent="0.25">
      <c r="A5" s="287" t="s">
        <v>440</v>
      </c>
      <c r="B5" s="287"/>
      <c r="C5" s="2235" t="s">
        <v>3109</v>
      </c>
      <c r="D5" s="2235"/>
      <c r="E5" s="2235"/>
      <c r="F5" s="2235"/>
      <c r="G5" s="2235"/>
      <c r="H5" s="2235"/>
      <c r="I5" s="2235"/>
    </row>
    <row r="6" spans="1:9" hidden="1" x14ac:dyDescent="0.2">
      <c r="A6" s="287" t="s">
        <v>129</v>
      </c>
      <c r="B6" s="287"/>
      <c r="C6" s="2236" t="s">
        <v>3110</v>
      </c>
      <c r="D6" s="2236"/>
      <c r="E6" s="2236"/>
      <c r="F6" s="2236"/>
      <c r="G6" s="2236"/>
      <c r="H6" s="2236"/>
      <c r="I6" s="2236"/>
    </row>
    <row r="7" spans="1:9" hidden="1" x14ac:dyDescent="0.2">
      <c r="A7" s="287" t="s">
        <v>131</v>
      </c>
      <c r="B7" s="287"/>
      <c r="C7" s="2237" t="s">
        <v>3111</v>
      </c>
      <c r="D7" s="2237"/>
      <c r="E7" s="2237"/>
      <c r="F7" s="2237"/>
      <c r="G7" s="2237"/>
      <c r="H7" s="2237"/>
      <c r="I7" s="2237"/>
    </row>
    <row r="8" spans="1:9" ht="48" hidden="1" x14ac:dyDescent="0.2">
      <c r="A8" s="426" t="s">
        <v>4</v>
      </c>
      <c r="B8" s="1026" t="s">
        <v>133</v>
      </c>
      <c r="C8" s="426" t="s">
        <v>17</v>
      </c>
      <c r="D8" s="426" t="s">
        <v>15</v>
      </c>
      <c r="E8" s="426" t="s">
        <v>134</v>
      </c>
      <c r="F8" s="426" t="s">
        <v>135</v>
      </c>
      <c r="G8" s="426" t="s">
        <v>3510</v>
      </c>
      <c r="H8" s="426" t="s">
        <v>14</v>
      </c>
      <c r="I8" s="426" t="s">
        <v>137</v>
      </c>
    </row>
    <row r="9" spans="1:9" ht="12.75" hidden="1" customHeight="1" x14ac:dyDescent="0.2">
      <c r="A9" s="2209" t="s">
        <v>138</v>
      </c>
      <c r="B9" s="2210"/>
      <c r="C9" s="1050">
        <f>SUM(C10:C10)</f>
        <v>143</v>
      </c>
      <c r="D9" s="1050">
        <f>SUM(D10:D10)</f>
        <v>0</v>
      </c>
      <c r="E9" s="1050">
        <f>SUM(E10:E10)</f>
        <v>0</v>
      </c>
      <c r="F9" s="1050"/>
      <c r="G9" s="1050">
        <f>SUM(G10:G10)</f>
        <v>0</v>
      </c>
      <c r="H9" s="1050"/>
      <c r="I9" s="1051"/>
    </row>
    <row r="10" spans="1:9" ht="25.5" hidden="1" customHeight="1" x14ac:dyDescent="0.2">
      <c r="A10" s="496">
        <v>1</v>
      </c>
      <c r="B10" s="1034" t="s">
        <v>3112</v>
      </c>
      <c r="C10" s="261">
        <v>143</v>
      </c>
      <c r="D10" s="1056"/>
      <c r="E10" s="1056"/>
      <c r="F10" s="1041">
        <v>2279</v>
      </c>
      <c r="G10" s="261"/>
      <c r="H10" s="1595" t="s">
        <v>3113</v>
      </c>
      <c r="I10" s="1052" t="s">
        <v>3114</v>
      </c>
    </row>
    <row r="11" spans="1:9" hidden="1" x14ac:dyDescent="0.2">
      <c r="A11" s="487"/>
      <c r="B11" s="487"/>
      <c r="C11" s="487"/>
      <c r="D11" s="487"/>
      <c r="E11" s="487"/>
      <c r="F11" s="487"/>
      <c r="G11" s="487"/>
      <c r="H11" s="487"/>
      <c r="I11" s="487"/>
    </row>
    <row r="12" spans="1:9" x14ac:dyDescent="0.2">
      <c r="A12" s="287" t="s">
        <v>129</v>
      </c>
      <c r="B12" s="287"/>
      <c r="C12" s="2236" t="s">
        <v>3064</v>
      </c>
      <c r="D12" s="2236"/>
      <c r="E12" s="2236"/>
      <c r="F12" s="2236"/>
      <c r="G12" s="2236"/>
      <c r="H12" s="2236"/>
      <c r="I12" s="2236"/>
    </row>
    <row r="13" spans="1:9" x14ac:dyDescent="0.2">
      <c r="A13" s="287" t="s">
        <v>131</v>
      </c>
      <c r="B13" s="287"/>
      <c r="C13" s="2208" t="s">
        <v>3065</v>
      </c>
      <c r="D13" s="2208"/>
      <c r="E13" s="2208"/>
      <c r="F13" s="2208"/>
      <c r="G13" s="2208"/>
      <c r="H13" s="2208"/>
      <c r="I13" s="2208"/>
    </row>
    <row r="14" spans="1:9" ht="48" x14ac:dyDescent="0.2">
      <c r="A14" s="426" t="s">
        <v>4</v>
      </c>
      <c r="B14" s="1026" t="s">
        <v>133</v>
      </c>
      <c r="C14" s="426" t="s">
        <v>17</v>
      </c>
      <c r="D14" s="426" t="s">
        <v>15</v>
      </c>
      <c r="E14" s="426" t="s">
        <v>134</v>
      </c>
      <c r="F14" s="426" t="s">
        <v>135</v>
      </c>
      <c r="G14" s="426" t="s">
        <v>3510</v>
      </c>
      <c r="H14" s="426" t="s">
        <v>14</v>
      </c>
      <c r="I14" s="426" t="s">
        <v>137</v>
      </c>
    </row>
    <row r="15" spans="1:9" x14ac:dyDescent="0.2">
      <c r="A15" s="2209" t="s">
        <v>138</v>
      </c>
      <c r="B15" s="2210"/>
      <c r="C15" s="1050">
        <f>SUM(C16:C22)</f>
        <v>220411</v>
      </c>
      <c r="D15" s="1050">
        <f>SUM(D16:D22)</f>
        <v>218325</v>
      </c>
      <c r="E15" s="1050">
        <f>SUM(E16:E22)</f>
        <v>219039</v>
      </c>
      <c r="F15" s="1050"/>
      <c r="G15" s="1050">
        <f>SUM(G16:G22)</f>
        <v>219039</v>
      </c>
      <c r="H15" s="1050"/>
      <c r="I15" s="1051"/>
    </row>
    <row r="16" spans="1:9" ht="24.75" customHeight="1" x14ac:dyDescent="0.2">
      <c r="A16" s="1057">
        <v>1</v>
      </c>
      <c r="B16" s="428" t="s">
        <v>3115</v>
      </c>
      <c r="C16" s="454">
        <v>2846</v>
      </c>
      <c r="D16" s="496">
        <v>2846</v>
      </c>
      <c r="E16" s="496">
        <v>2846</v>
      </c>
      <c r="F16" s="1041">
        <v>6330</v>
      </c>
      <c r="G16" s="261">
        <v>2846</v>
      </c>
      <c r="H16" s="1595" t="s">
        <v>3116</v>
      </c>
      <c r="I16" s="1052" t="s">
        <v>3117</v>
      </c>
    </row>
    <row r="17" spans="1:10" ht="24" x14ac:dyDescent="0.2">
      <c r="A17" s="1057">
        <v>2</v>
      </c>
      <c r="B17" s="428" t="s">
        <v>3118</v>
      </c>
      <c r="C17" s="454">
        <v>86</v>
      </c>
      <c r="D17" s="496"/>
      <c r="E17" s="496">
        <v>86</v>
      </c>
      <c r="F17" s="1041">
        <v>2239</v>
      </c>
      <c r="G17" s="261">
        <v>86</v>
      </c>
      <c r="H17" s="1595" t="s">
        <v>3116</v>
      </c>
      <c r="I17" s="1052" t="s">
        <v>3119</v>
      </c>
    </row>
    <row r="18" spans="1:10" ht="25.5" customHeight="1" x14ac:dyDescent="0.2">
      <c r="A18" s="1057">
        <v>3</v>
      </c>
      <c r="B18" s="428" t="s">
        <v>3120</v>
      </c>
      <c r="C18" s="454">
        <v>4472</v>
      </c>
      <c r="D18" s="496">
        <v>4472</v>
      </c>
      <c r="E18" s="496">
        <v>5100</v>
      </c>
      <c r="F18" s="1041">
        <v>2279</v>
      </c>
      <c r="G18" s="261">
        <v>5100</v>
      </c>
      <c r="H18" s="1595" t="s">
        <v>3121</v>
      </c>
      <c r="I18" s="1052" t="s">
        <v>3122</v>
      </c>
    </row>
    <row r="19" spans="1:10" ht="12" customHeight="1" x14ac:dyDescent="0.2">
      <c r="A19" s="1762">
        <v>4</v>
      </c>
      <c r="B19" s="1960" t="s">
        <v>3123</v>
      </c>
      <c r="C19" s="496">
        <v>158300</v>
      </c>
      <c r="D19" s="496">
        <v>158300</v>
      </c>
      <c r="E19" s="496">
        <v>158300</v>
      </c>
      <c r="F19" s="1041">
        <v>1150</v>
      </c>
      <c r="G19" s="1058">
        <v>158300</v>
      </c>
      <c r="H19" s="2232" t="s">
        <v>3121</v>
      </c>
      <c r="I19" s="1052" t="s">
        <v>3124</v>
      </c>
      <c r="J19" s="1037" t="s">
        <v>3051</v>
      </c>
    </row>
    <row r="20" spans="1:10" ht="12" customHeight="1" x14ac:dyDescent="0.2">
      <c r="A20" s="1763"/>
      <c r="B20" s="2228"/>
      <c r="C20" s="496">
        <v>12000</v>
      </c>
      <c r="D20" s="496">
        <v>10000</v>
      </c>
      <c r="E20" s="496">
        <v>10000</v>
      </c>
      <c r="F20" s="1041">
        <v>2279</v>
      </c>
      <c r="G20" s="1058">
        <v>10000</v>
      </c>
      <c r="H20" s="2233"/>
      <c r="I20" s="1052" t="s">
        <v>3125</v>
      </c>
      <c r="J20" s="1037"/>
    </row>
    <row r="21" spans="1:10" ht="12" customHeight="1" x14ac:dyDescent="0.2">
      <c r="A21" s="1763"/>
      <c r="B21" s="2228"/>
      <c r="C21" s="496">
        <v>6000</v>
      </c>
      <c r="D21" s="496">
        <v>6000</v>
      </c>
      <c r="E21" s="496">
        <v>6000</v>
      </c>
      <c r="F21" s="1041">
        <v>2322</v>
      </c>
      <c r="G21" s="1058">
        <v>6000</v>
      </c>
      <c r="H21" s="2233"/>
      <c r="I21" s="1052" t="s">
        <v>3126</v>
      </c>
      <c r="J21" s="1037"/>
    </row>
    <row r="22" spans="1:10" ht="12" customHeight="1" x14ac:dyDescent="0.2">
      <c r="A22" s="1779"/>
      <c r="B22" s="1961"/>
      <c r="C22" s="496">
        <v>36707</v>
      </c>
      <c r="D22" s="496">
        <v>36707</v>
      </c>
      <c r="E22" s="496">
        <v>36707</v>
      </c>
      <c r="F22" s="1041">
        <v>1210</v>
      </c>
      <c r="G22" s="1058">
        <v>36707</v>
      </c>
      <c r="H22" s="2234"/>
      <c r="I22" s="1052" t="s">
        <v>3127</v>
      </c>
      <c r="J22" s="1037"/>
    </row>
    <row r="23" spans="1:10" x14ac:dyDescent="0.2">
      <c r="A23" s="487"/>
      <c r="B23" s="487"/>
      <c r="C23" s="487"/>
      <c r="D23" s="487"/>
      <c r="E23" s="487"/>
      <c r="F23" s="487"/>
      <c r="G23" s="488"/>
      <c r="H23" s="488"/>
      <c r="I23" s="487"/>
    </row>
    <row r="24" spans="1:10" x14ac:dyDescent="0.2">
      <c r="A24" s="287" t="s">
        <v>129</v>
      </c>
      <c r="B24" s="287"/>
      <c r="C24" s="2236" t="s">
        <v>3071</v>
      </c>
      <c r="D24" s="2236"/>
      <c r="E24" s="2236"/>
      <c r="F24" s="2236"/>
      <c r="G24" s="2236"/>
      <c r="H24" s="2236"/>
      <c r="I24" s="2236"/>
    </row>
    <row r="25" spans="1:10" x14ac:dyDescent="0.2">
      <c r="A25" s="287" t="s">
        <v>131</v>
      </c>
      <c r="B25" s="287"/>
      <c r="C25" s="2208" t="s">
        <v>3072</v>
      </c>
      <c r="D25" s="2208"/>
      <c r="E25" s="2208"/>
      <c r="F25" s="2208"/>
      <c r="G25" s="2208"/>
      <c r="H25" s="2208"/>
      <c r="I25" s="2208"/>
    </row>
    <row r="26" spans="1:10" ht="48" x14ac:dyDescent="0.2">
      <c r="A26" s="426" t="s">
        <v>4</v>
      </c>
      <c r="B26" s="1026" t="s">
        <v>133</v>
      </c>
      <c r="C26" s="161" t="s">
        <v>17</v>
      </c>
      <c r="D26" s="161" t="s">
        <v>15</v>
      </c>
      <c r="E26" s="161" t="s">
        <v>134</v>
      </c>
      <c r="F26" s="161" t="s">
        <v>135</v>
      </c>
      <c r="G26" s="1490" t="s">
        <v>3510</v>
      </c>
      <c r="H26" s="161" t="s">
        <v>14</v>
      </c>
      <c r="I26" s="161" t="s">
        <v>137</v>
      </c>
    </row>
    <row r="27" spans="1:10" x14ac:dyDescent="0.2">
      <c r="A27" s="2209" t="s">
        <v>138</v>
      </c>
      <c r="B27" s="2210"/>
      <c r="C27" s="1027">
        <f>SUM(C28:C29)</f>
        <v>154690</v>
      </c>
      <c r="D27" s="1027">
        <f>SUM(D28:D29)</f>
        <v>154004</v>
      </c>
      <c r="E27" s="1027">
        <f>SUM(E28:E29)</f>
        <v>154690</v>
      </c>
      <c r="F27" s="1027"/>
      <c r="G27" s="1027">
        <f>SUM(G28:G29)</f>
        <v>147332</v>
      </c>
      <c r="H27" s="1027"/>
      <c r="I27" s="1033"/>
    </row>
    <row r="28" spans="1:10" ht="27.75" customHeight="1" x14ac:dyDescent="0.2">
      <c r="A28" s="496">
        <v>1</v>
      </c>
      <c r="B28" s="428" t="s">
        <v>3128</v>
      </c>
      <c r="C28" s="162">
        <v>150420</v>
      </c>
      <c r="D28" s="188">
        <v>149734</v>
      </c>
      <c r="E28" s="188">
        <v>150420</v>
      </c>
      <c r="F28" s="1041">
        <v>6412</v>
      </c>
      <c r="G28" s="1059">
        <v>143062</v>
      </c>
      <c r="H28" s="2221" t="s">
        <v>3129</v>
      </c>
      <c r="I28" s="1030" t="s">
        <v>3130</v>
      </c>
    </row>
    <row r="29" spans="1:10" ht="36" x14ac:dyDescent="0.2">
      <c r="A29" s="496">
        <v>2</v>
      </c>
      <c r="B29" s="428" t="s">
        <v>3131</v>
      </c>
      <c r="C29" s="162">
        <v>4270</v>
      </c>
      <c r="D29" s="188">
        <v>4270</v>
      </c>
      <c r="E29" s="188">
        <v>4270</v>
      </c>
      <c r="F29" s="1041">
        <v>6412</v>
      </c>
      <c r="G29" s="1059">
        <v>4270</v>
      </c>
      <c r="H29" s="2223"/>
      <c r="I29" s="1030" t="s">
        <v>3132</v>
      </c>
      <c r="J29" s="1037" t="s">
        <v>3051</v>
      </c>
    </row>
    <row r="30" spans="1:10" ht="7.5" customHeight="1" x14ac:dyDescent="0.2">
      <c r="A30" s="487"/>
      <c r="B30" s="487"/>
      <c r="C30" s="173"/>
      <c r="D30" s="173"/>
      <c r="E30" s="173"/>
      <c r="F30" s="173"/>
      <c r="G30" s="174"/>
      <c r="H30" s="174"/>
      <c r="I30" s="173"/>
    </row>
    <row r="31" spans="1:10" x14ac:dyDescent="0.2">
      <c r="A31" s="287" t="s">
        <v>129</v>
      </c>
      <c r="B31" s="287"/>
      <c r="C31" s="2207" t="s">
        <v>3039</v>
      </c>
      <c r="D31" s="2207"/>
      <c r="E31" s="2207"/>
      <c r="F31" s="2207"/>
      <c r="G31" s="2207"/>
      <c r="H31" s="2207"/>
      <c r="I31" s="2207"/>
    </row>
    <row r="32" spans="1:10" x14ac:dyDescent="0.2">
      <c r="A32" s="287" t="s">
        <v>131</v>
      </c>
      <c r="B32" s="287"/>
      <c r="C32" s="2208" t="s">
        <v>3040</v>
      </c>
      <c r="D32" s="2208"/>
      <c r="E32" s="2208"/>
      <c r="F32" s="2208"/>
      <c r="G32" s="2208"/>
      <c r="H32" s="2208"/>
      <c r="I32" s="2208"/>
    </row>
    <row r="33" spans="1:11" ht="48" x14ac:dyDescent="0.2">
      <c r="A33" s="426" t="s">
        <v>4</v>
      </c>
      <c r="B33" s="1026" t="s">
        <v>133</v>
      </c>
      <c r="C33" s="161" t="s">
        <v>17</v>
      </c>
      <c r="D33" s="161" t="s">
        <v>15</v>
      </c>
      <c r="E33" s="161" t="s">
        <v>134</v>
      </c>
      <c r="F33" s="161" t="s">
        <v>135</v>
      </c>
      <c r="G33" s="1490" t="s">
        <v>3510</v>
      </c>
      <c r="H33" s="161" t="s">
        <v>14</v>
      </c>
      <c r="I33" s="161" t="s">
        <v>137</v>
      </c>
    </row>
    <row r="34" spans="1:11" x14ac:dyDescent="0.2">
      <c r="A34" s="2209" t="s">
        <v>138</v>
      </c>
      <c r="B34" s="2210"/>
      <c r="C34" s="1027">
        <f>SUM(C35:C35)</f>
        <v>30200</v>
      </c>
      <c r="D34" s="1027">
        <f>SUM(D35:D35)</f>
        <v>30200</v>
      </c>
      <c r="E34" s="1027">
        <f>SUM(E35:E35)</f>
        <v>30200</v>
      </c>
      <c r="F34" s="1027"/>
      <c r="G34" s="1027">
        <f>SUM(G35:G35)</f>
        <v>39200</v>
      </c>
      <c r="H34" s="1027"/>
      <c r="I34" s="1033"/>
    </row>
    <row r="35" spans="1:11" ht="26.25" customHeight="1" x14ac:dyDescent="0.2">
      <c r="A35" s="496">
        <v>1</v>
      </c>
      <c r="B35" s="428" t="s">
        <v>3133</v>
      </c>
      <c r="C35" s="1060">
        <v>30200</v>
      </c>
      <c r="D35" s="188">
        <v>30200</v>
      </c>
      <c r="E35" s="188">
        <v>30200</v>
      </c>
      <c r="F35" s="1029">
        <v>6330</v>
      </c>
      <c r="G35" s="261">
        <v>39200</v>
      </c>
      <c r="H35" s="1043" t="s">
        <v>3134</v>
      </c>
      <c r="I35" s="1030" t="s">
        <v>3135</v>
      </c>
    </row>
    <row r="36" spans="1:11" x14ac:dyDescent="0.2">
      <c r="A36" s="487"/>
      <c r="B36" s="487"/>
      <c r="C36" s="173"/>
      <c r="D36" s="173"/>
      <c r="E36" s="173"/>
      <c r="F36" s="173"/>
      <c r="G36" s="174"/>
      <c r="H36" s="174"/>
      <c r="I36" s="173"/>
    </row>
    <row r="37" spans="1:11" x14ac:dyDescent="0.2">
      <c r="A37" s="287" t="s">
        <v>129</v>
      </c>
      <c r="B37" s="287"/>
      <c r="C37" s="2207" t="s">
        <v>3136</v>
      </c>
      <c r="D37" s="2207"/>
      <c r="E37" s="2207"/>
      <c r="F37" s="2207"/>
      <c r="G37" s="2207"/>
      <c r="H37" s="2207"/>
      <c r="I37" s="2207"/>
      <c r="J37" s="2207"/>
      <c r="K37" s="2207"/>
    </row>
    <row r="38" spans="1:11" x14ac:dyDescent="0.2">
      <c r="A38" s="287" t="s">
        <v>131</v>
      </c>
      <c r="B38" s="287"/>
      <c r="C38" s="2208" t="s">
        <v>3093</v>
      </c>
      <c r="D38" s="2208"/>
      <c r="E38" s="2208"/>
      <c r="F38" s="2208"/>
      <c r="G38" s="2208"/>
      <c r="H38" s="2208"/>
      <c r="I38" s="2208"/>
    </row>
    <row r="39" spans="1:11" ht="48" x14ac:dyDescent="0.2">
      <c r="A39" s="426" t="s">
        <v>4</v>
      </c>
      <c r="B39" s="1026" t="s">
        <v>133</v>
      </c>
      <c r="C39" s="161" t="s">
        <v>17</v>
      </c>
      <c r="D39" s="161" t="s">
        <v>15</v>
      </c>
      <c r="E39" s="161" t="s">
        <v>134</v>
      </c>
      <c r="F39" s="161" t="s">
        <v>135</v>
      </c>
      <c r="G39" s="1490" t="s">
        <v>3510</v>
      </c>
      <c r="H39" s="161" t="s">
        <v>14</v>
      </c>
      <c r="I39" s="161" t="s">
        <v>137</v>
      </c>
    </row>
    <row r="40" spans="1:11" x14ac:dyDescent="0.2">
      <c r="A40" s="2209" t="s">
        <v>138</v>
      </c>
      <c r="B40" s="2210"/>
      <c r="C40" s="1027">
        <f>SUM(C41:C45)</f>
        <v>488707</v>
      </c>
      <c r="D40" s="1027">
        <f>SUM(D41:D45)</f>
        <v>399661</v>
      </c>
      <c r="E40" s="1027">
        <f>SUM(E41:E45)</f>
        <v>473023</v>
      </c>
      <c r="F40" s="1027"/>
      <c r="G40" s="1027">
        <f>SUM(G41:G45)</f>
        <v>468613</v>
      </c>
      <c r="H40" s="1027"/>
      <c r="I40" s="1033"/>
    </row>
    <row r="41" spans="1:11" ht="36" customHeight="1" x14ac:dyDescent="0.2">
      <c r="A41" s="496">
        <v>1</v>
      </c>
      <c r="B41" s="252" t="s">
        <v>3137</v>
      </c>
      <c r="C41" s="162">
        <v>172800</v>
      </c>
      <c r="D41" s="188">
        <v>157000</v>
      </c>
      <c r="E41" s="188">
        <v>172800</v>
      </c>
      <c r="F41" s="1041">
        <v>6419</v>
      </c>
      <c r="G41" s="1059">
        <v>170928</v>
      </c>
      <c r="H41" s="2221" t="s">
        <v>3129</v>
      </c>
      <c r="I41" s="1061" t="s">
        <v>3138</v>
      </c>
    </row>
    <row r="42" spans="1:11" ht="37.5" customHeight="1" x14ac:dyDescent="0.2">
      <c r="A42" s="496">
        <v>2</v>
      </c>
      <c r="B42" s="252" t="s">
        <v>3139</v>
      </c>
      <c r="C42" s="162">
        <v>229487</v>
      </c>
      <c r="D42" s="188">
        <v>219435</v>
      </c>
      <c r="E42" s="188">
        <v>229487</v>
      </c>
      <c r="F42" s="1029">
        <v>6419</v>
      </c>
      <c r="G42" s="1059">
        <v>226949</v>
      </c>
      <c r="H42" s="2222"/>
      <c r="I42" s="1061" t="s">
        <v>3140</v>
      </c>
    </row>
    <row r="43" spans="1:11" ht="15" hidden="1" customHeight="1" x14ac:dyDescent="0.2">
      <c r="A43" s="496">
        <v>3</v>
      </c>
      <c r="B43" s="428" t="s">
        <v>3141</v>
      </c>
      <c r="C43" s="162">
        <v>15000</v>
      </c>
      <c r="D43" s="188">
        <v>2143</v>
      </c>
      <c r="E43" s="188"/>
      <c r="F43" s="1029">
        <v>2279</v>
      </c>
      <c r="G43" s="1059"/>
      <c r="H43" s="2222"/>
      <c r="I43" s="1030" t="s">
        <v>3142</v>
      </c>
    </row>
    <row r="44" spans="1:11" ht="25.5" customHeight="1" x14ac:dyDescent="0.2">
      <c r="A44" s="496">
        <v>4</v>
      </c>
      <c r="B44" s="428" t="s">
        <v>3143</v>
      </c>
      <c r="C44" s="162">
        <v>3420</v>
      </c>
      <c r="D44" s="188">
        <v>2736</v>
      </c>
      <c r="E44" s="188">
        <v>2736</v>
      </c>
      <c r="F44" s="1029">
        <v>6423</v>
      </c>
      <c r="G44" s="1059">
        <v>2736</v>
      </c>
      <c r="H44" s="2222"/>
      <c r="I44" s="1030" t="s">
        <v>3144</v>
      </c>
    </row>
    <row r="45" spans="1:11" ht="49.5" customHeight="1" x14ac:dyDescent="0.2">
      <c r="A45" s="496">
        <v>5</v>
      </c>
      <c r="B45" s="1052" t="s">
        <v>3145</v>
      </c>
      <c r="C45" s="1062">
        <v>68000</v>
      </c>
      <c r="D45" s="188">
        <v>18347</v>
      </c>
      <c r="E45" s="188">
        <v>68000</v>
      </c>
      <c r="F45" s="1063">
        <v>6419</v>
      </c>
      <c r="G45" s="1059">
        <v>68000</v>
      </c>
      <c r="H45" s="2223"/>
      <c r="I45" s="1030" t="s">
        <v>3146</v>
      </c>
    </row>
    <row r="46" spans="1:11" x14ac:dyDescent="0.2">
      <c r="A46" s="274" t="s">
        <v>455</v>
      </c>
    </row>
    <row r="47" spans="1:11" x14ac:dyDescent="0.2">
      <c r="A47" s="1594" t="s">
        <v>3054</v>
      </c>
      <c r="B47" s="145"/>
      <c r="C47" s="145"/>
    </row>
    <row r="48" spans="1:11" x14ac:dyDescent="0.2">
      <c r="A48" s="145"/>
      <c r="B48" s="145" t="s">
        <v>3147</v>
      </c>
    </row>
    <row r="49" spans="1:3" x14ac:dyDescent="0.2">
      <c r="A49" s="145"/>
      <c r="B49" s="145" t="s">
        <v>3148</v>
      </c>
    </row>
    <row r="50" spans="1:3" x14ac:dyDescent="0.2">
      <c r="A50" s="145"/>
      <c r="B50" s="145" t="s">
        <v>3055</v>
      </c>
    </row>
    <row r="51" spans="1:3" x14ac:dyDescent="0.2">
      <c r="A51" s="145"/>
      <c r="B51" s="145"/>
      <c r="C51" s="145"/>
    </row>
    <row r="52" spans="1:3" x14ac:dyDescent="0.2">
      <c r="A52" s="1594" t="s">
        <v>326</v>
      </c>
      <c r="B52" s="145"/>
      <c r="C52" s="145"/>
    </row>
    <row r="53" spans="1:3" x14ac:dyDescent="0.2">
      <c r="A53" s="145"/>
      <c r="B53" s="145" t="s">
        <v>3056</v>
      </c>
    </row>
    <row r="54" spans="1:3" x14ac:dyDescent="0.2">
      <c r="A54" s="145"/>
      <c r="B54" s="145" t="s">
        <v>3057</v>
      </c>
      <c r="C54" s="145"/>
    </row>
    <row r="55" spans="1:3" x14ac:dyDescent="0.2">
      <c r="A55" s="145"/>
      <c r="B55" s="24" t="s">
        <v>3058</v>
      </c>
    </row>
    <row r="56" spans="1:3" x14ac:dyDescent="0.2">
      <c r="A56" s="145"/>
      <c r="B56" s="24" t="s">
        <v>3060</v>
      </c>
    </row>
    <row r="57" spans="1:3" ht="12.75" x14ac:dyDescent="0.2">
      <c r="A57" s="1039"/>
      <c r="B57" s="24" t="s">
        <v>3061</v>
      </c>
    </row>
    <row r="58" spans="1:3" ht="12.75" x14ac:dyDescent="0.2">
      <c r="A58" s="1039"/>
      <c r="B58" s="24" t="s">
        <v>3062</v>
      </c>
    </row>
    <row r="59" spans="1:3" x14ac:dyDescent="0.2">
      <c r="A59" s="486"/>
      <c r="B59" s="486"/>
      <c r="C59" s="486"/>
    </row>
  </sheetData>
  <sheetProtection algorithmName="SHA-512" hashValue="WNvggRaBrbLtzvUrjdtcJ0uLB+mxOZWhymx5U3No47z+wo4Q/k51U1yTVYjoRVomRRwh9NQaFPnQ/aZPOPkPgg==" saltValue="w9DDVyUWsTjEsbfAc3/4aA==" spinCount="100000" sheet="1" objects="1" scenarios="1"/>
  <mergeCells count="26">
    <mergeCell ref="C37:K37"/>
    <mergeCell ref="H41:H45"/>
    <mergeCell ref="C32:I32"/>
    <mergeCell ref="A34:B34"/>
    <mergeCell ref="C5:I5"/>
    <mergeCell ref="H19:H22"/>
    <mergeCell ref="H28:H29"/>
    <mergeCell ref="C38:I38"/>
    <mergeCell ref="A40:B40"/>
    <mergeCell ref="A27:B27"/>
    <mergeCell ref="C6:I6"/>
    <mergeCell ref="C7:I7"/>
    <mergeCell ref="A9:B9"/>
    <mergeCell ref="C12:I12"/>
    <mergeCell ref="C13:I13"/>
    <mergeCell ref="A15:B15"/>
    <mergeCell ref="A1:B1"/>
    <mergeCell ref="C1:I1"/>
    <mergeCell ref="A2:B2"/>
    <mergeCell ref="C2:I2"/>
    <mergeCell ref="A3:I3"/>
    <mergeCell ref="A19:A22"/>
    <mergeCell ref="B19:B22"/>
    <mergeCell ref="C24:I24"/>
    <mergeCell ref="C25:I25"/>
    <mergeCell ref="C31:I31"/>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31.pielikums Jūrmalas pilsētas domes
2018.gada 18.decembra saistošajiem noteikumiem Nr.44
(protokols Nr.17, 2.punkts)</oddHeader>
    <oddFooter xml:space="preserve">&amp;R&amp;"Times New Roman,Regular"&amp;8&amp;P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2"/>
  <sheetViews>
    <sheetView view="pageLayout" zoomScaleNormal="100" workbookViewId="0">
      <selection activeCell="O6" sqref="O6"/>
    </sheetView>
  </sheetViews>
  <sheetFormatPr defaultColWidth="9.140625" defaultRowHeight="12" x14ac:dyDescent="0.2"/>
  <cols>
    <col min="1" max="1" width="6.140625" style="156" customWidth="1"/>
    <col min="2" max="2" width="17.28515625" style="156" customWidth="1"/>
    <col min="3" max="3" width="16.7109375" style="156" customWidth="1"/>
    <col min="4" max="4" width="11.85546875" style="156" hidden="1" customWidth="1"/>
    <col min="5" max="5" width="10.5703125" style="156" hidden="1" customWidth="1"/>
    <col min="6" max="6" width="10.28515625" style="201" hidden="1" customWidth="1"/>
    <col min="7" max="7" width="10.5703125" style="156" customWidth="1"/>
    <col min="8" max="8" width="9.7109375" style="156" customWidth="1"/>
    <col min="9" max="9" width="21.85546875" style="156" customWidth="1"/>
    <col min="10" max="10" width="9.7109375" style="156" hidden="1" customWidth="1"/>
    <col min="11" max="11" width="19.7109375" style="156" hidden="1" customWidth="1"/>
    <col min="12" max="12" width="11.28515625" style="156" customWidth="1"/>
    <col min="13" max="13" width="11.7109375" style="156" customWidth="1"/>
    <col min="14" max="16384" width="9.140625" style="156"/>
  </cols>
  <sheetData>
    <row r="1" spans="1:11" x14ac:dyDescent="0.2">
      <c r="A1" s="1651" t="s">
        <v>124</v>
      </c>
      <c r="B1" s="1651"/>
      <c r="C1" s="1651" t="s">
        <v>125</v>
      </c>
      <c r="D1" s="1651"/>
      <c r="E1" s="154"/>
      <c r="F1" s="155"/>
      <c r="G1" s="1676"/>
      <c r="H1" s="1676"/>
      <c r="I1" s="1676"/>
      <c r="J1" s="1676"/>
      <c r="K1" s="1676"/>
    </row>
    <row r="2" spans="1:11" x14ac:dyDescent="0.2">
      <c r="A2" s="1651" t="s">
        <v>126</v>
      </c>
      <c r="B2" s="1651"/>
      <c r="C2" s="1651">
        <v>90000056357</v>
      </c>
      <c r="D2" s="1651"/>
      <c r="E2" s="1651"/>
      <c r="F2" s="1651"/>
      <c r="G2" s="1651"/>
      <c r="H2" s="1651"/>
      <c r="I2" s="1651"/>
      <c r="J2" s="1651"/>
    </row>
    <row r="3" spans="1:11" ht="15.75" x14ac:dyDescent="0.2">
      <c r="A3" s="1677" t="s">
        <v>3640</v>
      </c>
      <c r="B3" s="1677"/>
      <c r="C3" s="1677"/>
      <c r="D3" s="1677"/>
      <c r="E3" s="1677"/>
      <c r="F3" s="1677"/>
      <c r="G3" s="1677"/>
      <c r="H3" s="1677"/>
      <c r="I3" s="1677"/>
      <c r="J3" s="1677"/>
    </row>
    <row r="4" spans="1:11" ht="15.75" x14ac:dyDescent="0.25">
      <c r="A4" s="157"/>
      <c r="B4" s="157"/>
      <c r="C4" s="157"/>
      <c r="D4" s="157"/>
      <c r="E4" s="157"/>
      <c r="F4" s="158"/>
      <c r="G4" s="157"/>
      <c r="H4" s="157"/>
      <c r="I4" s="157"/>
      <c r="J4" s="157"/>
    </row>
    <row r="5" spans="1:11" ht="15.75" x14ac:dyDescent="0.25">
      <c r="A5" s="1651" t="s">
        <v>127</v>
      </c>
      <c r="B5" s="1651"/>
      <c r="C5" s="289" t="s">
        <v>423</v>
      </c>
      <c r="D5" s="289"/>
      <c r="E5" s="289"/>
      <c r="F5" s="289"/>
      <c r="G5" s="289"/>
      <c r="H5" s="289"/>
      <c r="I5" s="289"/>
      <c r="J5" s="289"/>
    </row>
    <row r="6" spans="1:11" x14ac:dyDescent="0.2">
      <c r="A6" s="1651" t="s">
        <v>129</v>
      </c>
      <c r="B6" s="1651"/>
      <c r="C6" s="154" t="s">
        <v>424</v>
      </c>
      <c r="D6" s="154"/>
      <c r="E6" s="154"/>
      <c r="F6" s="154"/>
      <c r="G6" s="154"/>
      <c r="H6" s="154"/>
      <c r="I6" s="154"/>
      <c r="J6" s="154"/>
    </row>
    <row r="7" spans="1:11" x14ac:dyDescent="0.2">
      <c r="A7" s="1651" t="s">
        <v>131</v>
      </c>
      <c r="B7" s="1651"/>
      <c r="C7" s="160" t="s">
        <v>425</v>
      </c>
      <c r="D7" s="160"/>
      <c r="E7" s="160"/>
      <c r="F7" s="160"/>
      <c r="G7" s="160"/>
      <c r="H7" s="160"/>
      <c r="I7" s="160"/>
      <c r="J7" s="160"/>
      <c r="K7" s="290"/>
    </row>
    <row r="8" spans="1:11" ht="48" x14ac:dyDescent="0.2">
      <c r="A8" s="161" t="s">
        <v>4</v>
      </c>
      <c r="B8" s="1646" t="s">
        <v>133</v>
      </c>
      <c r="C8" s="1646"/>
      <c r="D8" s="161" t="s">
        <v>17</v>
      </c>
      <c r="E8" s="161" t="s">
        <v>15</v>
      </c>
      <c r="F8" s="162" t="s">
        <v>134</v>
      </c>
      <c r="G8" s="161" t="s">
        <v>135</v>
      </c>
      <c r="H8" s="161" t="s">
        <v>3465</v>
      </c>
      <c r="I8" s="161" t="s">
        <v>14</v>
      </c>
      <c r="J8" s="1646" t="s">
        <v>137</v>
      </c>
      <c r="K8" s="1646"/>
    </row>
    <row r="9" spans="1:11" ht="12" customHeight="1" x14ac:dyDescent="0.2">
      <c r="A9" s="1647" t="s">
        <v>138</v>
      </c>
      <c r="B9" s="1647"/>
      <c r="C9" s="1647"/>
      <c r="D9" s="163">
        <f t="shared" ref="D9:E9" si="0">SUM(D10:D17)</f>
        <v>0</v>
      </c>
      <c r="E9" s="163">
        <f t="shared" si="0"/>
        <v>0</v>
      </c>
      <c r="F9" s="163">
        <f>SUM(F10:F17)</f>
        <v>17974</v>
      </c>
      <c r="G9" s="163"/>
      <c r="H9" s="163">
        <f t="shared" ref="H9" si="1">SUM(H10:H17)</f>
        <v>17974</v>
      </c>
      <c r="I9" s="164"/>
      <c r="J9" s="1644"/>
      <c r="K9" s="1644"/>
    </row>
    <row r="10" spans="1:11" ht="123.75" customHeight="1" x14ac:dyDescent="0.2">
      <c r="A10" s="1648">
        <v>1</v>
      </c>
      <c r="B10" s="1645" t="s">
        <v>426</v>
      </c>
      <c r="C10" s="1645"/>
      <c r="D10" s="166">
        <v>0</v>
      </c>
      <c r="E10" s="166">
        <v>0</v>
      </c>
      <c r="F10" s="166">
        <v>1210</v>
      </c>
      <c r="G10" s="1680">
        <v>5250</v>
      </c>
      <c r="H10" s="1681">
        <f>1210+1089+1210</f>
        <v>3509</v>
      </c>
      <c r="I10" s="188" t="s">
        <v>3466</v>
      </c>
      <c r="J10" s="1682" t="s">
        <v>427</v>
      </c>
      <c r="K10" s="1682"/>
    </row>
    <row r="11" spans="1:11" ht="84" hidden="1" x14ac:dyDescent="0.2">
      <c r="A11" s="1648"/>
      <c r="B11" s="1645"/>
      <c r="C11" s="1645"/>
      <c r="D11" s="166">
        <v>0</v>
      </c>
      <c r="E11" s="166">
        <v>0</v>
      </c>
      <c r="F11" s="166">
        <v>1089</v>
      </c>
      <c r="G11" s="1680"/>
      <c r="H11" s="1681"/>
      <c r="I11" s="188" t="s">
        <v>196</v>
      </c>
      <c r="J11" s="1682" t="s">
        <v>428</v>
      </c>
      <c r="K11" s="1682"/>
    </row>
    <row r="12" spans="1:11" ht="78.75" hidden="1" customHeight="1" x14ac:dyDescent="0.2">
      <c r="A12" s="1648"/>
      <c r="B12" s="1645"/>
      <c r="C12" s="1645"/>
      <c r="D12" s="166">
        <v>0</v>
      </c>
      <c r="E12" s="166">
        <v>0</v>
      </c>
      <c r="F12" s="166">
        <v>1210</v>
      </c>
      <c r="G12" s="1680"/>
      <c r="H12" s="1681"/>
      <c r="I12" s="188" t="s">
        <v>429</v>
      </c>
      <c r="J12" s="1682" t="s">
        <v>430</v>
      </c>
      <c r="K12" s="1682"/>
    </row>
    <row r="13" spans="1:11" ht="53.25" customHeight="1" x14ac:dyDescent="0.2">
      <c r="A13" s="1648"/>
      <c r="B13" s="1645"/>
      <c r="C13" s="1645"/>
      <c r="D13" s="166">
        <v>0</v>
      </c>
      <c r="E13" s="166">
        <v>0</v>
      </c>
      <c r="F13" s="166">
        <v>605</v>
      </c>
      <c r="G13" s="167">
        <v>2279</v>
      </c>
      <c r="H13" s="291">
        <v>605</v>
      </c>
      <c r="I13" s="1390" t="s">
        <v>431</v>
      </c>
      <c r="J13" s="1682" t="s">
        <v>432</v>
      </c>
      <c r="K13" s="1682"/>
    </row>
    <row r="14" spans="1:11" ht="81.75" hidden="1" customHeight="1" x14ac:dyDescent="0.2">
      <c r="A14" s="1648"/>
      <c r="B14" s="1645"/>
      <c r="C14" s="1645"/>
      <c r="D14" s="166">
        <v>0</v>
      </c>
      <c r="E14" s="166">
        <v>0</v>
      </c>
      <c r="F14" s="166">
        <v>4235</v>
      </c>
      <c r="I14" s="166"/>
      <c r="J14" s="1682" t="s">
        <v>433</v>
      </c>
      <c r="K14" s="1682"/>
    </row>
    <row r="15" spans="1:11" ht="108" customHeight="1" x14ac:dyDescent="0.2">
      <c r="A15" s="1648"/>
      <c r="B15" s="1645"/>
      <c r="C15" s="1645"/>
      <c r="D15" s="166">
        <v>0</v>
      </c>
      <c r="E15" s="166">
        <v>0</v>
      </c>
      <c r="F15" s="166">
        <v>2118</v>
      </c>
      <c r="G15" s="1393">
        <v>5240</v>
      </c>
      <c r="H15" s="166">
        <f>4235+2118+4235</f>
        <v>10588</v>
      </c>
      <c r="I15" s="188" t="s">
        <v>3467</v>
      </c>
      <c r="J15" s="1682" t="s">
        <v>434</v>
      </c>
      <c r="K15" s="1682"/>
    </row>
    <row r="16" spans="1:11" ht="72.75" hidden="1" customHeight="1" x14ac:dyDescent="0.2">
      <c r="A16" s="1648"/>
      <c r="B16" s="1645"/>
      <c r="C16" s="1645"/>
      <c r="D16" s="166">
        <v>0</v>
      </c>
      <c r="E16" s="166">
        <v>0</v>
      </c>
      <c r="F16" s="166">
        <v>4235</v>
      </c>
      <c r="G16" s="197"/>
      <c r="H16" s="166"/>
      <c r="I16" s="188" t="s">
        <v>280</v>
      </c>
      <c r="J16" s="1683" t="s">
        <v>435</v>
      </c>
      <c r="K16" s="1683"/>
    </row>
    <row r="17" spans="1:11" ht="36.75" customHeight="1" x14ac:dyDescent="0.2">
      <c r="A17" s="164">
        <v>2</v>
      </c>
      <c r="B17" s="1678" t="s">
        <v>436</v>
      </c>
      <c r="C17" s="1678"/>
      <c r="D17" s="292"/>
      <c r="E17" s="292"/>
      <c r="F17" s="253">
        <v>3272</v>
      </c>
      <c r="G17" s="293">
        <v>2312</v>
      </c>
      <c r="H17" s="253">
        <v>3272</v>
      </c>
      <c r="I17" s="1499" t="s">
        <v>3506</v>
      </c>
      <c r="J17" s="1679" t="s">
        <v>437</v>
      </c>
      <c r="K17" s="1679"/>
    </row>
    <row r="18" spans="1:11" x14ac:dyDescent="0.2">
      <c r="A18" s="294"/>
      <c r="B18" s="294"/>
      <c r="C18" s="294"/>
      <c r="D18" s="295"/>
      <c r="E18" s="295"/>
      <c r="F18" s="295"/>
      <c r="G18" s="296"/>
      <c r="H18" s="295"/>
      <c r="I18" s="296"/>
      <c r="J18" s="297"/>
      <c r="K18" s="297"/>
    </row>
    <row r="19" spans="1:11" s="259" customFormat="1" x14ac:dyDescent="0.2">
      <c r="A19" s="1459" t="s">
        <v>326</v>
      </c>
      <c r="B19" s="156"/>
      <c r="I19" s="271"/>
      <c r="J19" s="272"/>
      <c r="K19" s="272"/>
    </row>
    <row r="20" spans="1:11" s="259" customFormat="1" x14ac:dyDescent="0.2">
      <c r="A20" s="1460" t="s">
        <v>327</v>
      </c>
      <c r="B20" s="156"/>
      <c r="I20" s="271"/>
      <c r="J20" s="272"/>
      <c r="K20" s="272"/>
    </row>
    <row r="21" spans="1:11" s="259" customFormat="1" x14ac:dyDescent="0.2">
      <c r="A21" s="156" t="s">
        <v>329</v>
      </c>
      <c r="B21" s="156"/>
      <c r="I21" s="271"/>
      <c r="J21" s="272"/>
      <c r="K21" s="272"/>
    </row>
    <row r="22" spans="1:11" s="259" customFormat="1" x14ac:dyDescent="0.2">
      <c r="A22" s="156" t="s">
        <v>330</v>
      </c>
      <c r="B22" s="156"/>
      <c r="I22" s="271"/>
      <c r="J22" s="272"/>
      <c r="K22" s="272"/>
    </row>
    <row r="23" spans="1:11" s="259" customFormat="1" x14ac:dyDescent="0.2">
      <c r="A23" s="156" t="s">
        <v>331</v>
      </c>
      <c r="B23" s="156"/>
      <c r="I23" s="271"/>
      <c r="J23" s="272"/>
      <c r="K23" s="272"/>
    </row>
    <row r="24" spans="1:11" s="259" customFormat="1" x14ac:dyDescent="0.2">
      <c r="A24" s="156" t="s">
        <v>332</v>
      </c>
      <c r="B24" s="156"/>
      <c r="I24" s="271"/>
      <c r="J24" s="272"/>
      <c r="K24" s="272"/>
    </row>
    <row r="25" spans="1:11" s="259" customFormat="1" x14ac:dyDescent="0.2">
      <c r="A25" s="156" t="s">
        <v>334</v>
      </c>
      <c r="B25" s="156"/>
      <c r="I25" s="271"/>
      <c r="J25" s="272"/>
      <c r="K25" s="272"/>
    </row>
    <row r="26" spans="1:11" s="259" customFormat="1" x14ac:dyDescent="0.2">
      <c r="A26" s="156" t="s">
        <v>339</v>
      </c>
      <c r="B26" s="156"/>
      <c r="I26" s="271"/>
      <c r="J26" s="272"/>
      <c r="K26" s="272"/>
    </row>
    <row r="27" spans="1:11" s="299" customFormat="1" x14ac:dyDescent="0.2">
      <c r="A27" s="1460" t="s">
        <v>340</v>
      </c>
      <c r="B27" s="1460"/>
      <c r="I27" s="300"/>
      <c r="J27" s="301"/>
      <c r="K27" s="301"/>
    </row>
    <row r="28" spans="1:11" s="259" customFormat="1" x14ac:dyDescent="0.2">
      <c r="A28" s="156" t="s">
        <v>341</v>
      </c>
      <c r="B28" s="156"/>
      <c r="I28" s="271"/>
      <c r="J28" s="272"/>
      <c r="K28" s="272"/>
    </row>
    <row r="29" spans="1:11" s="259" customFormat="1" x14ac:dyDescent="0.2">
      <c r="A29" s="156" t="s">
        <v>343</v>
      </c>
      <c r="B29" s="156"/>
      <c r="I29" s="271"/>
      <c r="J29" s="272"/>
      <c r="K29" s="272"/>
    </row>
    <row r="30" spans="1:11" s="259" customFormat="1" x14ac:dyDescent="0.2">
      <c r="A30" s="156" t="s">
        <v>344</v>
      </c>
      <c r="B30" s="156"/>
      <c r="I30" s="271"/>
      <c r="J30" s="272"/>
      <c r="K30" s="272"/>
    </row>
    <row r="31" spans="1:11" s="259" customFormat="1" x14ac:dyDescent="0.2">
      <c r="A31" s="156" t="s">
        <v>345</v>
      </c>
      <c r="B31" s="156"/>
      <c r="I31" s="271"/>
      <c r="J31" s="272"/>
      <c r="K31" s="272"/>
    </row>
    <row r="32" spans="1:11" s="259" customFormat="1" x14ac:dyDescent="0.2">
      <c r="A32" s="156" t="s">
        <v>347</v>
      </c>
      <c r="B32" s="156"/>
      <c r="I32" s="271"/>
      <c r="J32" s="272"/>
      <c r="K32" s="272"/>
    </row>
    <row r="33" spans="1:11" s="259" customFormat="1" x14ac:dyDescent="0.2">
      <c r="A33" s="156" t="s">
        <v>354</v>
      </c>
      <c r="B33" s="156"/>
      <c r="I33" s="271"/>
      <c r="J33" s="272"/>
      <c r="K33" s="272"/>
    </row>
    <row r="34" spans="1:11" s="299" customFormat="1" x14ac:dyDescent="0.2">
      <c r="A34" s="1460" t="s">
        <v>355</v>
      </c>
      <c r="B34" s="1460"/>
      <c r="I34" s="300"/>
      <c r="J34" s="301"/>
      <c r="K34" s="301"/>
    </row>
    <row r="35" spans="1:11" s="259" customFormat="1" x14ac:dyDescent="0.2">
      <c r="A35" s="156" t="s">
        <v>357</v>
      </c>
      <c r="B35" s="156"/>
      <c r="I35" s="271"/>
      <c r="J35" s="272"/>
      <c r="K35" s="272"/>
    </row>
    <row r="36" spans="1:11" s="259" customFormat="1" x14ac:dyDescent="0.2">
      <c r="A36" s="156" t="s">
        <v>3507</v>
      </c>
      <c r="B36" s="156"/>
      <c r="I36" s="271"/>
      <c r="J36" s="272"/>
      <c r="K36" s="272"/>
    </row>
    <row r="37" spans="1:11" s="259" customFormat="1" x14ac:dyDescent="0.2">
      <c r="A37" s="156" t="s">
        <v>3508</v>
      </c>
      <c r="B37" s="156"/>
      <c r="I37" s="271"/>
      <c r="J37" s="272"/>
      <c r="K37" s="272"/>
    </row>
    <row r="38" spans="1:11" s="259" customFormat="1" x14ac:dyDescent="0.2">
      <c r="A38" s="156" t="s">
        <v>360</v>
      </c>
      <c r="B38" s="156"/>
      <c r="I38" s="271"/>
      <c r="J38" s="272"/>
      <c r="K38" s="272"/>
    </row>
    <row r="39" spans="1:11" s="259" customFormat="1" x14ac:dyDescent="0.2">
      <c r="A39" s="156" t="s">
        <v>361</v>
      </c>
      <c r="B39" s="156"/>
      <c r="I39" s="271"/>
      <c r="J39" s="272"/>
      <c r="K39" s="272"/>
    </row>
    <row r="40" spans="1:11" s="259" customFormat="1" x14ac:dyDescent="0.2">
      <c r="A40" s="156" t="s">
        <v>362</v>
      </c>
      <c r="B40" s="156"/>
      <c r="I40" s="271"/>
      <c r="J40" s="272"/>
      <c r="K40" s="272"/>
    </row>
    <row r="41" spans="1:11" s="259" customFormat="1" x14ac:dyDescent="0.2">
      <c r="A41" s="156" t="s">
        <v>364</v>
      </c>
      <c r="B41" s="156"/>
      <c r="I41" s="271"/>
      <c r="J41" s="272"/>
      <c r="K41" s="272"/>
    </row>
    <row r="42" spans="1:11" s="259" customFormat="1" x14ac:dyDescent="0.2">
      <c r="A42" s="156" t="s">
        <v>365</v>
      </c>
      <c r="B42" s="156"/>
      <c r="I42" s="271"/>
      <c r="J42" s="272"/>
      <c r="K42" s="272"/>
    </row>
    <row r="43" spans="1:11" s="259" customFormat="1" x14ac:dyDescent="0.2">
      <c r="A43" s="156" t="s">
        <v>366</v>
      </c>
      <c r="B43" s="156"/>
      <c r="I43" s="271"/>
      <c r="J43" s="272"/>
      <c r="K43" s="272"/>
    </row>
    <row r="44" spans="1:11" s="259" customFormat="1" x14ac:dyDescent="0.2">
      <c r="A44" s="156" t="s">
        <v>3509</v>
      </c>
      <c r="B44" s="156"/>
      <c r="I44" s="271"/>
      <c r="J44" s="272"/>
      <c r="K44" s="272"/>
    </row>
    <row r="45" spans="1:11" s="259" customFormat="1" x14ac:dyDescent="0.2">
      <c r="A45" s="156" t="s">
        <v>379</v>
      </c>
      <c r="B45" s="156"/>
      <c r="I45" s="271"/>
      <c r="J45" s="272"/>
      <c r="K45" s="272"/>
    </row>
    <row r="46" spans="1:11" s="259" customFormat="1" ht="7.5" customHeight="1" x14ac:dyDescent="0.2">
      <c r="A46" s="156"/>
      <c r="B46" s="156"/>
      <c r="I46" s="271"/>
      <c r="J46" s="272"/>
      <c r="K46" s="272"/>
    </row>
    <row r="47" spans="1:11" s="259" customFormat="1" x14ac:dyDescent="0.2">
      <c r="A47" s="1459" t="s">
        <v>380</v>
      </c>
      <c r="B47" s="1459"/>
      <c r="C47" s="298"/>
      <c r="D47" s="298"/>
      <c r="I47" s="271"/>
      <c r="J47" s="272"/>
      <c r="K47" s="272"/>
    </row>
    <row r="48" spans="1:11" s="259" customFormat="1" x14ac:dyDescent="0.2">
      <c r="A48" s="156" t="s">
        <v>381</v>
      </c>
      <c r="B48" s="156"/>
      <c r="I48" s="271"/>
      <c r="J48" s="272"/>
      <c r="K48" s="272"/>
    </row>
    <row r="49" spans="1:11" s="259" customFormat="1" x14ac:dyDescent="0.2">
      <c r="A49" s="156" t="s">
        <v>382</v>
      </c>
      <c r="B49" s="156"/>
      <c r="I49" s="271"/>
      <c r="J49" s="272"/>
      <c r="K49" s="272"/>
    </row>
    <row r="50" spans="1:11" s="259" customFormat="1" x14ac:dyDescent="0.2">
      <c r="A50" s="156" t="s">
        <v>383</v>
      </c>
      <c r="B50" s="156"/>
      <c r="I50" s="271"/>
      <c r="J50" s="272"/>
      <c r="K50" s="272"/>
    </row>
    <row r="51" spans="1:11" s="259" customFormat="1" ht="6.75" customHeight="1" x14ac:dyDescent="0.2">
      <c r="A51" s="156"/>
      <c r="B51" s="156"/>
      <c r="I51" s="271"/>
      <c r="J51" s="272"/>
      <c r="K51" s="272"/>
    </row>
    <row r="52" spans="1:11" s="259" customFormat="1" x14ac:dyDescent="0.2">
      <c r="A52" s="1459" t="s">
        <v>387</v>
      </c>
      <c r="B52" s="156"/>
      <c r="I52" s="271"/>
      <c r="J52" s="272"/>
      <c r="K52" s="272"/>
    </row>
    <row r="53" spans="1:11" s="259" customFormat="1" x14ac:dyDescent="0.2">
      <c r="A53" s="156" t="s">
        <v>390</v>
      </c>
      <c r="B53" s="156"/>
      <c r="I53" s="271"/>
      <c r="J53" s="272"/>
      <c r="K53" s="272"/>
    </row>
    <row r="54" spans="1:11" s="259" customFormat="1" x14ac:dyDescent="0.2">
      <c r="A54" s="156" t="s">
        <v>391</v>
      </c>
      <c r="B54" s="156"/>
      <c r="I54" s="271"/>
      <c r="J54" s="272"/>
      <c r="K54" s="272"/>
    </row>
    <row r="55" spans="1:11" s="259" customFormat="1" x14ac:dyDescent="0.2">
      <c r="A55" s="156" t="s">
        <v>392</v>
      </c>
      <c r="B55" s="156"/>
      <c r="I55" s="271"/>
      <c r="J55" s="272"/>
      <c r="K55" s="272"/>
    </row>
    <row r="56" spans="1:11" s="259" customFormat="1" ht="7.5" customHeight="1" x14ac:dyDescent="0.2">
      <c r="A56" s="156"/>
      <c r="B56" s="156"/>
      <c r="I56" s="271"/>
      <c r="J56" s="272"/>
      <c r="K56" s="272"/>
    </row>
    <row r="57" spans="1:11" s="259" customFormat="1" x14ac:dyDescent="0.2">
      <c r="A57" s="1459" t="s">
        <v>393</v>
      </c>
      <c r="B57" s="156"/>
      <c r="I57" s="271"/>
      <c r="J57" s="272"/>
      <c r="K57" s="272"/>
    </row>
    <row r="58" spans="1:11" s="259" customFormat="1" x14ac:dyDescent="0.2">
      <c r="A58" s="1461" t="s">
        <v>394</v>
      </c>
      <c r="B58" s="156"/>
      <c r="I58" s="271"/>
      <c r="J58" s="272"/>
      <c r="K58" s="272"/>
    </row>
    <row r="59" spans="1:11" s="259" customFormat="1" x14ac:dyDescent="0.2">
      <c r="A59" s="1462" t="s">
        <v>395</v>
      </c>
      <c r="B59" s="156"/>
      <c r="I59" s="271"/>
      <c r="J59" s="272"/>
      <c r="K59" s="272"/>
    </row>
    <row r="60" spans="1:11" s="259" customFormat="1" x14ac:dyDescent="0.2">
      <c r="A60" s="1462" t="s">
        <v>396</v>
      </c>
      <c r="B60" s="156"/>
      <c r="I60" s="271"/>
      <c r="J60" s="272"/>
      <c r="K60" s="272"/>
    </row>
    <row r="61" spans="1:11" s="259" customFormat="1" x14ac:dyDescent="0.2">
      <c r="A61" s="1461" t="s">
        <v>397</v>
      </c>
      <c r="B61" s="156"/>
      <c r="I61" s="271"/>
      <c r="J61" s="272"/>
      <c r="K61" s="272"/>
    </row>
    <row r="62" spans="1:11" s="259" customFormat="1" x14ac:dyDescent="0.2">
      <c r="A62" s="1462" t="s">
        <v>398</v>
      </c>
      <c r="B62" s="156"/>
      <c r="I62" s="271"/>
      <c r="J62" s="272"/>
      <c r="K62" s="272"/>
    </row>
    <row r="63" spans="1:11" s="259" customFormat="1" x14ac:dyDescent="0.2">
      <c r="A63" s="1462" t="s">
        <v>399</v>
      </c>
      <c r="B63" s="156"/>
      <c r="I63" s="271"/>
      <c r="J63" s="272"/>
      <c r="K63" s="272"/>
    </row>
    <row r="64" spans="1:11" s="259" customFormat="1" x14ac:dyDescent="0.2">
      <c r="A64" s="1462" t="s">
        <v>400</v>
      </c>
      <c r="B64" s="156"/>
      <c r="I64" s="271"/>
      <c r="J64" s="272"/>
      <c r="K64" s="272"/>
    </row>
    <row r="65" spans="1:11" s="259" customFormat="1" x14ac:dyDescent="0.2">
      <c r="A65" s="1461" t="s">
        <v>401</v>
      </c>
      <c r="B65" s="156"/>
      <c r="I65" s="271"/>
      <c r="J65" s="272"/>
      <c r="K65" s="272"/>
    </row>
    <row r="66" spans="1:11" s="259" customFormat="1" x14ac:dyDescent="0.2">
      <c r="A66" s="1462" t="s">
        <v>402</v>
      </c>
      <c r="B66" s="156"/>
      <c r="I66" s="271"/>
      <c r="J66" s="272"/>
      <c r="K66" s="272"/>
    </row>
    <row r="67" spans="1:11" s="259" customFormat="1" x14ac:dyDescent="0.2">
      <c r="A67" s="1463" t="s">
        <v>403</v>
      </c>
      <c r="B67" s="156"/>
      <c r="I67" s="271"/>
      <c r="J67" s="272"/>
      <c r="K67" s="272"/>
    </row>
    <row r="68" spans="1:11" s="259" customFormat="1" x14ac:dyDescent="0.2">
      <c r="A68" s="1464" t="s">
        <v>404</v>
      </c>
      <c r="B68" s="156"/>
      <c r="I68" s="271"/>
      <c r="J68" s="272"/>
      <c r="K68" s="272"/>
    </row>
    <row r="69" spans="1:11" s="259" customFormat="1" x14ac:dyDescent="0.2">
      <c r="A69" s="302" t="s">
        <v>405</v>
      </c>
      <c r="B69" s="156"/>
      <c r="I69" s="271"/>
      <c r="J69" s="272"/>
      <c r="K69" s="272"/>
    </row>
    <row r="70" spans="1:11" s="259" customFormat="1" ht="7.5" customHeight="1" x14ac:dyDescent="0.2">
      <c r="A70" s="1459"/>
      <c r="B70" s="156"/>
      <c r="I70" s="271"/>
      <c r="J70" s="272"/>
      <c r="K70" s="272"/>
    </row>
    <row r="71" spans="1:11" s="259" customFormat="1" x14ac:dyDescent="0.2">
      <c r="A71" s="1459" t="s">
        <v>406</v>
      </c>
      <c r="B71" s="156"/>
      <c r="I71" s="271"/>
      <c r="J71" s="272"/>
      <c r="K71" s="272"/>
    </row>
    <row r="72" spans="1:11" s="259" customFormat="1" x14ac:dyDescent="0.2">
      <c r="A72" s="1460" t="s">
        <v>340</v>
      </c>
      <c r="B72" s="156"/>
      <c r="I72" s="271"/>
      <c r="J72" s="272"/>
      <c r="K72" s="272"/>
    </row>
    <row r="73" spans="1:11" s="259" customFormat="1" x14ac:dyDescent="0.2">
      <c r="A73" s="302" t="s">
        <v>407</v>
      </c>
      <c r="B73" s="156"/>
      <c r="I73" s="271"/>
      <c r="J73" s="272"/>
      <c r="K73" s="272"/>
    </row>
    <row r="74" spans="1:11" s="259" customFormat="1" x14ac:dyDescent="0.2">
      <c r="A74" s="1465" t="s">
        <v>408</v>
      </c>
      <c r="B74" s="156"/>
      <c r="I74" s="271"/>
      <c r="J74" s="272"/>
      <c r="K74" s="272"/>
    </row>
    <row r="75" spans="1:11" s="259" customFormat="1" x14ac:dyDescent="0.2">
      <c r="A75" s="302" t="s">
        <v>410</v>
      </c>
      <c r="B75" s="156"/>
      <c r="I75" s="271"/>
      <c r="J75" s="272"/>
      <c r="K75" s="272"/>
    </row>
    <row r="76" spans="1:11" s="259" customFormat="1" x14ac:dyDescent="0.2">
      <c r="A76" s="1460" t="s">
        <v>401</v>
      </c>
      <c r="B76" s="156"/>
      <c r="I76" s="271"/>
      <c r="J76" s="272"/>
      <c r="K76" s="272"/>
    </row>
    <row r="77" spans="1:11" s="259" customFormat="1" x14ac:dyDescent="0.2">
      <c r="A77" s="302" t="s">
        <v>412</v>
      </c>
      <c r="B77" s="156"/>
      <c r="I77" s="271"/>
      <c r="J77" s="272"/>
      <c r="K77" s="272"/>
    </row>
    <row r="78" spans="1:11" s="259" customFormat="1" ht="6.75" customHeight="1" x14ac:dyDescent="0.2">
      <c r="A78" s="302"/>
      <c r="B78" s="156"/>
      <c r="I78" s="271"/>
      <c r="J78" s="272"/>
      <c r="K78" s="272"/>
    </row>
    <row r="79" spans="1:11" s="259" customFormat="1" x14ac:dyDescent="0.2">
      <c r="A79" s="1466" t="s">
        <v>414</v>
      </c>
      <c r="B79" s="1459"/>
      <c r="C79" s="298"/>
      <c r="I79" s="271"/>
      <c r="J79" s="272"/>
      <c r="K79" s="272"/>
    </row>
    <row r="80" spans="1:11" s="259" customFormat="1" x14ac:dyDescent="0.2">
      <c r="A80" s="1465" t="s">
        <v>415</v>
      </c>
      <c r="B80" s="156"/>
      <c r="I80" s="271"/>
      <c r="J80" s="272"/>
      <c r="K80" s="272"/>
    </row>
    <row r="81" spans="1:11" s="259" customFormat="1" x14ac:dyDescent="0.2">
      <c r="A81" s="302" t="s">
        <v>416</v>
      </c>
      <c r="B81" s="156"/>
      <c r="I81" s="271"/>
      <c r="J81" s="272"/>
      <c r="K81" s="272"/>
    </row>
    <row r="82" spans="1:11" x14ac:dyDescent="0.2">
      <c r="A82" s="302"/>
      <c r="F82" s="156"/>
      <c r="I82" s="303"/>
      <c r="J82" s="304"/>
      <c r="K82" s="304"/>
    </row>
  </sheetData>
  <sheetProtection algorithmName="SHA-512" hashValue="72bBeGGTDy38LykXyHX7ewXJX6FlXb+8klz8CecBA6WgM93AFCW8fITXR4RhA1qkEbOPCwj2j0+A1BAhX7KY5A==" saltValue="u3OhKXu8T1PcLbQywskEYg==" spinCount="100000" sheet="1" objects="1" scenarios="1"/>
  <mergeCells count="26">
    <mergeCell ref="A9:C9"/>
    <mergeCell ref="J9:K9"/>
    <mergeCell ref="A1:B1"/>
    <mergeCell ref="C1:D1"/>
    <mergeCell ref="G1:K1"/>
    <mergeCell ref="A2:B2"/>
    <mergeCell ref="C2:J2"/>
    <mergeCell ref="A3:J3"/>
    <mergeCell ref="A5:B5"/>
    <mergeCell ref="A6:B6"/>
    <mergeCell ref="A7:B7"/>
    <mergeCell ref="B8:C8"/>
    <mergeCell ref="J8:K8"/>
    <mergeCell ref="B17:C17"/>
    <mergeCell ref="J17:K17"/>
    <mergeCell ref="A10:A16"/>
    <mergeCell ref="B10:C16"/>
    <mergeCell ref="G10:G12"/>
    <mergeCell ref="H10:H12"/>
    <mergeCell ref="J10:K10"/>
    <mergeCell ref="J11:K11"/>
    <mergeCell ref="J12:K12"/>
    <mergeCell ref="J13:K13"/>
    <mergeCell ref="J14:K14"/>
    <mergeCell ref="J15:K15"/>
    <mergeCell ref="J16:K16"/>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5.pielikums Jūrmalas pilsētas domes
2018.gada 18.decembra saistošajiem noteikumiem Nr.44
(protokols Nr.17, 2.punkts)</oddHeader>
    <oddFooter xml:space="preserve">&amp;R&amp;"Times New Roman,Regular"&amp;8&amp;P (&amp;N)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4"/>
  <sheetViews>
    <sheetView view="pageLayout" zoomScaleNormal="100" workbookViewId="0">
      <selection activeCell="P10" sqref="P10"/>
    </sheetView>
  </sheetViews>
  <sheetFormatPr defaultRowHeight="12" x14ac:dyDescent="0.2"/>
  <cols>
    <col min="1" max="1" width="3.8554687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9.7109375" style="274" customWidth="1"/>
    <col min="8" max="8" width="19.140625" style="274" customWidth="1"/>
    <col min="9" max="9" width="30.5703125" style="274" hidden="1" customWidth="1"/>
    <col min="10" max="16384" width="9.140625" style="274"/>
  </cols>
  <sheetData>
    <row r="1" spans="1:9" x14ac:dyDescent="0.2">
      <c r="A1" s="1903" t="s">
        <v>438</v>
      </c>
      <c r="B1" s="1903"/>
      <c r="C1" s="1903" t="s">
        <v>3018</v>
      </c>
      <c r="D1" s="1903"/>
      <c r="E1" s="1903"/>
      <c r="F1" s="1903"/>
      <c r="G1" s="1903"/>
      <c r="H1" s="1903"/>
      <c r="I1" s="1903"/>
    </row>
    <row r="2" spans="1:9" x14ac:dyDescent="0.2">
      <c r="A2" s="1903" t="s">
        <v>439</v>
      </c>
      <c r="B2" s="1903"/>
      <c r="C2" s="1903">
        <v>90000594245</v>
      </c>
      <c r="D2" s="1903"/>
      <c r="E2" s="1903"/>
      <c r="F2" s="1903"/>
      <c r="G2" s="1903"/>
      <c r="H2" s="1903"/>
      <c r="I2" s="1903"/>
    </row>
    <row r="3" spans="1:9" ht="15.75" x14ac:dyDescent="0.25">
      <c r="A3" s="1905" t="s">
        <v>3639</v>
      </c>
      <c r="B3" s="1905"/>
      <c r="C3" s="1905"/>
      <c r="D3" s="1905"/>
      <c r="E3" s="1905"/>
      <c r="F3" s="1905"/>
      <c r="G3" s="1905"/>
      <c r="H3" s="1905"/>
      <c r="I3" s="1905"/>
    </row>
    <row r="4" spans="1:9" ht="15.75" x14ac:dyDescent="0.25">
      <c r="A4" s="421"/>
      <c r="B4" s="421"/>
      <c r="C4" s="421"/>
      <c r="D4" s="421"/>
      <c r="E4" s="421"/>
      <c r="F4" s="421"/>
      <c r="G4" s="421"/>
      <c r="H4" s="421"/>
      <c r="I4" s="421"/>
    </row>
    <row r="5" spans="1:9" ht="15.75" x14ac:dyDescent="0.25">
      <c r="A5" s="287" t="s">
        <v>440</v>
      </c>
      <c r="B5" s="287"/>
      <c r="C5" s="2247" t="s">
        <v>3149</v>
      </c>
      <c r="D5" s="2247"/>
      <c r="E5" s="2247"/>
      <c r="F5" s="2247"/>
      <c r="G5" s="2247"/>
      <c r="H5" s="2247"/>
      <c r="I5" s="2247"/>
    </row>
    <row r="6" spans="1:9" x14ac:dyDescent="0.2">
      <c r="A6" s="287" t="s">
        <v>129</v>
      </c>
      <c r="B6" s="287"/>
      <c r="C6" s="2207" t="s">
        <v>3150</v>
      </c>
      <c r="D6" s="2207"/>
      <c r="E6" s="2207"/>
      <c r="F6" s="2207"/>
      <c r="G6" s="2207"/>
      <c r="H6" s="2207"/>
      <c r="I6" s="2207"/>
    </row>
    <row r="7" spans="1:9" x14ac:dyDescent="0.2">
      <c r="A7" s="287" t="s">
        <v>131</v>
      </c>
      <c r="B7" s="287"/>
      <c r="C7" s="2208" t="s">
        <v>3151</v>
      </c>
      <c r="D7" s="2208"/>
      <c r="E7" s="2208"/>
      <c r="F7" s="2208"/>
      <c r="G7" s="2208"/>
      <c r="H7" s="2208"/>
      <c r="I7" s="2208"/>
    </row>
    <row r="8" spans="1:9" ht="48" x14ac:dyDescent="0.2">
      <c r="A8" s="426" t="s">
        <v>4</v>
      </c>
      <c r="B8" s="1026" t="s">
        <v>133</v>
      </c>
      <c r="C8" s="161" t="s">
        <v>17</v>
      </c>
      <c r="D8" s="161" t="s">
        <v>15</v>
      </c>
      <c r="E8" s="161" t="s">
        <v>134</v>
      </c>
      <c r="F8" s="161" t="s">
        <v>135</v>
      </c>
      <c r="G8" s="161" t="s">
        <v>3510</v>
      </c>
      <c r="H8" s="161" t="s">
        <v>14</v>
      </c>
      <c r="I8" s="161" t="s">
        <v>137</v>
      </c>
    </row>
    <row r="9" spans="1:9" ht="12.75" customHeight="1" x14ac:dyDescent="0.2">
      <c r="A9" s="2209" t="s">
        <v>138</v>
      </c>
      <c r="B9" s="2210"/>
      <c r="C9" s="1027">
        <f>SUM(C10:C11)</f>
        <v>45712</v>
      </c>
      <c r="D9" s="1027">
        <f>SUM(D10:D11)</f>
        <v>45712</v>
      </c>
      <c r="E9" s="1027">
        <f>SUM(E10:E11)</f>
        <v>45712</v>
      </c>
      <c r="F9" s="1027"/>
      <c r="G9" s="1027">
        <f>SUM(G10:G11)</f>
        <v>45712</v>
      </c>
      <c r="H9" s="1027"/>
      <c r="I9" s="1033"/>
    </row>
    <row r="10" spans="1:9" ht="26.25" customHeight="1" x14ac:dyDescent="0.2">
      <c r="A10" s="496">
        <v>1</v>
      </c>
      <c r="B10" s="1064" t="s">
        <v>3152</v>
      </c>
      <c r="C10" s="1065">
        <v>45000</v>
      </c>
      <c r="D10" s="188">
        <v>45000</v>
      </c>
      <c r="E10" s="188">
        <v>45000</v>
      </c>
      <c r="F10" s="1045">
        <v>2279</v>
      </c>
      <c r="G10" s="166">
        <v>45000</v>
      </c>
      <c r="H10" s="2245" t="s">
        <v>3153</v>
      </c>
      <c r="I10" s="1030" t="s">
        <v>3154</v>
      </c>
    </row>
    <row r="11" spans="1:9" ht="26.25" customHeight="1" x14ac:dyDescent="0.2">
      <c r="A11" s="496">
        <v>2</v>
      </c>
      <c r="B11" s="1064" t="s">
        <v>3155</v>
      </c>
      <c r="C11" s="1065">
        <v>712</v>
      </c>
      <c r="D11" s="188">
        <v>712</v>
      </c>
      <c r="E11" s="188">
        <v>712</v>
      </c>
      <c r="F11" s="1045">
        <v>2239</v>
      </c>
      <c r="G11" s="166">
        <v>712</v>
      </c>
      <c r="H11" s="2246"/>
      <c r="I11" s="1030" t="s">
        <v>3156</v>
      </c>
    </row>
    <row r="12" spans="1:9" x14ac:dyDescent="0.2">
      <c r="A12" s="487"/>
      <c r="B12" s="487"/>
      <c r="C12" s="173"/>
      <c r="D12" s="173"/>
      <c r="E12" s="173"/>
      <c r="F12" s="173"/>
      <c r="G12" s="173"/>
      <c r="H12" s="173"/>
      <c r="I12" s="173"/>
    </row>
    <row r="13" spans="1:9" x14ac:dyDescent="0.2">
      <c r="A13" s="287" t="s">
        <v>129</v>
      </c>
      <c r="B13" s="287"/>
      <c r="C13" s="2207" t="s">
        <v>3157</v>
      </c>
      <c r="D13" s="2207"/>
      <c r="E13" s="2207"/>
      <c r="F13" s="2207"/>
      <c r="G13" s="2207"/>
      <c r="H13" s="2207"/>
      <c r="I13" s="2207"/>
    </row>
    <row r="14" spans="1:9" x14ac:dyDescent="0.2">
      <c r="A14" s="287" t="s">
        <v>131</v>
      </c>
      <c r="B14" s="287"/>
      <c r="C14" s="2208" t="s">
        <v>3158</v>
      </c>
      <c r="D14" s="2208"/>
      <c r="E14" s="2208"/>
      <c r="F14" s="2208"/>
      <c r="G14" s="2208"/>
      <c r="H14" s="2208"/>
      <c r="I14" s="2208"/>
    </row>
    <row r="15" spans="1:9" ht="48" x14ac:dyDescent="0.2">
      <c r="A15" s="426" t="s">
        <v>4</v>
      </c>
      <c r="B15" s="1026" t="s">
        <v>133</v>
      </c>
      <c r="C15" s="161" t="s">
        <v>17</v>
      </c>
      <c r="D15" s="161" t="s">
        <v>15</v>
      </c>
      <c r="E15" s="161" t="s">
        <v>134</v>
      </c>
      <c r="F15" s="161" t="s">
        <v>135</v>
      </c>
      <c r="G15" s="1489" t="s">
        <v>3510</v>
      </c>
      <c r="H15" s="161" t="s">
        <v>14</v>
      </c>
      <c r="I15" s="161" t="s">
        <v>137</v>
      </c>
    </row>
    <row r="16" spans="1:9" x14ac:dyDescent="0.2">
      <c r="A16" s="2209" t="s">
        <v>138</v>
      </c>
      <c r="B16" s="2210"/>
      <c r="C16" s="1027">
        <f>SUM(C17:C29)</f>
        <v>26594</v>
      </c>
      <c r="D16" s="1027">
        <f>SUM(D17:D29)</f>
        <v>26594</v>
      </c>
      <c r="E16" s="1027">
        <f>SUM(E17:E29)</f>
        <v>28725</v>
      </c>
      <c r="F16" s="1027"/>
      <c r="G16" s="1027">
        <f>SUM(G17:G29)</f>
        <v>28724</v>
      </c>
      <c r="H16" s="1027"/>
      <c r="I16" s="1033"/>
    </row>
    <row r="17" spans="1:9" ht="12" hidden="1" customHeight="1" x14ac:dyDescent="0.2">
      <c r="C17" s="1066"/>
      <c r="D17" s="1066"/>
      <c r="E17" s="1066"/>
      <c r="F17" s="1066"/>
      <c r="G17" s="1066"/>
      <c r="H17" s="1674" t="s">
        <v>3160</v>
      </c>
      <c r="I17" s="1033"/>
    </row>
    <row r="18" spans="1:9" ht="12" customHeight="1" x14ac:dyDescent="0.2">
      <c r="A18" s="1762">
        <v>1</v>
      </c>
      <c r="B18" s="2242" t="s">
        <v>3159</v>
      </c>
      <c r="C18" s="188">
        <v>314</v>
      </c>
      <c r="D18" s="188">
        <v>314</v>
      </c>
      <c r="E18" s="188">
        <v>177</v>
      </c>
      <c r="F18" s="1029">
        <v>2244</v>
      </c>
      <c r="G18" s="166">
        <v>177</v>
      </c>
      <c r="H18" s="1774"/>
      <c r="I18" s="1067" t="s">
        <v>3161</v>
      </c>
    </row>
    <row r="19" spans="1:9" ht="12" customHeight="1" x14ac:dyDescent="0.2">
      <c r="A19" s="1763"/>
      <c r="B19" s="2243"/>
      <c r="C19" s="188"/>
      <c r="D19" s="188"/>
      <c r="E19" s="188">
        <v>43</v>
      </c>
      <c r="F19" s="1029">
        <v>2224</v>
      </c>
      <c r="G19" s="166">
        <v>43</v>
      </c>
      <c r="H19" s="1774"/>
      <c r="I19" s="1067" t="s">
        <v>3162</v>
      </c>
    </row>
    <row r="20" spans="1:9" ht="12" customHeight="1" x14ac:dyDescent="0.2">
      <c r="A20" s="1763"/>
      <c r="B20" s="2243"/>
      <c r="C20" s="188"/>
      <c r="D20" s="188"/>
      <c r="E20" s="188">
        <v>70</v>
      </c>
      <c r="F20" s="1029">
        <v>2222</v>
      </c>
      <c r="G20" s="166">
        <v>70</v>
      </c>
      <c r="H20" s="1774"/>
      <c r="I20" s="1067" t="s">
        <v>3163</v>
      </c>
    </row>
    <row r="21" spans="1:9" ht="12" customHeight="1" x14ac:dyDescent="0.2">
      <c r="A21" s="1763"/>
      <c r="B21" s="2243"/>
      <c r="C21" s="188"/>
      <c r="D21" s="188"/>
      <c r="E21" s="188">
        <v>73</v>
      </c>
      <c r="F21" s="1029">
        <v>2223</v>
      </c>
      <c r="G21" s="166">
        <v>73</v>
      </c>
      <c r="H21" s="1774"/>
      <c r="I21" s="1067" t="s">
        <v>3164</v>
      </c>
    </row>
    <row r="22" spans="1:9" ht="12" customHeight="1" x14ac:dyDescent="0.2">
      <c r="A22" s="1763"/>
      <c r="B22" s="2243"/>
      <c r="C22" s="188">
        <v>122</v>
      </c>
      <c r="D22" s="188">
        <v>122</v>
      </c>
      <c r="E22" s="188">
        <v>122</v>
      </c>
      <c r="F22" s="1029">
        <v>2212</v>
      </c>
      <c r="G22" s="166">
        <v>122</v>
      </c>
      <c r="H22" s="1774"/>
      <c r="I22" s="1068" t="s">
        <v>3165</v>
      </c>
    </row>
    <row r="23" spans="1:9" ht="12" customHeight="1" x14ac:dyDescent="0.2">
      <c r="A23" s="1763"/>
      <c r="B23" s="2243"/>
      <c r="C23" s="188">
        <v>125</v>
      </c>
      <c r="D23" s="188">
        <v>125</v>
      </c>
      <c r="E23" s="188">
        <v>126</v>
      </c>
      <c r="F23" s="1069">
        <v>2221</v>
      </c>
      <c r="G23" s="166">
        <v>125</v>
      </c>
      <c r="H23" s="1774"/>
      <c r="I23" s="201" t="s">
        <v>3166</v>
      </c>
    </row>
    <row r="24" spans="1:9" ht="12" customHeight="1" x14ac:dyDescent="0.2">
      <c r="A24" s="1763"/>
      <c r="B24" s="2243"/>
      <c r="C24" s="188">
        <v>240</v>
      </c>
      <c r="D24" s="188">
        <v>240</v>
      </c>
      <c r="E24" s="188">
        <v>240</v>
      </c>
      <c r="F24" s="1069">
        <v>2311</v>
      </c>
      <c r="G24" s="166">
        <v>240</v>
      </c>
      <c r="H24" s="1774"/>
      <c r="I24" s="1067" t="s">
        <v>3167</v>
      </c>
    </row>
    <row r="25" spans="1:9" ht="12" customHeight="1" x14ac:dyDescent="0.2">
      <c r="A25" s="1763"/>
      <c r="B25" s="2243"/>
      <c r="C25" s="188">
        <v>81</v>
      </c>
      <c r="D25" s="188">
        <v>81</v>
      </c>
      <c r="E25" s="188">
        <v>162</v>
      </c>
      <c r="F25" s="1069">
        <v>2312</v>
      </c>
      <c r="G25" s="166">
        <v>162</v>
      </c>
      <c r="H25" s="1774"/>
      <c r="I25" s="1067" t="s">
        <v>3168</v>
      </c>
    </row>
    <row r="26" spans="1:9" ht="12" customHeight="1" x14ac:dyDescent="0.2">
      <c r="A26" s="1779"/>
      <c r="B26" s="2244"/>
      <c r="C26" s="1070">
        <v>23073</v>
      </c>
      <c r="D26" s="1070">
        <v>23073</v>
      </c>
      <c r="E26" s="1070">
        <v>23073</v>
      </c>
      <c r="F26" s="1029">
        <v>2279</v>
      </c>
      <c r="G26" s="166">
        <v>23073</v>
      </c>
      <c r="H26" s="1774"/>
      <c r="I26" s="1068" t="s">
        <v>3169</v>
      </c>
    </row>
    <row r="27" spans="1:9" ht="36.75" customHeight="1" x14ac:dyDescent="0.2">
      <c r="A27" s="496">
        <v>2</v>
      </c>
      <c r="B27" s="1034" t="s">
        <v>3170</v>
      </c>
      <c r="C27" s="162">
        <v>1139</v>
      </c>
      <c r="D27" s="1070">
        <v>1139</v>
      </c>
      <c r="E27" s="1070">
        <v>1139</v>
      </c>
      <c r="F27" s="1029">
        <v>2279</v>
      </c>
      <c r="G27" s="166">
        <v>1139</v>
      </c>
      <c r="H27" s="1062" t="s">
        <v>3171</v>
      </c>
      <c r="I27" s="1071" t="s">
        <v>3172</v>
      </c>
    </row>
    <row r="28" spans="1:9" ht="36.75" customHeight="1" x14ac:dyDescent="0.2">
      <c r="A28" s="496">
        <v>3</v>
      </c>
      <c r="B28" s="1034" t="s">
        <v>3173</v>
      </c>
      <c r="C28" s="162">
        <v>1500</v>
      </c>
      <c r="D28" s="188">
        <v>1500</v>
      </c>
      <c r="E28" s="188">
        <v>1500</v>
      </c>
      <c r="F28" s="1029">
        <v>2279</v>
      </c>
      <c r="G28" s="166">
        <v>1500</v>
      </c>
      <c r="H28" s="1062" t="s">
        <v>3171</v>
      </c>
      <c r="I28" s="166" t="s">
        <v>3174</v>
      </c>
    </row>
    <row r="29" spans="1:9" ht="40.5" customHeight="1" x14ac:dyDescent="0.2">
      <c r="A29" s="496">
        <v>4</v>
      </c>
      <c r="B29" s="1034" t="s">
        <v>3175</v>
      </c>
      <c r="C29" s="162"/>
      <c r="D29" s="188"/>
      <c r="E29" s="188">
        <v>2000</v>
      </c>
      <c r="F29" s="1029">
        <v>2279</v>
      </c>
      <c r="G29" s="166">
        <v>2000</v>
      </c>
      <c r="H29" s="1072" t="s">
        <v>3176</v>
      </c>
      <c r="I29" s="1066" t="s">
        <v>3177</v>
      </c>
    </row>
    <row r="30" spans="1:9" x14ac:dyDescent="0.2">
      <c r="A30" s="487"/>
      <c r="B30" s="487"/>
      <c r="C30" s="173"/>
      <c r="D30" s="173"/>
      <c r="E30" s="173"/>
      <c r="F30" s="173"/>
      <c r="G30" s="174"/>
      <c r="H30" s="174"/>
      <c r="I30" s="173"/>
    </row>
    <row r="31" spans="1:9" x14ac:dyDescent="0.2">
      <c r="A31" s="287" t="s">
        <v>129</v>
      </c>
      <c r="B31" s="287"/>
      <c r="C31" s="2207" t="s">
        <v>3178</v>
      </c>
      <c r="D31" s="2207"/>
      <c r="E31" s="2207"/>
      <c r="F31" s="2207"/>
      <c r="G31" s="2207"/>
      <c r="H31" s="2207"/>
      <c r="I31" s="2207"/>
    </row>
    <row r="32" spans="1:9" x14ac:dyDescent="0.2">
      <c r="A32" s="287" t="s">
        <v>131</v>
      </c>
      <c r="B32" s="287"/>
      <c r="C32" s="2208" t="s">
        <v>3179</v>
      </c>
      <c r="D32" s="2208"/>
      <c r="E32" s="2208"/>
      <c r="F32" s="2208"/>
      <c r="G32" s="2208"/>
      <c r="H32" s="2208"/>
      <c r="I32" s="2208"/>
    </row>
    <row r="33" spans="1:9" ht="48" x14ac:dyDescent="0.2">
      <c r="A33" s="426" t="s">
        <v>4</v>
      </c>
      <c r="B33" s="1026" t="s">
        <v>133</v>
      </c>
      <c r="C33" s="426" t="s">
        <v>17</v>
      </c>
      <c r="D33" s="426" t="s">
        <v>15</v>
      </c>
      <c r="E33" s="426" t="s">
        <v>134</v>
      </c>
      <c r="F33" s="426" t="s">
        <v>135</v>
      </c>
      <c r="G33" s="1489" t="s">
        <v>3510</v>
      </c>
      <c r="H33" s="426" t="s">
        <v>14</v>
      </c>
      <c r="I33" s="426" t="s">
        <v>137</v>
      </c>
    </row>
    <row r="34" spans="1:9" x14ac:dyDescent="0.2">
      <c r="A34" s="2209" t="s">
        <v>138</v>
      </c>
      <c r="B34" s="2210"/>
      <c r="C34" s="1050">
        <f>SUM(C35:C50)</f>
        <v>79010</v>
      </c>
      <c r="D34" s="1050">
        <f>SUM(D35:D50)</f>
        <v>74236</v>
      </c>
      <c r="E34" s="1050">
        <f>SUM(E35:E50)</f>
        <v>80859</v>
      </c>
      <c r="F34" s="1050"/>
      <c r="G34" s="1050">
        <f>SUM(G35:G50)</f>
        <v>62365</v>
      </c>
      <c r="H34" s="1050"/>
      <c r="I34" s="1051"/>
    </row>
    <row r="35" spans="1:9" ht="34.5" customHeight="1" x14ac:dyDescent="0.2">
      <c r="A35" s="496">
        <v>1</v>
      </c>
      <c r="B35" s="1073" t="s">
        <v>3180</v>
      </c>
      <c r="C35" s="454">
        <v>7500</v>
      </c>
      <c r="D35" s="496">
        <v>7500</v>
      </c>
      <c r="E35" s="496">
        <v>7500</v>
      </c>
      <c r="F35" s="1074">
        <v>2279</v>
      </c>
      <c r="G35" s="483">
        <v>7500</v>
      </c>
      <c r="H35" s="1075" t="s">
        <v>3181</v>
      </c>
      <c r="I35" s="1052" t="s">
        <v>3182</v>
      </c>
    </row>
    <row r="36" spans="1:9" ht="39.75" customHeight="1" x14ac:dyDescent="0.2">
      <c r="A36" s="496">
        <v>2</v>
      </c>
      <c r="B36" s="254" t="s">
        <v>3183</v>
      </c>
      <c r="C36" s="162">
        <v>200</v>
      </c>
      <c r="D36" s="496"/>
      <c r="E36" s="496">
        <v>200</v>
      </c>
      <c r="F36" s="1074">
        <v>2279</v>
      </c>
      <c r="G36" s="483">
        <v>100</v>
      </c>
      <c r="H36" s="1075" t="s">
        <v>3184</v>
      </c>
      <c r="I36" s="1052" t="s">
        <v>3185</v>
      </c>
    </row>
    <row r="37" spans="1:9" ht="24" x14ac:dyDescent="0.2">
      <c r="A37" s="496">
        <v>3</v>
      </c>
      <c r="B37" s="428" t="s">
        <v>3186</v>
      </c>
      <c r="C37" s="454">
        <v>4878</v>
      </c>
      <c r="D37" s="496">
        <v>4878</v>
      </c>
      <c r="E37" s="496">
        <v>5770</v>
      </c>
      <c r="F37" s="1074">
        <v>2279</v>
      </c>
      <c r="G37" s="483">
        <v>4878</v>
      </c>
      <c r="H37" s="1075" t="s">
        <v>3187</v>
      </c>
      <c r="I37" s="1052" t="s">
        <v>3188</v>
      </c>
    </row>
    <row r="38" spans="1:9" ht="72" hidden="1" x14ac:dyDescent="0.2">
      <c r="A38" s="496">
        <v>4</v>
      </c>
      <c r="B38" s="428" t="s">
        <v>3189</v>
      </c>
      <c r="C38" s="454">
        <v>700</v>
      </c>
      <c r="D38" s="496">
        <v>126</v>
      </c>
      <c r="E38" s="496"/>
      <c r="F38" s="1074">
        <v>2279</v>
      </c>
      <c r="G38" s="483">
        <v>0</v>
      </c>
      <c r="H38" s="1075" t="s">
        <v>3190</v>
      </c>
      <c r="I38" s="1052" t="s">
        <v>3191</v>
      </c>
    </row>
    <row r="39" spans="1:9" ht="39.75" customHeight="1" x14ac:dyDescent="0.2">
      <c r="A39" s="496">
        <v>5</v>
      </c>
      <c r="B39" s="428" t="s">
        <v>3192</v>
      </c>
      <c r="C39" s="454">
        <v>9000</v>
      </c>
      <c r="D39" s="496">
        <v>9000</v>
      </c>
      <c r="E39" s="496">
        <v>9000</v>
      </c>
      <c r="F39" s="1074">
        <v>2279</v>
      </c>
      <c r="G39" s="483">
        <v>8000</v>
      </c>
      <c r="H39" s="1075" t="s">
        <v>3193</v>
      </c>
      <c r="I39" s="1076" t="s">
        <v>3194</v>
      </c>
    </row>
    <row r="40" spans="1:9" ht="41.25" customHeight="1" x14ac:dyDescent="0.2">
      <c r="A40" s="496">
        <v>6</v>
      </c>
      <c r="B40" s="428" t="s">
        <v>3195</v>
      </c>
      <c r="C40" s="454">
        <v>13000</v>
      </c>
      <c r="D40" s="496">
        <v>12000</v>
      </c>
      <c r="E40" s="496">
        <v>12000</v>
      </c>
      <c r="F40" s="1074">
        <v>2279</v>
      </c>
      <c r="G40" s="483">
        <v>7000</v>
      </c>
      <c r="H40" s="1075" t="s">
        <v>3196</v>
      </c>
      <c r="I40" s="1077" t="s">
        <v>3197</v>
      </c>
    </row>
    <row r="41" spans="1:9" ht="41.25" customHeight="1" x14ac:dyDescent="0.2">
      <c r="A41" s="496">
        <v>7</v>
      </c>
      <c r="B41" s="1044" t="s">
        <v>3198</v>
      </c>
      <c r="C41" s="454">
        <v>16000</v>
      </c>
      <c r="D41" s="496">
        <v>13000</v>
      </c>
      <c r="E41" s="496">
        <v>13000</v>
      </c>
      <c r="F41" s="1074">
        <v>2279</v>
      </c>
      <c r="G41" s="483">
        <v>11000</v>
      </c>
      <c r="H41" s="1075" t="s">
        <v>3199</v>
      </c>
      <c r="I41" s="1052" t="s">
        <v>3200</v>
      </c>
    </row>
    <row r="42" spans="1:9" ht="35.25" customHeight="1" x14ac:dyDescent="0.2">
      <c r="A42" s="496">
        <v>8</v>
      </c>
      <c r="B42" s="1044" t="s">
        <v>3201</v>
      </c>
      <c r="C42" s="454">
        <v>7720</v>
      </c>
      <c r="D42" s="496">
        <v>7720</v>
      </c>
      <c r="E42" s="496">
        <v>7720</v>
      </c>
      <c r="F42" s="1074">
        <v>2279</v>
      </c>
      <c r="G42" s="483">
        <v>4000</v>
      </c>
      <c r="H42" s="1075" t="s">
        <v>3202</v>
      </c>
      <c r="I42" s="1052" t="s">
        <v>3203</v>
      </c>
    </row>
    <row r="43" spans="1:9" ht="35.25" customHeight="1" x14ac:dyDescent="0.2">
      <c r="A43" s="496">
        <v>9</v>
      </c>
      <c r="B43" s="1044" t="s">
        <v>3204</v>
      </c>
      <c r="C43" s="454">
        <v>6360</v>
      </c>
      <c r="D43" s="496">
        <v>6360</v>
      </c>
      <c r="E43" s="496">
        <v>6360</v>
      </c>
      <c r="F43" s="1074">
        <v>2279</v>
      </c>
      <c r="G43" s="483">
        <v>3500</v>
      </c>
      <c r="H43" s="1075" t="s">
        <v>3202</v>
      </c>
      <c r="I43" s="1052" t="s">
        <v>3205</v>
      </c>
    </row>
    <row r="44" spans="1:9" ht="35.25" customHeight="1" x14ac:dyDescent="0.2">
      <c r="A44" s="496">
        <v>10</v>
      </c>
      <c r="B44" s="1044" t="s">
        <v>3206</v>
      </c>
      <c r="C44" s="454">
        <v>3374</v>
      </c>
      <c r="D44" s="496">
        <v>3374</v>
      </c>
      <c r="E44" s="496">
        <v>3374</v>
      </c>
      <c r="F44" s="1074">
        <v>2279</v>
      </c>
      <c r="G44" s="483">
        <v>3374</v>
      </c>
      <c r="H44" s="1075" t="s">
        <v>3202</v>
      </c>
      <c r="I44" s="1052" t="s">
        <v>3207</v>
      </c>
    </row>
    <row r="45" spans="1:9" ht="39" customHeight="1" x14ac:dyDescent="0.2">
      <c r="A45" s="496">
        <v>11</v>
      </c>
      <c r="B45" s="428" t="s">
        <v>3208</v>
      </c>
      <c r="C45" s="454">
        <v>9078</v>
      </c>
      <c r="D45" s="496">
        <v>9078</v>
      </c>
      <c r="E45" s="496">
        <v>12000</v>
      </c>
      <c r="F45" s="1078">
        <v>3263</v>
      </c>
      <c r="G45" s="166">
        <v>9078</v>
      </c>
      <c r="H45" s="1075" t="s">
        <v>3209</v>
      </c>
      <c r="I45" s="1077" t="s">
        <v>3210</v>
      </c>
    </row>
    <row r="46" spans="1:9" ht="36" customHeight="1" x14ac:dyDescent="0.2">
      <c r="A46" s="496">
        <v>12</v>
      </c>
      <c r="B46" s="428" t="s">
        <v>3211</v>
      </c>
      <c r="C46" s="454">
        <v>200</v>
      </c>
      <c r="D46" s="496">
        <v>200</v>
      </c>
      <c r="E46" s="496">
        <v>200</v>
      </c>
      <c r="F46" s="1078">
        <v>2231</v>
      </c>
      <c r="G46" s="483">
        <v>200</v>
      </c>
      <c r="H46" s="1075" t="s">
        <v>3212</v>
      </c>
      <c r="I46" s="1079" t="s">
        <v>3213</v>
      </c>
    </row>
    <row r="47" spans="1:9" ht="38.25" customHeight="1" x14ac:dyDescent="0.2">
      <c r="A47" s="496">
        <v>13</v>
      </c>
      <c r="B47" s="428" t="s">
        <v>3214</v>
      </c>
      <c r="C47" s="454">
        <v>1000</v>
      </c>
      <c r="D47" s="496">
        <v>1000</v>
      </c>
      <c r="E47" s="496">
        <v>1000</v>
      </c>
      <c r="F47" s="1078">
        <v>2231</v>
      </c>
      <c r="G47" s="483">
        <v>1000</v>
      </c>
      <c r="H47" s="1075" t="s">
        <v>3212</v>
      </c>
      <c r="I47" s="1080" t="s">
        <v>3215</v>
      </c>
    </row>
    <row r="48" spans="1:9" ht="13.5" customHeight="1" x14ac:dyDescent="0.2">
      <c r="A48" s="1894">
        <v>14</v>
      </c>
      <c r="B48" s="2224" t="s">
        <v>3216</v>
      </c>
      <c r="C48" s="454"/>
      <c r="D48" s="496"/>
      <c r="E48" s="496">
        <v>1920</v>
      </c>
      <c r="F48" s="1078">
        <v>2279</v>
      </c>
      <c r="G48" s="483">
        <v>1920</v>
      </c>
      <c r="H48" s="2239" t="s">
        <v>3217</v>
      </c>
      <c r="I48" s="1079" t="s">
        <v>3218</v>
      </c>
    </row>
    <row r="49" spans="1:10" ht="13.5" customHeight="1" x14ac:dyDescent="0.2">
      <c r="A49" s="1895"/>
      <c r="B49" s="2238"/>
      <c r="C49" s="454"/>
      <c r="D49" s="496"/>
      <c r="E49" s="496">
        <v>210</v>
      </c>
      <c r="F49" s="1078">
        <v>2312</v>
      </c>
      <c r="G49" s="483">
        <v>210</v>
      </c>
      <c r="H49" s="2240"/>
      <c r="I49" s="1079" t="s">
        <v>3219</v>
      </c>
    </row>
    <row r="50" spans="1:10" ht="13.5" customHeight="1" x14ac:dyDescent="0.2">
      <c r="A50" s="1896"/>
      <c r="B50" s="2225"/>
      <c r="C50" s="454"/>
      <c r="D50" s="496"/>
      <c r="E50" s="496">
        <v>605</v>
      </c>
      <c r="F50" s="1078">
        <v>2264</v>
      </c>
      <c r="G50" s="483">
        <v>605</v>
      </c>
      <c r="H50" s="2241"/>
      <c r="I50" s="1080" t="s">
        <v>3220</v>
      </c>
    </row>
    <row r="51" spans="1:10" x14ac:dyDescent="0.2">
      <c r="A51" s="274" t="s">
        <v>455</v>
      </c>
    </row>
    <row r="52" spans="1:10" x14ac:dyDescent="0.2">
      <c r="A52" s="1594" t="s">
        <v>3054</v>
      </c>
      <c r="C52" s="145"/>
      <c r="D52" s="145"/>
      <c r="E52" s="145"/>
      <c r="F52" s="145"/>
      <c r="G52" s="145"/>
    </row>
    <row r="53" spans="1:10" x14ac:dyDescent="0.2">
      <c r="B53" s="145" t="s">
        <v>3221</v>
      </c>
      <c r="C53" s="145"/>
      <c r="E53" s="145"/>
      <c r="F53" s="145"/>
      <c r="G53" s="145"/>
    </row>
    <row r="54" spans="1:10" x14ac:dyDescent="0.2">
      <c r="A54" s="1594" t="s">
        <v>326</v>
      </c>
      <c r="C54" s="486"/>
      <c r="D54" s="145"/>
      <c r="E54" s="145"/>
      <c r="F54" s="145"/>
      <c r="G54" s="145"/>
      <c r="H54" s="145"/>
      <c r="I54" s="1081"/>
      <c r="J54" s="486"/>
    </row>
    <row r="55" spans="1:10" x14ac:dyDescent="0.2">
      <c r="B55" s="486" t="s">
        <v>3222</v>
      </c>
      <c r="D55" s="145"/>
      <c r="E55" s="145"/>
      <c r="F55" s="145"/>
      <c r="G55" s="145"/>
      <c r="H55" s="145"/>
      <c r="I55" s="1081"/>
      <c r="J55" s="486"/>
    </row>
    <row r="56" spans="1:10" x14ac:dyDescent="0.2">
      <c r="B56" s="24" t="s">
        <v>3223</v>
      </c>
      <c r="D56" s="486"/>
      <c r="E56" s="486"/>
      <c r="F56" s="145"/>
      <c r="G56" s="145"/>
      <c r="H56" s="145"/>
      <c r="I56" s="1081"/>
      <c r="J56" s="486"/>
    </row>
    <row r="57" spans="1:10" x14ac:dyDescent="0.2">
      <c r="B57" s="24" t="s">
        <v>3224</v>
      </c>
      <c r="F57" s="145"/>
      <c r="G57" s="145"/>
      <c r="H57" s="145"/>
      <c r="I57" s="1081"/>
      <c r="J57" s="486"/>
    </row>
    <row r="58" spans="1:10" ht="12.75" x14ac:dyDescent="0.2">
      <c r="B58" s="24" t="s">
        <v>3225</v>
      </c>
      <c r="D58" s="486"/>
      <c r="E58" s="486"/>
      <c r="F58" s="1082"/>
      <c r="G58" s="1082"/>
      <c r="H58" s="1083"/>
      <c r="I58" s="1081"/>
      <c r="J58" s="486"/>
    </row>
    <row r="59" spans="1:10" x14ac:dyDescent="0.2">
      <c r="B59" s="24" t="s">
        <v>3226</v>
      </c>
      <c r="F59" s="145"/>
      <c r="G59" s="145"/>
      <c r="H59" s="145"/>
      <c r="I59" s="1081"/>
      <c r="J59" s="486"/>
    </row>
    <row r="60" spans="1:10" x14ac:dyDescent="0.2">
      <c r="A60" s="1594" t="s">
        <v>3227</v>
      </c>
      <c r="B60" s="156"/>
      <c r="C60" s="486"/>
      <c r="D60" s="145"/>
      <c r="E60" s="145"/>
      <c r="F60" s="145"/>
      <c r="G60" s="145"/>
      <c r="H60" s="145"/>
      <c r="I60" s="1081"/>
      <c r="J60" s="486"/>
    </row>
    <row r="61" spans="1:10" x14ac:dyDescent="0.2">
      <c r="B61" s="1600" t="s">
        <v>3228</v>
      </c>
      <c r="C61" s="1597"/>
      <c r="D61" s="1597"/>
      <c r="E61" s="1597"/>
      <c r="F61" s="1597"/>
      <c r="G61" s="1597"/>
      <c r="H61" s="1597"/>
    </row>
    <row r="62" spans="1:10" x14ac:dyDescent="0.2">
      <c r="B62" s="1601" t="s">
        <v>3605</v>
      </c>
      <c r="C62" s="1598"/>
      <c r="D62" s="1598"/>
      <c r="E62" s="1598"/>
      <c r="F62" s="1598"/>
      <c r="G62" s="1598"/>
      <c r="H62" s="1598"/>
    </row>
    <row r="63" spans="1:10" x14ac:dyDescent="0.2">
      <c r="B63" s="1601" t="s">
        <v>3607</v>
      </c>
      <c r="C63" s="1598"/>
      <c r="D63" s="1598"/>
      <c r="E63" s="1598"/>
      <c r="F63" s="1598"/>
      <c r="G63" s="1598"/>
      <c r="H63" s="1598"/>
    </row>
    <row r="64" spans="1:10" x14ac:dyDescent="0.2">
      <c r="B64" s="1601" t="s">
        <v>3606</v>
      </c>
      <c r="C64" s="1598"/>
      <c r="D64" s="1598"/>
      <c r="E64" s="1598"/>
      <c r="F64" s="1598"/>
      <c r="G64" s="1598"/>
      <c r="H64" s="1598"/>
    </row>
    <row r="65" spans="2:8" x14ac:dyDescent="0.2">
      <c r="B65" s="1600" t="s">
        <v>3609</v>
      </c>
      <c r="C65" s="1597"/>
      <c r="D65" s="1597"/>
      <c r="E65" s="1597"/>
      <c r="F65" s="1597"/>
      <c r="G65" s="1597"/>
      <c r="H65" s="1597"/>
    </row>
    <row r="66" spans="2:8" x14ac:dyDescent="0.2">
      <c r="B66" s="1600" t="s">
        <v>3608</v>
      </c>
      <c r="C66" s="1597"/>
      <c r="D66" s="1597"/>
      <c r="E66" s="1597"/>
      <c r="F66" s="1597"/>
      <c r="G66" s="1597"/>
      <c r="H66" s="1597"/>
    </row>
    <row r="67" spans="2:8" x14ac:dyDescent="0.2">
      <c r="B67" s="1600" t="s">
        <v>3610</v>
      </c>
      <c r="C67" s="1597"/>
      <c r="D67" s="1597"/>
      <c r="E67" s="1597"/>
      <c r="F67" s="1597"/>
      <c r="G67" s="1597"/>
      <c r="H67" s="1597"/>
    </row>
    <row r="68" spans="2:8" x14ac:dyDescent="0.2">
      <c r="B68" s="1600" t="s">
        <v>3611</v>
      </c>
      <c r="C68" s="1597"/>
      <c r="D68" s="1597"/>
      <c r="E68" s="1597"/>
      <c r="F68" s="1597"/>
      <c r="G68" s="1597"/>
      <c r="H68" s="1597"/>
    </row>
    <row r="69" spans="2:8" x14ac:dyDescent="0.2">
      <c r="B69" s="1600" t="s">
        <v>3613</v>
      </c>
      <c r="C69" s="1597"/>
      <c r="D69" s="1597"/>
      <c r="E69" s="1597"/>
      <c r="F69" s="1597"/>
      <c r="G69" s="1597"/>
      <c r="H69" s="1597"/>
    </row>
    <row r="70" spans="2:8" x14ac:dyDescent="0.2">
      <c r="B70" s="1600" t="s">
        <v>3612</v>
      </c>
      <c r="C70" s="1597"/>
      <c r="D70" s="1597"/>
      <c r="E70" s="1597"/>
      <c r="F70" s="1597"/>
      <c r="G70" s="1597"/>
      <c r="H70" s="1597"/>
    </row>
    <row r="71" spans="2:8" x14ac:dyDescent="0.2">
      <c r="B71" s="1601" t="s">
        <v>3615</v>
      </c>
      <c r="C71" s="1598"/>
      <c r="D71" s="1598"/>
      <c r="E71" s="1598"/>
      <c r="F71" s="1598"/>
      <c r="G71" s="1598"/>
      <c r="H71" s="1598"/>
    </row>
    <row r="72" spans="2:8" x14ac:dyDescent="0.2">
      <c r="B72" s="1601" t="s">
        <v>3614</v>
      </c>
      <c r="C72" s="1598"/>
      <c r="D72" s="1598"/>
      <c r="E72" s="1598"/>
      <c r="F72" s="1598"/>
      <c r="G72" s="1598"/>
      <c r="H72" s="1598"/>
    </row>
    <row r="73" spans="2:8" x14ac:dyDescent="0.2">
      <c r="B73" s="1601" t="s">
        <v>3617</v>
      </c>
      <c r="C73" s="1598"/>
      <c r="D73" s="1598"/>
      <c r="E73" s="1598"/>
      <c r="F73" s="1598"/>
      <c r="G73" s="1598"/>
      <c r="H73" s="1598"/>
    </row>
    <row r="74" spans="2:8" x14ac:dyDescent="0.2">
      <c r="B74" s="1601" t="s">
        <v>3616</v>
      </c>
      <c r="C74" s="1598"/>
      <c r="D74" s="1598"/>
      <c r="E74" s="1598"/>
      <c r="F74" s="1598"/>
      <c r="G74" s="1598"/>
      <c r="H74" s="1598"/>
    </row>
    <row r="75" spans="2:8" x14ac:dyDescent="0.2">
      <c r="B75" s="1601" t="s">
        <v>3618</v>
      </c>
      <c r="C75" s="1598"/>
      <c r="D75" s="1598"/>
      <c r="E75" s="1598"/>
      <c r="F75" s="1598"/>
      <c r="G75" s="1598"/>
      <c r="H75" s="1598"/>
    </row>
    <row r="76" spans="2:8" x14ac:dyDescent="0.2">
      <c r="B76" s="1601" t="s">
        <v>3620</v>
      </c>
      <c r="C76" s="1598"/>
      <c r="D76" s="1598"/>
      <c r="E76" s="1598"/>
      <c r="F76" s="1598"/>
      <c r="G76" s="1598"/>
      <c r="H76" s="1598"/>
    </row>
    <row r="77" spans="2:8" x14ac:dyDescent="0.2">
      <c r="B77" s="1601" t="s">
        <v>3619</v>
      </c>
      <c r="C77" s="1598"/>
      <c r="D77" s="1598"/>
      <c r="E77" s="1598"/>
      <c r="F77" s="1598"/>
      <c r="G77" s="1598"/>
      <c r="H77" s="1598"/>
    </row>
    <row r="78" spans="2:8" x14ac:dyDescent="0.2">
      <c r="B78" s="1601" t="s">
        <v>3618</v>
      </c>
      <c r="C78" s="1598"/>
      <c r="D78" s="1598"/>
      <c r="E78" s="1598"/>
      <c r="F78" s="1598"/>
      <c r="G78" s="1598"/>
      <c r="H78" s="1598"/>
    </row>
    <row r="79" spans="2:8" x14ac:dyDescent="0.2">
      <c r="B79" s="1601" t="s">
        <v>3621</v>
      </c>
      <c r="C79" s="1598"/>
      <c r="D79" s="1598"/>
      <c r="E79" s="1598"/>
      <c r="F79" s="1598"/>
      <c r="G79" s="1598"/>
      <c r="H79" s="1598"/>
    </row>
    <row r="80" spans="2:8" x14ac:dyDescent="0.2">
      <c r="B80" s="1601" t="s">
        <v>3623</v>
      </c>
      <c r="C80" s="1598"/>
      <c r="D80" s="1598"/>
      <c r="E80" s="1598"/>
      <c r="F80" s="1598"/>
      <c r="G80" s="1598"/>
      <c r="H80" s="1598"/>
    </row>
    <row r="81" spans="1:8" x14ac:dyDescent="0.2">
      <c r="B81" s="1601" t="s">
        <v>3622</v>
      </c>
      <c r="C81" s="1598"/>
      <c r="D81" s="1598"/>
      <c r="E81" s="1598"/>
      <c r="F81" s="1598"/>
      <c r="G81" s="1598"/>
      <c r="H81" s="1598"/>
    </row>
    <row r="82" spans="1:8" x14ac:dyDescent="0.2">
      <c r="B82" s="1601" t="s">
        <v>3624</v>
      </c>
      <c r="C82" s="1598"/>
      <c r="D82" s="1598"/>
      <c r="E82" s="1598"/>
      <c r="F82" s="1598"/>
      <c r="G82" s="1598"/>
      <c r="H82" s="1598"/>
    </row>
    <row r="83" spans="1:8" x14ac:dyDescent="0.2">
      <c r="B83" s="1601" t="s">
        <v>3626</v>
      </c>
      <c r="C83" s="1598"/>
      <c r="D83" s="1598"/>
      <c r="E83" s="1598"/>
      <c r="F83" s="1598"/>
      <c r="G83" s="1598"/>
      <c r="H83" s="1598"/>
    </row>
    <row r="84" spans="1:8" x14ac:dyDescent="0.2">
      <c r="B84" s="1601" t="s">
        <v>3625</v>
      </c>
      <c r="C84" s="1598"/>
      <c r="D84" s="1598"/>
      <c r="E84" s="1598"/>
      <c r="F84" s="1598"/>
      <c r="G84" s="1598"/>
      <c r="H84" s="1598"/>
    </row>
    <row r="85" spans="1:8" x14ac:dyDescent="0.2">
      <c r="B85" s="1601" t="s">
        <v>3627</v>
      </c>
      <c r="C85" s="1598"/>
      <c r="D85" s="1598"/>
      <c r="E85" s="1598"/>
      <c r="F85" s="1598"/>
      <c r="G85" s="1598"/>
      <c r="H85" s="1598"/>
    </row>
    <row r="86" spans="1:8" x14ac:dyDescent="0.2">
      <c r="B86" s="1601" t="s">
        <v>3629</v>
      </c>
      <c r="C86" s="1598"/>
      <c r="D86" s="1598"/>
      <c r="E86" s="1598"/>
      <c r="F86" s="1598"/>
      <c r="G86" s="1598"/>
      <c r="H86" s="1598"/>
    </row>
    <row r="87" spans="1:8" x14ac:dyDescent="0.2">
      <c r="B87" s="1601" t="s">
        <v>3628</v>
      </c>
      <c r="C87" s="1598"/>
      <c r="D87" s="1598"/>
      <c r="E87" s="1598"/>
      <c r="F87" s="1598"/>
      <c r="G87" s="1598"/>
      <c r="H87" s="1598"/>
    </row>
    <row r="88" spans="1:8" x14ac:dyDescent="0.2">
      <c r="B88" s="1599" t="s">
        <v>3630</v>
      </c>
      <c r="C88" s="1599"/>
      <c r="D88" s="1599"/>
      <c r="E88" s="1599"/>
      <c r="F88" s="1599"/>
      <c r="G88" s="1599"/>
      <c r="H88" s="1599"/>
    </row>
    <row r="89" spans="1:8" x14ac:dyDescent="0.2">
      <c r="B89" s="1599" t="s">
        <v>3631</v>
      </c>
      <c r="C89" s="1599"/>
      <c r="D89" s="1599"/>
      <c r="E89" s="1599"/>
      <c r="F89" s="1599"/>
      <c r="G89" s="1599"/>
      <c r="H89" s="1599"/>
    </row>
    <row r="90" spans="1:8" x14ac:dyDescent="0.2">
      <c r="B90" s="1599" t="s">
        <v>3633</v>
      </c>
      <c r="C90" s="1599"/>
      <c r="D90" s="1599"/>
      <c r="E90" s="1599"/>
      <c r="F90" s="1599"/>
      <c r="G90" s="1599"/>
      <c r="H90" s="1599"/>
    </row>
    <row r="91" spans="1:8" x14ac:dyDescent="0.2">
      <c r="B91" s="1599" t="s">
        <v>3632</v>
      </c>
      <c r="C91" s="1599"/>
      <c r="D91" s="1599"/>
      <c r="E91" s="1599"/>
      <c r="F91" s="1599"/>
      <c r="G91" s="1599"/>
      <c r="H91" s="1599"/>
    </row>
    <row r="92" spans="1:8" x14ac:dyDescent="0.2">
      <c r="B92" s="1599"/>
      <c r="C92" s="1599"/>
      <c r="D92" s="1599"/>
      <c r="E92" s="1599"/>
      <c r="F92" s="1599"/>
      <c r="G92" s="1599"/>
      <c r="H92" s="1599"/>
    </row>
    <row r="93" spans="1:8" x14ac:dyDescent="0.2">
      <c r="A93" s="1084" t="s">
        <v>3229</v>
      </c>
      <c r="B93" s="287" t="s">
        <v>3635</v>
      </c>
      <c r="C93" s="287"/>
      <c r="D93" s="287"/>
      <c r="E93" s="287"/>
      <c r="F93" s="287"/>
      <c r="G93" s="287"/>
      <c r="H93" s="287"/>
    </row>
    <row r="94" spans="1:8" x14ac:dyDescent="0.2">
      <c r="B94" s="274" t="s">
        <v>3634</v>
      </c>
    </row>
  </sheetData>
  <sheetProtection algorithmName="SHA-512" hashValue="9E2je2xI4qttyewvXgT8Y5gih8vIIjvYZ+KC48cBttccBmM9kEVogcTa89EUsdWnqGgt3F8eqTVC9rCrvomOKg==" saltValue="vLGUM+v3LW3MlLZ54607UQ==" spinCount="100000" sheet="1" objects="1" scenarios="1"/>
  <mergeCells count="22">
    <mergeCell ref="C5:I5"/>
    <mergeCell ref="A1:B1"/>
    <mergeCell ref="C1:I1"/>
    <mergeCell ref="A2:B2"/>
    <mergeCell ref="C2:I2"/>
    <mergeCell ref="A3:I3"/>
    <mergeCell ref="A48:A50"/>
    <mergeCell ref="B48:B50"/>
    <mergeCell ref="H48:H50"/>
    <mergeCell ref="A34:B34"/>
    <mergeCell ref="C6:I6"/>
    <mergeCell ref="C7:I7"/>
    <mergeCell ref="A9:B9"/>
    <mergeCell ref="C13:I13"/>
    <mergeCell ref="C14:I14"/>
    <mergeCell ref="A16:B16"/>
    <mergeCell ref="H17:H26"/>
    <mergeCell ref="C31:I31"/>
    <mergeCell ref="C32:I32"/>
    <mergeCell ref="A18:A26"/>
    <mergeCell ref="B18:B26"/>
    <mergeCell ref="H10:H11"/>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 xml:space="preserve">&amp;R&amp;"Times New Roman,Regular"&amp;10 32.pielikums Jūrmalas pilsētas domes
2018.gada 18.decembra saistošajiem noteikumiem Nr.44
(protokols Nr.17, 2.punkts) </oddHeader>
    <oddFooter xml:space="preserve">&amp;R&amp;"Times New Roman,Regular"&amp;8&amp;P (&amp;N)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9"/>
  <sheetViews>
    <sheetView view="pageLayout" zoomScaleNormal="100" workbookViewId="0">
      <selection activeCell="O8" sqref="O8"/>
    </sheetView>
  </sheetViews>
  <sheetFormatPr defaultRowHeight="12" x14ac:dyDescent="0.2"/>
  <cols>
    <col min="1" max="1" width="6.140625" style="274" customWidth="1"/>
    <col min="2" max="2" width="26.85546875" style="274" customWidth="1"/>
    <col min="3" max="3" width="11.85546875" style="274" hidden="1" customWidth="1"/>
    <col min="4" max="4" width="11.140625" style="274" hidden="1" customWidth="1"/>
    <col min="5" max="5" width="10.28515625" style="274" hidden="1" customWidth="1"/>
    <col min="6" max="6" width="10.5703125" style="274" customWidth="1"/>
    <col min="7" max="7" width="9.7109375" style="274" customWidth="1"/>
    <col min="8" max="8" width="19.140625" style="274" customWidth="1"/>
    <col min="9" max="9" width="38.7109375" style="274" hidden="1" customWidth="1"/>
    <col min="10" max="16384" width="9.140625" style="274"/>
  </cols>
  <sheetData>
    <row r="1" spans="1:9" x14ac:dyDescent="0.2">
      <c r="A1" s="1903" t="s">
        <v>438</v>
      </c>
      <c r="B1" s="1903"/>
      <c r="C1" s="1903" t="s">
        <v>3018</v>
      </c>
      <c r="D1" s="1903"/>
      <c r="E1" s="1903"/>
      <c r="F1" s="1903"/>
      <c r="G1" s="1903"/>
      <c r="H1" s="1903"/>
      <c r="I1" s="1903"/>
    </row>
    <row r="2" spans="1:9" x14ac:dyDescent="0.2">
      <c r="A2" s="1903" t="s">
        <v>439</v>
      </c>
      <c r="B2" s="1903"/>
      <c r="C2" s="1903">
        <v>90000594245</v>
      </c>
      <c r="D2" s="1903"/>
      <c r="E2" s="1903"/>
      <c r="F2" s="1903"/>
      <c r="G2" s="1903"/>
      <c r="H2" s="1903"/>
      <c r="I2" s="1903"/>
    </row>
    <row r="3" spans="1:9" ht="15.75" x14ac:dyDescent="0.25">
      <c r="A3" s="1905" t="s">
        <v>3639</v>
      </c>
      <c r="B3" s="1905"/>
      <c r="C3" s="1905"/>
      <c r="D3" s="1905"/>
      <c r="E3" s="1905"/>
      <c r="F3" s="1905"/>
      <c r="G3" s="1905"/>
      <c r="H3" s="1905"/>
      <c r="I3" s="1905"/>
    </row>
    <row r="4" spans="1:9" ht="15.75" x14ac:dyDescent="0.25">
      <c r="A4" s="421"/>
      <c r="B4" s="421"/>
      <c r="C4" s="421"/>
      <c r="D4" s="421"/>
      <c r="E4" s="421"/>
      <c r="F4" s="421"/>
      <c r="G4" s="421"/>
      <c r="H4" s="421"/>
      <c r="I4" s="421"/>
    </row>
    <row r="5" spans="1:9" ht="15.75" x14ac:dyDescent="0.25">
      <c r="A5" s="287" t="s">
        <v>440</v>
      </c>
      <c r="B5" s="287"/>
      <c r="C5" s="2235" t="s">
        <v>3230</v>
      </c>
      <c r="D5" s="2235"/>
      <c r="E5" s="2235"/>
      <c r="F5" s="2235"/>
      <c r="G5" s="2235"/>
      <c r="H5" s="2235"/>
      <c r="I5" s="2235"/>
    </row>
    <row r="6" spans="1:9" x14ac:dyDescent="0.2">
      <c r="A6" s="287" t="s">
        <v>129</v>
      </c>
      <c r="B6" s="287"/>
      <c r="C6" s="1903" t="s">
        <v>3231</v>
      </c>
      <c r="D6" s="1903"/>
      <c r="E6" s="1903"/>
      <c r="F6" s="1903"/>
      <c r="G6" s="1903"/>
      <c r="H6" s="1903"/>
      <c r="I6" s="1903"/>
    </row>
    <row r="7" spans="1:9" x14ac:dyDescent="0.2">
      <c r="A7" s="287" t="s">
        <v>131</v>
      </c>
      <c r="B7" s="287"/>
      <c r="C7" s="2249" t="s">
        <v>3232</v>
      </c>
      <c r="D7" s="2249"/>
      <c r="E7" s="2249"/>
      <c r="F7" s="2249"/>
      <c r="G7" s="2249"/>
      <c r="H7" s="2249"/>
      <c r="I7" s="2249"/>
    </row>
    <row r="8" spans="1:9" ht="48" x14ac:dyDescent="0.2">
      <c r="A8" s="426" t="s">
        <v>4</v>
      </c>
      <c r="B8" s="1026" t="s">
        <v>133</v>
      </c>
      <c r="C8" s="161" t="s">
        <v>17</v>
      </c>
      <c r="D8" s="161" t="s">
        <v>15</v>
      </c>
      <c r="E8" s="161" t="s">
        <v>134</v>
      </c>
      <c r="F8" s="161" t="s">
        <v>135</v>
      </c>
      <c r="G8" s="1489" t="s">
        <v>3510</v>
      </c>
      <c r="H8" s="161" t="s">
        <v>14</v>
      </c>
      <c r="I8" s="161" t="s">
        <v>137</v>
      </c>
    </row>
    <row r="9" spans="1:9" ht="12.75" customHeight="1" x14ac:dyDescent="0.2">
      <c r="A9" s="2209" t="s">
        <v>138</v>
      </c>
      <c r="B9" s="2210"/>
      <c r="C9" s="1027">
        <f>SUM(C10:C10)</f>
        <v>30006</v>
      </c>
      <c r="D9" s="1027">
        <f>SUM(D10:D10)</f>
        <v>26765</v>
      </c>
      <c r="E9" s="1027">
        <f>SUM(E10:E10)</f>
        <v>33241</v>
      </c>
      <c r="F9" s="1027"/>
      <c r="G9" s="1027">
        <f>SUM(G10:G10)</f>
        <v>33241</v>
      </c>
      <c r="H9" s="1027"/>
      <c r="I9" s="1033"/>
    </row>
    <row r="10" spans="1:9" ht="48" x14ac:dyDescent="0.2">
      <c r="A10" s="470">
        <v>1</v>
      </c>
      <c r="B10" s="1049" t="s">
        <v>3233</v>
      </c>
      <c r="C10" s="166">
        <v>30006</v>
      </c>
      <c r="D10" s="166">
        <f>30006-3241</f>
        <v>26765</v>
      </c>
      <c r="E10" s="166">
        <f>30000+3241</f>
        <v>33241</v>
      </c>
      <c r="F10" s="824">
        <v>3263</v>
      </c>
      <c r="G10" s="166">
        <v>33241</v>
      </c>
      <c r="H10" s="188" t="s">
        <v>3234</v>
      </c>
      <c r="I10" s="1085" t="s">
        <v>3235</v>
      </c>
    </row>
    <row r="11" spans="1:9" x14ac:dyDescent="0.2">
      <c r="A11" s="487"/>
      <c r="B11" s="487"/>
      <c r="C11" s="173"/>
      <c r="D11" s="173"/>
      <c r="E11" s="173"/>
      <c r="F11" s="173"/>
      <c r="G11" s="173"/>
      <c r="H11" s="173"/>
      <c r="I11" s="173"/>
    </row>
    <row r="12" spans="1:9" x14ac:dyDescent="0.2">
      <c r="A12" s="287" t="s">
        <v>129</v>
      </c>
      <c r="B12" s="287"/>
      <c r="C12" s="1651" t="s">
        <v>3236</v>
      </c>
      <c r="D12" s="1651"/>
      <c r="E12" s="1651"/>
      <c r="F12" s="1651"/>
      <c r="G12" s="1651"/>
      <c r="H12" s="1651"/>
      <c r="I12" s="1651"/>
    </row>
    <row r="13" spans="1:9" x14ac:dyDescent="0.2">
      <c r="A13" s="287" t="s">
        <v>131</v>
      </c>
      <c r="B13" s="287"/>
      <c r="C13" s="2249" t="s">
        <v>3237</v>
      </c>
      <c r="D13" s="2249"/>
      <c r="E13" s="2249"/>
      <c r="F13" s="2249"/>
      <c r="G13" s="2249"/>
      <c r="H13" s="2249"/>
      <c r="I13" s="2249"/>
    </row>
    <row r="14" spans="1:9" ht="48" x14ac:dyDescent="0.2">
      <c r="A14" s="426" t="s">
        <v>4</v>
      </c>
      <c r="B14" s="1026" t="s">
        <v>133</v>
      </c>
      <c r="C14" s="161" t="s">
        <v>17</v>
      </c>
      <c r="D14" s="161" t="s">
        <v>15</v>
      </c>
      <c r="E14" s="161" t="s">
        <v>134</v>
      </c>
      <c r="F14" s="161" t="s">
        <v>135</v>
      </c>
      <c r="G14" s="1489" t="s">
        <v>3510</v>
      </c>
      <c r="H14" s="161" t="s">
        <v>14</v>
      </c>
      <c r="I14" s="161" t="s">
        <v>137</v>
      </c>
    </row>
    <row r="15" spans="1:9" x14ac:dyDescent="0.2">
      <c r="A15" s="2209" t="s">
        <v>138</v>
      </c>
      <c r="B15" s="2210"/>
      <c r="C15" s="1027">
        <f>SUM(C16:C18)</f>
        <v>4850</v>
      </c>
      <c r="D15" s="1027">
        <f>SUM(D16:D18)</f>
        <v>4850</v>
      </c>
      <c r="E15" s="1027">
        <f>SUM(E16:E18)</f>
        <v>6220</v>
      </c>
      <c r="F15" s="1027"/>
      <c r="G15" s="1027">
        <f>SUM(G16:G18)</f>
        <v>4850</v>
      </c>
      <c r="H15" s="1027"/>
      <c r="I15" s="1033"/>
    </row>
    <row r="16" spans="1:9" ht="12.75" customHeight="1" x14ac:dyDescent="0.2">
      <c r="A16" s="1762">
        <v>1</v>
      </c>
      <c r="B16" s="2256" t="s">
        <v>3238</v>
      </c>
      <c r="C16" s="1086">
        <v>1450</v>
      </c>
      <c r="D16" s="169">
        <v>1450</v>
      </c>
      <c r="E16" s="1087">
        <v>1520</v>
      </c>
      <c r="F16" s="1602">
        <v>2279</v>
      </c>
      <c r="G16" s="418">
        <v>1450</v>
      </c>
      <c r="H16" s="1674" t="s">
        <v>3239</v>
      </c>
      <c r="I16" s="1088" t="s">
        <v>3240</v>
      </c>
    </row>
    <row r="17" spans="1:9" ht="12.75" customHeight="1" x14ac:dyDescent="0.2">
      <c r="A17" s="1779"/>
      <c r="B17" s="2257"/>
      <c r="C17" s="156">
        <v>300</v>
      </c>
      <c r="D17" s="1089">
        <v>300</v>
      </c>
      <c r="E17" s="156">
        <v>300</v>
      </c>
      <c r="F17" s="1090">
        <v>2231</v>
      </c>
      <c r="G17" s="1066">
        <v>300</v>
      </c>
      <c r="H17" s="1675"/>
      <c r="I17" s="1088" t="s">
        <v>3241</v>
      </c>
    </row>
    <row r="18" spans="1:9" ht="37.5" customHeight="1" x14ac:dyDescent="0.2">
      <c r="A18" s="470">
        <v>2</v>
      </c>
      <c r="B18" s="1091" t="s">
        <v>3242</v>
      </c>
      <c r="C18" s="169">
        <v>3100</v>
      </c>
      <c r="D18" s="169">
        <v>3100</v>
      </c>
      <c r="E18" s="1092">
        <v>4400</v>
      </c>
      <c r="F18" s="1093">
        <v>2279</v>
      </c>
      <c r="G18" s="166">
        <v>3100</v>
      </c>
      <c r="H18" s="188" t="s">
        <v>3239</v>
      </c>
      <c r="I18" s="1088" t="s">
        <v>3243</v>
      </c>
    </row>
    <row r="19" spans="1:9" x14ac:dyDescent="0.2">
      <c r="A19" s="487"/>
      <c r="B19" s="487"/>
      <c r="C19" s="173"/>
      <c r="D19" s="173"/>
      <c r="E19" s="173"/>
      <c r="F19" s="173"/>
      <c r="G19" s="173"/>
      <c r="H19" s="173"/>
      <c r="I19" s="173"/>
    </row>
    <row r="20" spans="1:9" x14ac:dyDescent="0.2">
      <c r="A20" s="287" t="s">
        <v>129</v>
      </c>
      <c r="B20" s="287"/>
      <c r="C20" s="1651" t="s">
        <v>3244</v>
      </c>
      <c r="D20" s="1651"/>
      <c r="E20" s="1651"/>
      <c r="F20" s="1651"/>
      <c r="G20" s="1651"/>
      <c r="H20" s="1651"/>
      <c r="I20" s="1651"/>
    </row>
    <row r="21" spans="1:9" x14ac:dyDescent="0.2">
      <c r="A21" s="287" t="s">
        <v>131</v>
      </c>
      <c r="B21" s="287"/>
      <c r="C21" s="2249" t="s">
        <v>3237</v>
      </c>
      <c r="D21" s="2249"/>
      <c r="E21" s="2249"/>
      <c r="F21" s="2249"/>
      <c r="G21" s="2249"/>
      <c r="H21" s="2249"/>
      <c r="I21" s="2249"/>
    </row>
    <row r="22" spans="1:9" ht="48" x14ac:dyDescent="0.2">
      <c r="A22" s="426" t="s">
        <v>4</v>
      </c>
      <c r="B22" s="1026" t="s">
        <v>133</v>
      </c>
      <c r="C22" s="161" t="s">
        <v>17</v>
      </c>
      <c r="D22" s="161" t="s">
        <v>15</v>
      </c>
      <c r="E22" s="161" t="s">
        <v>134</v>
      </c>
      <c r="F22" s="161" t="s">
        <v>135</v>
      </c>
      <c r="G22" s="1489" t="s">
        <v>3510</v>
      </c>
      <c r="H22" s="161" t="s">
        <v>14</v>
      </c>
      <c r="I22" s="161" t="s">
        <v>137</v>
      </c>
    </row>
    <row r="23" spans="1:9" x14ac:dyDescent="0.2">
      <c r="A23" s="2209" t="s">
        <v>138</v>
      </c>
      <c r="B23" s="2210"/>
      <c r="C23" s="1027">
        <f>SUM(C24)</f>
        <v>7000</v>
      </c>
      <c r="D23" s="1027">
        <f>SUM(D24)</f>
        <v>7000</v>
      </c>
      <c r="E23" s="1027">
        <f>SUM(E24)</f>
        <v>11400</v>
      </c>
      <c r="F23" s="1027"/>
      <c r="G23" s="1027">
        <f>SUM(G24)</f>
        <v>11400</v>
      </c>
      <c r="H23" s="1027"/>
      <c r="I23" s="1033"/>
    </row>
    <row r="24" spans="1:9" ht="39" customHeight="1" x14ac:dyDescent="0.2">
      <c r="A24" s="470">
        <v>1</v>
      </c>
      <c r="B24" s="1091" t="s">
        <v>3245</v>
      </c>
      <c r="C24" s="169">
        <v>7000</v>
      </c>
      <c r="D24" s="169">
        <v>7000</v>
      </c>
      <c r="E24" s="166">
        <v>11400</v>
      </c>
      <c r="F24" s="1093">
        <v>2279</v>
      </c>
      <c r="G24" s="166">
        <v>11400</v>
      </c>
      <c r="H24" s="188" t="s">
        <v>3239</v>
      </c>
      <c r="I24" s="1088" t="s">
        <v>3246</v>
      </c>
    </row>
    <row r="25" spans="1:9" x14ac:dyDescent="0.2">
      <c r="A25" s="487"/>
      <c r="B25" s="487"/>
      <c r="C25" s="173"/>
      <c r="D25" s="173"/>
      <c r="E25" s="173"/>
      <c r="F25" s="173"/>
      <c r="G25" s="173"/>
      <c r="H25" s="173"/>
      <c r="I25" s="173"/>
    </row>
    <row r="26" spans="1:9" x14ac:dyDescent="0.2">
      <c r="A26" s="287" t="s">
        <v>129</v>
      </c>
      <c r="B26" s="287"/>
      <c r="C26" s="1651" t="s">
        <v>3247</v>
      </c>
      <c r="D26" s="1651"/>
      <c r="E26" s="1651"/>
      <c r="F26" s="1651"/>
      <c r="G26" s="1651"/>
      <c r="H26" s="1651"/>
      <c r="I26" s="1651"/>
    </row>
    <row r="27" spans="1:9" x14ac:dyDescent="0.2">
      <c r="A27" s="287" t="s">
        <v>131</v>
      </c>
      <c r="B27" s="287"/>
      <c r="C27" s="2249" t="s">
        <v>3237</v>
      </c>
      <c r="D27" s="2249"/>
      <c r="E27" s="2249"/>
      <c r="F27" s="2249"/>
      <c r="G27" s="2249"/>
      <c r="H27" s="2249"/>
      <c r="I27" s="2249"/>
    </row>
    <row r="28" spans="1:9" ht="48" x14ac:dyDescent="0.2">
      <c r="A28" s="426" t="s">
        <v>4</v>
      </c>
      <c r="B28" s="1026" t="s">
        <v>133</v>
      </c>
      <c r="C28" s="161" t="s">
        <v>17</v>
      </c>
      <c r="D28" s="161" t="s">
        <v>15</v>
      </c>
      <c r="E28" s="161" t="s">
        <v>134</v>
      </c>
      <c r="F28" s="161" t="s">
        <v>135</v>
      </c>
      <c r="G28" s="1489" t="s">
        <v>3510</v>
      </c>
      <c r="H28" s="161" t="s">
        <v>14</v>
      </c>
      <c r="I28" s="161" t="s">
        <v>137</v>
      </c>
    </row>
    <row r="29" spans="1:9" ht="12.75" customHeight="1" x14ac:dyDescent="0.2">
      <c r="A29" s="2209" t="s">
        <v>138</v>
      </c>
      <c r="B29" s="2210"/>
      <c r="C29" s="1027">
        <f>SUM(C30:C34)</f>
        <v>5868</v>
      </c>
      <c r="D29" s="1027">
        <f>SUM(D30:D35)</f>
        <v>5868</v>
      </c>
      <c r="E29" s="1027">
        <f>SUM(E30:E35)</f>
        <v>7020</v>
      </c>
      <c r="F29" s="1027"/>
      <c r="G29" s="1027">
        <f>SUM(G30:G35)</f>
        <v>5878</v>
      </c>
      <c r="H29" s="1027"/>
      <c r="I29" s="1033"/>
    </row>
    <row r="30" spans="1:9" ht="12.75" customHeight="1" x14ac:dyDescent="0.2">
      <c r="A30" s="426">
        <v>1</v>
      </c>
      <c r="B30" s="512" t="s">
        <v>3248</v>
      </c>
      <c r="C30" s="252">
        <v>1100</v>
      </c>
      <c r="D30" s="1094">
        <v>1100</v>
      </c>
      <c r="E30" s="252">
        <v>2000</v>
      </c>
      <c r="F30" s="1093">
        <v>2279</v>
      </c>
      <c r="G30" s="252">
        <v>1100</v>
      </c>
      <c r="H30" s="1674" t="s">
        <v>3239</v>
      </c>
      <c r="I30" s="1088" t="s">
        <v>3249</v>
      </c>
    </row>
    <row r="31" spans="1:9" ht="12.75" customHeight="1" x14ac:dyDescent="0.2">
      <c r="A31" s="1760">
        <v>2</v>
      </c>
      <c r="B31" s="2255" t="s">
        <v>3250</v>
      </c>
      <c r="C31" s="252">
        <v>1760</v>
      </c>
      <c r="D31" s="1095">
        <v>1760</v>
      </c>
      <c r="E31" s="1060">
        <v>2000</v>
      </c>
      <c r="F31" s="1603">
        <v>2279</v>
      </c>
      <c r="G31" s="252">
        <v>1760</v>
      </c>
      <c r="H31" s="1774"/>
      <c r="I31" s="1088" t="s">
        <v>3251</v>
      </c>
    </row>
    <row r="32" spans="1:9" ht="12.75" customHeight="1" x14ac:dyDescent="0.2">
      <c r="A32" s="1760"/>
      <c r="B32" s="2255"/>
      <c r="C32" s="169">
        <v>40</v>
      </c>
      <c r="D32" s="1092">
        <v>40</v>
      </c>
      <c r="E32" s="1060">
        <v>50</v>
      </c>
      <c r="F32" s="1093">
        <v>2314</v>
      </c>
      <c r="G32" s="252">
        <v>50</v>
      </c>
      <c r="H32" s="1774"/>
      <c r="I32" s="1088" t="s">
        <v>3252</v>
      </c>
    </row>
    <row r="33" spans="1:9" ht="12.75" customHeight="1" x14ac:dyDescent="0.2">
      <c r="A33" s="1760">
        <v>3</v>
      </c>
      <c r="B33" s="2254" t="s">
        <v>3253</v>
      </c>
      <c r="C33" s="253">
        <v>2470</v>
      </c>
      <c r="D33" s="1096">
        <v>2470</v>
      </c>
      <c r="E33" s="1097">
        <v>2470</v>
      </c>
      <c r="F33" s="1603">
        <v>2279</v>
      </c>
      <c r="G33" s="252">
        <v>2470</v>
      </c>
      <c r="H33" s="1774"/>
      <c r="I33" s="1088" t="s">
        <v>3254</v>
      </c>
    </row>
    <row r="34" spans="1:9" ht="12.75" hidden="1" customHeight="1" x14ac:dyDescent="0.2">
      <c r="A34" s="1760"/>
      <c r="B34" s="2254"/>
      <c r="C34" s="252">
        <v>498</v>
      </c>
      <c r="D34" s="1098">
        <v>498</v>
      </c>
      <c r="E34" s="252">
        <v>0</v>
      </c>
      <c r="F34" s="1093">
        <v>2314</v>
      </c>
      <c r="G34" s="252">
        <v>0</v>
      </c>
      <c r="H34" s="1774"/>
      <c r="I34" s="1088" t="s">
        <v>3255</v>
      </c>
    </row>
    <row r="35" spans="1:9" ht="12.75" customHeight="1" x14ac:dyDescent="0.2">
      <c r="A35" s="1760"/>
      <c r="B35" s="2254"/>
      <c r="C35" s="169"/>
      <c r="D35" s="1098"/>
      <c r="E35" s="252">
        <v>500</v>
      </c>
      <c r="F35" s="1093">
        <v>2231</v>
      </c>
      <c r="G35" s="252">
        <v>498</v>
      </c>
      <c r="H35" s="1675"/>
      <c r="I35" s="1088" t="s">
        <v>3256</v>
      </c>
    </row>
    <row r="36" spans="1:9" x14ac:dyDescent="0.2">
      <c r="A36" s="487"/>
      <c r="B36" s="487"/>
      <c r="C36" s="173"/>
      <c r="D36" s="173"/>
      <c r="E36" s="173"/>
      <c r="F36" s="173"/>
      <c r="G36" s="173"/>
      <c r="H36" s="173"/>
      <c r="I36" s="173"/>
    </row>
    <row r="37" spans="1:9" x14ac:dyDescent="0.2">
      <c r="A37" s="287" t="s">
        <v>129</v>
      </c>
      <c r="B37" s="287"/>
      <c r="C37" s="1651" t="s">
        <v>3257</v>
      </c>
      <c r="D37" s="1651"/>
      <c r="E37" s="1651"/>
      <c r="F37" s="1651"/>
      <c r="G37" s="1651"/>
      <c r="H37" s="1651"/>
      <c r="I37" s="1651"/>
    </row>
    <row r="38" spans="1:9" x14ac:dyDescent="0.2">
      <c r="A38" s="287" t="s">
        <v>131</v>
      </c>
      <c r="B38" s="287"/>
      <c r="C38" s="2249" t="s">
        <v>3237</v>
      </c>
      <c r="D38" s="2249"/>
      <c r="E38" s="2249"/>
      <c r="F38" s="2249"/>
      <c r="G38" s="2249"/>
      <c r="H38" s="2249"/>
      <c r="I38" s="2249"/>
    </row>
    <row r="39" spans="1:9" ht="48" x14ac:dyDescent="0.2">
      <c r="A39" s="426" t="s">
        <v>4</v>
      </c>
      <c r="B39" s="1026" t="s">
        <v>133</v>
      </c>
      <c r="C39" s="161" t="s">
        <v>17</v>
      </c>
      <c r="D39" s="161" t="s">
        <v>15</v>
      </c>
      <c r="E39" s="161" t="s">
        <v>134</v>
      </c>
      <c r="F39" s="161" t="s">
        <v>135</v>
      </c>
      <c r="G39" s="1489" t="s">
        <v>3510</v>
      </c>
      <c r="H39" s="161" t="s">
        <v>14</v>
      </c>
      <c r="I39" s="161" t="s">
        <v>137</v>
      </c>
    </row>
    <row r="40" spans="1:9" x14ac:dyDescent="0.2">
      <c r="A40" s="2209" t="s">
        <v>138</v>
      </c>
      <c r="B40" s="2210"/>
      <c r="C40" s="1027">
        <f t="shared" ref="C40:D40" si="0">SUM(C41:C55)</f>
        <v>39528</v>
      </c>
      <c r="D40" s="1027">
        <f t="shared" si="0"/>
        <v>39528</v>
      </c>
      <c r="E40" s="1027">
        <f>SUM(E41:E55)</f>
        <v>54018</v>
      </c>
      <c r="F40" s="1027"/>
      <c r="G40" s="1027">
        <f>SUM(G41:G55)</f>
        <v>50938</v>
      </c>
      <c r="H40" s="1027"/>
      <c r="I40" s="1033"/>
    </row>
    <row r="41" spans="1:9" ht="12" customHeight="1" x14ac:dyDescent="0.2">
      <c r="A41" s="2061">
        <v>1</v>
      </c>
      <c r="B41" s="2254" t="s">
        <v>3258</v>
      </c>
      <c r="C41" s="169">
        <v>720</v>
      </c>
      <c r="D41" s="169">
        <v>720</v>
      </c>
      <c r="E41" s="252">
        <v>900</v>
      </c>
      <c r="F41" s="186">
        <v>2314</v>
      </c>
      <c r="G41" s="252">
        <v>720</v>
      </c>
      <c r="H41" s="1739" t="s">
        <v>3239</v>
      </c>
      <c r="I41" s="1088" t="s">
        <v>3259</v>
      </c>
    </row>
    <row r="42" spans="1:9" ht="12" customHeight="1" x14ac:dyDescent="0.2">
      <c r="A42" s="2063"/>
      <c r="B42" s="2254"/>
      <c r="C42" s="169">
        <v>1100</v>
      </c>
      <c r="D42" s="169">
        <v>1100</v>
      </c>
      <c r="E42" s="169">
        <v>1100</v>
      </c>
      <c r="F42" s="186">
        <v>2279</v>
      </c>
      <c r="G42" s="252">
        <v>1100</v>
      </c>
      <c r="H42" s="1741"/>
      <c r="I42" s="1088" t="s">
        <v>3260</v>
      </c>
    </row>
    <row r="43" spans="1:9" ht="24.75" customHeight="1" x14ac:dyDescent="0.2">
      <c r="A43" s="1026">
        <v>2</v>
      </c>
      <c r="B43" s="1091" t="s">
        <v>3261</v>
      </c>
      <c r="C43" s="680">
        <v>2774</v>
      </c>
      <c r="D43" s="1099">
        <v>2774</v>
      </c>
      <c r="E43" s="680">
        <v>2774</v>
      </c>
      <c r="F43" s="186">
        <v>2314</v>
      </c>
      <c r="G43" s="252">
        <v>2774</v>
      </c>
      <c r="H43" s="162" t="s">
        <v>3239</v>
      </c>
      <c r="I43" s="1088" t="s">
        <v>3262</v>
      </c>
    </row>
    <row r="44" spans="1:9" ht="24.75" customHeight="1" x14ac:dyDescent="0.2">
      <c r="A44" s="1026">
        <v>3</v>
      </c>
      <c r="B44" s="1091" t="s">
        <v>3263</v>
      </c>
      <c r="C44" s="169">
        <v>7000</v>
      </c>
      <c r="D44" s="1092">
        <v>7000</v>
      </c>
      <c r="E44" s="169">
        <v>8200</v>
      </c>
      <c r="F44" s="1100">
        <v>2279</v>
      </c>
      <c r="G44" s="252">
        <v>7000</v>
      </c>
      <c r="H44" s="162" t="s">
        <v>3239</v>
      </c>
      <c r="I44" s="1088" t="s">
        <v>3264</v>
      </c>
    </row>
    <row r="45" spans="1:9" ht="24.75" customHeight="1" x14ac:dyDescent="0.2">
      <c r="A45" s="426">
        <v>4</v>
      </c>
      <c r="B45" s="608" t="s">
        <v>3265</v>
      </c>
      <c r="C45" s="253">
        <v>3250</v>
      </c>
      <c r="D45" s="253">
        <v>3250</v>
      </c>
      <c r="E45" s="253">
        <v>3250</v>
      </c>
      <c r="F45" s="186">
        <v>2279</v>
      </c>
      <c r="G45" s="252">
        <v>3000</v>
      </c>
      <c r="H45" s="1101" t="s">
        <v>3239</v>
      </c>
      <c r="I45" s="1088" t="s">
        <v>3266</v>
      </c>
    </row>
    <row r="46" spans="1:9" ht="12" customHeight="1" x14ac:dyDescent="0.2">
      <c r="A46" s="1760">
        <v>5</v>
      </c>
      <c r="B46" s="2255" t="s">
        <v>3267</v>
      </c>
      <c r="C46" s="169">
        <v>500</v>
      </c>
      <c r="D46" s="169">
        <v>500</v>
      </c>
      <c r="E46" s="169">
        <v>500</v>
      </c>
      <c r="F46" s="186">
        <v>2279</v>
      </c>
      <c r="G46" s="252">
        <v>500</v>
      </c>
      <c r="H46" s="1739" t="s">
        <v>3239</v>
      </c>
      <c r="I46" s="1102" t="s">
        <v>3268</v>
      </c>
    </row>
    <row r="47" spans="1:9" ht="12" customHeight="1" x14ac:dyDescent="0.2">
      <c r="A47" s="1760"/>
      <c r="B47" s="2255"/>
      <c r="C47" s="169">
        <v>300</v>
      </c>
      <c r="D47" s="169">
        <v>300</v>
      </c>
      <c r="E47" s="169">
        <v>300</v>
      </c>
      <c r="F47" s="186">
        <v>2231</v>
      </c>
      <c r="G47" s="252">
        <v>300</v>
      </c>
      <c r="H47" s="1740"/>
      <c r="I47" s="1102" t="s">
        <v>3269</v>
      </c>
    </row>
    <row r="48" spans="1:9" ht="12" customHeight="1" x14ac:dyDescent="0.2">
      <c r="A48" s="1760"/>
      <c r="B48" s="2255"/>
      <c r="C48" s="252">
        <v>100</v>
      </c>
      <c r="D48" s="252">
        <v>100</v>
      </c>
      <c r="E48" s="252">
        <v>100</v>
      </c>
      <c r="F48" s="186">
        <v>2314</v>
      </c>
      <c r="G48" s="252">
        <v>100</v>
      </c>
      <c r="H48" s="1741"/>
      <c r="I48" s="1102" t="s">
        <v>3270</v>
      </c>
    </row>
    <row r="49" spans="1:9" ht="27" customHeight="1" x14ac:dyDescent="0.2">
      <c r="A49" s="426">
        <v>6</v>
      </c>
      <c r="B49" s="608" t="s">
        <v>3271</v>
      </c>
      <c r="C49" s="253">
        <v>11200</v>
      </c>
      <c r="D49" s="253">
        <v>11200</v>
      </c>
      <c r="E49" s="252">
        <v>19050</v>
      </c>
      <c r="F49" s="186">
        <v>2279</v>
      </c>
      <c r="G49" s="252">
        <v>19050</v>
      </c>
      <c r="H49" s="162" t="s">
        <v>3239</v>
      </c>
      <c r="I49" s="1085" t="s">
        <v>3272</v>
      </c>
    </row>
    <row r="50" spans="1:9" ht="12.75" customHeight="1" x14ac:dyDescent="0.2">
      <c r="A50" s="1760">
        <v>7</v>
      </c>
      <c r="B50" s="2253" t="s">
        <v>3273</v>
      </c>
      <c r="C50" s="1089">
        <v>2000</v>
      </c>
      <c r="D50" s="1089">
        <v>2000</v>
      </c>
      <c r="E50" s="1089">
        <v>2000</v>
      </c>
      <c r="F50" s="1604">
        <v>2231</v>
      </c>
      <c r="G50" s="1103">
        <v>2000</v>
      </c>
      <c r="H50" s="1739" t="s">
        <v>3274</v>
      </c>
      <c r="I50" s="1088" t="s">
        <v>3275</v>
      </c>
    </row>
    <row r="51" spans="1:9" ht="12.75" customHeight="1" x14ac:dyDescent="0.2">
      <c r="A51" s="1760"/>
      <c r="B51" s="2253"/>
      <c r="C51" s="252">
        <v>1900</v>
      </c>
      <c r="D51" s="252">
        <v>1900</v>
      </c>
      <c r="E51" s="252">
        <v>3350</v>
      </c>
      <c r="F51" s="186">
        <v>2279</v>
      </c>
      <c r="G51" s="252">
        <v>2120</v>
      </c>
      <c r="H51" s="1740"/>
      <c r="I51" s="1088" t="s">
        <v>3276</v>
      </c>
    </row>
    <row r="52" spans="1:9" ht="12.75" customHeight="1" x14ac:dyDescent="0.2">
      <c r="A52" s="1760"/>
      <c r="B52" s="2253"/>
      <c r="C52" s="169">
        <v>3950</v>
      </c>
      <c r="D52" s="169">
        <v>3950</v>
      </c>
      <c r="E52" s="252">
        <v>5720</v>
      </c>
      <c r="F52" s="186">
        <v>6422</v>
      </c>
      <c r="G52" s="252">
        <v>5500</v>
      </c>
      <c r="H52" s="1741"/>
      <c r="I52" s="1088" t="s">
        <v>3277</v>
      </c>
    </row>
    <row r="53" spans="1:9" ht="12.75" customHeight="1" x14ac:dyDescent="0.2">
      <c r="A53" s="1760">
        <v>8</v>
      </c>
      <c r="B53" s="2253" t="s">
        <v>3278</v>
      </c>
      <c r="C53" s="1089">
        <v>1440</v>
      </c>
      <c r="D53" s="1089">
        <v>1440</v>
      </c>
      <c r="E53" s="1089">
        <v>1440</v>
      </c>
      <c r="F53" s="1604">
        <v>2231</v>
      </c>
      <c r="G53" s="1103">
        <v>1440</v>
      </c>
      <c r="H53" s="1653" t="s">
        <v>3239</v>
      </c>
      <c r="I53" s="1104" t="s">
        <v>3275</v>
      </c>
    </row>
    <row r="54" spans="1:9" ht="12.75" customHeight="1" x14ac:dyDescent="0.2">
      <c r="A54" s="1760"/>
      <c r="B54" s="2253"/>
      <c r="C54" s="1103">
        <v>300</v>
      </c>
      <c r="D54" s="1103">
        <v>300</v>
      </c>
      <c r="E54" s="1103">
        <v>300</v>
      </c>
      <c r="F54" s="1604">
        <v>2279</v>
      </c>
      <c r="G54" s="1103">
        <v>300</v>
      </c>
      <c r="H54" s="1653"/>
      <c r="I54" s="1104" t="s">
        <v>3279</v>
      </c>
    </row>
    <row r="55" spans="1:9" ht="37.5" customHeight="1" x14ac:dyDescent="0.2">
      <c r="A55" s="426">
        <v>9</v>
      </c>
      <c r="B55" s="608" t="s">
        <v>3280</v>
      </c>
      <c r="C55" s="252">
        <v>2994</v>
      </c>
      <c r="D55" s="252">
        <v>2994</v>
      </c>
      <c r="E55" s="252">
        <v>5034</v>
      </c>
      <c r="F55" s="186">
        <v>2279</v>
      </c>
      <c r="G55" s="261">
        <v>5034</v>
      </c>
      <c r="H55" s="162" t="s">
        <v>3239</v>
      </c>
      <c r="I55" s="1088" t="s">
        <v>3272</v>
      </c>
    </row>
    <row r="56" spans="1:9" x14ac:dyDescent="0.2">
      <c r="A56" s="1105"/>
      <c r="B56" s="461"/>
      <c r="C56" s="191"/>
      <c r="D56" s="191"/>
      <c r="E56" s="191"/>
      <c r="F56" s="191"/>
      <c r="G56" s="191"/>
      <c r="H56" s="191"/>
      <c r="I56" s="189"/>
    </row>
    <row r="57" spans="1:9" ht="12" customHeight="1" x14ac:dyDescent="0.2">
      <c r="A57" s="2251" t="s">
        <v>129</v>
      </c>
      <c r="B57" s="2251"/>
      <c r="C57" s="2252" t="s">
        <v>3281</v>
      </c>
      <c r="D57" s="2252"/>
      <c r="E57" s="2252"/>
      <c r="F57" s="2252"/>
      <c r="G57" s="2252"/>
      <c r="H57" s="2252"/>
      <c r="I57" s="2252"/>
    </row>
    <row r="58" spans="1:9" x14ac:dyDescent="0.2">
      <c r="A58" s="287" t="s">
        <v>131</v>
      </c>
      <c r="B58" s="287"/>
      <c r="C58" s="2249" t="s">
        <v>3237</v>
      </c>
      <c r="D58" s="2249"/>
      <c r="E58" s="2249"/>
      <c r="F58" s="2249"/>
      <c r="G58" s="2249"/>
      <c r="H58" s="2249"/>
      <c r="I58" s="2249"/>
    </row>
    <row r="59" spans="1:9" ht="48" x14ac:dyDescent="0.2">
      <c r="A59" s="426" t="s">
        <v>4</v>
      </c>
      <c r="B59" s="1026" t="s">
        <v>133</v>
      </c>
      <c r="C59" s="161" t="s">
        <v>17</v>
      </c>
      <c r="D59" s="161" t="s">
        <v>15</v>
      </c>
      <c r="E59" s="161" t="s">
        <v>134</v>
      </c>
      <c r="F59" s="161" t="s">
        <v>135</v>
      </c>
      <c r="G59" s="1489" t="s">
        <v>3510</v>
      </c>
      <c r="H59" s="161" t="s">
        <v>14</v>
      </c>
      <c r="I59" s="161" t="s">
        <v>137</v>
      </c>
    </row>
    <row r="60" spans="1:9" x14ac:dyDescent="0.2">
      <c r="A60" s="2209" t="s">
        <v>138</v>
      </c>
      <c r="B60" s="2250"/>
      <c r="C60" s="1027">
        <f>SUM(C61:C63)</f>
        <v>2830</v>
      </c>
      <c r="D60" s="1027">
        <f>SUM(D61:D63)</f>
        <v>2830</v>
      </c>
      <c r="E60" s="1027">
        <f>SUM(E61:E63)</f>
        <v>2160</v>
      </c>
      <c r="F60" s="1027"/>
      <c r="G60" s="1027">
        <f>SUM(G61:G63)</f>
        <v>1500</v>
      </c>
      <c r="H60" s="1027"/>
      <c r="I60" s="1033"/>
    </row>
    <row r="61" spans="1:9" ht="36" x14ac:dyDescent="0.2">
      <c r="A61" s="429">
        <v>1</v>
      </c>
      <c r="B61" s="607" t="s">
        <v>3282</v>
      </c>
      <c r="C61" s="166">
        <v>2160</v>
      </c>
      <c r="D61" s="169">
        <v>2160</v>
      </c>
      <c r="E61" s="169">
        <v>2160</v>
      </c>
      <c r="F61" s="1093">
        <v>2279</v>
      </c>
      <c r="G61" s="166">
        <v>1500</v>
      </c>
      <c r="H61" s="188" t="s">
        <v>3239</v>
      </c>
      <c r="I61" s="1088" t="s">
        <v>3283</v>
      </c>
    </row>
    <row r="62" spans="1:9" ht="12.75" hidden="1" customHeight="1" x14ac:dyDescent="0.2">
      <c r="A62" s="1773">
        <v>2</v>
      </c>
      <c r="B62" s="1822" t="s">
        <v>3284</v>
      </c>
      <c r="C62" s="169">
        <v>370</v>
      </c>
      <c r="D62" s="169">
        <v>370</v>
      </c>
      <c r="E62" s="169">
        <v>0</v>
      </c>
      <c r="F62" s="1093">
        <v>2279</v>
      </c>
      <c r="G62" s="166">
        <v>0</v>
      </c>
      <c r="H62" s="1648" t="s">
        <v>3239</v>
      </c>
      <c r="I62" s="1033"/>
    </row>
    <row r="63" spans="1:9" ht="12.75" hidden="1" customHeight="1" x14ac:dyDescent="0.2">
      <c r="A63" s="1773"/>
      <c r="B63" s="1822"/>
      <c r="C63" s="169">
        <v>300</v>
      </c>
      <c r="D63" s="169">
        <v>300</v>
      </c>
      <c r="E63" s="169">
        <v>0</v>
      </c>
      <c r="F63" s="1093">
        <v>2231</v>
      </c>
      <c r="G63" s="166">
        <v>0</v>
      </c>
      <c r="H63" s="1648"/>
      <c r="I63" s="1033"/>
    </row>
    <row r="64" spans="1:9" ht="75.75" customHeight="1" x14ac:dyDescent="0.2">
      <c r="A64" s="459"/>
      <c r="B64" s="287"/>
      <c r="C64" s="154"/>
      <c r="D64" s="154"/>
      <c r="E64" s="154"/>
      <c r="F64" s="154"/>
      <c r="G64" s="154"/>
      <c r="H64" s="154"/>
      <c r="I64" s="154"/>
    </row>
    <row r="65" spans="1:9" ht="12.75" customHeight="1" x14ac:dyDescent="0.2">
      <c r="A65" s="2248" t="s">
        <v>129</v>
      </c>
      <c r="B65" s="2248"/>
      <c r="C65" s="1651" t="s">
        <v>3285</v>
      </c>
      <c r="D65" s="1651"/>
      <c r="E65" s="1651"/>
      <c r="F65" s="1651"/>
      <c r="G65" s="1651"/>
      <c r="H65" s="1651"/>
      <c r="I65" s="1651"/>
    </row>
    <row r="66" spans="1:9" x14ac:dyDescent="0.2">
      <c r="A66" s="287" t="s">
        <v>131</v>
      </c>
      <c r="B66" s="287"/>
      <c r="C66" s="2249" t="s">
        <v>3237</v>
      </c>
      <c r="D66" s="2249"/>
      <c r="E66" s="2249"/>
      <c r="F66" s="2249"/>
      <c r="G66" s="2249"/>
      <c r="H66" s="2249"/>
      <c r="I66" s="2249"/>
    </row>
    <row r="67" spans="1:9" ht="48" x14ac:dyDescent="0.2">
      <c r="A67" s="426" t="s">
        <v>4</v>
      </c>
      <c r="B67" s="1026" t="s">
        <v>133</v>
      </c>
      <c r="C67" s="426" t="s">
        <v>17</v>
      </c>
      <c r="D67" s="426" t="s">
        <v>15</v>
      </c>
      <c r="E67" s="426" t="s">
        <v>134</v>
      </c>
      <c r="F67" s="426" t="s">
        <v>135</v>
      </c>
      <c r="G67" s="1489" t="s">
        <v>3510</v>
      </c>
      <c r="H67" s="426" t="s">
        <v>14</v>
      </c>
      <c r="I67" s="426" t="s">
        <v>137</v>
      </c>
    </row>
    <row r="68" spans="1:9" x14ac:dyDescent="0.2">
      <c r="A68" s="2209" t="s">
        <v>138</v>
      </c>
      <c r="B68" s="2250"/>
      <c r="C68" s="1050">
        <f>SUM(C69:C76)</f>
        <v>2420</v>
      </c>
      <c r="D68" s="1050">
        <f>SUM(D69:D76)</f>
        <v>2420</v>
      </c>
      <c r="E68" s="1050">
        <f>SUM(E69:E76)</f>
        <v>2420</v>
      </c>
      <c r="F68" s="1106"/>
      <c r="G68" s="1050">
        <f>SUM(G69:G76)</f>
        <v>2420</v>
      </c>
      <c r="H68" s="1050"/>
      <c r="I68" s="1051"/>
    </row>
    <row r="69" spans="1:9" ht="11.25" customHeight="1" x14ac:dyDescent="0.2">
      <c r="A69" s="1817">
        <v>1</v>
      </c>
      <c r="B69" s="1960" t="s">
        <v>3286</v>
      </c>
      <c r="C69" s="403">
        <v>400</v>
      </c>
      <c r="D69" s="403">
        <v>400</v>
      </c>
      <c r="E69" s="403">
        <v>400</v>
      </c>
      <c r="F69" s="1107">
        <v>2231</v>
      </c>
      <c r="G69" s="604">
        <v>400</v>
      </c>
      <c r="H69" s="1894" t="s">
        <v>3287</v>
      </c>
      <c r="I69" s="1108" t="s">
        <v>3288</v>
      </c>
    </row>
    <row r="70" spans="1:9" ht="11.25" customHeight="1" x14ac:dyDescent="0.2">
      <c r="A70" s="1817"/>
      <c r="B70" s="2228"/>
      <c r="C70" s="403">
        <v>30</v>
      </c>
      <c r="D70" s="403">
        <v>30</v>
      </c>
      <c r="E70" s="403">
        <v>30</v>
      </c>
      <c r="F70" s="1107">
        <v>2311</v>
      </c>
      <c r="G70" s="604">
        <v>30</v>
      </c>
      <c r="H70" s="1895"/>
      <c r="I70" s="1108" t="s">
        <v>3289</v>
      </c>
    </row>
    <row r="71" spans="1:9" ht="11.25" customHeight="1" x14ac:dyDescent="0.2">
      <c r="A71" s="1817"/>
      <c r="B71" s="1961"/>
      <c r="C71" s="1109">
        <v>500</v>
      </c>
      <c r="D71" s="1109">
        <v>500</v>
      </c>
      <c r="E71" s="1109">
        <v>500</v>
      </c>
      <c r="F71" s="1107">
        <v>2279</v>
      </c>
      <c r="G71" s="1109">
        <v>500</v>
      </c>
      <c r="H71" s="1895"/>
      <c r="I71" s="1108" t="s">
        <v>3290</v>
      </c>
    </row>
    <row r="72" spans="1:9" ht="11.25" customHeight="1" x14ac:dyDescent="0.2">
      <c r="A72" s="1762">
        <v>2</v>
      </c>
      <c r="B72" s="1960" t="s">
        <v>3291</v>
      </c>
      <c r="C72" s="1109">
        <v>500</v>
      </c>
      <c r="D72" s="1109">
        <v>500</v>
      </c>
      <c r="E72" s="1109">
        <v>500</v>
      </c>
      <c r="F72" s="1107">
        <v>2279</v>
      </c>
      <c r="G72" s="1109">
        <v>500</v>
      </c>
      <c r="H72" s="1895"/>
      <c r="I72" s="1110" t="s">
        <v>3292</v>
      </c>
    </row>
    <row r="73" spans="1:9" ht="11.25" customHeight="1" x14ac:dyDescent="0.2">
      <c r="A73" s="1779"/>
      <c r="B73" s="1961"/>
      <c r="C73" s="1109">
        <v>350</v>
      </c>
      <c r="D73" s="1109">
        <v>350</v>
      </c>
      <c r="E73" s="1109">
        <v>350</v>
      </c>
      <c r="F73" s="1107">
        <v>2231</v>
      </c>
      <c r="G73" s="1109">
        <v>350</v>
      </c>
      <c r="H73" s="1895"/>
      <c r="I73" s="1108" t="s">
        <v>3293</v>
      </c>
    </row>
    <row r="74" spans="1:9" ht="11.25" customHeight="1" x14ac:dyDescent="0.2">
      <c r="A74" s="1762">
        <v>3</v>
      </c>
      <c r="B74" s="1960" t="s">
        <v>3294</v>
      </c>
      <c r="C74" s="1109">
        <v>200</v>
      </c>
      <c r="D74" s="1109">
        <v>200</v>
      </c>
      <c r="E74" s="1109">
        <v>200</v>
      </c>
      <c r="F74" s="1107">
        <v>2231</v>
      </c>
      <c r="G74" s="1109">
        <v>200</v>
      </c>
      <c r="H74" s="1895"/>
      <c r="I74" s="1108" t="s">
        <v>3295</v>
      </c>
    </row>
    <row r="75" spans="1:9" ht="11.25" customHeight="1" x14ac:dyDescent="0.2">
      <c r="A75" s="1763"/>
      <c r="B75" s="2228"/>
      <c r="C75" s="1109">
        <v>400</v>
      </c>
      <c r="D75" s="1109">
        <v>400</v>
      </c>
      <c r="E75" s="1109">
        <v>400</v>
      </c>
      <c r="F75" s="1107">
        <v>2279</v>
      </c>
      <c r="G75" s="1109">
        <v>400</v>
      </c>
      <c r="H75" s="1895"/>
      <c r="I75" s="1108" t="s">
        <v>3296</v>
      </c>
    </row>
    <row r="76" spans="1:9" ht="11.25" customHeight="1" x14ac:dyDescent="0.2">
      <c r="A76" s="1779"/>
      <c r="B76" s="1961"/>
      <c r="C76" s="1109">
        <v>40</v>
      </c>
      <c r="D76" s="1109">
        <v>40</v>
      </c>
      <c r="E76" s="1109">
        <v>40</v>
      </c>
      <c r="F76" s="1107">
        <v>2311</v>
      </c>
      <c r="G76" s="1109">
        <v>40</v>
      </c>
      <c r="H76" s="1896"/>
      <c r="I76" s="1108" t="s">
        <v>3297</v>
      </c>
    </row>
    <row r="77" spans="1:9" x14ac:dyDescent="0.2">
      <c r="A77" s="459"/>
      <c r="C77" s="486"/>
      <c r="D77" s="486"/>
      <c r="E77" s="486"/>
      <c r="G77" s="486"/>
      <c r="H77" s="486"/>
    </row>
    <row r="78" spans="1:9" x14ac:dyDescent="0.2">
      <c r="A78" s="274" t="s">
        <v>455</v>
      </c>
    </row>
    <row r="79" spans="1:9" x14ac:dyDescent="0.2">
      <c r="A79" s="274" t="s">
        <v>505</v>
      </c>
    </row>
    <row r="80" spans="1:9" x14ac:dyDescent="0.2">
      <c r="B80" s="274" t="s">
        <v>3298</v>
      </c>
    </row>
    <row r="81" spans="2:2" x14ac:dyDescent="0.2">
      <c r="B81" s="274" t="s">
        <v>3299</v>
      </c>
    </row>
    <row r="82" spans="2:2" x14ac:dyDescent="0.2">
      <c r="B82" s="274" t="s">
        <v>3300</v>
      </c>
    </row>
    <row r="83" spans="2:2" x14ac:dyDescent="0.2">
      <c r="B83" s="274" t="s">
        <v>3301</v>
      </c>
    </row>
    <row r="84" spans="2:2" x14ac:dyDescent="0.2">
      <c r="B84" s="274" t="s">
        <v>3302</v>
      </c>
    </row>
    <row r="85" spans="2:2" x14ac:dyDescent="0.2">
      <c r="B85" s="274" t="s">
        <v>3303</v>
      </c>
    </row>
    <row r="86" spans="2:2" x14ac:dyDescent="0.2">
      <c r="B86" s="274" t="s">
        <v>3304</v>
      </c>
    </row>
    <row r="87" spans="2:2" x14ac:dyDescent="0.2">
      <c r="B87" s="274" t="s">
        <v>3305</v>
      </c>
    </row>
    <row r="88" spans="2:2" x14ac:dyDescent="0.2">
      <c r="B88" s="274" t="s">
        <v>3306</v>
      </c>
    </row>
    <row r="89" spans="2:2" x14ac:dyDescent="0.2">
      <c r="B89" s="274" t="s">
        <v>3307</v>
      </c>
    </row>
  </sheetData>
  <sheetProtection algorithmName="SHA-512" hashValue="SmxiEDrC8AFdaugZvCWVgmZsAM+9a0vxOkCvsO371Ps2wjjmd58CwBIQ6hudBofkXlTfdlOv0n726mCWf1RJlg==" saltValue="LPa7X6RZvrTf7jDgcOjJMQ==" spinCount="100000" sheet="1" objects="1" scenarios="1"/>
  <mergeCells count="59">
    <mergeCell ref="C5:I5"/>
    <mergeCell ref="A1:B1"/>
    <mergeCell ref="C1:I1"/>
    <mergeCell ref="A2:B2"/>
    <mergeCell ref="C2:I2"/>
    <mergeCell ref="A3:I3"/>
    <mergeCell ref="A23:B23"/>
    <mergeCell ref="C6:I6"/>
    <mergeCell ref="C7:I7"/>
    <mergeCell ref="A9:B9"/>
    <mergeCell ref="C12:I12"/>
    <mergeCell ref="C13:I13"/>
    <mergeCell ref="A15:B15"/>
    <mergeCell ref="A16:A17"/>
    <mergeCell ref="B16:B17"/>
    <mergeCell ref="H16:H17"/>
    <mergeCell ref="C20:I20"/>
    <mergeCell ref="C21:I21"/>
    <mergeCell ref="A40:B40"/>
    <mergeCell ref="C26:I26"/>
    <mergeCell ref="C27:I27"/>
    <mergeCell ref="A29:B29"/>
    <mergeCell ref="A31:A32"/>
    <mergeCell ref="B31:B32"/>
    <mergeCell ref="A33:A35"/>
    <mergeCell ref="B33:B35"/>
    <mergeCell ref="C37:I37"/>
    <mergeCell ref="C38:I38"/>
    <mergeCell ref="H30:H35"/>
    <mergeCell ref="A41:A42"/>
    <mergeCell ref="B41:B42"/>
    <mergeCell ref="H41:H42"/>
    <mergeCell ref="A46:A48"/>
    <mergeCell ref="B46:B48"/>
    <mergeCell ref="H46:H48"/>
    <mergeCell ref="A50:A52"/>
    <mergeCell ref="B50:B52"/>
    <mergeCell ref="H50:H52"/>
    <mergeCell ref="A53:A54"/>
    <mergeCell ref="B53:B54"/>
    <mergeCell ref="H53:H54"/>
    <mergeCell ref="A57:B57"/>
    <mergeCell ref="C57:I57"/>
    <mergeCell ref="C58:I58"/>
    <mergeCell ref="A62:A63"/>
    <mergeCell ref="B62:B63"/>
    <mergeCell ref="H62:H63"/>
    <mergeCell ref="A60:B60"/>
    <mergeCell ref="A65:B65"/>
    <mergeCell ref="C65:I65"/>
    <mergeCell ref="C66:I66"/>
    <mergeCell ref="A69:A71"/>
    <mergeCell ref="B69:B71"/>
    <mergeCell ref="A68:B68"/>
    <mergeCell ref="H69:H76"/>
    <mergeCell ref="A72:A73"/>
    <mergeCell ref="B72:B73"/>
    <mergeCell ref="A74:A76"/>
    <mergeCell ref="B74:B76"/>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 xml:space="preserve">&amp;R&amp;"Times New Roman,Regular"&amp;10 33.pielikums Jūrmalas pilsētas domes
2018.gada 18.decembra saistošajiem noteikumiem Nr.44
(protokols Nr.17, 2.punkts) </oddHeader>
    <oddFooter xml:space="preserve">&amp;R&amp;"Times New Roman,Regular"&amp;8&amp;P (&amp;N)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70"/>
  <sheetViews>
    <sheetView tabSelected="1" view="pageLayout" zoomScaleNormal="100" workbookViewId="0">
      <selection activeCell="H68" sqref="H68"/>
    </sheetView>
  </sheetViews>
  <sheetFormatPr defaultRowHeight="12.75" x14ac:dyDescent="0.2"/>
  <cols>
    <col min="1" max="1" width="8.28515625" style="1119" customWidth="1"/>
    <col min="2" max="2" width="43.28515625" style="1119" customWidth="1"/>
    <col min="3" max="3" width="10" style="1119" customWidth="1"/>
    <col min="4" max="4" width="10.5703125" style="1119" customWidth="1"/>
    <col min="5" max="5" width="9.85546875" style="1119" customWidth="1"/>
    <col min="6" max="6" width="11.85546875" style="1119" customWidth="1"/>
    <col min="7" max="7" width="10.5703125" style="1119" customWidth="1"/>
    <col min="8" max="8" width="10.85546875" style="1119" customWidth="1"/>
    <col min="9" max="9" width="10.42578125" style="1119" customWidth="1"/>
    <col min="10" max="10" width="11.85546875" style="1119" customWidth="1"/>
    <col min="11" max="16384" width="9.140625" style="1119"/>
  </cols>
  <sheetData>
    <row r="1" spans="1:12" ht="18.75" x14ac:dyDescent="0.3">
      <c r="A1" s="2258" t="s">
        <v>3308</v>
      </c>
      <c r="B1" s="2258"/>
      <c r="C1" s="2258"/>
      <c r="D1" s="2258"/>
      <c r="E1" s="2258"/>
      <c r="F1" s="2258"/>
      <c r="G1" s="2258"/>
      <c r="H1" s="2258"/>
      <c r="I1" s="2258"/>
      <c r="J1" s="2258"/>
    </row>
    <row r="2" spans="1:12" ht="18.75" x14ac:dyDescent="0.3">
      <c r="A2" s="2258" t="s">
        <v>3309</v>
      </c>
      <c r="B2" s="2258"/>
      <c r="C2" s="2258"/>
      <c r="D2" s="2258"/>
      <c r="E2" s="2258"/>
      <c r="F2" s="2258"/>
      <c r="G2" s="2258"/>
      <c r="H2" s="2258"/>
      <c r="I2" s="2258"/>
      <c r="J2" s="2258"/>
      <c r="L2" s="1119" t="s">
        <v>3310</v>
      </c>
    </row>
    <row r="3" spans="1:12" ht="15.75" x14ac:dyDescent="0.25">
      <c r="A3" s="1120"/>
      <c r="B3" s="1120"/>
      <c r="C3" s="1120"/>
      <c r="D3" s="1120"/>
      <c r="E3" s="1120"/>
      <c r="F3" s="1120"/>
      <c r="G3" s="1120"/>
      <c r="H3" s="1120"/>
      <c r="I3" s="1120"/>
      <c r="J3" s="1120"/>
    </row>
    <row r="4" spans="1:12" x14ac:dyDescent="0.2">
      <c r="A4" s="2259" t="s">
        <v>8</v>
      </c>
      <c r="B4" s="2262" t="s">
        <v>3311</v>
      </c>
      <c r="C4" s="2265" t="s">
        <v>138</v>
      </c>
      <c r="D4" s="2268" t="s">
        <v>138</v>
      </c>
      <c r="E4" s="2270" t="s">
        <v>3312</v>
      </c>
      <c r="F4" s="2271"/>
      <c r="G4" s="2271"/>
      <c r="H4" s="2271"/>
      <c r="I4" s="2271"/>
      <c r="J4" s="2272"/>
    </row>
    <row r="5" spans="1:12" ht="15" customHeight="1" x14ac:dyDescent="0.2">
      <c r="A5" s="2260"/>
      <c r="B5" s="2263"/>
      <c r="C5" s="2266"/>
      <c r="D5" s="2269"/>
      <c r="E5" s="2276" t="s">
        <v>3313</v>
      </c>
      <c r="F5" s="2277"/>
      <c r="G5" s="2276" t="s">
        <v>3314</v>
      </c>
      <c r="H5" s="2277"/>
      <c r="I5" s="2276" t="s">
        <v>3315</v>
      </c>
      <c r="J5" s="2277"/>
    </row>
    <row r="6" spans="1:12" ht="22.5" customHeight="1" x14ac:dyDescent="0.2">
      <c r="A6" s="2260"/>
      <c r="B6" s="2263"/>
      <c r="C6" s="2266"/>
      <c r="D6" s="2269"/>
      <c r="E6" s="2278"/>
      <c r="F6" s="2279"/>
      <c r="G6" s="2278"/>
      <c r="H6" s="2279"/>
      <c r="I6" s="2278"/>
      <c r="J6" s="2279"/>
    </row>
    <row r="7" spans="1:12" ht="40.5" customHeight="1" x14ac:dyDescent="0.2">
      <c r="A7" s="2261"/>
      <c r="B7" s="2264"/>
      <c r="C7" s="2267"/>
      <c r="D7" s="1121" t="s">
        <v>3316</v>
      </c>
      <c r="E7" s="1122" t="s">
        <v>3317</v>
      </c>
      <c r="F7" s="1121" t="s">
        <v>3316</v>
      </c>
      <c r="G7" s="1122" t="s">
        <v>3317</v>
      </c>
      <c r="H7" s="1121" t="s">
        <v>3316</v>
      </c>
      <c r="I7" s="1122" t="s">
        <v>3317</v>
      </c>
      <c r="J7" s="1121" t="s">
        <v>3316</v>
      </c>
    </row>
    <row r="8" spans="1:12" x14ac:dyDescent="0.2">
      <c r="A8" s="2280">
        <v>1</v>
      </c>
      <c r="B8" s="2281">
        <v>2</v>
      </c>
      <c r="C8" s="2282">
        <v>3</v>
      </c>
      <c r="D8" s="2283">
        <v>4</v>
      </c>
      <c r="E8" s="2280">
        <v>5</v>
      </c>
      <c r="F8" s="2284">
        <v>6</v>
      </c>
      <c r="G8" s="2280">
        <v>7</v>
      </c>
      <c r="H8" s="2284">
        <v>8</v>
      </c>
      <c r="I8" s="2280">
        <v>9</v>
      </c>
      <c r="J8" s="2284">
        <v>10</v>
      </c>
    </row>
    <row r="9" spans="1:12" ht="6.75" customHeight="1" x14ac:dyDescent="0.2">
      <c r="A9" s="1123"/>
      <c r="B9" s="1127"/>
      <c r="C9" s="1124"/>
      <c r="D9" s="1125"/>
      <c r="E9" s="1123"/>
      <c r="F9" s="1126"/>
      <c r="G9" s="1123"/>
      <c r="H9" s="1126"/>
      <c r="I9" s="1123"/>
      <c r="J9" s="1126"/>
    </row>
    <row r="10" spans="1:12" ht="3" customHeight="1" x14ac:dyDescent="0.2">
      <c r="A10" s="1123"/>
      <c r="B10" s="1127"/>
      <c r="C10" s="1124"/>
      <c r="D10" s="1125"/>
      <c r="E10" s="1123"/>
      <c r="F10" s="1126"/>
      <c r="G10" s="1123"/>
      <c r="H10" s="1126"/>
      <c r="I10" s="1123"/>
      <c r="J10" s="1126"/>
    </row>
    <row r="11" spans="1:12" ht="32.25" customHeight="1" x14ac:dyDescent="0.2">
      <c r="A11" s="1128"/>
      <c r="B11" s="1129" t="s">
        <v>3318</v>
      </c>
      <c r="C11" s="1130">
        <v>540939</v>
      </c>
      <c r="D11" s="1130"/>
      <c r="E11" s="1131">
        <v>143062</v>
      </c>
      <c r="F11" s="1132">
        <v>143062</v>
      </c>
      <c r="G11" s="1131">
        <v>170928</v>
      </c>
      <c r="H11" s="1132">
        <v>170928</v>
      </c>
      <c r="I11" s="1131">
        <v>226949</v>
      </c>
      <c r="J11" s="1132">
        <v>226949</v>
      </c>
    </row>
    <row r="12" spans="1:12" ht="13.5" hidden="1" customHeight="1" x14ac:dyDescent="0.2">
      <c r="A12" s="1128"/>
      <c r="B12" s="1129" t="s">
        <v>3319</v>
      </c>
      <c r="C12" s="1130">
        <v>540891</v>
      </c>
      <c r="D12" s="1130"/>
      <c r="E12" s="1131">
        <v>143045</v>
      </c>
      <c r="F12" s="1132"/>
      <c r="G12" s="1131">
        <v>170912</v>
      </c>
      <c r="H12" s="1132"/>
      <c r="I12" s="1131">
        <v>226934</v>
      </c>
      <c r="J12" s="1132"/>
    </row>
    <row r="13" spans="1:12" ht="28.5" customHeight="1" x14ac:dyDescent="0.2">
      <c r="A13" s="1128"/>
      <c r="B13" s="1133" t="s">
        <v>3320</v>
      </c>
      <c r="C13" s="1134"/>
      <c r="D13" s="1134"/>
      <c r="E13" s="1135">
        <v>52920</v>
      </c>
      <c r="F13" s="1136"/>
      <c r="G13" s="1137">
        <v>22612</v>
      </c>
      <c r="H13" s="1138"/>
      <c r="I13" s="1137">
        <v>30149</v>
      </c>
      <c r="J13" s="1136"/>
    </row>
    <row r="14" spans="1:12" ht="6" customHeight="1" x14ac:dyDescent="0.2">
      <c r="A14" s="1128"/>
      <c r="B14" s="1129"/>
      <c r="C14" s="1139"/>
      <c r="D14" s="1139"/>
      <c r="E14" s="1140"/>
      <c r="F14" s="1141"/>
      <c r="G14" s="1140"/>
      <c r="H14" s="1141"/>
      <c r="I14" s="1140"/>
      <c r="J14" s="1141"/>
    </row>
    <row r="15" spans="1:12" ht="15.75" customHeight="1" x14ac:dyDescent="0.2">
      <c r="A15" s="1128"/>
      <c r="B15" s="1142" t="s">
        <v>3321</v>
      </c>
      <c r="C15" s="1139"/>
      <c r="D15" s="1139"/>
      <c r="E15" s="1135">
        <v>52920</v>
      </c>
      <c r="F15" s="1136"/>
      <c r="G15" s="1135"/>
      <c r="H15" s="1136"/>
      <c r="I15" s="1135"/>
      <c r="J15" s="1136"/>
    </row>
    <row r="16" spans="1:12" ht="15.75" customHeight="1" x14ac:dyDescent="0.2">
      <c r="A16" s="1128"/>
      <c r="B16" s="1142" t="s">
        <v>3322</v>
      </c>
      <c r="C16" s="1139"/>
      <c r="D16" s="1139"/>
      <c r="E16" s="1135"/>
      <c r="F16" s="1136"/>
      <c r="G16" s="1135">
        <v>22612</v>
      </c>
      <c r="H16" s="1136"/>
      <c r="I16" s="1135">
        <v>30149</v>
      </c>
      <c r="J16" s="1136"/>
    </row>
    <row r="17" spans="1:17" ht="15.75" customHeight="1" x14ac:dyDescent="0.2">
      <c r="A17" s="1128"/>
      <c r="B17" s="1142" t="s">
        <v>3323</v>
      </c>
      <c r="C17" s="1139"/>
      <c r="D17" s="1139"/>
      <c r="E17" s="1135"/>
      <c r="F17" s="1136"/>
      <c r="G17" s="1135">
        <v>0</v>
      </c>
      <c r="H17" s="1136"/>
      <c r="I17" s="1135">
        <v>0</v>
      </c>
      <c r="J17" s="1136"/>
    </row>
    <row r="18" spans="1:17" ht="15.75" customHeight="1" x14ac:dyDescent="0.2">
      <c r="A18" s="1128"/>
      <c r="B18" s="1143"/>
      <c r="C18" s="1139"/>
      <c r="D18" s="1139"/>
      <c r="E18" s="1135"/>
      <c r="F18" s="1136"/>
      <c r="G18" s="1135"/>
      <c r="H18" s="1136"/>
      <c r="I18" s="1135"/>
      <c r="J18" s="1136"/>
    </row>
    <row r="19" spans="1:17" ht="15.75" customHeight="1" x14ac:dyDescent="0.2">
      <c r="A19" s="1128"/>
      <c r="B19" s="1143" t="s">
        <v>3324</v>
      </c>
      <c r="C19" s="1139"/>
      <c r="D19" s="1139"/>
      <c r="E19" s="1135">
        <v>25</v>
      </c>
      <c r="F19" s="1136"/>
      <c r="G19" s="1135">
        <v>15</v>
      </c>
      <c r="H19" s="1136"/>
      <c r="I19" s="1135">
        <v>20</v>
      </c>
      <c r="J19" s="1136"/>
    </row>
    <row r="20" spans="1:17" ht="15.75" customHeight="1" x14ac:dyDescent="0.2">
      <c r="A20" s="1128"/>
      <c r="B20" s="1143" t="s">
        <v>3325</v>
      </c>
      <c r="C20" s="1139"/>
      <c r="D20" s="1139"/>
      <c r="E20" s="1135">
        <v>25</v>
      </c>
      <c r="F20" s="1136"/>
      <c r="G20" s="1135">
        <v>15</v>
      </c>
      <c r="H20" s="1136"/>
      <c r="I20" s="1135">
        <v>20</v>
      </c>
      <c r="J20" s="1136"/>
    </row>
    <row r="21" spans="1:17" ht="15.75" customHeight="1" x14ac:dyDescent="0.2">
      <c r="A21" s="1128"/>
      <c r="B21" s="1143" t="s">
        <v>3326</v>
      </c>
      <c r="C21" s="1144"/>
      <c r="D21" s="1144"/>
      <c r="E21" s="1145">
        <v>21.475616438356166</v>
      </c>
      <c r="F21" s="1146"/>
      <c r="G21" s="1145">
        <v>35.346849315068496</v>
      </c>
      <c r="H21" s="1146"/>
      <c r="I21" s="1145">
        <v>35.216849315068494</v>
      </c>
      <c r="J21" s="1146"/>
    </row>
    <row r="22" spans="1:17" ht="15.75" customHeight="1" x14ac:dyDescent="0.2">
      <c r="A22" s="1147"/>
      <c r="B22" s="1148" t="s">
        <v>3327</v>
      </c>
      <c r="C22" s="1149">
        <v>26280</v>
      </c>
      <c r="D22" s="1149">
        <v>21900</v>
      </c>
      <c r="E22" s="1150">
        <v>9125</v>
      </c>
      <c r="F22" s="1151">
        <v>9125</v>
      </c>
      <c r="G22" s="1150">
        <v>5475</v>
      </c>
      <c r="H22" s="1151">
        <v>5475</v>
      </c>
      <c r="I22" s="1150">
        <v>7300</v>
      </c>
      <c r="J22" s="1151">
        <v>7300</v>
      </c>
    </row>
    <row r="23" spans="1:17" ht="6.75" customHeight="1" x14ac:dyDescent="0.2">
      <c r="A23" s="1147"/>
      <c r="B23" s="1148"/>
      <c r="C23" s="1149"/>
      <c r="D23" s="1149"/>
      <c r="E23" s="1150"/>
      <c r="F23" s="1151"/>
      <c r="G23" s="1150"/>
      <c r="H23" s="1151"/>
      <c r="I23" s="1150"/>
      <c r="J23" s="1151"/>
    </row>
    <row r="24" spans="1:17" ht="15.75" customHeight="1" x14ac:dyDescent="0.2">
      <c r="A24" s="1152"/>
      <c r="B24" s="1153" t="s">
        <v>3328</v>
      </c>
      <c r="C24" s="1154">
        <v>646572</v>
      </c>
      <c r="D24" s="1154">
        <v>540939</v>
      </c>
      <c r="E24" s="1155">
        <v>195965</v>
      </c>
      <c r="F24" s="1156">
        <v>143062</v>
      </c>
      <c r="G24" s="1155">
        <v>193524</v>
      </c>
      <c r="H24" s="1156">
        <v>170928</v>
      </c>
      <c r="I24" s="1155">
        <v>257083</v>
      </c>
      <c r="J24" s="1156">
        <v>226949</v>
      </c>
      <c r="O24" s="1157"/>
      <c r="Q24" s="1157"/>
    </row>
    <row r="25" spans="1:17" ht="6.75" customHeight="1" x14ac:dyDescent="0.2">
      <c r="A25" s="1152"/>
      <c r="B25" s="1153"/>
      <c r="C25" s="1154"/>
      <c r="D25" s="1154"/>
      <c r="E25" s="1155"/>
      <c r="F25" s="1156"/>
      <c r="G25" s="1155"/>
      <c r="H25" s="1156"/>
      <c r="I25" s="1155"/>
      <c r="J25" s="1156"/>
      <c r="O25" s="1157"/>
      <c r="Q25" s="1157"/>
    </row>
    <row r="26" spans="1:17" ht="15.75" customHeight="1" x14ac:dyDescent="0.2">
      <c r="A26" s="1158">
        <v>1000</v>
      </c>
      <c r="B26" s="1153" t="s">
        <v>3329</v>
      </c>
      <c r="C26" s="1154">
        <v>540576</v>
      </c>
      <c r="D26" s="1154">
        <v>454082</v>
      </c>
      <c r="E26" s="1155">
        <v>151712</v>
      </c>
      <c r="F26" s="1156">
        <v>110745</v>
      </c>
      <c r="G26" s="1155">
        <v>166968</v>
      </c>
      <c r="H26" s="1156">
        <v>147462</v>
      </c>
      <c r="I26" s="1155">
        <v>221896</v>
      </c>
      <c r="J26" s="1156">
        <v>195875</v>
      </c>
      <c r="O26" s="1157"/>
      <c r="Q26" s="1157"/>
    </row>
    <row r="27" spans="1:17" ht="15.75" customHeight="1" x14ac:dyDescent="0.2">
      <c r="A27" s="1159">
        <v>1100</v>
      </c>
      <c r="B27" s="1153" t="s">
        <v>3330</v>
      </c>
      <c r="C27" s="1130">
        <v>426646</v>
      </c>
      <c r="D27" s="1130">
        <v>358387</v>
      </c>
      <c r="E27" s="1155">
        <v>119692</v>
      </c>
      <c r="F27" s="1156">
        <v>87371</v>
      </c>
      <c r="G27" s="1155">
        <v>131730</v>
      </c>
      <c r="H27" s="1156">
        <v>116340</v>
      </c>
      <c r="I27" s="1155">
        <v>175224</v>
      </c>
      <c r="J27" s="1156">
        <v>154676</v>
      </c>
      <c r="O27" s="1157"/>
      <c r="Q27" s="1157"/>
    </row>
    <row r="28" spans="1:17" ht="15.75" customHeight="1" x14ac:dyDescent="0.2">
      <c r="A28" s="1160">
        <v>1110</v>
      </c>
      <c r="B28" s="1153" t="s">
        <v>3330</v>
      </c>
      <c r="C28" s="1154">
        <v>382015</v>
      </c>
      <c r="D28" s="1154">
        <v>321062</v>
      </c>
      <c r="E28" s="1155">
        <v>106063</v>
      </c>
      <c r="F28" s="1156">
        <v>77421</v>
      </c>
      <c r="G28" s="1156">
        <v>116229</v>
      </c>
      <c r="H28" s="1156">
        <v>102649</v>
      </c>
      <c r="I28" s="1155">
        <v>159723</v>
      </c>
      <c r="J28" s="1156">
        <v>140992</v>
      </c>
      <c r="L28" s="1161"/>
      <c r="O28" s="1157"/>
      <c r="Q28" s="1157"/>
    </row>
    <row r="29" spans="1:17" ht="15.75" customHeight="1" x14ac:dyDescent="0.2">
      <c r="A29" s="1135">
        <v>1119</v>
      </c>
      <c r="B29" s="1148" t="s">
        <v>3331</v>
      </c>
      <c r="C29" s="1149">
        <v>382015</v>
      </c>
      <c r="D29" s="1149">
        <v>321062</v>
      </c>
      <c r="E29" s="1150">
        <v>106063</v>
      </c>
      <c r="F29" s="1151">
        <v>77421</v>
      </c>
      <c r="G29" s="1150">
        <v>116229</v>
      </c>
      <c r="H29" s="1151">
        <v>102649</v>
      </c>
      <c r="I29" s="1150">
        <v>159723</v>
      </c>
      <c r="J29" s="1151">
        <v>140992</v>
      </c>
      <c r="O29" s="1157"/>
      <c r="Q29" s="1157"/>
    </row>
    <row r="30" spans="1:17" ht="15.75" customHeight="1" x14ac:dyDescent="0.2">
      <c r="A30" s="1160">
        <v>1140</v>
      </c>
      <c r="B30" s="1153" t="s">
        <v>3332</v>
      </c>
      <c r="C30" s="1130">
        <v>44631</v>
      </c>
      <c r="D30" s="1130">
        <v>37325</v>
      </c>
      <c r="E30" s="1131">
        <v>13629</v>
      </c>
      <c r="F30" s="1132">
        <v>9950</v>
      </c>
      <c r="G30" s="1131">
        <v>15501</v>
      </c>
      <c r="H30" s="1132">
        <v>13691</v>
      </c>
      <c r="I30" s="1131">
        <v>15501</v>
      </c>
      <c r="J30" s="1132">
        <v>13684</v>
      </c>
      <c r="O30" s="1157"/>
      <c r="Q30" s="1157"/>
    </row>
    <row r="31" spans="1:17" ht="15.75" customHeight="1" x14ac:dyDescent="0.2">
      <c r="A31" s="1147">
        <v>1141</v>
      </c>
      <c r="B31" s="1162" t="s">
        <v>3333</v>
      </c>
      <c r="C31" s="1149">
        <v>34954</v>
      </c>
      <c r="D31" s="1149">
        <v>29231</v>
      </c>
      <c r="E31" s="1150">
        <v>10674</v>
      </c>
      <c r="F31" s="1151">
        <v>7792</v>
      </c>
      <c r="G31" s="1150">
        <v>12140</v>
      </c>
      <c r="H31" s="1151">
        <v>10722</v>
      </c>
      <c r="I31" s="1150">
        <v>12140</v>
      </c>
      <c r="J31" s="1151">
        <v>10717</v>
      </c>
      <c r="O31" s="1157"/>
      <c r="Q31" s="1157"/>
    </row>
    <row r="32" spans="1:17" ht="15.75" customHeight="1" x14ac:dyDescent="0.2">
      <c r="A32" s="1147">
        <v>1142</v>
      </c>
      <c r="B32" s="1163" t="s">
        <v>3334</v>
      </c>
      <c r="C32" s="1149">
        <v>9677</v>
      </c>
      <c r="D32" s="1149">
        <v>8094</v>
      </c>
      <c r="E32" s="1150">
        <v>2955</v>
      </c>
      <c r="F32" s="1151">
        <v>2158</v>
      </c>
      <c r="G32" s="1150">
        <v>3361</v>
      </c>
      <c r="H32" s="1151">
        <v>2969</v>
      </c>
      <c r="I32" s="1150">
        <v>3361</v>
      </c>
      <c r="J32" s="1151">
        <v>2967</v>
      </c>
      <c r="O32" s="1157"/>
      <c r="Q32" s="1157"/>
    </row>
    <row r="33" spans="1:17" ht="30" customHeight="1" x14ac:dyDescent="0.2">
      <c r="A33" s="1159">
        <v>1200</v>
      </c>
      <c r="B33" s="1164" t="s">
        <v>2763</v>
      </c>
      <c r="C33" s="1130">
        <v>113930</v>
      </c>
      <c r="D33" s="1130">
        <v>95695</v>
      </c>
      <c r="E33" s="1131">
        <v>32020</v>
      </c>
      <c r="F33" s="1132">
        <v>23374</v>
      </c>
      <c r="G33" s="1131">
        <v>35238</v>
      </c>
      <c r="H33" s="1132">
        <v>31122</v>
      </c>
      <c r="I33" s="1131">
        <v>46672</v>
      </c>
      <c r="J33" s="1132">
        <v>41199</v>
      </c>
      <c r="O33" s="1157"/>
      <c r="Q33" s="1157"/>
    </row>
    <row r="34" spans="1:17" ht="30" customHeight="1" x14ac:dyDescent="0.2">
      <c r="A34" s="1147">
        <v>1210</v>
      </c>
      <c r="B34" s="1165" t="s">
        <v>2763</v>
      </c>
      <c r="C34" s="1149">
        <v>102780</v>
      </c>
      <c r="D34" s="1149">
        <v>86337</v>
      </c>
      <c r="E34" s="1150">
        <v>28834</v>
      </c>
      <c r="F34" s="1151">
        <v>21048</v>
      </c>
      <c r="G34" s="1150">
        <v>31734</v>
      </c>
      <c r="H34" s="1151">
        <v>28027</v>
      </c>
      <c r="I34" s="1150">
        <v>42212</v>
      </c>
      <c r="J34" s="1151">
        <v>37262</v>
      </c>
      <c r="O34" s="1157"/>
      <c r="Q34" s="1157"/>
    </row>
    <row r="35" spans="1:17" ht="30" customHeight="1" x14ac:dyDescent="0.2">
      <c r="A35" s="1147">
        <v>1227</v>
      </c>
      <c r="B35" s="1165" t="s">
        <v>3335</v>
      </c>
      <c r="C35" s="1149">
        <v>11150</v>
      </c>
      <c r="D35" s="1149">
        <v>9358</v>
      </c>
      <c r="E35" s="1150">
        <v>3186</v>
      </c>
      <c r="F35" s="1151">
        <v>2326</v>
      </c>
      <c r="G35" s="1150">
        <v>3504</v>
      </c>
      <c r="H35" s="1151">
        <v>3095</v>
      </c>
      <c r="I35" s="1150">
        <v>4460</v>
      </c>
      <c r="J35" s="1151">
        <v>3937</v>
      </c>
      <c r="O35" s="1157"/>
      <c r="Q35" s="1157"/>
    </row>
    <row r="36" spans="1:17" ht="15.75" customHeight="1" x14ac:dyDescent="0.2">
      <c r="A36" s="1158">
        <v>2000</v>
      </c>
      <c r="B36" s="1153" t="s">
        <v>3336</v>
      </c>
      <c r="C36" s="1130">
        <v>105996</v>
      </c>
      <c r="D36" s="1130">
        <v>86857</v>
      </c>
      <c r="E36" s="1131">
        <v>44253</v>
      </c>
      <c r="F36" s="1132">
        <v>32317</v>
      </c>
      <c r="G36" s="1131">
        <v>26556</v>
      </c>
      <c r="H36" s="1132">
        <v>23466</v>
      </c>
      <c r="I36" s="1131">
        <v>35187</v>
      </c>
      <c r="J36" s="1132">
        <v>31074</v>
      </c>
      <c r="O36" s="1157"/>
      <c r="Q36" s="1157"/>
    </row>
    <row r="37" spans="1:17" ht="15.75" customHeight="1" x14ac:dyDescent="0.2">
      <c r="A37" s="1159">
        <v>2200</v>
      </c>
      <c r="B37" s="1153" t="s">
        <v>3337</v>
      </c>
      <c r="C37" s="1130">
        <v>31767</v>
      </c>
      <c r="D37" s="1130">
        <v>26041</v>
      </c>
      <c r="E37" s="1131">
        <v>13241</v>
      </c>
      <c r="F37" s="1132">
        <v>9673</v>
      </c>
      <c r="G37" s="1131">
        <v>7962</v>
      </c>
      <c r="H37" s="1132">
        <v>7037</v>
      </c>
      <c r="I37" s="1131">
        <v>10564</v>
      </c>
      <c r="J37" s="1132">
        <v>9331</v>
      </c>
      <c r="O37" s="1157"/>
      <c r="Q37" s="1157"/>
    </row>
    <row r="38" spans="1:17" ht="27" customHeight="1" x14ac:dyDescent="0.2">
      <c r="A38" s="1147">
        <v>2212</v>
      </c>
      <c r="B38" s="1148" t="s">
        <v>3338</v>
      </c>
      <c r="C38" s="1149">
        <v>870</v>
      </c>
      <c r="D38" s="1149">
        <v>714</v>
      </c>
      <c r="E38" s="1166">
        <v>362</v>
      </c>
      <c r="F38" s="1167">
        <v>265</v>
      </c>
      <c r="G38" s="1166">
        <v>218</v>
      </c>
      <c r="H38" s="1167">
        <v>193</v>
      </c>
      <c r="I38" s="1166">
        <v>290</v>
      </c>
      <c r="J38" s="1167">
        <v>256</v>
      </c>
      <c r="O38" s="1157"/>
      <c r="Q38" s="1157"/>
    </row>
    <row r="39" spans="1:17" ht="27" customHeight="1" x14ac:dyDescent="0.2">
      <c r="A39" s="1147">
        <v>2214</v>
      </c>
      <c r="B39" s="1168" t="s">
        <v>3339</v>
      </c>
      <c r="C39" s="1149">
        <v>627</v>
      </c>
      <c r="D39" s="1149">
        <v>515</v>
      </c>
      <c r="E39" s="1166">
        <v>260</v>
      </c>
      <c r="F39" s="1167">
        <v>190</v>
      </c>
      <c r="G39" s="1166">
        <v>158</v>
      </c>
      <c r="H39" s="1167">
        <v>140</v>
      </c>
      <c r="I39" s="1166">
        <v>209</v>
      </c>
      <c r="J39" s="1167">
        <v>185</v>
      </c>
      <c r="O39" s="1157"/>
      <c r="Q39" s="1157"/>
    </row>
    <row r="40" spans="1:17" ht="15.75" customHeight="1" x14ac:dyDescent="0.2">
      <c r="A40" s="1147">
        <v>2222</v>
      </c>
      <c r="B40" s="1162" t="s">
        <v>3340</v>
      </c>
      <c r="C40" s="1149">
        <v>3576</v>
      </c>
      <c r="D40" s="1149">
        <v>2931</v>
      </c>
      <c r="E40" s="1166">
        <v>1489</v>
      </c>
      <c r="F40" s="1167">
        <v>1087</v>
      </c>
      <c r="G40" s="1166">
        <v>894</v>
      </c>
      <c r="H40" s="1167">
        <v>790</v>
      </c>
      <c r="I40" s="1166">
        <v>1193</v>
      </c>
      <c r="J40" s="1167">
        <v>1054</v>
      </c>
      <c r="L40" s="1161"/>
      <c r="M40" s="1161"/>
      <c r="N40" s="1161"/>
      <c r="O40" s="1169"/>
      <c r="Q40" s="1157"/>
    </row>
    <row r="41" spans="1:17" ht="15.75" customHeight="1" x14ac:dyDescent="0.2">
      <c r="A41" s="1147">
        <v>2223</v>
      </c>
      <c r="B41" s="1162" t="s">
        <v>3341</v>
      </c>
      <c r="C41" s="1149">
        <v>9327</v>
      </c>
      <c r="D41" s="1149">
        <v>7643</v>
      </c>
      <c r="E41" s="1166">
        <v>3880</v>
      </c>
      <c r="F41" s="1167">
        <v>2833</v>
      </c>
      <c r="G41" s="1166">
        <v>2348</v>
      </c>
      <c r="H41" s="1167">
        <v>2074</v>
      </c>
      <c r="I41" s="1166">
        <v>3099</v>
      </c>
      <c r="J41" s="1167">
        <v>2736</v>
      </c>
      <c r="L41" s="1161"/>
      <c r="M41" s="1161"/>
      <c r="N41" s="1161"/>
      <c r="O41" s="1169"/>
      <c r="Q41" s="1157"/>
    </row>
    <row r="42" spans="1:17" ht="15.75" customHeight="1" x14ac:dyDescent="0.2">
      <c r="A42" s="1147">
        <v>2224</v>
      </c>
      <c r="B42" s="1168" t="s">
        <v>3342</v>
      </c>
      <c r="C42" s="1149">
        <v>1069</v>
      </c>
      <c r="D42" s="1149">
        <v>877</v>
      </c>
      <c r="E42" s="1166">
        <v>446</v>
      </c>
      <c r="F42" s="1167">
        <v>326</v>
      </c>
      <c r="G42" s="1166">
        <v>267</v>
      </c>
      <c r="H42" s="1167">
        <v>236</v>
      </c>
      <c r="I42" s="1166">
        <v>356</v>
      </c>
      <c r="J42" s="1167">
        <v>315</v>
      </c>
      <c r="L42" s="1161"/>
      <c r="M42" s="1161"/>
      <c r="N42" s="1161"/>
      <c r="O42" s="1169"/>
      <c r="Q42" s="1157"/>
    </row>
    <row r="43" spans="1:17" ht="15.75" customHeight="1" x14ac:dyDescent="0.2">
      <c r="A43" s="1147">
        <v>2232</v>
      </c>
      <c r="B43" s="1168" t="s">
        <v>3343</v>
      </c>
      <c r="C43" s="1149">
        <v>526</v>
      </c>
      <c r="D43" s="1149">
        <v>432</v>
      </c>
      <c r="E43" s="1166">
        <v>221</v>
      </c>
      <c r="F43" s="1167">
        <v>162</v>
      </c>
      <c r="G43" s="1166">
        <v>132</v>
      </c>
      <c r="H43" s="1167">
        <v>117</v>
      </c>
      <c r="I43" s="1166">
        <v>173</v>
      </c>
      <c r="J43" s="1167">
        <v>153</v>
      </c>
      <c r="L43" s="1161"/>
      <c r="M43" s="1161"/>
      <c r="N43" s="1161"/>
      <c r="O43" s="1169"/>
      <c r="Q43" s="1157"/>
    </row>
    <row r="44" spans="1:17" ht="15.75" customHeight="1" x14ac:dyDescent="0.2">
      <c r="A44" s="1147">
        <v>2235</v>
      </c>
      <c r="B44" s="1168" t="s">
        <v>3344</v>
      </c>
      <c r="C44" s="1149">
        <v>729</v>
      </c>
      <c r="D44" s="1149">
        <v>598</v>
      </c>
      <c r="E44" s="1166">
        <v>304</v>
      </c>
      <c r="F44" s="1167">
        <v>222</v>
      </c>
      <c r="G44" s="1166">
        <v>182</v>
      </c>
      <c r="H44" s="1167">
        <v>161</v>
      </c>
      <c r="I44" s="1166">
        <v>243</v>
      </c>
      <c r="J44" s="1167">
        <v>215</v>
      </c>
      <c r="L44" s="1161"/>
      <c r="M44" s="1161"/>
      <c r="N44" s="1161"/>
      <c r="O44" s="1169"/>
      <c r="Q44" s="1157"/>
    </row>
    <row r="45" spans="1:17" ht="15.75" customHeight="1" x14ac:dyDescent="0.2">
      <c r="A45" s="1147">
        <v>2239</v>
      </c>
      <c r="B45" s="1168" t="s">
        <v>3345</v>
      </c>
      <c r="C45" s="1149">
        <v>1274</v>
      </c>
      <c r="D45" s="1149">
        <v>1044</v>
      </c>
      <c r="E45" s="1166">
        <v>535</v>
      </c>
      <c r="F45" s="1167">
        <v>391</v>
      </c>
      <c r="G45" s="1166">
        <v>319</v>
      </c>
      <c r="H45" s="1167">
        <v>282</v>
      </c>
      <c r="I45" s="1166">
        <v>420</v>
      </c>
      <c r="J45" s="1167">
        <v>371</v>
      </c>
      <c r="L45" s="1161"/>
      <c r="M45" s="1161"/>
      <c r="N45" s="1161"/>
      <c r="O45" s="1169"/>
      <c r="Q45" s="1157"/>
    </row>
    <row r="46" spans="1:17" ht="15.75" customHeight="1" x14ac:dyDescent="0.2">
      <c r="A46" s="1147">
        <v>2241</v>
      </c>
      <c r="B46" s="1168" t="s">
        <v>3346</v>
      </c>
      <c r="C46" s="1149">
        <v>805</v>
      </c>
      <c r="D46" s="1149">
        <v>661</v>
      </c>
      <c r="E46" s="1166">
        <v>335</v>
      </c>
      <c r="F46" s="1167">
        <v>245</v>
      </c>
      <c r="G46" s="1166">
        <v>201</v>
      </c>
      <c r="H46" s="1167">
        <v>178</v>
      </c>
      <c r="I46" s="1166">
        <v>269</v>
      </c>
      <c r="J46" s="1167">
        <v>238</v>
      </c>
      <c r="L46" s="1161"/>
      <c r="M46" s="1161"/>
      <c r="N46" s="1161"/>
      <c r="O46" s="1169"/>
      <c r="Q46" s="1157"/>
    </row>
    <row r="47" spans="1:17" ht="15.75" customHeight="1" x14ac:dyDescent="0.2">
      <c r="A47" s="1147">
        <v>2242</v>
      </c>
      <c r="B47" s="1168" t="s">
        <v>3347</v>
      </c>
      <c r="C47" s="1149">
        <v>1860</v>
      </c>
      <c r="D47" s="1149">
        <v>1524</v>
      </c>
      <c r="E47" s="1166">
        <v>781</v>
      </c>
      <c r="F47" s="1167">
        <v>571</v>
      </c>
      <c r="G47" s="1166">
        <v>465</v>
      </c>
      <c r="H47" s="1167">
        <v>411</v>
      </c>
      <c r="I47" s="1166">
        <v>614</v>
      </c>
      <c r="J47" s="1167">
        <v>542</v>
      </c>
      <c r="L47" s="1161"/>
      <c r="M47" s="1161"/>
      <c r="N47" s="1161"/>
      <c r="O47" s="1169"/>
      <c r="Q47" s="1157"/>
    </row>
    <row r="48" spans="1:17" ht="25.5" x14ac:dyDescent="0.2">
      <c r="A48" s="1147">
        <v>2243</v>
      </c>
      <c r="B48" s="1168" t="s">
        <v>3348</v>
      </c>
      <c r="C48" s="1149">
        <v>1031</v>
      </c>
      <c r="D48" s="1149">
        <v>846</v>
      </c>
      <c r="E48" s="1166">
        <v>429</v>
      </c>
      <c r="F48" s="1167">
        <v>314</v>
      </c>
      <c r="G48" s="1166">
        <v>258</v>
      </c>
      <c r="H48" s="1167">
        <v>228</v>
      </c>
      <c r="I48" s="1166">
        <v>344</v>
      </c>
      <c r="J48" s="1167">
        <v>304</v>
      </c>
      <c r="L48" s="1161"/>
      <c r="M48" s="1161"/>
      <c r="N48" s="1161"/>
      <c r="O48" s="1169"/>
      <c r="Q48" s="1157"/>
    </row>
    <row r="49" spans="1:17" ht="15.75" customHeight="1" x14ac:dyDescent="0.2">
      <c r="A49" s="1147">
        <v>2244</v>
      </c>
      <c r="B49" s="1168" t="s">
        <v>3349</v>
      </c>
      <c r="C49" s="1149">
        <v>4560</v>
      </c>
      <c r="D49" s="1149">
        <v>3737</v>
      </c>
      <c r="E49" s="1166">
        <v>1899</v>
      </c>
      <c r="F49" s="1167">
        <v>1387</v>
      </c>
      <c r="G49" s="1166">
        <v>1141</v>
      </c>
      <c r="H49" s="1167">
        <v>1008</v>
      </c>
      <c r="I49" s="1166">
        <v>1520</v>
      </c>
      <c r="J49" s="1167">
        <v>1342</v>
      </c>
      <c r="L49" s="1161"/>
      <c r="M49" s="1161"/>
      <c r="N49" s="1161"/>
      <c r="O49" s="1169"/>
      <c r="Q49" s="1157"/>
    </row>
    <row r="50" spans="1:17" ht="15.75" customHeight="1" x14ac:dyDescent="0.2">
      <c r="A50" s="1147">
        <v>2249</v>
      </c>
      <c r="B50" s="1168" t="s">
        <v>3350</v>
      </c>
      <c r="C50" s="1149">
        <v>4583</v>
      </c>
      <c r="D50" s="1149">
        <v>3756</v>
      </c>
      <c r="E50" s="1166">
        <v>1909</v>
      </c>
      <c r="F50" s="1167">
        <v>1394</v>
      </c>
      <c r="G50" s="1166">
        <v>1146</v>
      </c>
      <c r="H50" s="1167">
        <v>1013</v>
      </c>
      <c r="I50" s="1166">
        <v>1528</v>
      </c>
      <c r="J50" s="1167">
        <v>1349</v>
      </c>
      <c r="L50" s="1161"/>
      <c r="M50" s="1161"/>
      <c r="N50" s="1161"/>
      <c r="O50" s="1169"/>
      <c r="Q50" s="1157"/>
    </row>
    <row r="51" spans="1:17" ht="15.75" customHeight="1" x14ac:dyDescent="0.2">
      <c r="A51" s="1147">
        <v>2259</v>
      </c>
      <c r="B51" s="1168" t="s">
        <v>3351</v>
      </c>
      <c r="C51" s="1149">
        <v>930</v>
      </c>
      <c r="D51" s="1149">
        <v>763</v>
      </c>
      <c r="E51" s="1166">
        <v>391</v>
      </c>
      <c r="F51" s="1167">
        <v>286</v>
      </c>
      <c r="G51" s="1166">
        <v>233</v>
      </c>
      <c r="H51" s="1167">
        <v>206</v>
      </c>
      <c r="I51" s="1166">
        <v>306</v>
      </c>
      <c r="J51" s="1167">
        <v>271</v>
      </c>
      <c r="L51" s="1161"/>
      <c r="M51" s="1161"/>
      <c r="N51" s="1161"/>
      <c r="O51" s="1169"/>
      <c r="Q51" s="1157"/>
    </row>
    <row r="52" spans="1:17" ht="26.25" customHeight="1" x14ac:dyDescent="0.2">
      <c r="A52" s="1159">
        <v>2300</v>
      </c>
      <c r="B52" s="1164" t="s">
        <v>3352</v>
      </c>
      <c r="C52" s="1130">
        <v>73732</v>
      </c>
      <c r="D52" s="1130">
        <v>60405</v>
      </c>
      <c r="E52" s="1170">
        <v>30804</v>
      </c>
      <c r="F52" s="1171">
        <v>22491</v>
      </c>
      <c r="G52" s="1155">
        <v>18469</v>
      </c>
      <c r="H52" s="1156">
        <v>16317</v>
      </c>
      <c r="I52" s="1155">
        <v>24459</v>
      </c>
      <c r="J52" s="1156">
        <v>21597</v>
      </c>
      <c r="L52" s="1161"/>
      <c r="M52" s="1161"/>
      <c r="N52" s="1161"/>
      <c r="O52" s="1169"/>
      <c r="Q52" s="1157"/>
    </row>
    <row r="53" spans="1:17" ht="15.75" customHeight="1" x14ac:dyDescent="0.2">
      <c r="A53" s="1147">
        <v>2311</v>
      </c>
      <c r="B53" s="1168" t="s">
        <v>3353</v>
      </c>
      <c r="C53" s="1149">
        <v>801</v>
      </c>
      <c r="D53" s="1149">
        <v>657</v>
      </c>
      <c r="E53" s="1166">
        <v>334</v>
      </c>
      <c r="F53" s="1167">
        <v>244</v>
      </c>
      <c r="G53" s="1166">
        <v>200</v>
      </c>
      <c r="H53" s="1167">
        <v>177</v>
      </c>
      <c r="I53" s="1166">
        <v>267</v>
      </c>
      <c r="J53" s="1167">
        <v>236</v>
      </c>
      <c r="L53" s="1161"/>
      <c r="M53" s="1161"/>
      <c r="N53" s="1161"/>
      <c r="O53" s="1169"/>
      <c r="Q53" s="1157"/>
    </row>
    <row r="54" spans="1:17" ht="15.75" customHeight="1" x14ac:dyDescent="0.2">
      <c r="A54" s="1147">
        <v>2312</v>
      </c>
      <c r="B54" s="1168" t="s">
        <v>1480</v>
      </c>
      <c r="C54" s="1149">
        <v>791</v>
      </c>
      <c r="D54" s="1149">
        <v>649</v>
      </c>
      <c r="E54" s="1166">
        <v>332</v>
      </c>
      <c r="F54" s="1167">
        <v>243</v>
      </c>
      <c r="G54" s="1166">
        <v>198</v>
      </c>
      <c r="H54" s="1167">
        <v>175</v>
      </c>
      <c r="I54" s="1166">
        <v>261</v>
      </c>
      <c r="J54" s="1167">
        <v>231</v>
      </c>
      <c r="L54" s="1161"/>
      <c r="M54" s="1161"/>
      <c r="N54" s="1161"/>
      <c r="O54" s="1169"/>
      <c r="Q54" s="1157"/>
    </row>
    <row r="55" spans="1:17" ht="15.75" customHeight="1" x14ac:dyDescent="0.2">
      <c r="A55" s="1147">
        <v>2321</v>
      </c>
      <c r="B55" s="1168" t="s">
        <v>3354</v>
      </c>
      <c r="C55" s="1149">
        <v>8502</v>
      </c>
      <c r="D55" s="1149">
        <v>6966</v>
      </c>
      <c r="E55" s="1166">
        <v>3542</v>
      </c>
      <c r="F55" s="1167">
        <v>2586</v>
      </c>
      <c r="G55" s="1166">
        <v>2126</v>
      </c>
      <c r="H55" s="1167">
        <v>1878</v>
      </c>
      <c r="I55" s="1166">
        <v>2834</v>
      </c>
      <c r="J55" s="1167">
        <v>2502</v>
      </c>
      <c r="L55" s="1161"/>
      <c r="M55" s="1161"/>
      <c r="N55" s="1161"/>
      <c r="O55" s="1169"/>
      <c r="Q55" s="1157"/>
    </row>
    <row r="56" spans="1:17" ht="15.75" customHeight="1" x14ac:dyDescent="0.2">
      <c r="A56" s="1147">
        <v>2322</v>
      </c>
      <c r="B56" s="1168" t="s">
        <v>3355</v>
      </c>
      <c r="C56" s="1149">
        <v>2351</v>
      </c>
      <c r="D56" s="1149">
        <v>1926</v>
      </c>
      <c r="E56" s="1166">
        <v>987</v>
      </c>
      <c r="F56" s="1167">
        <v>721</v>
      </c>
      <c r="G56" s="1166">
        <v>588</v>
      </c>
      <c r="H56" s="1167">
        <v>520</v>
      </c>
      <c r="I56" s="1166">
        <v>776</v>
      </c>
      <c r="J56" s="1167">
        <v>685</v>
      </c>
      <c r="L56" s="1161"/>
      <c r="M56" s="1161"/>
      <c r="N56" s="1161"/>
      <c r="O56" s="1169"/>
      <c r="Q56" s="1157"/>
    </row>
    <row r="57" spans="1:17" ht="15.75" customHeight="1" x14ac:dyDescent="0.2">
      <c r="A57" s="1147">
        <v>2341</v>
      </c>
      <c r="B57" s="1162" t="s">
        <v>3356</v>
      </c>
      <c r="C57" s="1149">
        <v>10419</v>
      </c>
      <c r="D57" s="1149">
        <v>8550</v>
      </c>
      <c r="E57" s="1166">
        <v>4258</v>
      </c>
      <c r="F57" s="1167">
        <v>3109</v>
      </c>
      <c r="G57" s="1166">
        <v>2640</v>
      </c>
      <c r="H57" s="1167">
        <v>2332</v>
      </c>
      <c r="I57" s="1166">
        <v>3521</v>
      </c>
      <c r="J57" s="1167">
        <v>3109</v>
      </c>
      <c r="L57" s="1161"/>
      <c r="M57" s="1161"/>
      <c r="N57" s="1161"/>
      <c r="O57" s="1169"/>
      <c r="Q57" s="1157"/>
    </row>
    <row r="58" spans="1:17" ht="15.75" customHeight="1" x14ac:dyDescent="0.2">
      <c r="A58" s="1147">
        <v>2351</v>
      </c>
      <c r="B58" s="1162" t="s">
        <v>3357</v>
      </c>
      <c r="C58" s="1149">
        <v>2004</v>
      </c>
      <c r="D58" s="1149">
        <v>1642</v>
      </c>
      <c r="E58" s="1166">
        <v>842</v>
      </c>
      <c r="F58" s="1167">
        <v>615</v>
      </c>
      <c r="G58" s="1166">
        <v>501</v>
      </c>
      <c r="H58" s="1167">
        <v>443</v>
      </c>
      <c r="I58" s="1166">
        <v>661</v>
      </c>
      <c r="J58" s="1167">
        <v>584</v>
      </c>
      <c r="O58" s="1157"/>
      <c r="Q58" s="1157"/>
    </row>
    <row r="59" spans="1:17" ht="15.75" customHeight="1" x14ac:dyDescent="0.2">
      <c r="A59" s="1147">
        <v>2352</v>
      </c>
      <c r="B59" s="1162" t="s">
        <v>3358</v>
      </c>
      <c r="C59" s="1149">
        <v>3361</v>
      </c>
      <c r="D59" s="1149">
        <v>2754</v>
      </c>
      <c r="E59" s="1166">
        <v>1400</v>
      </c>
      <c r="F59" s="1167">
        <v>1022</v>
      </c>
      <c r="G59" s="1166">
        <v>840</v>
      </c>
      <c r="H59" s="1167">
        <v>742</v>
      </c>
      <c r="I59" s="1166">
        <v>1121</v>
      </c>
      <c r="J59" s="1167">
        <v>990</v>
      </c>
      <c r="O59" s="1157"/>
      <c r="Q59" s="1157"/>
    </row>
    <row r="60" spans="1:17" ht="15.75" customHeight="1" x14ac:dyDescent="0.2">
      <c r="A60" s="1147">
        <v>2355</v>
      </c>
      <c r="B60" s="1168" t="s">
        <v>3359</v>
      </c>
      <c r="C60" s="1149">
        <v>215</v>
      </c>
      <c r="D60" s="1149">
        <v>177</v>
      </c>
      <c r="E60" s="1166">
        <v>90</v>
      </c>
      <c r="F60" s="1167">
        <v>66</v>
      </c>
      <c r="G60" s="1166">
        <v>54</v>
      </c>
      <c r="H60" s="1167">
        <v>48</v>
      </c>
      <c r="I60" s="1166">
        <v>71</v>
      </c>
      <c r="J60" s="1167">
        <v>63</v>
      </c>
      <c r="O60" s="1157"/>
      <c r="Q60" s="1157"/>
    </row>
    <row r="61" spans="1:17" ht="15.75" customHeight="1" x14ac:dyDescent="0.2">
      <c r="A61" s="1147">
        <v>2361</v>
      </c>
      <c r="B61" s="1162" t="s">
        <v>3360</v>
      </c>
      <c r="C61" s="1149">
        <v>540</v>
      </c>
      <c r="D61" s="1149">
        <v>444</v>
      </c>
      <c r="E61" s="1166">
        <v>227</v>
      </c>
      <c r="F61" s="1167">
        <v>166</v>
      </c>
      <c r="G61" s="1166">
        <v>135</v>
      </c>
      <c r="H61" s="1167">
        <v>120</v>
      </c>
      <c r="I61" s="1166">
        <v>178</v>
      </c>
      <c r="J61" s="1167">
        <v>158</v>
      </c>
      <c r="O61" s="1157"/>
      <c r="Q61" s="1157"/>
    </row>
    <row r="62" spans="1:17" ht="15.75" customHeight="1" x14ac:dyDescent="0.2">
      <c r="A62" s="1147">
        <v>2362</v>
      </c>
      <c r="B62" s="1162" t="s">
        <v>3361</v>
      </c>
      <c r="C62" s="1149">
        <v>579</v>
      </c>
      <c r="D62" s="1149">
        <v>476</v>
      </c>
      <c r="E62" s="1166">
        <v>241</v>
      </c>
      <c r="F62" s="1167">
        <v>176</v>
      </c>
      <c r="G62" s="1166">
        <v>145</v>
      </c>
      <c r="H62" s="1167">
        <v>129</v>
      </c>
      <c r="I62" s="1166">
        <v>193</v>
      </c>
      <c r="J62" s="1167">
        <v>171</v>
      </c>
      <c r="O62" s="1157"/>
      <c r="Q62" s="1157"/>
    </row>
    <row r="63" spans="1:17" ht="15.75" customHeight="1" x14ac:dyDescent="0.2">
      <c r="A63" s="1147">
        <v>2363</v>
      </c>
      <c r="B63" s="1162" t="s">
        <v>3275</v>
      </c>
      <c r="C63" s="1149">
        <v>39868</v>
      </c>
      <c r="D63" s="1149">
        <v>32641</v>
      </c>
      <c r="E63" s="1166">
        <v>16745</v>
      </c>
      <c r="F63" s="1167">
        <v>12224</v>
      </c>
      <c r="G63" s="1166">
        <v>9967</v>
      </c>
      <c r="H63" s="1167">
        <v>8803</v>
      </c>
      <c r="I63" s="1166">
        <v>13156</v>
      </c>
      <c r="J63" s="1167">
        <v>11614</v>
      </c>
      <c r="O63" s="1157"/>
      <c r="Q63" s="1157"/>
    </row>
    <row r="64" spans="1:17" ht="45" customHeight="1" x14ac:dyDescent="0.2">
      <c r="A64" s="1147">
        <v>2369</v>
      </c>
      <c r="B64" s="1168" t="s">
        <v>3362</v>
      </c>
      <c r="C64" s="1149">
        <v>4301</v>
      </c>
      <c r="D64" s="1149">
        <v>3523</v>
      </c>
      <c r="E64" s="1166">
        <v>1806</v>
      </c>
      <c r="F64" s="1167">
        <v>1319</v>
      </c>
      <c r="G64" s="1166">
        <v>1075</v>
      </c>
      <c r="H64" s="1167">
        <v>950</v>
      </c>
      <c r="I64" s="1166">
        <v>1420</v>
      </c>
      <c r="J64" s="1167">
        <v>1254</v>
      </c>
      <c r="O64" s="1157"/>
      <c r="Q64" s="1157"/>
    </row>
    <row r="65" spans="1:17" ht="15.75" customHeight="1" x14ac:dyDescent="0.2">
      <c r="A65" s="1159">
        <v>2500</v>
      </c>
      <c r="B65" s="1153" t="s">
        <v>3363</v>
      </c>
      <c r="C65" s="1130">
        <v>497</v>
      </c>
      <c r="D65" s="1130">
        <v>411</v>
      </c>
      <c r="E65" s="1155">
        <v>208</v>
      </c>
      <c r="F65" s="1156">
        <v>153</v>
      </c>
      <c r="G65" s="1155">
        <v>125</v>
      </c>
      <c r="H65" s="1156">
        <v>112</v>
      </c>
      <c r="I65" s="1155">
        <v>164</v>
      </c>
      <c r="J65" s="1156">
        <v>146</v>
      </c>
      <c r="O65" s="1157"/>
      <c r="Q65" s="1157"/>
    </row>
    <row r="66" spans="1:17" ht="15.75" customHeight="1" x14ac:dyDescent="0.2">
      <c r="A66" s="1135">
        <v>2515</v>
      </c>
      <c r="B66" s="1148" t="s">
        <v>3364</v>
      </c>
      <c r="C66" s="1149">
        <v>97</v>
      </c>
      <c r="D66" s="1149">
        <v>82</v>
      </c>
      <c r="E66" s="1166">
        <v>40</v>
      </c>
      <c r="F66" s="1167">
        <v>30</v>
      </c>
      <c r="G66" s="1166">
        <v>25</v>
      </c>
      <c r="H66" s="1167">
        <v>23</v>
      </c>
      <c r="I66" s="1166">
        <v>32</v>
      </c>
      <c r="J66" s="1167">
        <v>29</v>
      </c>
      <c r="O66" s="1157"/>
      <c r="Q66" s="1157"/>
    </row>
    <row r="67" spans="1:17" ht="15.75" customHeight="1" x14ac:dyDescent="0.2">
      <c r="A67" s="1172">
        <v>2519</v>
      </c>
      <c r="B67" s="1173" t="s">
        <v>3365</v>
      </c>
      <c r="C67" s="1174">
        <v>400</v>
      </c>
      <c r="D67" s="1174">
        <v>329</v>
      </c>
      <c r="E67" s="1175">
        <v>168</v>
      </c>
      <c r="F67" s="1176">
        <v>123</v>
      </c>
      <c r="G67" s="1175">
        <v>100</v>
      </c>
      <c r="H67" s="1176">
        <v>89</v>
      </c>
      <c r="I67" s="1175">
        <v>132</v>
      </c>
      <c r="J67" s="1176">
        <v>117</v>
      </c>
      <c r="O67" s="1157"/>
      <c r="Q67" s="1157"/>
    </row>
    <row r="69" spans="1:17" x14ac:dyDescent="0.2">
      <c r="A69" s="1177"/>
      <c r="C69" s="1161"/>
      <c r="D69" s="1161"/>
      <c r="E69" s="1161"/>
      <c r="F69" s="1161"/>
      <c r="G69" s="1161"/>
      <c r="H69" s="1161"/>
      <c r="I69" s="1161"/>
      <c r="J69" s="1161"/>
    </row>
    <row r="70" spans="1:17" x14ac:dyDescent="0.2">
      <c r="A70" s="1178"/>
      <c r="C70" s="1179"/>
      <c r="D70" s="1179"/>
    </row>
  </sheetData>
  <sheetProtection algorithmName="SHA-512" hashValue="l14OpR67hu0iMHz9Vowws66Ksm7vL7GkYZyMqSqOfEsVtpcO18HO/XFKfqp4cr2m4TrTf++DWXmqnZ4nZpWbUw==" saltValue="aklweV1ilpVfBh7SvHvNcQ==" spinCount="100000" sheet="1" objects="1" scenarios="1" formatCells="0" formatColumns="0" formatRows="0" insertHyperlinks="0"/>
  <mergeCells count="10">
    <mergeCell ref="A1:J1"/>
    <mergeCell ref="A2:J2"/>
    <mergeCell ref="A4:A7"/>
    <mergeCell ref="B4:B7"/>
    <mergeCell ref="C4:C7"/>
    <mergeCell ref="D4:D6"/>
    <mergeCell ref="E4:J4"/>
    <mergeCell ref="E5:F6"/>
    <mergeCell ref="G5:H6"/>
    <mergeCell ref="I5:J6"/>
  </mergeCells>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34.pielikums Jūrmalas pilsētas domes
2018.gada 18.decembra saistošajiem noteikumiem Nr.44
(protokols Nr.17, 2.punkts) </oddHeader>
    <oddFooter xml:space="preserve">&amp;R&amp;"Times New Roman,Regular"&amp;8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29"/>
  <sheetViews>
    <sheetView view="pageLayout" zoomScale="80" zoomScaleNormal="75" zoomScaleSheetLayoutView="70" zoomScalePageLayoutView="80" workbookViewId="0">
      <selection activeCell="I19" sqref="I19"/>
    </sheetView>
  </sheetViews>
  <sheetFormatPr defaultRowHeight="12.75" x14ac:dyDescent="0.2"/>
  <cols>
    <col min="1" max="1" width="14.42578125" style="1188" customWidth="1"/>
    <col min="2" max="2" width="13.5703125" style="1188" customWidth="1"/>
    <col min="3" max="3" width="48.28515625" style="1188" customWidth="1"/>
    <col min="4" max="18" width="13.7109375" style="1188" customWidth="1"/>
    <col min="19" max="19" width="9.140625" style="1188"/>
    <col min="20" max="20" width="0" style="1188" hidden="1" customWidth="1"/>
    <col min="21" max="22" width="9.28515625" style="1188" hidden="1" customWidth="1"/>
    <col min="23" max="25" width="0" style="1188" hidden="1" customWidth="1"/>
    <col min="26" max="16384" width="9.140625" style="1188"/>
  </cols>
  <sheetData>
    <row r="1" spans="1:18" ht="20.25" customHeight="1" x14ac:dyDescent="0.3">
      <c r="A1" s="2273" t="s">
        <v>3369</v>
      </c>
      <c r="B1" s="2273"/>
      <c r="C1" s="2273"/>
      <c r="D1" s="2273"/>
      <c r="E1" s="2273"/>
      <c r="F1" s="2273"/>
      <c r="G1" s="2273"/>
      <c r="H1" s="2273"/>
      <c r="I1" s="2273"/>
      <c r="J1" s="2273"/>
      <c r="K1" s="2273"/>
      <c r="L1" s="2273"/>
      <c r="M1" s="2273"/>
      <c r="N1" s="2273"/>
      <c r="O1" s="2273"/>
      <c r="P1" s="2273"/>
      <c r="Q1" s="2273"/>
      <c r="R1" s="2273"/>
    </row>
    <row r="2" spans="1:18" ht="13.5" thickBot="1" x14ac:dyDescent="0.25">
      <c r="A2" s="1189"/>
      <c r="B2" s="1189"/>
      <c r="C2" s="1189"/>
      <c r="D2" s="1190"/>
      <c r="E2" s="1190"/>
      <c r="F2" s="1190"/>
      <c r="G2" s="1190"/>
      <c r="H2" s="1191"/>
      <c r="I2" s="1192"/>
      <c r="J2" s="1192"/>
      <c r="K2" s="1192"/>
      <c r="L2" s="1192"/>
      <c r="M2" s="1192"/>
      <c r="N2" s="1192"/>
      <c r="O2" s="1192"/>
      <c r="P2" s="1192"/>
      <c r="Q2" s="1192"/>
      <c r="R2" s="1193"/>
    </row>
    <row r="3" spans="1:18" ht="50.25" customHeight="1" x14ac:dyDescent="0.2">
      <c r="A3" s="1194" t="s">
        <v>3370</v>
      </c>
      <c r="B3" s="1195" t="s">
        <v>3371</v>
      </c>
      <c r="C3" s="1196" t="s">
        <v>3372</v>
      </c>
      <c r="D3" s="1197">
        <v>2019</v>
      </c>
      <c r="E3" s="1197">
        <v>2020</v>
      </c>
      <c r="F3" s="1198">
        <v>2021</v>
      </c>
      <c r="G3" s="1199">
        <v>2022</v>
      </c>
      <c r="H3" s="1195">
        <v>2023</v>
      </c>
      <c r="I3" s="1199">
        <v>2024</v>
      </c>
      <c r="J3" s="1199">
        <v>2025</v>
      </c>
      <c r="K3" s="1195">
        <v>2026</v>
      </c>
      <c r="L3" s="1195">
        <v>2027</v>
      </c>
      <c r="M3" s="1195">
        <v>2028</v>
      </c>
      <c r="N3" s="1195">
        <v>2029</v>
      </c>
      <c r="O3" s="1195">
        <v>2030</v>
      </c>
      <c r="P3" s="1198">
        <v>2031</v>
      </c>
      <c r="Q3" s="1195">
        <v>2032</v>
      </c>
      <c r="R3" s="1200" t="s">
        <v>3373</v>
      </c>
    </row>
    <row r="4" spans="1:18" ht="24" customHeight="1" x14ac:dyDescent="0.25">
      <c r="A4" s="1201"/>
      <c r="B4" s="1202"/>
      <c r="C4" s="1203" t="s">
        <v>3374</v>
      </c>
      <c r="D4" s="1204">
        <f t="shared" ref="D4:R4" si="0">SUM(D13:D104)</f>
        <v>6808527.042672798</v>
      </c>
      <c r="E4" s="1204">
        <f t="shared" si="0"/>
        <v>7501273.1226124503</v>
      </c>
      <c r="F4" s="1204">
        <f t="shared" si="0"/>
        <v>9408537.8947659694</v>
      </c>
      <c r="G4" s="1204">
        <f t="shared" si="0"/>
        <v>12077320.318</v>
      </c>
      <c r="H4" s="1204">
        <f t="shared" si="0"/>
        <v>11183389.287999999</v>
      </c>
      <c r="I4" s="1204">
        <f t="shared" si="0"/>
        <v>11010670.034</v>
      </c>
      <c r="J4" s="1204">
        <f t="shared" si="0"/>
        <v>8498291.3209999986</v>
      </c>
      <c r="K4" s="1204">
        <f t="shared" si="0"/>
        <v>7690205.7429999998</v>
      </c>
      <c r="L4" s="1204">
        <f t="shared" si="0"/>
        <v>6992446.0660000006</v>
      </c>
      <c r="M4" s="1204">
        <f t="shared" si="0"/>
        <v>6680350.3629999999</v>
      </c>
      <c r="N4" s="1204">
        <f t="shared" si="0"/>
        <v>6142265.1730000004</v>
      </c>
      <c r="O4" s="1204">
        <f t="shared" si="0"/>
        <v>5483780.9830000009</v>
      </c>
      <c r="P4" s="1205">
        <f t="shared" si="0"/>
        <v>4842871.9440000001</v>
      </c>
      <c r="Q4" s="1204">
        <f t="shared" si="0"/>
        <v>3441483</v>
      </c>
      <c r="R4" s="1206">
        <f t="shared" si="0"/>
        <v>15373666</v>
      </c>
    </row>
    <row r="5" spans="1:18" ht="31.5" x14ac:dyDescent="0.25">
      <c r="A5" s="1207"/>
      <c r="B5" s="1208"/>
      <c r="C5" s="1209" t="s">
        <v>3375</v>
      </c>
      <c r="D5" s="1210">
        <f t="shared" ref="D5:Q5" si="1">D4/D11</f>
        <v>0.10549468626642979</v>
      </c>
      <c r="E5" s="1210">
        <f t="shared" si="1"/>
        <v>0.1162284367395488</v>
      </c>
      <c r="F5" s="1210">
        <f t="shared" si="1"/>
        <v>0.1457805406680899</v>
      </c>
      <c r="G5" s="1210">
        <f>G4/G11</f>
        <v>0.187131975815201</v>
      </c>
      <c r="H5" s="1210">
        <f t="shared" si="1"/>
        <v>0.17328096619702438</v>
      </c>
      <c r="I5" s="1210">
        <f t="shared" si="1"/>
        <v>0.17060476862907747</v>
      </c>
      <c r="J5" s="1211">
        <f t="shared" si="1"/>
        <v>0.13167672994329074</v>
      </c>
      <c r="K5" s="1210">
        <f t="shared" si="1"/>
        <v>0.11915585222726853</v>
      </c>
      <c r="L5" s="1210">
        <f t="shared" si="1"/>
        <v>0.10834441860100456</v>
      </c>
      <c r="M5" s="1210">
        <f t="shared" si="1"/>
        <v>0.10350865338090184</v>
      </c>
      <c r="N5" s="1210">
        <f t="shared" si="1"/>
        <v>9.5171295249270163E-2</v>
      </c>
      <c r="O5" s="1210">
        <f t="shared" si="1"/>
        <v>8.4968415448680612E-2</v>
      </c>
      <c r="P5" s="1211">
        <f t="shared" si="1"/>
        <v>7.5037853732341772E-2</v>
      </c>
      <c r="Q5" s="1210">
        <f t="shared" si="1"/>
        <v>5.3324040148590962E-2</v>
      </c>
      <c r="R5" s="1212"/>
    </row>
    <row r="6" spans="1:18" ht="19.5" hidden="1" customHeight="1" x14ac:dyDescent="0.25">
      <c r="A6" s="1207"/>
      <c r="B6" s="1208"/>
      <c r="C6" s="1208" t="s">
        <v>3376</v>
      </c>
      <c r="D6" s="1213"/>
      <c r="E6" s="1213"/>
      <c r="F6" s="1214"/>
      <c r="G6" s="1214"/>
      <c r="H6" s="1213"/>
      <c r="I6" s="1214"/>
      <c r="J6" s="1214"/>
      <c r="K6" s="1215"/>
      <c r="L6" s="1215"/>
      <c r="M6" s="1215"/>
      <c r="N6" s="1215"/>
      <c r="O6" s="1215"/>
      <c r="P6" s="1216"/>
      <c r="Q6" s="1215"/>
      <c r="R6" s="1217"/>
    </row>
    <row r="7" spans="1:18" ht="19.5" customHeight="1" x14ac:dyDescent="0.25">
      <c r="A7" s="1207"/>
      <c r="B7" s="1208"/>
      <c r="C7" s="2274" t="s">
        <v>3377</v>
      </c>
      <c r="D7" s="1213">
        <f>SUM(D54:D103)</f>
        <v>6638741.914422798</v>
      </c>
      <c r="E7" s="1213">
        <f t="shared" ref="E7:R7" si="2">SUM(E54:E103)</f>
        <v>5661927.0052816998</v>
      </c>
      <c r="F7" s="1213">
        <f t="shared" si="2"/>
        <v>6566297</v>
      </c>
      <c r="G7" s="1213">
        <f t="shared" si="2"/>
        <v>7078207</v>
      </c>
      <c r="H7" s="1213">
        <f t="shared" si="2"/>
        <v>6033485</v>
      </c>
      <c r="I7" s="1213">
        <f t="shared" si="2"/>
        <v>5903520</v>
      </c>
      <c r="J7" s="1213">
        <f t="shared" si="2"/>
        <v>3717727</v>
      </c>
      <c r="K7" s="1213">
        <f t="shared" si="2"/>
        <v>3394061</v>
      </c>
      <c r="L7" s="1213">
        <f t="shared" si="2"/>
        <v>2717528.29</v>
      </c>
      <c r="M7" s="1213">
        <f t="shared" si="2"/>
        <v>2575310</v>
      </c>
      <c r="N7" s="1213">
        <f t="shared" si="2"/>
        <v>2082777</v>
      </c>
      <c r="O7" s="1213">
        <f t="shared" si="2"/>
        <v>2036608</v>
      </c>
      <c r="P7" s="1214">
        <f t="shared" si="2"/>
        <v>1990441</v>
      </c>
      <c r="Q7" s="1213">
        <f t="shared" si="2"/>
        <v>1944273</v>
      </c>
      <c r="R7" s="1206">
        <f t="shared" si="2"/>
        <v>7669956</v>
      </c>
    </row>
    <row r="8" spans="1:18" ht="19.5" customHeight="1" x14ac:dyDescent="0.25">
      <c r="A8" s="1207"/>
      <c r="B8" s="1208"/>
      <c r="C8" s="2274"/>
      <c r="D8" s="1218">
        <f t="shared" ref="D8:Q8" si="3">D7/D11</f>
        <v>0.10286395149440369</v>
      </c>
      <c r="E8" s="1218">
        <f t="shared" si="3"/>
        <v>8.7728698049077319E-2</v>
      </c>
      <c r="F8" s="1218">
        <f t="shared" si="3"/>
        <v>0.10174145415089146</v>
      </c>
      <c r="G8" s="1218">
        <f t="shared" si="3"/>
        <v>0.10967324093945477</v>
      </c>
      <c r="H8" s="1218">
        <f t="shared" si="3"/>
        <v>9.3485801433835752E-2</v>
      </c>
      <c r="I8" s="1219">
        <f t="shared" si="3"/>
        <v>9.1472059428452712E-2</v>
      </c>
      <c r="J8" s="1219">
        <f t="shared" si="3"/>
        <v>5.7604301346105918E-2</v>
      </c>
      <c r="K8" s="1218">
        <f t="shared" si="3"/>
        <v>5.2589260220308166E-2</v>
      </c>
      <c r="L8" s="1218">
        <f t="shared" si="3"/>
        <v>4.2106727722000005E-2</v>
      </c>
      <c r="M8" s="1218">
        <f t="shared" si="3"/>
        <v>3.990312717949436E-2</v>
      </c>
      <c r="N8" s="1218">
        <f t="shared" si="3"/>
        <v>3.2271577214986052E-2</v>
      </c>
      <c r="O8" s="1218">
        <f t="shared" si="3"/>
        <v>3.1556211888578718E-2</v>
      </c>
      <c r="P8" s="1219">
        <f t="shared" si="3"/>
        <v>3.0840877551160807E-2</v>
      </c>
      <c r="Q8" s="1218">
        <f t="shared" si="3"/>
        <v>3.0125527719248184E-2</v>
      </c>
      <c r="R8" s="1220"/>
    </row>
    <row r="9" spans="1:18" ht="19.5" customHeight="1" x14ac:dyDescent="0.25">
      <c r="A9" s="1207"/>
      <c r="B9" s="1208"/>
      <c r="C9" s="2275" t="s">
        <v>3378</v>
      </c>
      <c r="D9" s="1213">
        <f t="shared" ref="D9:R9" si="4">SUM(D13:D52)</f>
        <v>169785.12824999998</v>
      </c>
      <c r="E9" s="1213">
        <f t="shared" si="4"/>
        <v>1839346.1173307502</v>
      </c>
      <c r="F9" s="1213">
        <f t="shared" si="4"/>
        <v>2842240.8947659698</v>
      </c>
      <c r="G9" s="1213">
        <f t="shared" si="4"/>
        <v>4999113.318</v>
      </c>
      <c r="H9" s="1213">
        <f t="shared" si="4"/>
        <v>5149904.2879999997</v>
      </c>
      <c r="I9" s="1213">
        <f t="shared" si="4"/>
        <v>5107150.034</v>
      </c>
      <c r="J9" s="1213">
        <f t="shared" si="4"/>
        <v>4780564.3209999995</v>
      </c>
      <c r="K9" s="1213">
        <f t="shared" si="4"/>
        <v>4296144.7429999998</v>
      </c>
      <c r="L9" s="1213">
        <f t="shared" si="4"/>
        <v>4274917.7760000005</v>
      </c>
      <c r="M9" s="1213">
        <f t="shared" si="4"/>
        <v>4105040.3630000004</v>
      </c>
      <c r="N9" s="1213">
        <f t="shared" si="4"/>
        <v>4059488.173</v>
      </c>
      <c r="O9" s="1213">
        <f t="shared" si="4"/>
        <v>3447172.9830000009</v>
      </c>
      <c r="P9" s="1214">
        <f t="shared" si="4"/>
        <v>2852430.9440000001</v>
      </c>
      <c r="Q9" s="1213">
        <f t="shared" si="4"/>
        <v>1497210</v>
      </c>
      <c r="R9" s="1206">
        <f t="shared" si="4"/>
        <v>7703710</v>
      </c>
    </row>
    <row r="10" spans="1:18" ht="19.5" customHeight="1" x14ac:dyDescent="0.25">
      <c r="A10" s="1207"/>
      <c r="B10" s="1208"/>
      <c r="C10" s="2275"/>
      <c r="D10" s="1218">
        <f t="shared" ref="D10:O10" si="5">D9/D11</f>
        <v>2.6307347720260902E-3</v>
      </c>
      <c r="E10" s="1218">
        <f t="shared" si="5"/>
        <v>2.8499738690471472E-2</v>
      </c>
      <c r="F10" s="1218">
        <f t="shared" si="5"/>
        <v>4.4039086517198456E-2</v>
      </c>
      <c r="G10" s="1218">
        <f t="shared" si="5"/>
        <v>7.7458734875746241E-2</v>
      </c>
      <c r="H10" s="1218">
        <f t="shared" si="5"/>
        <v>7.9795164763188653E-2</v>
      </c>
      <c r="I10" s="1219">
        <f t="shared" si="5"/>
        <v>7.9132709200624762E-2</v>
      </c>
      <c r="J10" s="1219">
        <f t="shared" si="5"/>
        <v>7.4072428597184839E-2</v>
      </c>
      <c r="K10" s="1218">
        <f t="shared" si="5"/>
        <v>6.6566592006960371E-2</v>
      </c>
      <c r="L10" s="1218">
        <f t="shared" si="5"/>
        <v>6.6237690879004552E-2</v>
      </c>
      <c r="M10" s="1218">
        <f t="shared" si="5"/>
        <v>6.3605526201407483E-2</v>
      </c>
      <c r="N10" s="1218">
        <f t="shared" si="5"/>
        <v>6.2899718034284111E-2</v>
      </c>
      <c r="O10" s="1218">
        <f t="shared" si="5"/>
        <v>5.3412203560101887E-2</v>
      </c>
      <c r="P10" s="1219">
        <f>P9/P11</f>
        <v>4.4196976181180972E-2</v>
      </c>
      <c r="Q10" s="1219">
        <f>Q9/Q11</f>
        <v>2.3198512429342781E-2</v>
      </c>
      <c r="R10" s="1221"/>
    </row>
    <row r="11" spans="1:18" ht="33.75" customHeight="1" thickBot="1" x14ac:dyDescent="0.3">
      <c r="A11" s="1222"/>
      <c r="B11" s="1223"/>
      <c r="C11" s="1224" t="s">
        <v>3379</v>
      </c>
      <c r="D11" s="1225">
        <f>88751984-12681718-11531214</f>
        <v>64539052</v>
      </c>
      <c r="E11" s="1225">
        <f t="shared" ref="E11:R11" si="6">88751984-12681718-11531214</f>
        <v>64539052</v>
      </c>
      <c r="F11" s="1225">
        <f t="shared" si="6"/>
        <v>64539052</v>
      </c>
      <c r="G11" s="1225">
        <f t="shared" si="6"/>
        <v>64539052</v>
      </c>
      <c r="H11" s="1225">
        <f t="shared" si="6"/>
        <v>64539052</v>
      </c>
      <c r="I11" s="1225">
        <f t="shared" si="6"/>
        <v>64539052</v>
      </c>
      <c r="J11" s="1225">
        <f t="shared" si="6"/>
        <v>64539052</v>
      </c>
      <c r="K11" s="1225">
        <f t="shared" si="6"/>
        <v>64539052</v>
      </c>
      <c r="L11" s="1225">
        <f t="shared" si="6"/>
        <v>64539052</v>
      </c>
      <c r="M11" s="1225">
        <f t="shared" si="6"/>
        <v>64539052</v>
      </c>
      <c r="N11" s="1225">
        <f t="shared" si="6"/>
        <v>64539052</v>
      </c>
      <c r="O11" s="1225">
        <f t="shared" si="6"/>
        <v>64539052</v>
      </c>
      <c r="P11" s="1225">
        <f t="shared" si="6"/>
        <v>64539052</v>
      </c>
      <c r="Q11" s="1225">
        <f t="shared" si="6"/>
        <v>64539052</v>
      </c>
      <c r="R11" s="1226">
        <f t="shared" si="6"/>
        <v>64539052</v>
      </c>
    </row>
    <row r="12" spans="1:18" ht="26.25" customHeight="1" thickBot="1" x14ac:dyDescent="0.3">
      <c r="A12" s="1227">
        <f>SUM(A13:A52)</f>
        <v>47104659</v>
      </c>
      <c r="B12" s="1228"/>
      <c r="C12" s="1229" t="s">
        <v>3380</v>
      </c>
      <c r="D12" s="1230">
        <f t="shared" ref="D12:R12" si="7">SUM(D13:D52)</f>
        <v>169785.12824999998</v>
      </c>
      <c r="E12" s="1230">
        <f t="shared" si="7"/>
        <v>1839346.1173307502</v>
      </c>
      <c r="F12" s="1230">
        <f t="shared" si="7"/>
        <v>2842240.8947659698</v>
      </c>
      <c r="G12" s="1230">
        <f t="shared" si="7"/>
        <v>4999113.318</v>
      </c>
      <c r="H12" s="1230">
        <f t="shared" si="7"/>
        <v>5149904.2879999997</v>
      </c>
      <c r="I12" s="1230">
        <f t="shared" si="7"/>
        <v>5107150.034</v>
      </c>
      <c r="J12" s="1230">
        <f t="shared" si="7"/>
        <v>4780564.3209999995</v>
      </c>
      <c r="K12" s="1230">
        <f t="shared" si="7"/>
        <v>4296144.7429999998</v>
      </c>
      <c r="L12" s="1230">
        <f t="shared" si="7"/>
        <v>4274917.7760000005</v>
      </c>
      <c r="M12" s="1230">
        <f t="shared" si="7"/>
        <v>4105040.3630000004</v>
      </c>
      <c r="N12" s="1230">
        <f t="shared" si="7"/>
        <v>4059488.173</v>
      </c>
      <c r="O12" s="1230">
        <f t="shared" si="7"/>
        <v>3447172.9830000009</v>
      </c>
      <c r="P12" s="1231">
        <f t="shared" si="7"/>
        <v>2852430.9440000001</v>
      </c>
      <c r="Q12" s="1230">
        <f t="shared" si="7"/>
        <v>1497210</v>
      </c>
      <c r="R12" s="1232">
        <f t="shared" si="7"/>
        <v>7703710</v>
      </c>
    </row>
    <row r="13" spans="1:18" ht="31.5" x14ac:dyDescent="0.25">
      <c r="A13" s="1233">
        <v>4924140</v>
      </c>
      <c r="B13" s="1234">
        <v>2019</v>
      </c>
      <c r="C13" s="1234" t="s">
        <v>3381</v>
      </c>
      <c r="D13" s="1235"/>
      <c r="E13" s="1235">
        <v>492414</v>
      </c>
      <c r="F13" s="1235">
        <v>492414</v>
      </c>
      <c r="G13" s="1236">
        <v>492414</v>
      </c>
      <c r="H13" s="1236">
        <v>492414</v>
      </c>
      <c r="I13" s="1236">
        <v>492414</v>
      </c>
      <c r="J13" s="1236">
        <v>492414</v>
      </c>
      <c r="K13" s="1236">
        <v>492414</v>
      </c>
      <c r="L13" s="1236">
        <v>492414</v>
      </c>
      <c r="M13" s="1236">
        <v>492414</v>
      </c>
      <c r="N13" s="1236">
        <v>492414</v>
      </c>
      <c r="O13" s="1235"/>
      <c r="P13" s="1236"/>
      <c r="Q13" s="1235"/>
      <c r="R13" s="1237"/>
    </row>
    <row r="14" spans="1:18" ht="16.5" thickBot="1" x14ac:dyDescent="0.3">
      <c r="A14" s="1238"/>
      <c r="B14" s="1239"/>
      <c r="C14" s="1240" t="s">
        <v>3382</v>
      </c>
      <c r="D14" s="1241">
        <f>E14/12*8</f>
        <v>88634.52</v>
      </c>
      <c r="E14" s="1241">
        <f>A13*0.027</f>
        <v>132951.78</v>
      </c>
      <c r="F14" s="1242">
        <f>(A13-E13)*0.027</f>
        <v>119656.602</v>
      </c>
      <c r="G14" s="1242">
        <f>(A13-E13-F13)*0.027</f>
        <v>106361.424</v>
      </c>
      <c r="H14" s="1243">
        <f>(A13-E13-F13-G13)*0.027</f>
        <v>93066.245999999999</v>
      </c>
      <c r="I14" s="1243">
        <f>(A13-E13-F13-G13-H13)*0.027</f>
        <v>79771.067999999999</v>
      </c>
      <c r="J14" s="1243">
        <f>(A13-E13-F13-G13-H13-I13)*0.027</f>
        <v>66475.89</v>
      </c>
      <c r="K14" s="1243">
        <f>(A13-E13-F13-G13-H13-I13-J13)*0.027</f>
        <v>53180.712</v>
      </c>
      <c r="L14" s="1243">
        <f>(A13-E13-F13-G13-H13-I13-J13-K13)*0.027</f>
        <v>39885.534</v>
      </c>
      <c r="M14" s="1243">
        <f>(A13-E13-F13-G13-H13-I13-J13-K13-L13)*0.027</f>
        <v>26590.356</v>
      </c>
      <c r="N14" s="1243">
        <f>(A13-E13-F13-G13-H13-I13-J13-K13-L13-M13)*0.027</f>
        <v>13295.178</v>
      </c>
      <c r="O14" s="1241"/>
      <c r="P14" s="1243"/>
      <c r="Q14" s="1241"/>
      <c r="R14" s="1244"/>
    </row>
    <row r="15" spans="1:18" ht="31.5" x14ac:dyDescent="0.25">
      <c r="A15" s="1233">
        <v>6000000</v>
      </c>
      <c r="B15" s="1234" t="s">
        <v>3383</v>
      </c>
      <c r="C15" s="1245" t="s">
        <v>266</v>
      </c>
      <c r="D15" s="1246"/>
      <c r="E15" s="1246"/>
      <c r="F15" s="1246"/>
      <c r="G15" s="1246">
        <v>225000</v>
      </c>
      <c r="H15" s="1246">
        <v>375000</v>
      </c>
      <c r="I15" s="1246">
        <v>375000</v>
      </c>
      <c r="J15" s="1246">
        <v>375000</v>
      </c>
      <c r="K15" s="1246">
        <v>375000</v>
      </c>
      <c r="L15" s="1246">
        <v>375000</v>
      </c>
      <c r="M15" s="1246">
        <v>375000</v>
      </c>
      <c r="N15" s="1246">
        <v>375000</v>
      </c>
      <c r="O15" s="1247">
        <v>375000</v>
      </c>
      <c r="P15" s="1246">
        <v>375000</v>
      </c>
      <c r="Q15" s="1247">
        <v>375000</v>
      </c>
      <c r="R15" s="1248">
        <f>2550000-375000-375000+225000</f>
        <v>2025000</v>
      </c>
    </row>
    <row r="16" spans="1:18" ht="16.5" thickBot="1" x14ac:dyDescent="0.3">
      <c r="A16" s="1238"/>
      <c r="B16" s="1249"/>
      <c r="C16" s="1250" t="s">
        <v>3382</v>
      </c>
      <c r="D16" s="1251"/>
      <c r="E16" s="1251">
        <f>((A15/2)/2)*0.027</f>
        <v>40500</v>
      </c>
      <c r="F16" s="1251">
        <f>(E16+A15/2)*0.027</f>
        <v>82093.5</v>
      </c>
      <c r="G16" s="1251">
        <f>(A15-F15)*0.027</f>
        <v>162000</v>
      </c>
      <c r="H16" s="1251">
        <f>(A15-F15-G15)*0.027</f>
        <v>155925</v>
      </c>
      <c r="I16" s="1251">
        <f>(A15-F15-G15-H15)*0.027</f>
        <v>145800</v>
      </c>
      <c r="J16" s="1251">
        <f>(A15-F15-G15-H15-I15)*0.027</f>
        <v>135675</v>
      </c>
      <c r="K16" s="1251">
        <f>(A15-F15-G15-H15-I15-J15)*0.027</f>
        <v>125550</v>
      </c>
      <c r="L16" s="1251">
        <f>(A15-F15-G15-H15-I15-J15-K15)*0.027</f>
        <v>115425</v>
      </c>
      <c r="M16" s="1251">
        <f>(A15-F15-G15-H15-I15-J15-K15-L15)*0.027</f>
        <v>105300</v>
      </c>
      <c r="N16" s="1251">
        <f>(A15-F15-G15-H15-I15-J15-K15-L15-M15)*0.027</f>
        <v>95175</v>
      </c>
      <c r="O16" s="1252">
        <f>(A15-F15-G15-H15-I15-J15-K15-L15-M15-N15)*0.027</f>
        <v>85050</v>
      </c>
      <c r="P16" s="1251">
        <f>(A15-F15-G15-H15-I15-J15-K15-L15-M15-N15-O15)*0.027</f>
        <v>74925</v>
      </c>
      <c r="Q16" s="1252">
        <f>SUM(A15-F15-G15-H15-I15-J15-K15-L15-M15-N15-O15-P15)*0.027</f>
        <v>64800</v>
      </c>
      <c r="R16" s="1253">
        <f>293625-58725+40500</f>
        <v>275400</v>
      </c>
    </row>
    <row r="17" spans="1:18" ht="29.25" customHeight="1" x14ac:dyDescent="0.25">
      <c r="A17" s="1233">
        <v>1596300</v>
      </c>
      <c r="B17" s="1234" t="s">
        <v>3384</v>
      </c>
      <c r="C17" s="1245" t="s">
        <v>3385</v>
      </c>
      <c r="D17" s="1247">
        <v>0</v>
      </c>
      <c r="E17" s="1247">
        <v>0</v>
      </c>
      <c r="F17" s="1247">
        <v>159630</v>
      </c>
      <c r="G17" s="1247">
        <v>159630</v>
      </c>
      <c r="H17" s="1247">
        <v>159630</v>
      </c>
      <c r="I17" s="1247">
        <v>159630</v>
      </c>
      <c r="J17" s="1247">
        <v>159630</v>
      </c>
      <c r="K17" s="1247">
        <v>159630</v>
      </c>
      <c r="L17" s="1247">
        <v>159630</v>
      </c>
      <c r="M17" s="1247">
        <v>159630</v>
      </c>
      <c r="N17" s="1247">
        <v>159630</v>
      </c>
      <c r="O17" s="1247">
        <v>159630</v>
      </c>
      <c r="P17" s="1246"/>
      <c r="Q17" s="1247"/>
      <c r="R17" s="1248"/>
    </row>
    <row r="18" spans="1:18" ht="16.5" thickBot="1" x14ac:dyDescent="0.3">
      <c r="A18" s="1238"/>
      <c r="B18" s="1249"/>
      <c r="C18" s="1250" t="s">
        <v>3386</v>
      </c>
      <c r="D18" s="1252">
        <f>((A17/2)/2)*0.027</f>
        <v>10775.025</v>
      </c>
      <c r="E18" s="1252">
        <f>(D18+A17/2)*0.027</f>
        <v>21840.975675000002</v>
      </c>
      <c r="F18" s="1252">
        <f>A17*0.027</f>
        <v>43100.1</v>
      </c>
      <c r="G18" s="1252">
        <f>(A17-D17-E17-F17)*0.027</f>
        <v>38790.089999999997</v>
      </c>
      <c r="H18" s="1252">
        <f>(A17-D17-E17-F17-G17)*0.027</f>
        <v>34480.080000000002</v>
      </c>
      <c r="I18" s="1252">
        <f>(A17-D17-E17-F17-G17-H17)*0.027</f>
        <v>30170.07</v>
      </c>
      <c r="J18" s="1252">
        <f>(A17-D17-E17-F17-G17-H17-I17)*0.027</f>
        <v>25860.06</v>
      </c>
      <c r="K18" s="1252">
        <f>(A17-D17-E17-F17-G17-H17-I17-J17)*0.027</f>
        <v>21550.05</v>
      </c>
      <c r="L18" s="1252">
        <f>(A17-D17-E17-F17-G17-H17-I17-J17-K17)*0.027</f>
        <v>17240.04</v>
      </c>
      <c r="M18" s="1252">
        <f>(A17-D17-E17-F17-G17-H17-I17-J17-K17-L17)*0.027</f>
        <v>12930.03</v>
      </c>
      <c r="N18" s="1252">
        <f>(A17-D17-E17-F17-G17-H17-I17-J17-K17-L17-M17)*0.027</f>
        <v>8620.02</v>
      </c>
      <c r="O18" s="1252">
        <f>(A17-D17-E17-F17-G17-H17-I17-J17-K17-L17-M17-N17)*0.027</f>
        <v>4310.01</v>
      </c>
      <c r="P18" s="1251"/>
      <c r="Q18" s="1252"/>
      <c r="R18" s="1253"/>
    </row>
    <row r="19" spans="1:18" ht="31.5" x14ac:dyDescent="0.25">
      <c r="A19" s="1233">
        <v>68944</v>
      </c>
      <c r="B19" s="1234"/>
      <c r="C19" s="1245" t="s">
        <v>3387</v>
      </c>
      <c r="D19" s="1247"/>
      <c r="E19" s="1247"/>
      <c r="F19" s="1247">
        <v>22982</v>
      </c>
      <c r="G19" s="1247">
        <v>22981</v>
      </c>
      <c r="H19" s="1247">
        <v>22981</v>
      </c>
      <c r="I19" s="1247"/>
      <c r="J19" s="1247"/>
      <c r="K19" s="1247"/>
      <c r="L19" s="1247"/>
      <c r="M19" s="1247"/>
      <c r="N19" s="1247"/>
      <c r="O19" s="1247"/>
      <c r="P19" s="1246"/>
      <c r="Q19" s="1247"/>
      <c r="R19" s="1248"/>
    </row>
    <row r="20" spans="1:18" ht="16.5" thickBot="1" x14ac:dyDescent="0.3">
      <c r="A20" s="1254"/>
      <c r="B20" s="1255" t="s">
        <v>3384</v>
      </c>
      <c r="C20" s="1250" t="s">
        <v>3386</v>
      </c>
      <c r="D20" s="1256">
        <f>((A19/2)/2)*0.027</f>
        <v>465.37200000000001</v>
      </c>
      <c r="E20" s="1256">
        <f>(D20+A19/2)*0.027</f>
        <v>943.30904400000009</v>
      </c>
      <c r="F20" s="1256">
        <f>A19*0.027</f>
        <v>1861.4880000000001</v>
      </c>
      <c r="G20" s="1256">
        <f>(A19-D19-E19-F19)*0.027</f>
        <v>1240.9739999999999</v>
      </c>
      <c r="H20" s="1256">
        <f>(A19-D19-E19-F19-G19)*0.027</f>
        <v>620.48699999999997</v>
      </c>
      <c r="I20" s="1256"/>
      <c r="J20" s="1256"/>
      <c r="K20" s="1256"/>
      <c r="L20" s="1256"/>
      <c r="M20" s="1256"/>
      <c r="N20" s="1256"/>
      <c r="O20" s="1256"/>
      <c r="P20" s="1257"/>
      <c r="Q20" s="1256"/>
      <c r="R20" s="1258"/>
    </row>
    <row r="21" spans="1:18" ht="27" customHeight="1" x14ac:dyDescent="0.25">
      <c r="A21" s="1233">
        <v>7000000</v>
      </c>
      <c r="B21" s="1234" t="s">
        <v>3383</v>
      </c>
      <c r="C21" s="1245" t="s">
        <v>623</v>
      </c>
      <c r="D21" s="1247"/>
      <c r="E21" s="1247"/>
      <c r="F21" s="1247"/>
      <c r="G21" s="1247">
        <v>350000</v>
      </c>
      <c r="H21" s="1247">
        <v>350000</v>
      </c>
      <c r="I21" s="1247">
        <v>350000</v>
      </c>
      <c r="J21" s="1247">
        <v>350000</v>
      </c>
      <c r="K21" s="1247">
        <v>350000</v>
      </c>
      <c r="L21" s="1247">
        <v>350000</v>
      </c>
      <c r="M21" s="1247">
        <v>350000</v>
      </c>
      <c r="N21" s="1247">
        <v>350000</v>
      </c>
      <c r="O21" s="1247">
        <v>350000</v>
      </c>
      <c r="P21" s="1246">
        <v>350000</v>
      </c>
      <c r="Q21" s="1247">
        <v>350000</v>
      </c>
      <c r="R21" s="1248">
        <f>3850000-350000-350000</f>
        <v>3150000</v>
      </c>
    </row>
    <row r="22" spans="1:18" ht="16.5" thickBot="1" x14ac:dyDescent="0.3">
      <c r="A22" s="1238"/>
      <c r="B22" s="1249"/>
      <c r="C22" s="1250" t="s">
        <v>3388</v>
      </c>
      <c r="D22" s="1252"/>
      <c r="E22" s="1252">
        <f>(A21/2/2)*0.027</f>
        <v>47250</v>
      </c>
      <c r="F22" s="1252">
        <f>(E22+A21/2)*0.027</f>
        <v>95775.75</v>
      </c>
      <c r="G22" s="1252">
        <f>A21*0.027</f>
        <v>189000</v>
      </c>
      <c r="H22" s="1252">
        <f>(A21-G21)*0.027</f>
        <v>179550</v>
      </c>
      <c r="I22" s="1252">
        <f>(A21-G21-H21)*0.027</f>
        <v>170100</v>
      </c>
      <c r="J22" s="1252">
        <f>(A21-G21-H21-I21)*0.027</f>
        <v>160650</v>
      </c>
      <c r="K22" s="1252">
        <f>(A21-G21-H21-I21-J21)*0.027</f>
        <v>151200</v>
      </c>
      <c r="L22" s="1252">
        <f>(A21-G21-H21-I21-J21-K21)*0.027</f>
        <v>141750</v>
      </c>
      <c r="M22" s="1252">
        <f>(A21-G21-H21-I21-J21-K21-L21)*0.027</f>
        <v>132300</v>
      </c>
      <c r="N22" s="1252">
        <f>(A21-G21-H21-I21-J21-K21-L21-M21)*0.027</f>
        <v>122850</v>
      </c>
      <c r="O22" s="1252">
        <f>(A21-G21-H21-I21-J21-K21-L21-M21-N21)*0.027</f>
        <v>113400</v>
      </c>
      <c r="P22" s="1251">
        <f>(A21-G21-H21-I21-J21-K21-L21-M21-N21-O21)*0.027</f>
        <v>103950</v>
      </c>
      <c r="Q22" s="1252">
        <f>SUM(A21-G21-H21-I21-J21-K21-L21-M21-N21-O21-P21)*0.027</f>
        <v>94500</v>
      </c>
      <c r="R22" s="1253">
        <f>519750-94500</f>
        <v>425250</v>
      </c>
    </row>
    <row r="23" spans="1:18" s="1260" customFormat="1" ht="69" customHeight="1" x14ac:dyDescent="0.25">
      <c r="A23" s="1233">
        <v>952450</v>
      </c>
      <c r="B23" s="1234" t="s">
        <v>3389</v>
      </c>
      <c r="C23" s="1245" t="s">
        <v>3390</v>
      </c>
      <c r="D23" s="1259"/>
      <c r="E23" s="1259"/>
      <c r="F23" s="1246">
        <v>95245</v>
      </c>
      <c r="G23" s="1246">
        <v>95245</v>
      </c>
      <c r="H23" s="1246">
        <v>95245</v>
      </c>
      <c r="I23" s="1246">
        <v>95245</v>
      </c>
      <c r="J23" s="1246">
        <v>95245</v>
      </c>
      <c r="K23" s="1246">
        <v>95245</v>
      </c>
      <c r="L23" s="1246">
        <v>95245</v>
      </c>
      <c r="M23" s="1247">
        <v>95245</v>
      </c>
      <c r="N23" s="1247">
        <v>95245</v>
      </c>
      <c r="O23" s="1247">
        <v>95245</v>
      </c>
      <c r="P23" s="1246"/>
      <c r="Q23" s="1247"/>
      <c r="R23" s="1248"/>
    </row>
    <row r="24" spans="1:18" s="1260" customFormat="1" ht="16.5" thickBot="1" x14ac:dyDescent="0.3">
      <c r="A24" s="1238"/>
      <c r="B24" s="1249"/>
      <c r="C24" s="1250" t="s">
        <v>3382</v>
      </c>
      <c r="D24" s="1251">
        <f>((A23/2)/2)*0.027</f>
        <v>6429.0375000000004</v>
      </c>
      <c r="E24" s="1251">
        <f>(D24+A23/2)*0.027</f>
        <v>13031.659012499998</v>
      </c>
      <c r="F24" s="1251">
        <f>A23*0.027</f>
        <v>25716.15</v>
      </c>
      <c r="G24" s="1251">
        <f>(A23-F23)*0.027</f>
        <v>23144.535</v>
      </c>
      <c r="H24" s="1251">
        <f>(A23-F23-G23)*0.027</f>
        <v>20572.919999999998</v>
      </c>
      <c r="I24" s="1251">
        <f>(A23-F23-G23-H23)*0.027</f>
        <v>18001.305</v>
      </c>
      <c r="J24" s="1251">
        <f>(A23-F23-G23-H23-I23)*0.027</f>
        <v>15429.69</v>
      </c>
      <c r="K24" s="1251">
        <f>(A23-F23-G23-H23-I23-J23)*0.027</f>
        <v>12858.075000000001</v>
      </c>
      <c r="L24" s="1251">
        <f>(A23-F23-G23-H23-I23-J23-K23)*0.027</f>
        <v>10286.459999999999</v>
      </c>
      <c r="M24" s="1252">
        <f>(A23-F23-G23-H23-I23-J23-K23-L23)*0.027</f>
        <v>7714.8450000000003</v>
      </c>
      <c r="N24" s="1252">
        <f>(A23-F23-G23-H23-I23-J23-K23-L23-M23)*0.027</f>
        <v>5143.2299999999996</v>
      </c>
      <c r="O24" s="1252">
        <f>(A23-F23-G23-H23-I23-J23-K23-L23-M23-N23)*0.027</f>
        <v>2571.6149999999998</v>
      </c>
      <c r="P24" s="1251"/>
      <c r="Q24" s="1252"/>
      <c r="R24" s="1253"/>
    </row>
    <row r="25" spans="1:18" s="1260" customFormat="1" ht="47.25" x14ac:dyDescent="0.25">
      <c r="A25" s="1233">
        <v>1462506</v>
      </c>
      <c r="B25" s="1234" t="s">
        <v>3383</v>
      </c>
      <c r="C25" s="1245" t="s">
        <v>626</v>
      </c>
      <c r="D25" s="1261"/>
      <c r="E25" s="1261">
        <v>0</v>
      </c>
      <c r="F25" s="1235">
        <v>0</v>
      </c>
      <c r="G25" s="1236">
        <v>146251</v>
      </c>
      <c r="H25" s="1236">
        <v>146251</v>
      </c>
      <c r="I25" s="1236">
        <v>146251</v>
      </c>
      <c r="J25" s="1236">
        <v>146251</v>
      </c>
      <c r="K25" s="1236">
        <v>146251</v>
      </c>
      <c r="L25" s="1236">
        <v>146251</v>
      </c>
      <c r="M25" s="1236">
        <v>146250</v>
      </c>
      <c r="N25" s="1236">
        <v>146250</v>
      </c>
      <c r="O25" s="1235">
        <v>146250</v>
      </c>
      <c r="P25" s="1236">
        <v>146250</v>
      </c>
      <c r="Q25" s="1235"/>
      <c r="R25" s="1237"/>
    </row>
    <row r="26" spans="1:18" s="1260" customFormat="1" ht="16.5" thickBot="1" x14ac:dyDescent="0.3">
      <c r="A26" s="1262"/>
      <c r="B26" s="1263"/>
      <c r="C26" s="1264" t="s">
        <v>3382</v>
      </c>
      <c r="D26" s="1242"/>
      <c r="E26" s="1242">
        <f>(A25/3/2)*0.027</f>
        <v>6581.277</v>
      </c>
      <c r="F26" s="1242">
        <f>(E26+A25/2)*0.027</f>
        <v>19921.525479</v>
      </c>
      <c r="G26" s="1242">
        <f>(A25-F25)*0.027</f>
        <v>39487.661999999997</v>
      </c>
      <c r="H26" s="1242">
        <f>(A25-F25-G25)*0.027</f>
        <v>35538.885000000002</v>
      </c>
      <c r="I26" s="1242">
        <f>(A25-F25-G25-H25)*0.027</f>
        <v>31590.108</v>
      </c>
      <c r="J26" s="1242">
        <f>(A25-F25-G25-H25-I25)*0.027</f>
        <v>27641.330999999998</v>
      </c>
      <c r="K26" s="1265">
        <f>(A25-F25-G25-H25-I25-J25)*0.027</f>
        <v>23692.554</v>
      </c>
      <c r="L26" s="1242">
        <v>94069</v>
      </c>
      <c r="M26" s="1265">
        <f>(A25-F25-G25-H25-I25-J25-K25-L25)*0.027</f>
        <v>15795</v>
      </c>
      <c r="N26" s="1242">
        <f>(A25-F25-G25-H25-I25-J25-K25-L25-M25)*0.027</f>
        <v>11846.25</v>
      </c>
      <c r="O26" s="1265">
        <f>(A25-F25-G25-H25-I25-J25-K25-L25-M25-N25)*0.027</f>
        <v>7897.5</v>
      </c>
      <c r="P26" s="1242">
        <f>(A25-E25-F25-G25-H25-I25-J25-K25-L25-M25-N25-O25)*0.027</f>
        <v>3948.75</v>
      </c>
      <c r="Q26" s="1265"/>
      <c r="R26" s="1266"/>
    </row>
    <row r="27" spans="1:18" s="1260" customFormat="1" ht="22.5" customHeight="1" x14ac:dyDescent="0.25">
      <c r="A27" s="1233">
        <v>2274277</v>
      </c>
      <c r="B27" s="1234" t="s">
        <v>3391</v>
      </c>
      <c r="C27" s="1245" t="s">
        <v>3392</v>
      </c>
      <c r="D27" s="1261">
        <v>0</v>
      </c>
      <c r="E27" s="1236">
        <v>0</v>
      </c>
      <c r="F27" s="1236">
        <v>0</v>
      </c>
      <c r="G27" s="1236">
        <v>593300</v>
      </c>
      <c r="H27" s="1236">
        <v>186775</v>
      </c>
      <c r="I27" s="1236">
        <v>186775</v>
      </c>
      <c r="J27" s="1236">
        <v>186775</v>
      </c>
      <c r="K27" s="1236">
        <v>186775</v>
      </c>
      <c r="L27" s="1236">
        <v>186775</v>
      </c>
      <c r="M27" s="1236">
        <v>186775</v>
      </c>
      <c r="N27" s="1236">
        <v>186775</v>
      </c>
      <c r="O27" s="1235">
        <v>186776</v>
      </c>
      <c r="P27" s="1236">
        <v>186776</v>
      </c>
      <c r="Q27" s="1235"/>
      <c r="R27" s="1237"/>
    </row>
    <row r="28" spans="1:18" s="1260" customFormat="1" ht="18" customHeight="1" thickBot="1" x14ac:dyDescent="0.3">
      <c r="A28" s="1254"/>
      <c r="B28" s="1267"/>
      <c r="C28" s="1268" t="s">
        <v>3382</v>
      </c>
      <c r="D28" s="1269">
        <f>(A27/3/2)*0.027</f>
        <v>10234.246500000001</v>
      </c>
      <c r="E28" s="1269">
        <f>(D28+(A27/3)*2/2)*0.027</f>
        <v>20744.817655500003</v>
      </c>
      <c r="F28" s="1269">
        <f>(E28+(A27/2))*0.027</f>
        <v>31262.8495766985</v>
      </c>
      <c r="G28" s="1269">
        <f>A27*0.027</f>
        <v>61405.478999999999</v>
      </c>
      <c r="H28" s="1269">
        <f>(A27-F27-G27)*0.027</f>
        <v>45386.379000000001</v>
      </c>
      <c r="I28" s="1269">
        <f>(A27-F27-G27-H27)*0.027</f>
        <v>40343.453999999998</v>
      </c>
      <c r="J28" s="1269">
        <f>(A27-F27-G27-H27-I27)*0.027</f>
        <v>35300.529000000002</v>
      </c>
      <c r="K28" s="1270">
        <f>(A27-F27-G27-H27-I27-J27)*0.027</f>
        <v>30257.603999999999</v>
      </c>
      <c r="L28" s="1269">
        <f>(A27-F27-G27-H27-I27-J27-K27)*0.027</f>
        <v>25214.679</v>
      </c>
      <c r="M28" s="1270">
        <f>(A27-F27-G27-H27-I27-J27-K27-L27)*0.027</f>
        <v>20171.754000000001</v>
      </c>
      <c r="N28" s="1269">
        <f>(A27-F27-G27-H27-I27-J27-K27-L27-M27)*0.027</f>
        <v>15128.829</v>
      </c>
      <c r="O28" s="1270">
        <f>(A27-F27-G27-H27-I27-J27-K27-L27-M27-N27)*0.027</f>
        <v>10085.904</v>
      </c>
      <c r="P28" s="1269">
        <f>(A27-D27-E27-F27-G27-H27-I27-J27-K27-L27-M27-N27-O27)*0.027</f>
        <v>5042.9520000000002</v>
      </c>
      <c r="Q28" s="1270"/>
      <c r="R28" s="1271"/>
    </row>
    <row r="29" spans="1:18" s="1260" customFormat="1" ht="66" customHeight="1" x14ac:dyDescent="0.25">
      <c r="A29" s="1272">
        <v>1495263</v>
      </c>
      <c r="B29" s="1273" t="s">
        <v>3391</v>
      </c>
      <c r="C29" s="1274" t="s">
        <v>3393</v>
      </c>
      <c r="D29" s="1275">
        <v>0</v>
      </c>
      <c r="E29" s="1275">
        <v>0</v>
      </c>
      <c r="F29" s="1275">
        <v>0</v>
      </c>
      <c r="G29" s="1275">
        <v>149527</v>
      </c>
      <c r="H29" s="1275">
        <v>149527</v>
      </c>
      <c r="I29" s="1275">
        <v>149527</v>
      </c>
      <c r="J29" s="1275">
        <v>149526</v>
      </c>
      <c r="K29" s="1275">
        <v>149526</v>
      </c>
      <c r="L29" s="1275">
        <v>149526</v>
      </c>
      <c r="M29" s="1275">
        <v>149526</v>
      </c>
      <c r="N29" s="1275">
        <v>149526</v>
      </c>
      <c r="O29" s="1275">
        <v>149526</v>
      </c>
      <c r="P29" s="1276">
        <v>149526</v>
      </c>
      <c r="Q29" s="1275"/>
      <c r="R29" s="1277"/>
    </row>
    <row r="30" spans="1:18" s="1260" customFormat="1" ht="17.25" customHeight="1" thickBot="1" x14ac:dyDescent="0.3">
      <c r="A30" s="1254"/>
      <c r="B30" s="1255"/>
      <c r="C30" s="1268" t="s">
        <v>3382</v>
      </c>
      <c r="D30" s="1256">
        <f>(A29/3/2)*0.027</f>
        <v>6728.6835000000001</v>
      </c>
      <c r="E30" s="1256">
        <f>(D30+(A29/3)*2/2)*0.027</f>
        <v>13639.0414545</v>
      </c>
      <c r="F30" s="1256">
        <f>(E30+(A29/2))*0.027</f>
        <v>20554.304619271501</v>
      </c>
      <c r="G30" s="1256">
        <f>A29*0.027</f>
        <v>40372.101000000002</v>
      </c>
      <c r="H30" s="1256">
        <f>(A29-G29)*0.027</f>
        <v>36334.872000000003</v>
      </c>
      <c r="I30" s="1256">
        <f>(A29-G29-H29)*0.027</f>
        <v>32297.643</v>
      </c>
      <c r="J30" s="1256">
        <f>(A29-G29-H29-I29)*0.027</f>
        <v>28260.414000000001</v>
      </c>
      <c r="K30" s="1256">
        <f>(A29-G29-H29-I29-J29)*0.027</f>
        <v>24223.212</v>
      </c>
      <c r="L30" s="1256">
        <f>(A29-G29-H29-I29-J29-K29)*0.027</f>
        <v>20186.009999999998</v>
      </c>
      <c r="M30" s="1256">
        <f>(A29-G29-H29-I29-J29-K29-L29)*0.027</f>
        <v>16148.807999999999</v>
      </c>
      <c r="N30" s="1256">
        <f>(A29-G29-H29-I29-J29-K29-L29-M29)*0.027</f>
        <v>12111.606</v>
      </c>
      <c r="O30" s="1256">
        <f>(A29-G29-H29-I29-J29-K29-L29-M29-N29)*0.027</f>
        <v>8074.4039999999995</v>
      </c>
      <c r="P30" s="1257">
        <f>(A29-G29-H29-I29-J29-K29-L29-M29-N29-O29)*0.027</f>
        <v>4037.2019999999998</v>
      </c>
      <c r="Q30" s="1256"/>
      <c r="R30" s="1258"/>
    </row>
    <row r="31" spans="1:18" s="1260" customFormat="1" ht="34.5" customHeight="1" x14ac:dyDescent="0.25">
      <c r="A31" s="1272">
        <f>1423690+1297848+843282</f>
        <v>3564820</v>
      </c>
      <c r="B31" s="1273" t="s">
        <v>3383</v>
      </c>
      <c r="C31" s="1274" t="s">
        <v>3394</v>
      </c>
      <c r="D31" s="1276"/>
      <c r="E31" s="1276">
        <v>0</v>
      </c>
      <c r="F31" s="1276">
        <v>0</v>
      </c>
      <c r="G31" s="1276">
        <v>98191</v>
      </c>
      <c r="H31" s="1276">
        <v>385181</v>
      </c>
      <c r="I31" s="1276">
        <v>385181</v>
      </c>
      <c r="J31" s="1276">
        <v>385181</v>
      </c>
      <c r="K31" s="1276">
        <v>385181</v>
      </c>
      <c r="L31" s="1276">
        <v>385181</v>
      </c>
      <c r="M31" s="1276">
        <v>385181</v>
      </c>
      <c r="N31" s="1276">
        <v>385181</v>
      </c>
      <c r="O31" s="1275">
        <v>385181</v>
      </c>
      <c r="P31" s="1276">
        <v>385181</v>
      </c>
      <c r="Q31" s="1275"/>
      <c r="R31" s="1277"/>
    </row>
    <row r="32" spans="1:18" s="1260" customFormat="1" ht="17.25" customHeight="1" thickBot="1" x14ac:dyDescent="0.3">
      <c r="A32" s="1254"/>
      <c r="B32" s="1255"/>
      <c r="C32" s="1268" t="s">
        <v>3382</v>
      </c>
      <c r="D32" s="1257"/>
      <c r="E32" s="1257">
        <f>(A31/3/2)*0.027</f>
        <v>16041.689999999999</v>
      </c>
      <c r="F32" s="1257">
        <f>(E32+A31/2)*0.027</f>
        <v>48558.195629999995</v>
      </c>
      <c r="G32" s="1257">
        <f>A31*0.027</f>
        <v>96250.14</v>
      </c>
      <c r="H32" s="1257">
        <f>(A31-G31)*0.027</f>
        <v>93598.982999999993</v>
      </c>
      <c r="I32" s="1257">
        <f>(A31-G31-H31)*0.027</f>
        <v>83199.096000000005</v>
      </c>
      <c r="J32" s="1257">
        <f>(A31-G31-H31-I31)*0.027</f>
        <v>72799.209000000003</v>
      </c>
      <c r="K32" s="1257">
        <f>(A31-G31-H31-I31-J31)*0.027</f>
        <v>62399.322</v>
      </c>
      <c r="L32" s="1257">
        <f>(A31-G31-H31-I31-J31-K31)*0.027</f>
        <v>51999.434999999998</v>
      </c>
      <c r="M32" s="1256">
        <f>(A31-G31-H31-I31-J31-K31-L31)*0.027</f>
        <v>41599.548000000003</v>
      </c>
      <c r="N32" s="1256">
        <f>(A31-G31-H31-I31-J31-K31-L31-M31)*0.027</f>
        <v>31199.661</v>
      </c>
      <c r="O32" s="1256">
        <f>(A31-G31-H31-I31-J31-K31-L31-M31-N31)*0.027</f>
        <v>20799.774000000001</v>
      </c>
      <c r="P32" s="1257">
        <f>(A31-G31-H31-I31-J31-K31-L31-M31-N31-O31)*0.027</f>
        <v>10399.887000000001</v>
      </c>
      <c r="Q32" s="1256"/>
      <c r="R32" s="1258"/>
    </row>
    <row r="33" spans="1:20" s="1260" customFormat="1" ht="51.75" customHeight="1" x14ac:dyDescent="0.25">
      <c r="A33" s="1233">
        <v>2123909</v>
      </c>
      <c r="B33" s="1234" t="s">
        <v>3384</v>
      </c>
      <c r="C33" s="1245" t="s">
        <v>3395</v>
      </c>
      <c r="D33" s="1246"/>
      <c r="E33" s="1246"/>
      <c r="F33" s="1246">
        <v>48425</v>
      </c>
      <c r="G33" s="1246">
        <v>130609</v>
      </c>
      <c r="H33" s="1246">
        <v>130609</v>
      </c>
      <c r="I33" s="1246">
        <v>230609</v>
      </c>
      <c r="J33" s="1246">
        <v>230609</v>
      </c>
      <c r="K33" s="1246">
        <v>280609</v>
      </c>
      <c r="L33" s="1246">
        <v>280609</v>
      </c>
      <c r="M33" s="1246">
        <v>280610</v>
      </c>
      <c r="N33" s="1247">
        <v>280610</v>
      </c>
      <c r="O33" s="1247">
        <v>230610</v>
      </c>
      <c r="P33" s="1246"/>
      <c r="Q33" s="1247"/>
      <c r="R33" s="1248"/>
    </row>
    <row r="34" spans="1:20" s="1260" customFormat="1" ht="17.25" customHeight="1" thickBot="1" x14ac:dyDescent="0.3">
      <c r="A34" s="1238"/>
      <c r="B34" s="1249"/>
      <c r="C34" s="1250" t="s">
        <v>3382</v>
      </c>
      <c r="D34" s="1251">
        <f>((A33/2)/2)*0.027</f>
        <v>14336.385749999999</v>
      </c>
      <c r="E34" s="1251">
        <f>(D34+A33/2)*0.027</f>
        <v>29059.853915249998</v>
      </c>
      <c r="F34" s="1251">
        <f>(A33-E33)*0.027</f>
        <v>57345.542999999998</v>
      </c>
      <c r="G34" s="1251">
        <f>(A33-E33-F33)*0.027</f>
        <v>56038.067999999999</v>
      </c>
      <c r="H34" s="1251">
        <f>(A33-E33-F33-G33)*0.027</f>
        <v>52511.625</v>
      </c>
      <c r="I34" s="1251">
        <f>(A33-E33-F33-G33-H33)*0.027</f>
        <v>48985.182000000001</v>
      </c>
      <c r="J34" s="1251">
        <f>(A33-E33-F33-G33-H33-I33)*0.027</f>
        <v>42758.739000000001</v>
      </c>
      <c r="K34" s="1251">
        <f>(A33-E33-F33-G33-H33-I33-J33)*0.027</f>
        <v>36532.296000000002</v>
      </c>
      <c r="L34" s="1251">
        <f>(A33-E33-F33-G33-H33-I33-J33-K33)*0.027</f>
        <v>28955.852999999999</v>
      </c>
      <c r="M34" s="1252">
        <f>(A33-E33-F33-G33-H33-I33-J33-K33-L33)*0.027</f>
        <v>21379.41</v>
      </c>
      <c r="N34" s="1252">
        <f>(A33-E33-F33-G33-H33-I33-J33-K33-L33-M33)*0.027</f>
        <v>13802.94</v>
      </c>
      <c r="O34" s="1252">
        <f>(A33-D33-E33-F33-G33-H33-I33-J33-K33-L33-M33-N33)*0.027</f>
        <v>6226.47</v>
      </c>
      <c r="P34" s="1251"/>
      <c r="Q34" s="1252"/>
      <c r="R34" s="1253"/>
    </row>
    <row r="35" spans="1:20" s="1260" customFormat="1" ht="56.25" customHeight="1" x14ac:dyDescent="0.25">
      <c r="A35" s="1272">
        <v>2152272</v>
      </c>
      <c r="B35" s="1273" t="s">
        <v>3383</v>
      </c>
      <c r="C35" s="1274" t="s">
        <v>3396</v>
      </c>
      <c r="D35" s="1276"/>
      <c r="E35" s="1276">
        <v>0</v>
      </c>
      <c r="F35" s="1276">
        <v>0</v>
      </c>
      <c r="G35" s="1276">
        <v>86304</v>
      </c>
      <c r="H35" s="1276">
        <v>159552</v>
      </c>
      <c r="I35" s="1276">
        <v>149552</v>
      </c>
      <c r="J35" s="1276">
        <v>229552</v>
      </c>
      <c r="K35" s="1276">
        <v>229552</v>
      </c>
      <c r="L35" s="1276">
        <v>229552</v>
      </c>
      <c r="M35" s="1275">
        <v>229552</v>
      </c>
      <c r="N35" s="1275">
        <v>279552</v>
      </c>
      <c r="O35" s="1275">
        <v>279552</v>
      </c>
      <c r="P35" s="1276">
        <v>279552</v>
      </c>
      <c r="Q35" s="1275"/>
      <c r="R35" s="1277"/>
    </row>
    <row r="36" spans="1:20" s="1260" customFormat="1" ht="17.25" customHeight="1" thickBot="1" x14ac:dyDescent="0.3">
      <c r="A36" s="1254"/>
      <c r="B36" s="1255"/>
      <c r="C36" s="1268" t="s">
        <v>3382</v>
      </c>
      <c r="D36" s="1257"/>
      <c r="E36" s="1257">
        <f>(A35/3/2)*0.027</f>
        <v>9685.2240000000002</v>
      </c>
      <c r="F36" s="1257">
        <f>(E36+A35/2)*0.027</f>
        <v>29317.173047999997</v>
      </c>
      <c r="G36" s="1257">
        <f>(A35-E35-F35)*0.027</f>
        <v>58111.343999999997</v>
      </c>
      <c r="H36" s="1257">
        <f>(A35-E35-F35-G35)*0.027</f>
        <v>55781.135999999999</v>
      </c>
      <c r="I36" s="1257">
        <f>(A35-E35-F35-G35-H35)*0.027</f>
        <v>51473.231999999996</v>
      </c>
      <c r="J36" s="1257">
        <f>(A35-E35-F35-G35-H35-I35)*0.027</f>
        <v>47435.328000000001</v>
      </c>
      <c r="K36" s="1257">
        <f>(A35-E35-F35-G35-H35-I35-J35)*0.027</f>
        <v>41237.423999999999</v>
      </c>
      <c r="L36" s="1257">
        <f>(A35-E35-F35-G35-H35-I35-J35-K35)*0.027</f>
        <v>35039.519999999997</v>
      </c>
      <c r="M36" s="1256">
        <f>(A35-E35-F35-G35-H35-I35-J35-K35-L35)*0.027</f>
        <v>28841.615999999998</v>
      </c>
      <c r="N36" s="1256">
        <f>(A35-E35-F35-G35-H35-I35-J35-K35-L35-M35)*0.027</f>
        <v>22643.712</v>
      </c>
      <c r="O36" s="1256">
        <f>(A35-E35-F35-G35-H35-I35-J35-K35-L35-M35-N35)*0.027</f>
        <v>15095.807999999999</v>
      </c>
      <c r="P36" s="1257">
        <f>(A35-E35-F35-G35-H35-I35-J35-K35-L35-M35-N35-O35)*0.027</f>
        <v>7547.9039999999995</v>
      </c>
      <c r="Q36" s="1256"/>
      <c r="R36" s="1258"/>
    </row>
    <row r="37" spans="1:20" s="1260" customFormat="1" ht="47.25" customHeight="1" x14ac:dyDescent="0.25">
      <c r="A37" s="1272">
        <v>660595</v>
      </c>
      <c r="B37" s="1273" t="s">
        <v>3384</v>
      </c>
      <c r="C37" s="1274" t="s">
        <v>3397</v>
      </c>
      <c r="D37" s="1275">
        <v>0</v>
      </c>
      <c r="E37" s="1276">
        <v>0</v>
      </c>
      <c r="F37" s="1276">
        <v>132119</v>
      </c>
      <c r="G37" s="1276">
        <v>132119</v>
      </c>
      <c r="H37" s="1276">
        <v>132119</v>
      </c>
      <c r="I37" s="1276">
        <v>132119</v>
      </c>
      <c r="J37" s="1276">
        <v>132119</v>
      </c>
      <c r="K37" s="1276"/>
      <c r="L37" s="1276"/>
      <c r="M37" s="1275"/>
      <c r="N37" s="1275"/>
      <c r="O37" s="1275"/>
      <c r="P37" s="1276"/>
      <c r="Q37" s="1275"/>
      <c r="R37" s="1277"/>
    </row>
    <row r="38" spans="1:20" s="1260" customFormat="1" ht="17.25" customHeight="1" thickBot="1" x14ac:dyDescent="0.3">
      <c r="A38" s="1254"/>
      <c r="B38" s="1255"/>
      <c r="C38" s="1268" t="s">
        <v>3382</v>
      </c>
      <c r="D38" s="1257">
        <f>((A37/2)/2)*0.027</f>
        <v>4459.0162499999997</v>
      </c>
      <c r="E38" s="1257">
        <f>(D38+A37/2)*0.027</f>
        <v>9038.4259387499987</v>
      </c>
      <c r="F38" s="1257">
        <f>(A37-E37)*0.027</f>
        <v>17836.064999999999</v>
      </c>
      <c r="G38" s="1257">
        <f>SUM(A37-E37-F37)*0.027</f>
        <v>14268.851999999999</v>
      </c>
      <c r="H38" s="1257">
        <f>SUM(A37-E37-F37-G37)*0.027</f>
        <v>10701.638999999999</v>
      </c>
      <c r="I38" s="1257">
        <f>SUM(A37-E37-F37-G37-H37)*0.027</f>
        <v>7134.4259999999995</v>
      </c>
      <c r="J38" s="1257">
        <f>(A37-E37-F37-G37-H37-I37)*0.027</f>
        <v>3567.2129999999997</v>
      </c>
      <c r="K38" s="1257"/>
      <c r="L38" s="1257"/>
      <c r="M38" s="1256"/>
      <c r="N38" s="1256"/>
      <c r="O38" s="1256"/>
      <c r="P38" s="1257"/>
      <c r="Q38" s="1256"/>
      <c r="R38" s="1258"/>
    </row>
    <row r="39" spans="1:20" s="1260" customFormat="1" ht="67.5" customHeight="1" x14ac:dyDescent="0.25">
      <c r="A39" s="1272">
        <v>1387873</v>
      </c>
      <c r="B39" s="1273" t="s">
        <v>3383</v>
      </c>
      <c r="C39" s="1274" t="s">
        <v>3398</v>
      </c>
      <c r="D39" s="1276"/>
      <c r="E39" s="1276">
        <v>0</v>
      </c>
      <c r="F39" s="1276">
        <v>0</v>
      </c>
      <c r="G39" s="1276">
        <v>138788</v>
      </c>
      <c r="H39" s="1276">
        <v>138788</v>
      </c>
      <c r="I39" s="1276">
        <v>138788</v>
      </c>
      <c r="J39" s="1276">
        <v>138787</v>
      </c>
      <c r="K39" s="1276">
        <v>138787</v>
      </c>
      <c r="L39" s="1276">
        <v>138787</v>
      </c>
      <c r="M39" s="1276">
        <v>138787</v>
      </c>
      <c r="N39" s="1276">
        <v>138787</v>
      </c>
      <c r="O39" s="1275">
        <v>138787</v>
      </c>
      <c r="P39" s="1276">
        <v>138787</v>
      </c>
      <c r="Q39" s="1275"/>
      <c r="R39" s="1277"/>
    </row>
    <row r="40" spans="1:20" s="1260" customFormat="1" ht="17.25" customHeight="1" thickBot="1" x14ac:dyDescent="0.3">
      <c r="A40" s="1254"/>
      <c r="B40" s="1255"/>
      <c r="C40" s="1268" t="s">
        <v>3388</v>
      </c>
      <c r="D40" s="1257"/>
      <c r="E40" s="1257">
        <f>(A39/3/2)*0.027</f>
        <v>6245.4285</v>
      </c>
      <c r="F40" s="1257">
        <f>(E40+A39/2)*0.027</f>
        <v>18904.912069500002</v>
      </c>
      <c r="G40" s="1257">
        <f>(A39-F39)*0.027</f>
        <v>37472.570999999996</v>
      </c>
      <c r="H40" s="1257">
        <f>(A39-F39-G39)*0.027</f>
        <v>33725.294999999998</v>
      </c>
      <c r="I40" s="1257">
        <f>(A39-F39-G39-H39)*0.027</f>
        <v>29978.019</v>
      </c>
      <c r="J40" s="1257">
        <f>(A39-F39-G39-H39-I39)*0.027</f>
        <v>26230.742999999999</v>
      </c>
      <c r="K40" s="1256">
        <f>(A39-F39-G39-H39-I39-J39)*0.027</f>
        <v>22483.493999999999</v>
      </c>
      <c r="L40" s="1256">
        <f>(A39-F39-G39-H39-I39-J39-K39)*0.027</f>
        <v>18736.244999999999</v>
      </c>
      <c r="M40" s="1256">
        <f>(A39-F39-G39-H39-I39-J39-K39-L39)*0.027</f>
        <v>14988.995999999999</v>
      </c>
      <c r="N40" s="1256">
        <f>(A39-F39-G39-H39-I39-J39-K39-L39-M39)*0.027</f>
        <v>11241.746999999999</v>
      </c>
      <c r="O40" s="1256">
        <f>(A39-F39-G39-H39-I39-J39-K39-L39-M39-N39)*0.027</f>
        <v>7494.4979999999996</v>
      </c>
      <c r="P40" s="1257">
        <f>(A39-E39-F39-G39-H39-I39-J39-K39-L39-M39-N39-O39)*0.027</f>
        <v>3747.2489999999998</v>
      </c>
      <c r="Q40" s="1256"/>
      <c r="R40" s="1258"/>
    </row>
    <row r="41" spans="1:20" s="1260" customFormat="1" ht="45.75" customHeight="1" x14ac:dyDescent="0.25">
      <c r="A41" s="1272">
        <v>450058</v>
      </c>
      <c r="B41" s="1273">
        <v>2019</v>
      </c>
      <c r="C41" s="1274" t="s">
        <v>3399</v>
      </c>
      <c r="D41" s="1275"/>
      <c r="E41" s="1275">
        <v>90012</v>
      </c>
      <c r="F41" s="1275">
        <v>90012</v>
      </c>
      <c r="G41" s="1275">
        <v>90012</v>
      </c>
      <c r="H41" s="1275">
        <v>90011</v>
      </c>
      <c r="I41" s="1275">
        <v>90011</v>
      </c>
      <c r="J41" s="1275"/>
      <c r="K41" s="1275"/>
      <c r="L41" s="1275"/>
      <c r="M41" s="1275"/>
      <c r="N41" s="1275"/>
      <c r="O41" s="1275"/>
      <c r="P41" s="1276"/>
      <c r="Q41" s="1275"/>
      <c r="R41" s="1277"/>
    </row>
    <row r="42" spans="1:20" s="1260" customFormat="1" ht="17.25" customHeight="1" thickBot="1" x14ac:dyDescent="0.3">
      <c r="A42" s="1254"/>
      <c r="B42" s="1278"/>
      <c r="C42" s="1268" t="s">
        <v>3382</v>
      </c>
      <c r="D42" s="1256">
        <f>E42/12*8</f>
        <v>8101.0440000000008</v>
      </c>
      <c r="E42" s="1256">
        <f>(A41)*0.027</f>
        <v>12151.566000000001</v>
      </c>
      <c r="F42" s="1256">
        <f>(A41-E41)*0.027</f>
        <v>9721.2420000000002</v>
      </c>
      <c r="G42" s="1256">
        <f>(A41-E41-F41)*0.027</f>
        <v>7290.9179999999997</v>
      </c>
      <c r="H42" s="1256">
        <f>(A41-E41-F41-G41)*0.027</f>
        <v>4860.5940000000001</v>
      </c>
      <c r="I42" s="1256">
        <f>(A41-E41-F41-G41-H41)*0.027</f>
        <v>2430.297</v>
      </c>
      <c r="J42" s="1256"/>
      <c r="K42" s="1256"/>
      <c r="L42" s="1256"/>
      <c r="M42" s="1256"/>
      <c r="N42" s="1256"/>
      <c r="O42" s="1256"/>
      <c r="P42" s="1257"/>
      <c r="Q42" s="1256"/>
      <c r="R42" s="1258"/>
    </row>
    <row r="43" spans="1:20" s="1260" customFormat="1" ht="75.75" customHeight="1" x14ac:dyDescent="0.25">
      <c r="A43" s="1262">
        <v>1135705</v>
      </c>
      <c r="B43" s="1279" t="s">
        <v>3384</v>
      </c>
      <c r="C43" s="1263" t="s">
        <v>3400</v>
      </c>
      <c r="D43" s="1280">
        <v>0</v>
      </c>
      <c r="E43" s="1280">
        <v>0</v>
      </c>
      <c r="F43" s="1280">
        <v>227141</v>
      </c>
      <c r="G43" s="1280">
        <v>227141</v>
      </c>
      <c r="H43" s="1280">
        <v>227141</v>
      </c>
      <c r="I43" s="1280">
        <v>227141</v>
      </c>
      <c r="J43" s="1280">
        <v>227141</v>
      </c>
      <c r="K43" s="1280"/>
      <c r="L43" s="1281"/>
      <c r="M43" s="1281"/>
      <c r="N43" s="1281"/>
      <c r="O43" s="1281"/>
      <c r="P43" s="1280"/>
      <c r="Q43" s="1281"/>
      <c r="R43" s="1282"/>
      <c r="T43" s="1283" t="s">
        <v>3401</v>
      </c>
    </row>
    <row r="44" spans="1:20" s="1260" customFormat="1" ht="17.25" customHeight="1" thickBot="1" x14ac:dyDescent="0.3">
      <c r="A44" s="1254"/>
      <c r="B44" s="1255"/>
      <c r="C44" s="1268" t="s">
        <v>3382</v>
      </c>
      <c r="D44" s="1256">
        <f>((A43/2)/2)*0.027</f>
        <v>7666.00875</v>
      </c>
      <c r="E44" s="1256">
        <f>(D44+A43/2)*0.027</f>
        <v>15538.999736250002</v>
      </c>
      <c r="F44" s="1256">
        <f>(A43-E43)*0.027</f>
        <v>30664.035</v>
      </c>
      <c r="G44" s="1256">
        <f>(A43-E43-F43)*0.027</f>
        <v>24531.227999999999</v>
      </c>
      <c r="H44" s="1256">
        <f>(A43-E43-F43-G43)*0.027</f>
        <v>18398.420999999998</v>
      </c>
      <c r="I44" s="1256">
        <f>(A43-E43-F43-G43-H43)*0.027</f>
        <v>12265.614</v>
      </c>
      <c r="J44" s="1256">
        <f>(A43-E43-F43-G43-H43-I43)*0.027</f>
        <v>6132.8069999999998</v>
      </c>
      <c r="K44" s="1256"/>
      <c r="L44" s="1256"/>
      <c r="M44" s="1256"/>
      <c r="N44" s="1256"/>
      <c r="O44" s="1256"/>
      <c r="P44" s="1257"/>
      <c r="Q44" s="1256"/>
      <c r="R44" s="1258"/>
    </row>
    <row r="45" spans="1:20" s="1260" customFormat="1" ht="78.75" customHeight="1" x14ac:dyDescent="0.25">
      <c r="A45" s="1262">
        <v>534114</v>
      </c>
      <c r="B45" s="1279">
        <v>2019</v>
      </c>
      <c r="C45" s="1263" t="s">
        <v>3402</v>
      </c>
      <c r="D45" s="1280"/>
      <c r="E45" s="1280">
        <v>106823</v>
      </c>
      <c r="F45" s="1280">
        <v>106823</v>
      </c>
      <c r="G45" s="1280">
        <v>106823</v>
      </c>
      <c r="H45" s="1280">
        <v>106823</v>
      </c>
      <c r="I45" s="1280">
        <v>106822</v>
      </c>
      <c r="J45" s="1280"/>
      <c r="K45" s="1280"/>
      <c r="L45" s="1281"/>
      <c r="M45" s="1281"/>
      <c r="N45" s="1281"/>
      <c r="O45" s="1281"/>
      <c r="P45" s="1280"/>
      <c r="Q45" s="1281"/>
      <c r="R45" s="1282"/>
    </row>
    <row r="46" spans="1:20" s="1260" customFormat="1" ht="17.25" customHeight="1" thickBot="1" x14ac:dyDescent="0.3">
      <c r="A46" s="1254"/>
      <c r="B46" s="1255"/>
      <c r="C46" s="1268" t="s">
        <v>3382</v>
      </c>
      <c r="D46" s="1256">
        <f>E46/12*8</f>
        <v>9614.0519999999997</v>
      </c>
      <c r="E46" s="1256">
        <f>(A45)*0.027</f>
        <v>14421.078</v>
      </c>
      <c r="F46" s="1256">
        <f>(A45-D45-E45)*0.027</f>
        <v>11536.857</v>
      </c>
      <c r="G46" s="1256">
        <f>(A45-D45-E45-F45)*0.027</f>
        <v>8652.6360000000004</v>
      </c>
      <c r="H46" s="1256">
        <f>(A45-D45-E45-F45-G45)*0.027</f>
        <v>5768.415</v>
      </c>
      <c r="I46" s="1256">
        <f>(A45-D45-E45-F45-G45-H45)*0.027</f>
        <v>2884.194</v>
      </c>
      <c r="J46" s="1256"/>
      <c r="K46" s="1256"/>
      <c r="L46" s="1256"/>
      <c r="M46" s="1256"/>
      <c r="N46" s="1256"/>
      <c r="O46" s="1256"/>
      <c r="P46" s="1257"/>
      <c r="Q46" s="1256"/>
      <c r="R46" s="1258"/>
    </row>
    <row r="47" spans="1:20" s="1260" customFormat="1" ht="66" customHeight="1" x14ac:dyDescent="0.25">
      <c r="A47" s="1272">
        <v>346924</v>
      </c>
      <c r="B47" s="1273" t="s">
        <v>3384</v>
      </c>
      <c r="C47" s="1274" t="s">
        <v>3403</v>
      </c>
      <c r="D47" s="1276">
        <v>0</v>
      </c>
      <c r="E47" s="1276">
        <v>0</v>
      </c>
      <c r="F47" s="1276">
        <v>69385</v>
      </c>
      <c r="G47" s="1276">
        <v>69385</v>
      </c>
      <c r="H47" s="1276">
        <v>69385</v>
      </c>
      <c r="I47" s="1276">
        <v>69385</v>
      </c>
      <c r="J47" s="1276">
        <v>69384</v>
      </c>
      <c r="K47" s="1276"/>
      <c r="L47" s="1275"/>
      <c r="M47" s="1275"/>
      <c r="N47" s="1275"/>
      <c r="O47" s="1275"/>
      <c r="P47" s="1276"/>
      <c r="Q47" s="1275"/>
      <c r="R47" s="1277"/>
      <c r="T47" s="1284" t="s">
        <v>3404</v>
      </c>
    </row>
    <row r="48" spans="1:20" s="1260" customFormat="1" ht="17.25" customHeight="1" thickBot="1" x14ac:dyDescent="0.3">
      <c r="A48" s="1254"/>
      <c r="B48" s="1255"/>
      <c r="C48" s="1268" t="s">
        <v>3382</v>
      </c>
      <c r="D48" s="1257">
        <f>((A47/2)/2)*0.027</f>
        <v>2341.7370000000001</v>
      </c>
      <c r="E48" s="1257">
        <f>(D48+A47/2)*0.027</f>
        <v>4746.7008989999995</v>
      </c>
      <c r="F48" s="1257">
        <f>(A47-E47)*0.027</f>
        <v>9366.9480000000003</v>
      </c>
      <c r="G48" s="1257">
        <f>(A47-E47-F47)*0.027</f>
        <v>7493.5529999999999</v>
      </c>
      <c r="H48" s="1257">
        <f>(A47-E47-F47-G47)*0.027</f>
        <v>5620.1580000000004</v>
      </c>
      <c r="I48" s="1257">
        <f>(A47-E47-F47-G47-H47)*0.027</f>
        <v>3746.7629999999999</v>
      </c>
      <c r="J48" s="1257">
        <f>(A47-E47-F47-G47-H47-I47)*0.027</f>
        <v>1873.3679999999999</v>
      </c>
      <c r="K48" s="1257"/>
      <c r="L48" s="1256"/>
      <c r="M48" s="1256"/>
      <c r="N48" s="1256"/>
      <c r="O48" s="1256"/>
      <c r="P48" s="1257"/>
      <c r="Q48" s="1256"/>
      <c r="R48" s="1258"/>
    </row>
    <row r="49" spans="1:18" s="1260" customFormat="1" ht="69.75" customHeight="1" x14ac:dyDescent="0.25">
      <c r="A49" s="1272">
        <f>280919+13590</f>
        <v>294509</v>
      </c>
      <c r="B49" s="1273" t="s">
        <v>3383</v>
      </c>
      <c r="C49" s="1274" t="s">
        <v>3405</v>
      </c>
      <c r="D49" s="1276"/>
      <c r="E49" s="1276">
        <v>0</v>
      </c>
      <c r="F49" s="1276">
        <v>0</v>
      </c>
      <c r="G49" s="1276">
        <v>98170</v>
      </c>
      <c r="H49" s="1276">
        <v>98170</v>
      </c>
      <c r="I49" s="1276">
        <v>98169</v>
      </c>
      <c r="J49" s="1276"/>
      <c r="K49" s="1276"/>
      <c r="L49" s="1275"/>
      <c r="M49" s="1275"/>
      <c r="N49" s="1275"/>
      <c r="O49" s="1275"/>
      <c r="P49" s="1276"/>
      <c r="Q49" s="1275"/>
      <c r="R49" s="1277"/>
    </row>
    <row r="50" spans="1:18" s="1260" customFormat="1" ht="18.75" customHeight="1" thickBot="1" x14ac:dyDescent="0.3">
      <c r="A50" s="1254"/>
      <c r="B50" s="1255"/>
      <c r="C50" s="1268" t="s">
        <v>3382</v>
      </c>
      <c r="D50" s="1257"/>
      <c r="E50" s="1257">
        <f>(A49/3/2)*0.027</f>
        <v>1325.2905000000001</v>
      </c>
      <c r="F50" s="1257">
        <f>(E50+A49/2)*0.027</f>
        <v>4011.6543434999999</v>
      </c>
      <c r="G50" s="1257">
        <f>(A49-F49)*0.027</f>
        <v>7951.7429999999995</v>
      </c>
      <c r="H50" s="1257">
        <f>(A49-F49-G49)*0.027</f>
        <v>5301.1530000000002</v>
      </c>
      <c r="I50" s="1257">
        <f>(A49-F49-G49-H49)*0.027</f>
        <v>2650.5630000000001</v>
      </c>
      <c r="J50" s="1257"/>
      <c r="K50" s="1257"/>
      <c r="L50" s="1256"/>
      <c r="M50" s="1256"/>
      <c r="N50" s="1256"/>
      <c r="O50" s="1256"/>
      <c r="P50" s="1257"/>
      <c r="Q50" s="1256"/>
      <c r="R50" s="1258"/>
    </row>
    <row r="51" spans="1:18" s="1260" customFormat="1" ht="31.5" x14ac:dyDescent="0.25">
      <c r="A51" s="1285">
        <v>8680000</v>
      </c>
      <c r="B51" s="1286" t="s">
        <v>3406</v>
      </c>
      <c r="C51" s="1195" t="s">
        <v>3407</v>
      </c>
      <c r="D51" s="1287"/>
      <c r="E51" s="1287">
        <v>500000</v>
      </c>
      <c r="F51" s="1287">
        <v>500000</v>
      </c>
      <c r="G51" s="1287">
        <v>400000</v>
      </c>
      <c r="H51" s="1287">
        <v>550000</v>
      </c>
      <c r="I51" s="1287">
        <v>550000</v>
      </c>
      <c r="J51" s="1287">
        <v>550000</v>
      </c>
      <c r="K51" s="1287">
        <v>550000</v>
      </c>
      <c r="L51" s="1288">
        <v>550000</v>
      </c>
      <c r="M51" s="1288">
        <v>550000</v>
      </c>
      <c r="N51" s="1288">
        <v>550000</v>
      </c>
      <c r="O51" s="1288">
        <v>550000</v>
      </c>
      <c r="P51" s="1287">
        <v>550000</v>
      </c>
      <c r="Q51" s="1288">
        <v>550000</v>
      </c>
      <c r="R51" s="1289">
        <f>2100000-320000</f>
        <v>1780000</v>
      </c>
    </row>
    <row r="52" spans="1:18" s="1260" customFormat="1" ht="18" customHeight="1" thickBot="1" x14ac:dyDescent="0.3">
      <c r="A52" s="1290"/>
      <c r="B52" s="1291"/>
      <c r="C52" s="1291"/>
      <c r="D52" s="1292"/>
      <c r="E52" s="1292">
        <f>(A51-D51)*0.027</f>
        <v>234360</v>
      </c>
      <c r="F52" s="1293">
        <f>(A51-D51-E51)*0.027</f>
        <v>220860</v>
      </c>
      <c r="G52" s="1292">
        <f>(A51-D51-E51-F51)*0.027</f>
        <v>207360</v>
      </c>
      <c r="H52" s="1292">
        <f>(A51-D51-E51-F51-G51)*0.027</f>
        <v>196560</v>
      </c>
      <c r="I52" s="1292">
        <f>(A51-D51-E51-F51-G51-H51)*0.027</f>
        <v>181710</v>
      </c>
      <c r="J52" s="1292">
        <f>(A51-D51-E51-F51-G51-H51-I51)*0.027</f>
        <v>166860</v>
      </c>
      <c r="K52" s="1292">
        <f>(A51-D51-E51-F51-G51-H51-I51-J51)*0.027</f>
        <v>152010</v>
      </c>
      <c r="L52" s="1293">
        <f>(A51-D51-E51-F51-G51-H51-I51-J51-K51)*0.027</f>
        <v>137160</v>
      </c>
      <c r="M52" s="1293">
        <f>(A51-D51-E51-F51-G51-H51-I51-J51-K51-L51)*0.027</f>
        <v>122310</v>
      </c>
      <c r="N52" s="1293">
        <f>(A51-D51-E51-F51-G51-H51-I51-J51-K51-L51-M51)*0.027</f>
        <v>107460</v>
      </c>
      <c r="O52" s="1293">
        <f>(A51-D51-E51--F51-G51-H51-I51-J51-K51-L51-M51-N51)*0.027</f>
        <v>119610</v>
      </c>
      <c r="P52" s="1292">
        <f>(A51-D51-E51-F51-G51-H51-I51-J51-K51-L51-M51-N51-O51)*0.027</f>
        <v>77760</v>
      </c>
      <c r="Q52" s="1293">
        <f>SUM(A51-D51-E51-F51-G51-H51-I51-J51-K51-L51-M51-N51-O51-P51)*0.027</f>
        <v>62910</v>
      </c>
      <c r="R52" s="1294">
        <v>48060</v>
      </c>
    </row>
    <row r="53" spans="1:18" ht="29.25" customHeight="1" thickBot="1" x14ac:dyDescent="0.3">
      <c r="A53" s="1295"/>
      <c r="B53" s="1296"/>
      <c r="C53" s="1297" t="s">
        <v>3408</v>
      </c>
      <c r="D53" s="1298"/>
      <c r="E53" s="1298"/>
      <c r="F53" s="1299"/>
      <c r="G53" s="1298"/>
      <c r="H53" s="1299"/>
      <c r="I53" s="1298"/>
      <c r="J53" s="1300"/>
      <c r="K53" s="1301"/>
      <c r="L53" s="1301"/>
      <c r="M53" s="1301"/>
      <c r="N53" s="1301"/>
      <c r="O53" s="1301"/>
      <c r="P53" s="1300"/>
      <c r="Q53" s="1301"/>
      <c r="R53" s="1302"/>
    </row>
    <row r="54" spans="1:18" ht="15.75" x14ac:dyDescent="0.25">
      <c r="A54" s="1303"/>
      <c r="B54" s="1234"/>
      <c r="C54" s="1304"/>
      <c r="D54" s="1305"/>
      <c r="E54" s="1305"/>
      <c r="F54" s="1305"/>
      <c r="G54" s="1305"/>
      <c r="H54" s="1306"/>
      <c r="I54" s="1305"/>
      <c r="J54" s="1246"/>
      <c r="K54" s="1247"/>
      <c r="L54" s="1247"/>
      <c r="M54" s="1247"/>
      <c r="N54" s="1247"/>
      <c r="O54" s="1247"/>
      <c r="P54" s="1246"/>
      <c r="Q54" s="1247"/>
      <c r="R54" s="1248"/>
    </row>
    <row r="55" spans="1:18" ht="16.5" thickBot="1" x14ac:dyDescent="0.3">
      <c r="A55" s="1307"/>
      <c r="B55" s="1249"/>
      <c r="C55" s="1240"/>
      <c r="D55" s="1280"/>
      <c r="E55" s="1280"/>
      <c r="F55" s="1280"/>
      <c r="G55" s="1280"/>
      <c r="H55" s="1281"/>
      <c r="I55" s="1280"/>
      <c r="J55" s="1280"/>
      <c r="K55" s="1281"/>
      <c r="L55" s="1281"/>
      <c r="M55" s="1281"/>
      <c r="N55" s="1281"/>
      <c r="O55" s="1281"/>
      <c r="P55" s="1280"/>
      <c r="Q55" s="1281"/>
      <c r="R55" s="1282"/>
    </row>
    <row r="56" spans="1:18" s="1260" customFormat="1" ht="50.25" customHeight="1" x14ac:dyDescent="0.25">
      <c r="A56" s="1308">
        <v>2148174</v>
      </c>
      <c r="B56" s="1309" t="s">
        <v>3409</v>
      </c>
      <c r="C56" s="1309" t="s">
        <v>3410</v>
      </c>
      <c r="D56" s="1310">
        <v>160586</v>
      </c>
      <c r="E56" s="1246">
        <v>241889</v>
      </c>
      <c r="F56" s="1311">
        <v>241888</v>
      </c>
      <c r="G56" s="1310">
        <v>170377</v>
      </c>
      <c r="H56" s="1311"/>
      <c r="I56" s="1310"/>
      <c r="J56" s="1310"/>
      <c r="K56" s="1247"/>
      <c r="L56" s="1247"/>
      <c r="M56" s="1247"/>
      <c r="N56" s="1247"/>
      <c r="O56" s="1247"/>
      <c r="P56" s="1246"/>
      <c r="Q56" s="1247"/>
      <c r="R56" s="1248"/>
    </row>
    <row r="57" spans="1:18" s="1260" customFormat="1" ht="16.5" thickBot="1" x14ac:dyDescent="0.3">
      <c r="A57" s="1312"/>
      <c r="B57" s="1313"/>
      <c r="C57" s="1314" t="s">
        <v>3411</v>
      </c>
      <c r="D57" s="1315">
        <v>16424</v>
      </c>
      <c r="E57" s="1315">
        <v>11991</v>
      </c>
      <c r="F57" s="1316">
        <v>7557</v>
      </c>
      <c r="G57" s="1316">
        <v>3123</v>
      </c>
      <c r="H57" s="1317"/>
      <c r="I57" s="1316"/>
      <c r="J57" s="1316"/>
      <c r="K57" s="1252"/>
      <c r="L57" s="1252"/>
      <c r="M57" s="1252"/>
      <c r="N57" s="1252"/>
      <c r="O57" s="1252"/>
      <c r="P57" s="1251"/>
      <c r="Q57" s="1252"/>
      <c r="R57" s="1253"/>
    </row>
    <row r="58" spans="1:18" s="1260" customFormat="1" ht="65.25" customHeight="1" x14ac:dyDescent="0.25">
      <c r="A58" s="1308">
        <v>1244225</v>
      </c>
      <c r="B58" s="1309" t="s">
        <v>3412</v>
      </c>
      <c r="C58" s="1309" t="s">
        <v>3413</v>
      </c>
      <c r="D58" s="1310">
        <v>217104</v>
      </c>
      <c r="E58" s="1310">
        <v>100668</v>
      </c>
      <c r="F58" s="1310">
        <v>82989</v>
      </c>
      <c r="G58" s="1310">
        <v>16668</v>
      </c>
      <c r="H58" s="1311"/>
      <c r="I58" s="1310"/>
      <c r="J58" s="1310"/>
      <c r="K58" s="1247"/>
      <c r="L58" s="1247"/>
      <c r="M58" s="1247"/>
      <c r="N58" s="1247"/>
      <c r="O58" s="1247"/>
      <c r="P58" s="1246"/>
      <c r="Q58" s="1247"/>
      <c r="R58" s="1248"/>
    </row>
    <row r="59" spans="1:18" s="1260" customFormat="1" ht="16.5" thickBot="1" x14ac:dyDescent="0.3">
      <c r="A59" s="1312"/>
      <c r="B59" s="1313"/>
      <c r="C59" s="1314" t="s">
        <v>3414</v>
      </c>
      <c r="D59" s="1316">
        <v>7497</v>
      </c>
      <c r="E59" s="1316">
        <v>5409</v>
      </c>
      <c r="F59" s="1316">
        <v>2691</v>
      </c>
      <c r="G59" s="1316">
        <v>450</v>
      </c>
      <c r="H59" s="1317"/>
      <c r="I59" s="1316"/>
      <c r="J59" s="1316"/>
      <c r="K59" s="1252"/>
      <c r="L59" s="1252"/>
      <c r="M59" s="1252"/>
      <c r="N59" s="1252"/>
      <c r="O59" s="1252"/>
      <c r="P59" s="1251"/>
      <c r="Q59" s="1252"/>
      <c r="R59" s="1253"/>
    </row>
    <row r="60" spans="1:18" s="1260" customFormat="1" ht="51" customHeight="1" x14ac:dyDescent="0.25">
      <c r="A60" s="1233">
        <v>12083954</v>
      </c>
      <c r="B60" s="1234" t="s">
        <v>3415</v>
      </c>
      <c r="C60" s="1234" t="s">
        <v>3416</v>
      </c>
      <c r="D60" s="1310">
        <f>651688</f>
        <v>651688</v>
      </c>
      <c r="E60" s="1310">
        <v>669388</v>
      </c>
      <c r="F60" s="1310">
        <v>669388</v>
      </c>
      <c r="G60" s="1310">
        <v>669388</v>
      </c>
      <c r="H60" s="1310">
        <v>669388</v>
      </c>
      <c r="I60" s="1310">
        <v>669388</v>
      </c>
      <c r="J60" s="1310">
        <v>669388</v>
      </c>
      <c r="K60" s="1310">
        <v>669388</v>
      </c>
      <c r="L60" s="1310">
        <v>669388</v>
      </c>
      <c r="M60" s="1310">
        <v>669388</v>
      </c>
      <c r="N60" s="1310">
        <v>669388</v>
      </c>
      <c r="O60" s="1311">
        <v>669388</v>
      </c>
      <c r="P60" s="1310">
        <v>669388</v>
      </c>
      <c r="Q60" s="1311">
        <v>669388</v>
      </c>
      <c r="R60" s="1248">
        <f>2056851-669388-669388</f>
        <v>718075</v>
      </c>
    </row>
    <row r="61" spans="1:18" s="1260" customFormat="1" ht="16.5" thickBot="1" x14ac:dyDescent="0.3">
      <c r="A61" s="1238"/>
      <c r="B61" s="1249">
        <v>2016</v>
      </c>
      <c r="C61" s="1240" t="s">
        <v>3417</v>
      </c>
      <c r="D61" s="1251">
        <v>271938</v>
      </c>
      <c r="E61" s="1251">
        <v>254343</v>
      </c>
      <c r="F61" s="1251">
        <v>236269</v>
      </c>
      <c r="G61" s="1251">
        <v>218196</v>
      </c>
      <c r="H61" s="1251">
        <v>200122</v>
      </c>
      <c r="I61" s="1251">
        <v>182049</v>
      </c>
      <c r="J61" s="1251">
        <v>163976</v>
      </c>
      <c r="K61" s="1251">
        <v>145902</v>
      </c>
      <c r="L61" s="1251">
        <v>127829</v>
      </c>
      <c r="M61" s="1251">
        <v>109755</v>
      </c>
      <c r="N61" s="1251">
        <v>91682</v>
      </c>
      <c r="O61" s="1252">
        <v>73608</v>
      </c>
      <c r="P61" s="1251">
        <v>55535</v>
      </c>
      <c r="Q61" s="1252">
        <v>37461</v>
      </c>
      <c r="R61" s="1253">
        <f>137587-55535-37461</f>
        <v>44591</v>
      </c>
    </row>
    <row r="62" spans="1:18" s="1260" customFormat="1" ht="40.5" customHeight="1" x14ac:dyDescent="0.25">
      <c r="A62" s="1308">
        <v>2985430</v>
      </c>
      <c r="B62" s="1309" t="s">
        <v>3418</v>
      </c>
      <c r="C62" s="1309" t="s">
        <v>3419</v>
      </c>
      <c r="D62" s="1310">
        <v>284577</v>
      </c>
      <c r="E62" s="1310">
        <v>284577</v>
      </c>
      <c r="F62" s="1310">
        <v>376289</v>
      </c>
      <c r="G62" s="1246">
        <v>562083</v>
      </c>
      <c r="H62" s="1247">
        <v>27516</v>
      </c>
      <c r="I62" s="1246">
        <v>27509</v>
      </c>
      <c r="J62" s="1246"/>
      <c r="K62" s="1247"/>
      <c r="L62" s="1247"/>
      <c r="M62" s="1247"/>
      <c r="N62" s="1247"/>
      <c r="O62" s="1247"/>
      <c r="P62" s="1246"/>
      <c r="Q62" s="1247"/>
      <c r="R62" s="1248"/>
    </row>
    <row r="63" spans="1:18" s="1260" customFormat="1" ht="18" customHeight="1" thickBot="1" x14ac:dyDescent="0.3">
      <c r="A63" s="1312"/>
      <c r="B63" s="1318"/>
      <c r="C63" s="1314" t="s">
        <v>3420</v>
      </c>
      <c r="D63" s="1316">
        <v>42189</v>
      </c>
      <c r="E63" s="1316">
        <v>34505</v>
      </c>
      <c r="F63" s="1316">
        <v>26822</v>
      </c>
      <c r="G63" s="1251">
        <v>16662</v>
      </c>
      <c r="H63" s="1252">
        <v>1486</v>
      </c>
      <c r="I63" s="1251">
        <v>743</v>
      </c>
      <c r="J63" s="1251"/>
      <c r="K63" s="1252"/>
      <c r="L63" s="1252"/>
      <c r="M63" s="1252"/>
      <c r="N63" s="1252"/>
      <c r="O63" s="1252"/>
      <c r="P63" s="1251"/>
      <c r="Q63" s="1252"/>
      <c r="R63" s="1253"/>
    </row>
    <row r="64" spans="1:18" s="1260" customFormat="1" ht="31.5" x14ac:dyDescent="0.25">
      <c r="A64" s="1308">
        <v>546714</v>
      </c>
      <c r="B64" s="1309" t="s">
        <v>3418</v>
      </c>
      <c r="C64" s="1309" t="s">
        <v>3421</v>
      </c>
      <c r="D64" s="1310">
        <v>6096</v>
      </c>
      <c r="E64" s="1310"/>
      <c r="F64" s="1310"/>
      <c r="G64" s="1310"/>
      <c r="H64" s="1311"/>
      <c r="I64" s="1310"/>
      <c r="J64" s="1310"/>
      <c r="K64" s="1247"/>
      <c r="L64" s="1247"/>
      <c r="M64" s="1247"/>
      <c r="N64" s="1247"/>
      <c r="O64" s="1247"/>
      <c r="P64" s="1246"/>
      <c r="Q64" s="1247"/>
      <c r="R64" s="1248"/>
    </row>
    <row r="65" spans="1:18" s="1260" customFormat="1" ht="16.5" thickBot="1" x14ac:dyDescent="0.3">
      <c r="A65" s="1312"/>
      <c r="B65" s="1318"/>
      <c r="C65" s="1314" t="s">
        <v>3422</v>
      </c>
      <c r="D65" s="1316">
        <v>38</v>
      </c>
      <c r="E65" s="1316"/>
      <c r="F65" s="1316"/>
      <c r="G65" s="1316"/>
      <c r="H65" s="1317"/>
      <c r="I65" s="1316"/>
      <c r="J65" s="1316"/>
      <c r="K65" s="1281"/>
      <c r="L65" s="1281"/>
      <c r="M65" s="1281"/>
      <c r="N65" s="1281"/>
      <c r="O65" s="1281"/>
      <c r="P65" s="1280"/>
      <c r="Q65" s="1281"/>
      <c r="R65" s="1282"/>
    </row>
    <row r="66" spans="1:18" s="1260" customFormat="1" ht="86.25" customHeight="1" x14ac:dyDescent="0.25">
      <c r="A66" s="1233">
        <v>2178272</v>
      </c>
      <c r="B66" s="1234" t="s">
        <v>3423</v>
      </c>
      <c r="C66" s="1234" t="s">
        <v>3424</v>
      </c>
      <c r="D66" s="1246">
        <v>202540</v>
      </c>
      <c r="E66" s="1246">
        <v>242540</v>
      </c>
      <c r="F66" s="1246">
        <v>262540</v>
      </c>
      <c r="G66" s="1246">
        <v>207540</v>
      </c>
      <c r="H66" s="1247">
        <v>209457</v>
      </c>
      <c r="I66" s="1246">
        <v>189171</v>
      </c>
      <c r="J66" s="1246">
        <v>33517</v>
      </c>
      <c r="K66" s="1247"/>
      <c r="L66" s="1247"/>
      <c r="M66" s="1247"/>
      <c r="N66" s="1247"/>
      <c r="O66" s="1247"/>
      <c r="P66" s="1246"/>
      <c r="Q66" s="1247"/>
      <c r="R66" s="1248"/>
    </row>
    <row r="67" spans="1:18" s="1260" customFormat="1" ht="16.5" thickBot="1" x14ac:dyDescent="0.3">
      <c r="A67" s="1238"/>
      <c r="B67" s="1249"/>
      <c r="C67" s="1240" t="s">
        <v>3382</v>
      </c>
      <c r="D67" s="1251">
        <v>36377</v>
      </c>
      <c r="E67" s="1251">
        <v>30909</v>
      </c>
      <c r="F67" s="1251">
        <v>24360</v>
      </c>
      <c r="G67" s="1251">
        <v>17271</v>
      </c>
      <c r="H67" s="1252">
        <v>11668</v>
      </c>
      <c r="I67" s="1252">
        <v>6013</v>
      </c>
      <c r="J67" s="1252">
        <v>905</v>
      </c>
      <c r="K67" s="1252"/>
      <c r="L67" s="1252"/>
      <c r="M67" s="1252"/>
      <c r="N67" s="1252"/>
      <c r="O67" s="1252"/>
      <c r="P67" s="1251"/>
      <c r="Q67" s="1252"/>
      <c r="R67" s="1253"/>
    </row>
    <row r="68" spans="1:18" s="1260" customFormat="1" ht="67.5" customHeight="1" x14ac:dyDescent="0.25">
      <c r="A68" s="1233">
        <v>4986010</v>
      </c>
      <c r="B68" s="1234" t="s">
        <v>3425</v>
      </c>
      <c r="C68" s="1234" t="s">
        <v>3426</v>
      </c>
      <c r="D68" s="1246">
        <v>500500</v>
      </c>
      <c r="E68" s="1246">
        <v>500500</v>
      </c>
      <c r="F68" s="1246">
        <v>550500</v>
      </c>
      <c r="G68" s="1246">
        <v>600500</v>
      </c>
      <c r="H68" s="1247">
        <v>600500</v>
      </c>
      <c r="I68" s="1246">
        <v>532510</v>
      </c>
      <c r="J68" s="1246"/>
      <c r="K68" s="1247"/>
      <c r="L68" s="1247"/>
      <c r="M68" s="1247"/>
      <c r="N68" s="1247"/>
      <c r="O68" s="1247"/>
      <c r="P68" s="1246"/>
      <c r="Q68" s="1247"/>
      <c r="R68" s="1248"/>
    </row>
    <row r="69" spans="1:18" s="1260" customFormat="1" ht="16.5" thickBot="1" x14ac:dyDescent="0.3">
      <c r="A69" s="1238"/>
      <c r="B69" s="1249">
        <v>2016</v>
      </c>
      <c r="C69" s="1240" t="s">
        <v>3382</v>
      </c>
      <c r="D69" s="1251">
        <v>88695</v>
      </c>
      <c r="E69" s="1251">
        <v>75182</v>
      </c>
      <c r="F69" s="1251">
        <v>61668</v>
      </c>
      <c r="G69" s="1251">
        <v>46805</v>
      </c>
      <c r="H69" s="1251">
        <v>30591</v>
      </c>
      <c r="I69" s="1251">
        <v>14378</v>
      </c>
      <c r="J69" s="1251"/>
      <c r="K69" s="1252"/>
      <c r="L69" s="1252"/>
      <c r="M69" s="1252"/>
      <c r="N69" s="1252"/>
      <c r="O69" s="1252"/>
      <c r="P69" s="1251"/>
      <c r="Q69" s="1252"/>
      <c r="R69" s="1253"/>
    </row>
    <row r="70" spans="1:18" s="1260" customFormat="1" ht="21.75" customHeight="1" x14ac:dyDescent="0.25">
      <c r="A70" s="1233">
        <v>1082988</v>
      </c>
      <c r="B70" s="1234">
        <v>2014</v>
      </c>
      <c r="C70" s="1319" t="s">
        <v>3427</v>
      </c>
      <c r="D70" s="1246">
        <v>181883</v>
      </c>
      <c r="E70" s="1246"/>
      <c r="F70" s="1246"/>
      <c r="G70" s="1246"/>
      <c r="H70" s="1247"/>
      <c r="I70" s="1246"/>
      <c r="J70" s="1246"/>
      <c r="K70" s="1247"/>
      <c r="L70" s="1247"/>
      <c r="M70" s="1247"/>
      <c r="N70" s="1247"/>
      <c r="O70" s="1247"/>
      <c r="P70" s="1246"/>
      <c r="Q70" s="1247"/>
      <c r="R70" s="1248"/>
    </row>
    <row r="71" spans="1:18" s="1260" customFormat="1" ht="19.5" customHeight="1" thickBot="1" x14ac:dyDescent="0.3">
      <c r="A71" s="1238"/>
      <c r="B71" s="1239"/>
      <c r="C71" s="1249" t="s">
        <v>3382</v>
      </c>
      <c r="D71" s="1280">
        <v>5186</v>
      </c>
      <c r="E71" s="1280"/>
      <c r="F71" s="1280"/>
      <c r="G71" s="1280"/>
      <c r="H71" s="1281"/>
      <c r="I71" s="1280"/>
      <c r="J71" s="1280"/>
      <c r="K71" s="1281"/>
      <c r="L71" s="1281"/>
      <c r="M71" s="1281"/>
      <c r="N71" s="1281"/>
      <c r="O71" s="1281"/>
      <c r="P71" s="1280"/>
      <c r="Q71" s="1281"/>
      <c r="R71" s="1282"/>
    </row>
    <row r="72" spans="1:18" s="1260" customFormat="1" ht="57.75" customHeight="1" x14ac:dyDescent="0.25">
      <c r="A72" s="1233">
        <v>5369974</v>
      </c>
      <c r="B72" s="1309" t="s">
        <v>3425</v>
      </c>
      <c r="C72" s="1309" t="s">
        <v>3428</v>
      </c>
      <c r="D72" s="1246">
        <v>650000</v>
      </c>
      <c r="E72" s="1310">
        <v>650000</v>
      </c>
      <c r="F72" s="1310">
        <v>650000</v>
      </c>
      <c r="G72" s="1310">
        <v>650000</v>
      </c>
      <c r="H72" s="1310">
        <v>700000</v>
      </c>
      <c r="I72" s="1311">
        <v>769974</v>
      </c>
      <c r="J72" s="1310"/>
      <c r="K72" s="1247"/>
      <c r="L72" s="1247"/>
      <c r="M72" s="1247"/>
      <c r="N72" s="1247"/>
      <c r="O72" s="1247"/>
      <c r="P72" s="1246"/>
      <c r="Q72" s="1247"/>
      <c r="R72" s="1248"/>
    </row>
    <row r="73" spans="1:18" s="1260" customFormat="1" ht="16.5" customHeight="1" thickBot="1" x14ac:dyDescent="0.3">
      <c r="A73" s="1238"/>
      <c r="B73" s="1318"/>
      <c r="C73" s="1320" t="s">
        <v>3429</v>
      </c>
      <c r="D73" s="1316">
        <v>109889</v>
      </c>
      <c r="E73" s="1316">
        <v>92339</v>
      </c>
      <c r="F73" s="1316">
        <v>74789</v>
      </c>
      <c r="G73" s="1316">
        <v>57239</v>
      </c>
      <c r="H73" s="1317">
        <v>39689</v>
      </c>
      <c r="I73" s="1316">
        <v>20789</v>
      </c>
      <c r="J73" s="1316"/>
      <c r="K73" s="1252"/>
      <c r="L73" s="1252"/>
      <c r="M73" s="1252"/>
      <c r="N73" s="1252"/>
      <c r="O73" s="1252"/>
      <c r="P73" s="1251"/>
      <c r="Q73" s="1252"/>
      <c r="R73" s="1253"/>
    </row>
    <row r="74" spans="1:18" s="1321" customFormat="1" ht="47.25" x14ac:dyDescent="0.25">
      <c r="A74" s="1233">
        <v>662019</v>
      </c>
      <c r="B74" s="1309" t="s">
        <v>3425</v>
      </c>
      <c r="C74" s="1309" t="s">
        <v>3430</v>
      </c>
      <c r="D74" s="1310">
        <v>87758</v>
      </c>
      <c r="E74" s="1310"/>
      <c r="F74" s="1310"/>
      <c r="G74" s="1310"/>
      <c r="H74" s="1310"/>
      <c r="I74" s="1310"/>
      <c r="J74" s="1310"/>
      <c r="K74" s="1311"/>
      <c r="L74" s="1311"/>
      <c r="M74" s="1311"/>
      <c r="N74" s="1311"/>
      <c r="O74" s="1311"/>
      <c r="P74" s="1310"/>
      <c r="Q74" s="1311"/>
      <c r="R74" s="1248"/>
    </row>
    <row r="75" spans="1:18" s="1321" customFormat="1" ht="16.5" thickBot="1" x14ac:dyDescent="0.3">
      <c r="A75" s="1238"/>
      <c r="B75" s="1318"/>
      <c r="C75" s="1320" t="s">
        <v>3382</v>
      </c>
      <c r="D75" s="1316">
        <v>2369</v>
      </c>
      <c r="E75" s="1316"/>
      <c r="F75" s="1316"/>
      <c r="G75" s="1316"/>
      <c r="H75" s="1316"/>
      <c r="I75" s="1316"/>
      <c r="J75" s="1316"/>
      <c r="K75" s="1317"/>
      <c r="L75" s="1317"/>
      <c r="M75" s="1317"/>
      <c r="N75" s="1317"/>
      <c r="O75" s="1317"/>
      <c r="P75" s="1316"/>
      <c r="Q75" s="1317"/>
      <c r="R75" s="1253"/>
    </row>
    <row r="76" spans="1:18" s="1321" customFormat="1" ht="46.5" customHeight="1" x14ac:dyDescent="0.25">
      <c r="A76" s="1233">
        <f>3549134-88557+189120</f>
        <v>3649697</v>
      </c>
      <c r="B76" s="1234" t="s">
        <v>3425</v>
      </c>
      <c r="C76" s="1234" t="s">
        <v>3431</v>
      </c>
      <c r="D76" s="1246">
        <f>300000-300000</f>
        <v>0</v>
      </c>
      <c r="E76" s="1246">
        <f>300000-163982</f>
        <v>136018</v>
      </c>
      <c r="F76" s="1246">
        <f>300000</f>
        <v>300000</v>
      </c>
      <c r="G76" s="1246">
        <f>300000</f>
        <v>300000</v>
      </c>
      <c r="H76" s="1247">
        <v>520000</v>
      </c>
      <c r="I76" s="1246">
        <v>540577</v>
      </c>
      <c r="J76" s="1310"/>
      <c r="K76" s="1311"/>
      <c r="L76" s="1311"/>
      <c r="M76" s="1311"/>
      <c r="N76" s="1311"/>
      <c r="O76" s="1311"/>
      <c r="P76" s="1310"/>
      <c r="Q76" s="1311"/>
      <c r="R76" s="1248"/>
    </row>
    <row r="77" spans="1:18" s="1321" customFormat="1" ht="16.5" thickBot="1" x14ac:dyDescent="0.3">
      <c r="A77" s="1238"/>
      <c r="B77" s="1249"/>
      <c r="C77" s="1240" t="s">
        <v>3382</v>
      </c>
      <c r="D77" s="1251">
        <v>48508</v>
      </c>
      <c r="E77" s="1251">
        <v>40408</v>
      </c>
      <c r="F77" s="1251">
        <v>32308</v>
      </c>
      <c r="G77" s="1251">
        <v>24208</v>
      </c>
      <c r="H77" s="1252">
        <v>16108</v>
      </c>
      <c r="I77" s="1251">
        <v>7468</v>
      </c>
      <c r="J77" s="1251"/>
      <c r="K77" s="1317"/>
      <c r="L77" s="1317"/>
      <c r="M77" s="1317"/>
      <c r="N77" s="1317"/>
      <c r="O77" s="1317"/>
      <c r="P77" s="1316"/>
      <c r="Q77" s="1317"/>
      <c r="R77" s="1253"/>
    </row>
    <row r="78" spans="1:18" s="1321" customFormat="1" ht="31.5" x14ac:dyDescent="0.25">
      <c r="A78" s="1272">
        <v>2404762</v>
      </c>
      <c r="B78" s="1273">
        <v>2015</v>
      </c>
      <c r="C78" s="1234" t="s">
        <v>3432</v>
      </c>
      <c r="D78" s="1276">
        <v>235000</v>
      </c>
      <c r="E78" s="1276">
        <v>243000</v>
      </c>
      <c r="F78" s="1276">
        <v>243000</v>
      </c>
      <c r="G78" s="1276">
        <v>243000</v>
      </c>
      <c r="H78" s="1276">
        <v>243000</v>
      </c>
      <c r="I78" s="1276">
        <v>243000</v>
      </c>
      <c r="J78" s="1276">
        <v>241762</v>
      </c>
      <c r="K78" s="1322"/>
      <c r="L78" s="1322"/>
      <c r="M78" s="1322"/>
      <c r="N78" s="1322"/>
      <c r="O78" s="1322"/>
      <c r="P78" s="1323"/>
      <c r="Q78" s="1322"/>
      <c r="R78" s="1282"/>
    </row>
    <row r="79" spans="1:18" s="1321" customFormat="1" ht="16.5" thickBot="1" x14ac:dyDescent="0.3">
      <c r="A79" s="1254"/>
      <c r="B79" s="1255"/>
      <c r="C79" s="1240" t="s">
        <v>3429</v>
      </c>
      <c r="D79" s="1257">
        <v>45678</v>
      </c>
      <c r="E79" s="1257">
        <v>39333</v>
      </c>
      <c r="F79" s="1257">
        <v>32772</v>
      </c>
      <c r="G79" s="1257">
        <v>26211</v>
      </c>
      <c r="H79" s="1256">
        <v>19650</v>
      </c>
      <c r="I79" s="1257">
        <v>13089</v>
      </c>
      <c r="J79" s="1257">
        <v>6528</v>
      </c>
      <c r="K79" s="1324"/>
      <c r="L79" s="1324"/>
      <c r="M79" s="1324"/>
      <c r="N79" s="1324"/>
      <c r="O79" s="1324"/>
      <c r="P79" s="1325"/>
      <c r="Q79" s="1324"/>
      <c r="R79" s="1258"/>
    </row>
    <row r="80" spans="1:18" s="1321" customFormat="1" ht="47.25" x14ac:dyDescent="0.25">
      <c r="A80" s="1233">
        <v>5460411</v>
      </c>
      <c r="B80" s="1234" t="s">
        <v>3433</v>
      </c>
      <c r="C80" s="1326" t="s">
        <v>3434</v>
      </c>
      <c r="D80" s="1247">
        <v>546041</v>
      </c>
      <c r="E80" s="1247">
        <v>546041</v>
      </c>
      <c r="F80" s="1247">
        <v>546041</v>
      </c>
      <c r="G80" s="1247">
        <v>546041</v>
      </c>
      <c r="H80" s="1247">
        <v>546041</v>
      </c>
      <c r="I80" s="1247">
        <v>546041</v>
      </c>
      <c r="J80" s="1247">
        <v>546041</v>
      </c>
      <c r="K80" s="1247">
        <v>546041</v>
      </c>
      <c r="L80" s="1310"/>
      <c r="M80" s="1311"/>
      <c r="N80" s="1310"/>
      <c r="O80" s="1311"/>
      <c r="P80" s="1310"/>
      <c r="Q80" s="1311"/>
      <c r="R80" s="1248"/>
    </row>
    <row r="81" spans="1:18" s="1321" customFormat="1" ht="16.5" thickBot="1" x14ac:dyDescent="0.3">
      <c r="A81" s="1238"/>
      <c r="B81" s="1249"/>
      <c r="C81" s="1327" t="s">
        <v>3382</v>
      </c>
      <c r="D81" s="1252">
        <v>117945</v>
      </c>
      <c r="E81" s="1252">
        <v>103202</v>
      </c>
      <c r="F81" s="1252">
        <v>88459</v>
      </c>
      <c r="G81" s="1252">
        <v>73716</v>
      </c>
      <c r="H81" s="1252">
        <v>58972</v>
      </c>
      <c r="I81" s="1252">
        <v>44229</v>
      </c>
      <c r="J81" s="1252">
        <v>29486</v>
      </c>
      <c r="K81" s="1252">
        <v>14743</v>
      </c>
      <c r="L81" s="1316"/>
      <c r="M81" s="1317"/>
      <c r="N81" s="1316"/>
      <c r="O81" s="1317"/>
      <c r="P81" s="1316"/>
      <c r="Q81" s="1317"/>
      <c r="R81" s="1253"/>
    </row>
    <row r="82" spans="1:18" s="1321" customFormat="1" ht="31.5" x14ac:dyDescent="0.25">
      <c r="A82" s="1233">
        <v>1156633</v>
      </c>
      <c r="B82" s="1234">
        <v>2016</v>
      </c>
      <c r="C82" s="1234" t="s">
        <v>3435</v>
      </c>
      <c r="D82" s="1246">
        <v>121216</v>
      </c>
      <c r="E82" s="1246">
        <v>121216</v>
      </c>
      <c r="F82" s="1246">
        <v>121216</v>
      </c>
      <c r="G82" s="1246">
        <v>121216</v>
      </c>
      <c r="H82" s="1246">
        <v>121216</v>
      </c>
      <c r="I82" s="1246">
        <v>121216</v>
      </c>
      <c r="J82" s="1246">
        <v>93452</v>
      </c>
      <c r="K82" s="1246">
        <v>93453</v>
      </c>
      <c r="L82" s="1310"/>
      <c r="M82" s="1311"/>
      <c r="N82" s="1310"/>
      <c r="O82" s="1311"/>
      <c r="P82" s="1310"/>
      <c r="Q82" s="1311"/>
      <c r="R82" s="1248"/>
    </row>
    <row r="83" spans="1:18" s="1321" customFormat="1" ht="16.5" thickBot="1" x14ac:dyDescent="0.3">
      <c r="A83" s="1238"/>
      <c r="B83" s="1249"/>
      <c r="C83" s="1240" t="s">
        <v>3382</v>
      </c>
      <c r="D83" s="1251">
        <v>24683</v>
      </c>
      <c r="E83" s="1251">
        <v>21411</v>
      </c>
      <c r="F83" s="1251">
        <v>18138</v>
      </c>
      <c r="G83" s="1251">
        <v>14865</v>
      </c>
      <c r="H83" s="1251">
        <v>11592</v>
      </c>
      <c r="I83" s="1251">
        <v>8319</v>
      </c>
      <c r="J83" s="1251">
        <v>5046</v>
      </c>
      <c r="K83" s="1251">
        <v>2523</v>
      </c>
      <c r="L83" s="1316"/>
      <c r="M83" s="1317"/>
      <c r="N83" s="1316"/>
      <c r="O83" s="1317"/>
      <c r="P83" s="1316"/>
      <c r="Q83" s="1317"/>
      <c r="R83" s="1253"/>
    </row>
    <row r="84" spans="1:18" s="1260" customFormat="1" ht="39" customHeight="1" x14ac:dyDescent="0.25">
      <c r="A84" s="1308">
        <v>722842.29</v>
      </c>
      <c r="B84" s="1234">
        <v>2017</v>
      </c>
      <c r="C84" s="1234" t="s">
        <v>3436</v>
      </c>
      <c r="D84" s="1246">
        <v>70000</v>
      </c>
      <c r="E84" s="1246">
        <v>70000</v>
      </c>
      <c r="F84" s="1246">
        <v>70000</v>
      </c>
      <c r="G84" s="1246">
        <v>74000</v>
      </c>
      <c r="H84" s="1246">
        <v>75000</v>
      </c>
      <c r="I84" s="1246">
        <v>75000</v>
      </c>
      <c r="J84" s="1246">
        <v>75000</v>
      </c>
      <c r="K84" s="1246">
        <v>75000</v>
      </c>
      <c r="L84" s="1310">
        <v>63842.29</v>
      </c>
      <c r="M84" s="1246"/>
      <c r="N84" s="1246"/>
      <c r="O84" s="1247"/>
      <c r="P84" s="1246"/>
      <c r="Q84" s="1247"/>
      <c r="R84" s="1248"/>
    </row>
    <row r="85" spans="1:18" s="1260" customFormat="1" ht="17.25" customHeight="1" thickBot="1" x14ac:dyDescent="0.3">
      <c r="A85" s="1238"/>
      <c r="B85" s="1249"/>
      <c r="C85" s="1240" t="s">
        <v>3382</v>
      </c>
      <c r="D85" s="1251">
        <v>17492</v>
      </c>
      <c r="E85" s="1251">
        <v>15602</v>
      </c>
      <c r="F85" s="1251">
        <v>13712</v>
      </c>
      <c r="G85" s="1251">
        <v>11822</v>
      </c>
      <c r="H85" s="1251">
        <v>9824</v>
      </c>
      <c r="I85" s="1251">
        <v>7799</v>
      </c>
      <c r="J85" s="1251">
        <v>5774</v>
      </c>
      <c r="K85" s="1251">
        <v>3749</v>
      </c>
      <c r="L85" s="1251">
        <v>1724</v>
      </c>
      <c r="M85" s="1252"/>
      <c r="N85" s="1252"/>
      <c r="O85" s="1252"/>
      <c r="P85" s="1251"/>
      <c r="Q85" s="1252"/>
      <c r="R85" s="1253"/>
    </row>
    <row r="86" spans="1:18" s="1260" customFormat="1" ht="36" customHeight="1" x14ac:dyDescent="0.25">
      <c r="A86" s="1233">
        <f>1623799+390249</f>
        <v>2014048</v>
      </c>
      <c r="B86" s="1234">
        <v>2018</v>
      </c>
      <c r="C86" s="1245" t="s">
        <v>3437</v>
      </c>
      <c r="D86" s="1247">
        <v>200000</v>
      </c>
      <c r="E86" s="1247">
        <v>200000</v>
      </c>
      <c r="F86" s="1247">
        <v>110000</v>
      </c>
      <c r="G86" s="1247">
        <v>200000</v>
      </c>
      <c r="H86" s="1247">
        <v>200000</v>
      </c>
      <c r="I86" s="1247">
        <v>200000</v>
      </c>
      <c r="J86" s="1247">
        <v>200000</v>
      </c>
      <c r="K86" s="1247">
        <v>200000</v>
      </c>
      <c r="L86" s="1247">
        <v>250000</v>
      </c>
      <c r="M86" s="1247">
        <v>254048</v>
      </c>
      <c r="N86" s="1247"/>
      <c r="O86" s="1247"/>
      <c r="P86" s="1246"/>
      <c r="Q86" s="1247"/>
      <c r="R86" s="1248"/>
    </row>
    <row r="87" spans="1:18" s="1260" customFormat="1" ht="17.25" customHeight="1" thickBot="1" x14ac:dyDescent="0.3">
      <c r="A87" s="1254"/>
      <c r="B87" s="1255"/>
      <c r="C87" s="1250" t="s">
        <v>3382</v>
      </c>
      <c r="D87" s="1256">
        <v>54380</v>
      </c>
      <c r="E87" s="1256">
        <v>48979</v>
      </c>
      <c r="F87" s="1256">
        <v>43579</v>
      </c>
      <c r="G87" s="1256">
        <v>40610</v>
      </c>
      <c r="H87" s="1256">
        <v>35209</v>
      </c>
      <c r="I87" s="1256">
        <v>29809</v>
      </c>
      <c r="J87" s="1256">
        <v>24409</v>
      </c>
      <c r="K87" s="1256">
        <v>19009</v>
      </c>
      <c r="L87" s="1256">
        <v>13610</v>
      </c>
      <c r="M87" s="1256">
        <v>6860</v>
      </c>
      <c r="N87" s="1256"/>
      <c r="O87" s="1256"/>
      <c r="P87" s="1257"/>
      <c r="Q87" s="1256"/>
      <c r="R87" s="1258"/>
    </row>
    <row r="88" spans="1:18" s="1260" customFormat="1" ht="69.75" customHeight="1" x14ac:dyDescent="0.25">
      <c r="A88" s="1233">
        <f>831574+674172</f>
        <v>1505746</v>
      </c>
      <c r="B88" s="1234">
        <v>2018</v>
      </c>
      <c r="C88" s="1245" t="s">
        <v>3438</v>
      </c>
      <c r="D88" s="1246">
        <v>809607</v>
      </c>
      <c r="E88" s="1246">
        <f>301150-301150</f>
        <v>0</v>
      </c>
      <c r="F88" s="1246">
        <f>301150-207307</f>
        <v>93843</v>
      </c>
      <c r="G88" s="1246">
        <v>435981</v>
      </c>
      <c r="H88" s="1246"/>
      <c r="I88" s="1246"/>
      <c r="J88" s="1246"/>
      <c r="K88" s="1246"/>
      <c r="L88" s="1246"/>
      <c r="M88" s="1247"/>
      <c r="N88" s="1246"/>
      <c r="O88" s="1247"/>
      <c r="P88" s="1246"/>
      <c r="Q88" s="1247"/>
      <c r="R88" s="1248"/>
    </row>
    <row r="89" spans="1:18" s="1260" customFormat="1" ht="17.25" customHeight="1" thickBot="1" x14ac:dyDescent="0.3">
      <c r="A89" s="1254"/>
      <c r="B89" s="1255"/>
      <c r="C89" s="1328" t="s">
        <v>3382</v>
      </c>
      <c r="D89" s="1257">
        <v>36165</v>
      </c>
      <c r="E89" s="1257">
        <v>28033</v>
      </c>
      <c r="F89" s="1257">
        <v>19903</v>
      </c>
      <c r="G89" s="1257">
        <v>11771</v>
      </c>
      <c r="H89" s="1257"/>
      <c r="I89" s="1257"/>
      <c r="J89" s="1257"/>
      <c r="K89" s="1257"/>
      <c r="L89" s="1257"/>
      <c r="M89" s="1256"/>
      <c r="N89" s="1257"/>
      <c r="O89" s="1256"/>
      <c r="P89" s="1257"/>
      <c r="Q89" s="1256"/>
      <c r="R89" s="1258"/>
    </row>
    <row r="90" spans="1:18" s="1260" customFormat="1" ht="32.25" customHeight="1" x14ac:dyDescent="0.25">
      <c r="A90" s="1308">
        <v>1014552</v>
      </c>
      <c r="B90" s="1234" t="s">
        <v>3439</v>
      </c>
      <c r="C90" s="1245" t="s">
        <v>3440</v>
      </c>
      <c r="D90" s="1310"/>
      <c r="E90" s="1310">
        <v>101456</v>
      </c>
      <c r="F90" s="1310">
        <v>101456</v>
      </c>
      <c r="G90" s="1310">
        <v>101455</v>
      </c>
      <c r="H90" s="1310">
        <v>101455</v>
      </c>
      <c r="I90" s="1310">
        <v>101455</v>
      </c>
      <c r="J90" s="1310">
        <v>101455</v>
      </c>
      <c r="K90" s="1310">
        <v>135274</v>
      </c>
      <c r="L90" s="1310">
        <v>135273</v>
      </c>
      <c r="M90" s="1311">
        <v>135273</v>
      </c>
      <c r="N90" s="1246"/>
      <c r="O90" s="1247"/>
      <c r="P90" s="1246"/>
      <c r="Q90" s="1247"/>
      <c r="R90" s="1248"/>
    </row>
    <row r="91" spans="1:18" s="1260" customFormat="1" ht="17.25" customHeight="1" thickBot="1" x14ac:dyDescent="0.3">
      <c r="A91" s="1262"/>
      <c r="B91" s="1279"/>
      <c r="C91" s="1264" t="s">
        <v>3382</v>
      </c>
      <c r="D91" s="1323">
        <v>13881</v>
      </c>
      <c r="E91" s="1323">
        <v>27393</v>
      </c>
      <c r="F91" s="1323">
        <v>24654</v>
      </c>
      <c r="G91" s="1323">
        <v>21914</v>
      </c>
      <c r="H91" s="1323">
        <v>19175</v>
      </c>
      <c r="I91" s="1323">
        <v>16436</v>
      </c>
      <c r="J91" s="1323">
        <v>13696</v>
      </c>
      <c r="K91" s="1323">
        <v>10957</v>
      </c>
      <c r="L91" s="1323">
        <v>7305</v>
      </c>
      <c r="M91" s="1322">
        <v>3652</v>
      </c>
      <c r="N91" s="1280"/>
      <c r="O91" s="1281"/>
      <c r="P91" s="1280"/>
      <c r="Q91" s="1281"/>
      <c r="R91" s="1282"/>
    </row>
    <row r="92" spans="1:18" s="1321" customFormat="1" ht="31.5" x14ac:dyDescent="0.25">
      <c r="A92" s="1272">
        <v>6300200</v>
      </c>
      <c r="B92" s="1329">
        <v>2015</v>
      </c>
      <c r="C92" s="1329" t="s">
        <v>3441</v>
      </c>
      <c r="D92" s="1330">
        <v>320500</v>
      </c>
      <c r="E92" s="1331">
        <v>320500</v>
      </c>
      <c r="F92" s="1330">
        <v>320500</v>
      </c>
      <c r="G92" s="1331">
        <v>320500</v>
      </c>
      <c r="H92" s="1330">
        <v>320500</v>
      </c>
      <c r="I92" s="1331">
        <v>320500</v>
      </c>
      <c r="J92" s="1330">
        <v>320500</v>
      </c>
      <c r="K92" s="1331">
        <v>320500</v>
      </c>
      <c r="L92" s="1330">
        <v>320500</v>
      </c>
      <c r="M92" s="1331">
        <v>320500</v>
      </c>
      <c r="N92" s="1330">
        <v>320500</v>
      </c>
      <c r="O92" s="1331">
        <v>320500</v>
      </c>
      <c r="P92" s="1330">
        <v>320500</v>
      </c>
      <c r="Q92" s="1331">
        <v>320500</v>
      </c>
      <c r="R92" s="1277">
        <f>1492700-320500-320500</f>
        <v>851700</v>
      </c>
    </row>
    <row r="93" spans="1:18" s="1321" customFormat="1" ht="16.5" thickBot="1" x14ac:dyDescent="0.3">
      <c r="A93" s="1332"/>
      <c r="B93" s="1333"/>
      <c r="C93" s="1334" t="s">
        <v>3429</v>
      </c>
      <c r="D93" s="1325">
        <v>144145</v>
      </c>
      <c r="E93" s="1325">
        <v>135491</v>
      </c>
      <c r="F93" s="1325">
        <v>126838</v>
      </c>
      <c r="G93" s="1325">
        <v>118184</v>
      </c>
      <c r="H93" s="1324">
        <v>109531</v>
      </c>
      <c r="I93" s="1325">
        <v>100877</v>
      </c>
      <c r="J93" s="1325">
        <v>92224</v>
      </c>
      <c r="K93" s="1335">
        <v>83570</v>
      </c>
      <c r="L93" s="1335">
        <v>74917</v>
      </c>
      <c r="M93" s="1335">
        <v>66263</v>
      </c>
      <c r="N93" s="1335">
        <v>57610</v>
      </c>
      <c r="O93" s="1256">
        <v>48956</v>
      </c>
      <c r="P93" s="1257">
        <v>40303</v>
      </c>
      <c r="Q93" s="1256">
        <v>31650</v>
      </c>
      <c r="R93" s="1258">
        <f>114949-40303-31650</f>
        <v>42996</v>
      </c>
    </row>
    <row r="94" spans="1:18" s="1260" customFormat="1" ht="20.25" customHeight="1" thickBot="1" x14ac:dyDescent="0.3">
      <c r="A94" s="1295"/>
      <c r="B94" s="1336"/>
      <c r="C94" s="1337" t="s">
        <v>3442</v>
      </c>
      <c r="D94" s="1300"/>
      <c r="E94" s="1300"/>
      <c r="F94" s="1301"/>
      <c r="G94" s="1300"/>
      <c r="H94" s="1301"/>
      <c r="I94" s="1300"/>
      <c r="J94" s="1300"/>
      <c r="K94" s="1301"/>
      <c r="L94" s="1301"/>
      <c r="M94" s="1301"/>
      <c r="N94" s="1301"/>
      <c r="O94" s="1301"/>
      <c r="P94" s="1300"/>
      <c r="Q94" s="1301"/>
      <c r="R94" s="1302"/>
    </row>
    <row r="95" spans="1:18" s="1260" customFormat="1" ht="16.5" customHeight="1" x14ac:dyDescent="0.25">
      <c r="A95" s="1308">
        <v>2110000</v>
      </c>
      <c r="B95" s="1338">
        <v>2003</v>
      </c>
      <c r="C95" s="1338" t="s">
        <v>3443</v>
      </c>
      <c r="D95" s="1310">
        <v>100476</v>
      </c>
      <c r="E95" s="1310"/>
      <c r="F95" s="1310"/>
      <c r="G95" s="1310"/>
      <c r="H95" s="1311"/>
      <c r="I95" s="1310"/>
      <c r="J95" s="1310"/>
      <c r="K95" s="1247"/>
      <c r="L95" s="1247"/>
      <c r="M95" s="1247"/>
      <c r="N95" s="1247"/>
      <c r="O95" s="1247"/>
      <c r="P95" s="1246"/>
      <c r="Q95" s="1247"/>
      <c r="R95" s="1248"/>
    </row>
    <row r="96" spans="1:18" s="1260" customFormat="1" ht="16.5" thickBot="1" x14ac:dyDescent="0.3">
      <c r="A96" s="1312"/>
      <c r="B96" s="1313"/>
      <c r="C96" s="1339" t="s">
        <v>3444</v>
      </c>
      <c r="D96" s="1316">
        <v>3014</v>
      </c>
      <c r="E96" s="1316"/>
      <c r="F96" s="1316"/>
      <c r="G96" s="1316"/>
      <c r="H96" s="1317"/>
      <c r="I96" s="1316"/>
      <c r="J96" s="1316"/>
      <c r="K96" s="1281"/>
      <c r="L96" s="1281"/>
      <c r="M96" s="1281"/>
      <c r="N96" s="1281"/>
      <c r="O96" s="1281"/>
      <c r="P96" s="1280"/>
      <c r="Q96" s="1281"/>
      <c r="R96" s="1282"/>
    </row>
    <row r="97" spans="1:18" s="1260" customFormat="1" ht="16.5" thickBot="1" x14ac:dyDescent="0.3">
      <c r="A97" s="1340">
        <v>1280192</v>
      </c>
      <c r="B97" s="1341" t="s">
        <v>3445</v>
      </c>
      <c r="C97" s="1341" t="s">
        <v>3446</v>
      </c>
      <c r="D97" s="1342">
        <v>79835.914422797825</v>
      </c>
      <c r="E97" s="1342">
        <v>78672.005281700156</v>
      </c>
      <c r="F97" s="1342">
        <v>77508</v>
      </c>
      <c r="G97" s="1342">
        <v>76343</v>
      </c>
      <c r="H97" s="1343">
        <v>75178</v>
      </c>
      <c r="I97" s="1342">
        <v>74013</v>
      </c>
      <c r="J97" s="1342">
        <v>72848</v>
      </c>
      <c r="K97" s="1344">
        <v>71683</v>
      </c>
      <c r="L97" s="1344">
        <v>70518</v>
      </c>
      <c r="M97" s="1344">
        <v>46534</v>
      </c>
      <c r="N97" s="1344"/>
      <c r="O97" s="1344"/>
      <c r="P97" s="1345"/>
      <c r="Q97" s="1344"/>
      <c r="R97" s="1346"/>
    </row>
    <row r="98" spans="1:18" s="1260" customFormat="1" ht="31.5" x14ac:dyDescent="0.25">
      <c r="A98" s="1308">
        <v>1708</v>
      </c>
      <c r="B98" s="1309">
        <v>2015</v>
      </c>
      <c r="C98" s="1309" t="s">
        <v>3447</v>
      </c>
      <c r="D98" s="1311">
        <v>171</v>
      </c>
      <c r="E98" s="1311">
        <v>171</v>
      </c>
      <c r="F98" s="1311">
        <v>171</v>
      </c>
      <c r="G98" s="1311">
        <v>171</v>
      </c>
      <c r="H98" s="1311">
        <v>171</v>
      </c>
      <c r="I98" s="1311">
        <v>171</v>
      </c>
      <c r="J98" s="1311">
        <v>171</v>
      </c>
      <c r="K98" s="1311">
        <v>171</v>
      </c>
      <c r="L98" s="1247">
        <v>71</v>
      </c>
      <c r="M98" s="1247"/>
      <c r="N98" s="1247"/>
      <c r="O98" s="1247"/>
      <c r="P98" s="1246"/>
      <c r="Q98" s="1247"/>
      <c r="R98" s="1248"/>
    </row>
    <row r="99" spans="1:18" s="1260" customFormat="1" ht="16.5" thickBot="1" x14ac:dyDescent="0.3">
      <c r="A99" s="1332"/>
      <c r="B99" s="1333"/>
      <c r="C99" s="1334" t="s">
        <v>3448</v>
      </c>
      <c r="D99" s="1324">
        <v>35</v>
      </c>
      <c r="E99" s="1324">
        <v>30</v>
      </c>
      <c r="F99" s="1324">
        <v>26</v>
      </c>
      <c r="G99" s="1324">
        <v>22</v>
      </c>
      <c r="H99" s="1324">
        <v>17</v>
      </c>
      <c r="I99" s="1324">
        <v>13</v>
      </c>
      <c r="J99" s="1324">
        <v>9</v>
      </c>
      <c r="K99" s="1256">
        <v>4</v>
      </c>
      <c r="L99" s="1256">
        <v>1</v>
      </c>
      <c r="M99" s="1256"/>
      <c r="N99" s="1256"/>
      <c r="O99" s="1256"/>
      <c r="P99" s="1257"/>
      <c r="Q99" s="1256"/>
      <c r="R99" s="1258"/>
    </row>
    <row r="100" spans="1:18" s="1260" customFormat="1" ht="31.5" x14ac:dyDescent="0.25">
      <c r="A100" s="1285">
        <v>1707</v>
      </c>
      <c r="B100" s="1347">
        <v>2015</v>
      </c>
      <c r="C100" s="1245" t="s">
        <v>3449</v>
      </c>
      <c r="D100" s="1261">
        <v>171</v>
      </c>
      <c r="E100" s="1261">
        <v>171</v>
      </c>
      <c r="F100" s="1261">
        <v>171</v>
      </c>
      <c r="G100" s="1261">
        <v>171</v>
      </c>
      <c r="H100" s="1261">
        <v>171</v>
      </c>
      <c r="I100" s="1261">
        <v>171</v>
      </c>
      <c r="J100" s="1261">
        <v>171</v>
      </c>
      <c r="K100" s="1261">
        <v>171</v>
      </c>
      <c r="L100" s="1261">
        <v>71</v>
      </c>
      <c r="M100" s="1348"/>
      <c r="N100" s="1348"/>
      <c r="O100" s="1348"/>
      <c r="P100" s="1349"/>
      <c r="Q100" s="1348"/>
      <c r="R100" s="1350"/>
    </row>
    <row r="101" spans="1:18" ht="17.25" customHeight="1" thickBot="1" x14ac:dyDescent="0.3">
      <c r="A101" s="1351"/>
      <c r="B101" s="1352"/>
      <c r="C101" s="1334" t="s">
        <v>3450</v>
      </c>
      <c r="D101" s="1324">
        <v>35</v>
      </c>
      <c r="E101" s="1324">
        <v>30</v>
      </c>
      <c r="F101" s="1324">
        <v>26</v>
      </c>
      <c r="G101" s="1324">
        <v>22</v>
      </c>
      <c r="H101" s="1324">
        <v>17</v>
      </c>
      <c r="I101" s="1324">
        <v>13</v>
      </c>
      <c r="J101" s="1324">
        <v>9</v>
      </c>
      <c r="K101" s="1256">
        <v>4</v>
      </c>
      <c r="L101" s="1256">
        <v>1</v>
      </c>
      <c r="M101" s="1256"/>
      <c r="N101" s="1256"/>
      <c r="O101" s="1256"/>
      <c r="P101" s="1257"/>
      <c r="Q101" s="1256"/>
      <c r="R101" s="1258"/>
    </row>
    <row r="102" spans="1:18" ht="63.75" customHeight="1" x14ac:dyDescent="0.25">
      <c r="A102" s="1308">
        <v>13860510</v>
      </c>
      <c r="B102" s="1353" t="s">
        <v>3451</v>
      </c>
      <c r="C102" s="1309" t="s">
        <v>3452</v>
      </c>
      <c r="D102" s="1310"/>
      <c r="E102" s="1310"/>
      <c r="F102" s="1310">
        <v>539992</v>
      </c>
      <c r="G102" s="1310">
        <v>720028</v>
      </c>
      <c r="H102" s="1310">
        <v>720028</v>
      </c>
      <c r="I102" s="1310">
        <v>720028</v>
      </c>
      <c r="J102" s="1310">
        <v>720028</v>
      </c>
      <c r="K102" s="1310">
        <v>720028</v>
      </c>
      <c r="L102" s="1310">
        <v>720028</v>
      </c>
      <c r="M102" s="1310">
        <v>720028</v>
      </c>
      <c r="N102" s="1310">
        <v>720028</v>
      </c>
      <c r="O102" s="1310">
        <v>720028</v>
      </c>
      <c r="P102" s="1310">
        <v>720028</v>
      </c>
      <c r="Q102" s="1311">
        <v>720028</v>
      </c>
      <c r="R102" s="1237">
        <f>A102-SUM(E102:Q102)</f>
        <v>5400210</v>
      </c>
    </row>
    <row r="103" spans="1:18" ht="17.25" customHeight="1" thickBot="1" x14ac:dyDescent="0.3">
      <c r="A103" s="1312"/>
      <c r="B103" s="1354"/>
      <c r="C103" s="1240" t="s">
        <v>3382</v>
      </c>
      <c r="D103" s="1316">
        <v>126429</v>
      </c>
      <c r="E103" s="1316">
        <v>190530</v>
      </c>
      <c r="F103" s="1316">
        <v>374234</v>
      </c>
      <c r="G103" s="1316">
        <v>359654</v>
      </c>
      <c r="H103" s="1317">
        <v>340213</v>
      </c>
      <c r="I103" s="1316">
        <v>320772</v>
      </c>
      <c r="J103" s="1316">
        <v>301332</v>
      </c>
      <c r="K103" s="1252">
        <v>281891</v>
      </c>
      <c r="L103" s="1252">
        <v>262450</v>
      </c>
      <c r="M103" s="1252">
        <v>243009</v>
      </c>
      <c r="N103" s="1252">
        <v>223569</v>
      </c>
      <c r="O103" s="1252">
        <v>204128</v>
      </c>
      <c r="P103" s="1251">
        <v>184687</v>
      </c>
      <c r="Q103" s="1252">
        <v>165246</v>
      </c>
      <c r="R103" s="1253">
        <f>145806+126365+106924+87483+68043+48602+29161</f>
        <v>612384</v>
      </c>
    </row>
    <row r="104" spans="1:18" ht="18" customHeight="1" thickBot="1" x14ac:dyDescent="0.3">
      <c r="A104" s="1312">
        <v>292094</v>
      </c>
      <c r="B104" s="1318" t="s">
        <v>3453</v>
      </c>
      <c r="C104" s="1318" t="s">
        <v>3454</v>
      </c>
      <c r="D104" s="1342"/>
      <c r="E104" s="1342"/>
      <c r="F104" s="1316"/>
      <c r="G104" s="1316"/>
      <c r="H104" s="1317"/>
      <c r="I104" s="1316"/>
      <c r="J104" s="1316"/>
      <c r="K104" s="1344"/>
      <c r="L104" s="1344"/>
      <c r="M104" s="1344"/>
      <c r="N104" s="1344"/>
      <c r="O104" s="1344"/>
      <c r="P104" s="1345"/>
      <c r="Q104" s="1344"/>
      <c r="R104" s="1346"/>
    </row>
    <row r="105" spans="1:18" ht="16.5" thickBot="1" x14ac:dyDescent="0.3">
      <c r="A105" s="1355"/>
      <c r="B105" s="1356"/>
      <c r="C105" s="1357" t="s">
        <v>3455</v>
      </c>
      <c r="D105" s="1252">
        <f>SUM(D13:D104)</f>
        <v>6808527.042672798</v>
      </c>
      <c r="E105" s="1252">
        <f t="shared" ref="E105:R105" si="8">SUM(E13:E104)</f>
        <v>7501273.1226124503</v>
      </c>
      <c r="F105" s="1252">
        <f t="shared" si="8"/>
        <v>9408537.8947659694</v>
      </c>
      <c r="G105" s="1252">
        <f t="shared" si="8"/>
        <v>12077320.318</v>
      </c>
      <c r="H105" s="1252">
        <f t="shared" si="8"/>
        <v>11183389.287999999</v>
      </c>
      <c r="I105" s="1252">
        <f t="shared" si="8"/>
        <v>11010670.034</v>
      </c>
      <c r="J105" s="1252">
        <f t="shared" si="8"/>
        <v>8498291.3209999986</v>
      </c>
      <c r="K105" s="1252">
        <f t="shared" si="8"/>
        <v>7690205.7429999998</v>
      </c>
      <c r="L105" s="1252">
        <f t="shared" si="8"/>
        <v>6992446.0660000006</v>
      </c>
      <c r="M105" s="1252">
        <f t="shared" si="8"/>
        <v>6680350.3629999999</v>
      </c>
      <c r="N105" s="1252">
        <f t="shared" si="8"/>
        <v>6142265.1730000004</v>
      </c>
      <c r="O105" s="1252">
        <f t="shared" si="8"/>
        <v>5483780.9830000009</v>
      </c>
      <c r="P105" s="1251">
        <f t="shared" si="8"/>
        <v>4842871.9440000001</v>
      </c>
      <c r="Q105" s="1251">
        <f t="shared" si="8"/>
        <v>3441483</v>
      </c>
      <c r="R105" s="1346">
        <f t="shared" si="8"/>
        <v>15373666</v>
      </c>
    </row>
    <row r="106" spans="1:18" ht="15.75" x14ac:dyDescent="0.25">
      <c r="A106" s="1358"/>
      <c r="B106" s="1358"/>
      <c r="C106" s="1358"/>
      <c r="D106" s="1359"/>
      <c r="E106" s="1359"/>
      <c r="F106" s="1359"/>
      <c r="G106" s="1359"/>
      <c r="H106" s="1360"/>
      <c r="I106" s="1361"/>
      <c r="J106" s="1361"/>
      <c r="K106" s="1361"/>
      <c r="L106" s="1361"/>
      <c r="M106" s="1361"/>
      <c r="N106" s="1361"/>
      <c r="O106" s="1361"/>
      <c r="P106" s="1362"/>
      <c r="Q106" s="1362"/>
      <c r="R106" s="1363"/>
    </row>
    <row r="107" spans="1:18" ht="15.75" hidden="1" x14ac:dyDescent="0.25">
      <c r="A107" s="1364"/>
      <c r="B107" s="1364"/>
      <c r="C107" s="1365" t="s">
        <v>3456</v>
      </c>
      <c r="D107" s="1360" t="e">
        <f>SUM(D13,#REF!,D15,D23,#REF!,D17,#REF!,D21,D25,D27,#REF!,D29,D31,D33,D35,D37,D39,D41,D43,D45,D47,#REF!,D49,#REF!,D54,D56,D58,D60,D62,D64,D66,D68,D70,D72,D74,D76,D78,D80,D82,D84,D92)</f>
        <v>#REF!</v>
      </c>
      <c r="E107" s="1360" t="e">
        <f>SUM(E13,#REF!,E15,E23,#REF!,E17,#REF!,E21,E25,E27,#REF!,E29,E31,E33,E35,E37,E39,E41,E43,E45,E47,#REF!,E49,#REF!,E54,E56,E58,E60,E62,E64,E66,E68,E70,E72,E74,E76,E78,E80,E82,E84,E92)</f>
        <v>#REF!</v>
      </c>
      <c r="F107" s="1360" t="e">
        <f>SUM(F13,#REF!,F15,F23,#REF!,F17,#REF!,F21,F25,F27,#REF!,F29,F31,F33,F35,F37,F39,F41,F43,F45,F47,#REF!,F49,#REF!,F54,F56,F58,F60,F62,F64,F66,F68,F70,F72,F74,F76,F78,F80,F82,F84,F92)</f>
        <v>#REF!</v>
      </c>
      <c r="G107" s="1360" t="e">
        <f>SUM(G13,#REF!,G15,G23,#REF!,G17,#REF!,G21,G25,G27,#REF!,G29,G31,G33,G35,G37,G39,G41,G43,G45,G47,#REF!,G49,#REF!,G54,G56,G58,G60,G62,G64,G66,G68,G70,G72,G74,G76,G78,G80,G82,G84,G92)</f>
        <v>#REF!</v>
      </c>
      <c r="H107" s="1360" t="e">
        <f>SUM(H13,#REF!,H15,H23,#REF!,H17,#REF!,H21,H25,H27,#REF!,H29,H31,H33,H35,H37,H39,H41,H43,H45,H47,#REF!,H49,#REF!,H54,H56,H58,H60,H62,H64,H66,H68,H70,H72,H74,H76,H78,H80,H82,H84,H92)</f>
        <v>#REF!</v>
      </c>
      <c r="I107" s="1360" t="e">
        <f>SUM(I13,#REF!,I15,I23,#REF!,I17,#REF!,I21,I25,I27,#REF!,I29,I31,I33,I35,I37,I39,I41,I43,I45,I47,#REF!,I49,#REF!,I54,I56,I58,I60,I62,I64,I66,I68,I70,I72,I74,I76,I78,I80,I82,I84,I92)</f>
        <v>#REF!</v>
      </c>
      <c r="J107" s="1360" t="e">
        <f>SUM(J13,#REF!,J15,J23,#REF!,J17,#REF!,J21,J25,J27,#REF!,J29,J31,J33,J35,J37,J39,J41,J43,J45,J47,#REF!,J49,#REF!,J54,J56,J58,J60,J62,J64,J66,J68,J70,J72,J74,J76,J78,J80,J82,J84,J92)</f>
        <v>#REF!</v>
      </c>
      <c r="K107" s="1360" t="e">
        <f>SUM(K13,#REF!,K15,K23,#REF!,K17,#REF!,K21,K25,K27,#REF!,K29,K31,K33,K35,K37,K39,K41,K43,K45,K47,#REF!,K49,#REF!,K54,K56,K58,K60,K62,K64,K66,K68,K70,K72,K74,K76,K78,K80,K82,K84,K92)</f>
        <v>#REF!</v>
      </c>
      <c r="L107" s="1360" t="e">
        <f>SUM(L13,#REF!,L15,L23,#REF!,L17,#REF!,L21,L25,L27,#REF!,L29,L31,L33,L35,L37,L39,L41,L43,L45,L47,#REF!,L49,#REF!,L54,L56,L58,L60,L62,L64,L66,L68,L70,L72,L74,L76,L78,L80,L82,L84,L92)</f>
        <v>#REF!</v>
      </c>
      <c r="M107" s="1360" t="e">
        <f>SUM(M13,#REF!,M15,M23,#REF!,M17,#REF!,M21,M25,M27,#REF!,M29,M31,M33,M35,M37,M39,M41,M43,M45,M47,#REF!,M49,#REF!,M54,M56,M58,M60,M62,M64,M66,M68,M70,M72,M74,M76,M78,M80,M82,M84,M92)</f>
        <v>#REF!</v>
      </c>
      <c r="N107" s="1360" t="e">
        <f>SUM(N13,#REF!,N15,N23,#REF!,N17,#REF!,N21,N25,N27,#REF!,N29,N31,N33,N35,N37,N39,N41,N43,N45,N47,#REF!,N49,#REF!,N54,N56,N58,N60,N62,N64,N66,N68,N70,N72,N74,N76,N78,N80,N82,N84,N92)</f>
        <v>#REF!</v>
      </c>
      <c r="O107" s="1360" t="e">
        <f>SUM(O13,#REF!,O15,O23,#REF!,O17,#REF!,O21,O25,O27,#REF!,O29,O31,O33,O35,O37,O39,O41,O43,O45,O47,#REF!,O49,#REF!,O54,O56,O58,O60,O62,O64,O66,O68,O70,O72,O74,O76,O78,O80,O82,O84,O92)</f>
        <v>#REF!</v>
      </c>
      <c r="P107" s="1360" t="e">
        <f>SUM(P13,#REF!,P15,P23,#REF!,P17,#REF!,P21,P25,P27,#REF!,P29,P31,P33,P35,P37,P39,P41,P43,P45,P47,#REF!,P49,#REF!,P54,P56,P58,P60,P62,P64,P66,P68,P70,P72,P74,P76,P78,P80,P82,P84,P92)</f>
        <v>#REF!</v>
      </c>
      <c r="Q107" s="1360"/>
      <c r="R107" s="1360" t="e">
        <f>SUM(R13,#REF!,R15,R23,#REF!,R17,#REF!,R21,R25,R27,#REF!,R29,R31,R33,R35,R37,R39,R41,R43,R45,R47,#REF!,R49,#REF!,R54,R56,R58,R60,R62,R64,R66,R68,R70,R72,R74,R76,R78,R80,R82,R84,R92)</f>
        <v>#REF!</v>
      </c>
    </row>
    <row r="108" spans="1:18" ht="15.75" hidden="1" x14ac:dyDescent="0.25">
      <c r="A108" s="1364"/>
      <c r="B108" s="1364"/>
      <c r="C108" s="1365" t="s">
        <v>3457</v>
      </c>
      <c r="D108" s="1365"/>
      <c r="E108" s="1365"/>
      <c r="F108" s="1365"/>
      <c r="G108" s="1365"/>
      <c r="H108" s="1360"/>
      <c r="I108" s="1365"/>
      <c r="J108" s="1365"/>
      <c r="K108" s="1365"/>
      <c r="L108" s="1365"/>
      <c r="M108" s="1365"/>
      <c r="N108" s="1365"/>
      <c r="O108" s="1365"/>
      <c r="P108" s="1365"/>
      <c r="Q108" s="1365"/>
      <c r="R108" s="1358"/>
    </row>
    <row r="109" spans="1:18" ht="15.75" hidden="1" x14ac:dyDescent="0.25">
      <c r="A109" s="1364"/>
      <c r="B109" s="1364"/>
      <c r="C109" s="1365"/>
      <c r="D109" s="1365"/>
      <c r="E109" s="1365"/>
      <c r="F109" s="1365"/>
      <c r="G109" s="1365"/>
      <c r="H109" s="1360"/>
      <c r="I109" s="1365"/>
      <c r="J109" s="1365"/>
      <c r="K109" s="1365"/>
      <c r="L109" s="1365"/>
      <c r="M109" s="1365"/>
      <c r="N109" s="1365"/>
      <c r="O109" s="1365"/>
      <c r="P109" s="1365"/>
      <c r="Q109" s="1365"/>
      <c r="R109" s="1358"/>
    </row>
    <row r="110" spans="1:18" ht="15.75" hidden="1" x14ac:dyDescent="0.25">
      <c r="A110" s="1364"/>
      <c r="B110" s="1364"/>
      <c r="C110" s="1365"/>
      <c r="D110" s="1365"/>
      <c r="E110" s="1365"/>
      <c r="F110" s="1365"/>
      <c r="G110" s="1365"/>
      <c r="H110" s="1360"/>
      <c r="I110" s="1365"/>
      <c r="J110" s="1365"/>
      <c r="K110" s="1365"/>
      <c r="L110" s="1365"/>
      <c r="M110" s="1365"/>
      <c r="N110" s="1365"/>
      <c r="O110" s="1365"/>
      <c r="P110" s="1365"/>
      <c r="Q110" s="1365"/>
      <c r="R110" s="1358"/>
    </row>
    <row r="111" spans="1:18" ht="15.75" hidden="1" x14ac:dyDescent="0.25">
      <c r="A111" s="1364"/>
      <c r="B111" s="1364"/>
      <c r="C111" s="1366" t="s">
        <v>3458</v>
      </c>
      <c r="D111" s="1365"/>
      <c r="E111" s="1365"/>
      <c r="F111" s="1365"/>
      <c r="G111" s="1365"/>
      <c r="H111" s="1360"/>
      <c r="I111" s="1365"/>
      <c r="J111" s="1365"/>
      <c r="K111" s="1365"/>
      <c r="L111" s="1365"/>
      <c r="M111" s="1365"/>
      <c r="N111" s="1365"/>
      <c r="O111" s="1365"/>
      <c r="P111" s="1365"/>
      <c r="Q111" s="1365"/>
      <c r="R111" s="1358"/>
    </row>
    <row r="112" spans="1:18" hidden="1" x14ac:dyDescent="0.2">
      <c r="A112" s="1364"/>
      <c r="B112" s="1364"/>
      <c r="C112" s="1364"/>
      <c r="D112" s="1367"/>
      <c r="E112" s="1367"/>
      <c r="F112" s="1367"/>
      <c r="G112" s="1367"/>
      <c r="H112" s="1368"/>
      <c r="I112" s="1367"/>
      <c r="J112" s="1367"/>
      <c r="K112" s="1367"/>
      <c r="L112" s="1367"/>
      <c r="M112" s="1367"/>
      <c r="N112" s="1367"/>
      <c r="O112" s="1367"/>
      <c r="P112" s="1367"/>
      <c r="Q112" s="1367"/>
      <c r="R112" s="1369"/>
    </row>
    <row r="113" spans="1:18" x14ac:dyDescent="0.2">
      <c r="A113" s="1364"/>
      <c r="B113" s="1364"/>
      <c r="C113" s="1364"/>
      <c r="D113" s="1367"/>
      <c r="E113" s="1367"/>
      <c r="F113" s="1367"/>
      <c r="G113" s="1367"/>
      <c r="H113" s="1368"/>
      <c r="I113" s="1367"/>
      <c r="J113" s="1367"/>
      <c r="K113" s="1367"/>
      <c r="L113" s="1367"/>
      <c r="M113" s="1367"/>
      <c r="N113" s="1367"/>
      <c r="O113" s="1367"/>
      <c r="P113" s="1367"/>
      <c r="Q113" s="1367"/>
      <c r="R113" s="1369"/>
    </row>
    <row r="114" spans="1:18" ht="15" x14ac:dyDescent="0.25">
      <c r="A114" s="1187"/>
      <c r="B114" s="1187"/>
      <c r="C114" s="1370" t="s">
        <v>3459</v>
      </c>
      <c r="D114" s="1371">
        <f>SUM(D56,D58,D60,D62,D64,D66,D68,D70,D72,D74,D76,D78,D80,D82,D84,D86,D88,D90,D92)</f>
        <v>5245096</v>
      </c>
      <c r="E114" s="1187"/>
      <c r="F114" s="1187"/>
      <c r="G114" s="1187"/>
      <c r="H114" s="1187"/>
      <c r="I114" s="1187"/>
      <c r="J114" s="1187"/>
      <c r="K114" s="1187"/>
      <c r="L114" s="1187"/>
      <c r="M114" s="1187"/>
      <c r="N114" s="1187"/>
      <c r="O114" s="1187"/>
      <c r="P114" s="1187"/>
      <c r="Q114" s="1187"/>
      <c r="R114" s="1187"/>
    </row>
    <row r="115" spans="1:18" x14ac:dyDescent="0.2">
      <c r="D115" s="1372"/>
    </row>
    <row r="119" spans="1:18" x14ac:dyDescent="0.2">
      <c r="I119" s="1372"/>
    </row>
    <row r="120" spans="1:18" x14ac:dyDescent="0.2">
      <c r="J120" s="1373"/>
    </row>
    <row r="121" spans="1:18" x14ac:dyDescent="0.2">
      <c r="J121" s="1373"/>
    </row>
    <row r="122" spans="1:18" x14ac:dyDescent="0.2">
      <c r="J122" s="1373"/>
    </row>
    <row r="123" spans="1:18" x14ac:dyDescent="0.2">
      <c r="J123" s="1373"/>
    </row>
    <row r="124" spans="1:18" x14ac:dyDescent="0.2">
      <c r="J124" s="1373"/>
    </row>
    <row r="125" spans="1:18" x14ac:dyDescent="0.2">
      <c r="J125" s="1373"/>
    </row>
    <row r="126" spans="1:18" x14ac:dyDescent="0.2">
      <c r="J126" s="1373"/>
    </row>
    <row r="127" spans="1:18" x14ac:dyDescent="0.2">
      <c r="J127" s="1373"/>
    </row>
    <row r="128" spans="1:18" x14ac:dyDescent="0.2">
      <c r="J128" s="1373"/>
    </row>
    <row r="129" spans="10:10" x14ac:dyDescent="0.2">
      <c r="J129" s="1373"/>
    </row>
  </sheetData>
  <sheetProtection algorithmName="SHA-512" hashValue="WA1eDCMNkfgyTMPKo6TcYkK74vXhtxHuNsCSmRoa8rbFJGoGeje2TQNJDgUE+jOS1VNsr4+2VbKhAJhk1ojCow==" saltValue="z3UOiAT0dmYWxMi9jkY0FA==" spinCount="100000" sheet="1" objects="1" scenarios="1"/>
  <mergeCells count="3">
    <mergeCell ref="A1:R1"/>
    <mergeCell ref="C7:C8"/>
    <mergeCell ref="C9:C10"/>
  </mergeCells>
  <pageMargins left="0.19685039370078741" right="0.19685039370078741" top="0.59055118110236227" bottom="0.39370078740157483" header="0.23622047244094491" footer="0.23622047244094491"/>
  <pageSetup paperSize="9" scale="50" orientation="landscape" r:id="rId1"/>
  <headerFooter differentFirst="1">
    <oddFooter>&amp;L&amp;"Times New Roman,Regular"&amp;9&amp;D; &amp;T&amp;R&amp;"Times New Roman,Regular"&amp;9&amp;P (&amp;N)</oddFooter>
    <firstHeader xml:space="preserve">&amp;R&amp;"Times New Roman,Regular"&amp;9 35.pielikums Jūrmalas pilsētas domes
2018.gada 18.decembra saistošajiem noteikumiem Nr.44
(protokols Nr.17, 2.punkts)
 </firstHeader>
    <firstFooter>&amp;L&amp;9&amp;D; &amp;T&amp;R&amp;9&amp;P (&amp;N)</first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Layout" zoomScaleNormal="100" workbookViewId="0">
      <selection activeCell="N8" sqref="N8"/>
    </sheetView>
  </sheetViews>
  <sheetFormatPr defaultRowHeight="12" x14ac:dyDescent="0.2"/>
  <cols>
    <col min="1" max="1" width="6.140625" style="306" customWidth="1"/>
    <col min="2" max="2" width="26.85546875" style="306" customWidth="1"/>
    <col min="3" max="3" width="11.85546875" style="306" hidden="1" customWidth="1"/>
    <col min="4" max="4" width="11.140625" style="306" hidden="1" customWidth="1"/>
    <col min="5" max="5" width="10.28515625" style="306" hidden="1" customWidth="1"/>
    <col min="6" max="6" width="10.5703125" style="306" customWidth="1"/>
    <col min="7" max="7" width="9.7109375" style="306" customWidth="1"/>
    <col min="8" max="8" width="19.28515625" style="326" customWidth="1"/>
    <col min="9" max="9" width="48.7109375" style="306" hidden="1" customWidth="1"/>
    <col min="10" max="16384" width="9.140625" style="306"/>
  </cols>
  <sheetData>
    <row r="1" spans="1:10" x14ac:dyDescent="0.2">
      <c r="A1" s="1692" t="s">
        <v>438</v>
      </c>
      <c r="B1" s="1692"/>
      <c r="C1" s="1692" t="s">
        <v>125</v>
      </c>
      <c r="D1" s="1692"/>
      <c r="E1" s="1692"/>
      <c r="F1" s="1692"/>
      <c r="G1" s="1692"/>
      <c r="H1" s="1692"/>
      <c r="I1" s="1692"/>
      <c r="J1" s="305"/>
    </row>
    <row r="2" spans="1:10" x14ac:dyDescent="0.2">
      <c r="A2" s="1692" t="s">
        <v>439</v>
      </c>
      <c r="B2" s="1692"/>
      <c r="C2" s="1692">
        <v>90000056357</v>
      </c>
      <c r="D2" s="1692"/>
      <c r="E2" s="1692"/>
      <c r="F2" s="1692"/>
      <c r="G2" s="1692"/>
      <c r="H2" s="1692"/>
      <c r="I2" s="1692"/>
      <c r="J2" s="305"/>
    </row>
    <row r="3" spans="1:10" ht="15.75" x14ac:dyDescent="0.25">
      <c r="A3" s="1693" t="s">
        <v>3639</v>
      </c>
      <c r="B3" s="1693"/>
      <c r="C3" s="1693"/>
      <c r="D3" s="1693"/>
      <c r="E3" s="1693"/>
      <c r="F3" s="1693"/>
      <c r="G3" s="1693"/>
      <c r="H3" s="1693"/>
      <c r="I3" s="1693"/>
    </row>
    <row r="4" spans="1:10" ht="15.75" x14ac:dyDescent="0.25">
      <c r="A4" s="307"/>
      <c r="B4" s="307"/>
      <c r="C4" s="307"/>
      <c r="D4" s="307"/>
      <c r="E4" s="307"/>
      <c r="F4" s="307"/>
      <c r="G4" s="307"/>
      <c r="H4" s="308"/>
      <c r="I4" s="307"/>
    </row>
    <row r="5" spans="1:10" ht="15.75" x14ac:dyDescent="0.25">
      <c r="A5" s="309" t="s">
        <v>440</v>
      </c>
      <c r="B5" s="309"/>
      <c r="C5" s="1698" t="s">
        <v>441</v>
      </c>
      <c r="D5" s="1698"/>
      <c r="E5" s="1698"/>
      <c r="F5" s="1698"/>
      <c r="G5" s="1698"/>
      <c r="H5" s="1698"/>
      <c r="I5" s="1698"/>
      <c r="J5" s="310"/>
    </row>
    <row r="6" spans="1:10" x14ac:dyDescent="0.2">
      <c r="A6" s="309" t="s">
        <v>129</v>
      </c>
      <c r="B6" s="309"/>
      <c r="C6" s="1692" t="s">
        <v>424</v>
      </c>
      <c r="D6" s="1692"/>
      <c r="E6" s="1692"/>
      <c r="F6" s="1692"/>
      <c r="G6" s="1692"/>
      <c r="H6" s="1692"/>
      <c r="I6" s="1692"/>
      <c r="J6" s="309"/>
    </row>
    <row r="7" spans="1:10" x14ac:dyDescent="0.2">
      <c r="A7" s="309" t="s">
        <v>131</v>
      </c>
      <c r="B7" s="309"/>
      <c r="C7" s="1699" t="s">
        <v>425</v>
      </c>
      <c r="D7" s="1699"/>
      <c r="E7" s="1699"/>
      <c r="F7" s="1699"/>
      <c r="G7" s="1699"/>
      <c r="H7" s="1699"/>
      <c r="I7" s="1699"/>
      <c r="J7" s="311"/>
    </row>
    <row r="8" spans="1:10" ht="48" x14ac:dyDescent="0.2">
      <c r="A8" s="312" t="s">
        <v>4</v>
      </c>
      <c r="B8" s="312" t="s">
        <v>133</v>
      </c>
      <c r="C8" s="312" t="s">
        <v>17</v>
      </c>
      <c r="D8" s="312" t="s">
        <v>15</v>
      </c>
      <c r="E8" s="312" t="s">
        <v>134</v>
      </c>
      <c r="F8" s="312" t="s">
        <v>135</v>
      </c>
      <c r="G8" s="312" t="s">
        <v>3465</v>
      </c>
      <c r="H8" s="312" t="s">
        <v>14</v>
      </c>
      <c r="I8" s="312" t="s">
        <v>137</v>
      </c>
    </row>
    <row r="9" spans="1:10" ht="12.75" customHeight="1" x14ac:dyDescent="0.2">
      <c r="A9" s="1700" t="s">
        <v>138</v>
      </c>
      <c r="B9" s="1700"/>
      <c r="C9" s="313">
        <f>SUM(C10:C16)</f>
        <v>40381</v>
      </c>
      <c r="D9" s="313">
        <f>SUM(D10:D16)</f>
        <v>29607.81</v>
      </c>
      <c r="E9" s="313">
        <f>SUM(E10:E16)</f>
        <v>33356</v>
      </c>
      <c r="F9" s="313"/>
      <c r="G9" s="313">
        <f>SUM(G10:G16)</f>
        <v>26356</v>
      </c>
      <c r="H9" s="314"/>
      <c r="I9" s="315"/>
    </row>
    <row r="10" spans="1:10" ht="12" hidden="1" customHeight="1" x14ac:dyDescent="0.2">
      <c r="C10" s="316">
        <v>1201</v>
      </c>
      <c r="D10" s="316">
        <v>0</v>
      </c>
      <c r="E10" s="316">
        <v>0</v>
      </c>
      <c r="F10" s="317">
        <v>2275</v>
      </c>
      <c r="G10" s="318"/>
      <c r="H10" s="317"/>
      <c r="I10" s="210" t="s">
        <v>443</v>
      </c>
    </row>
    <row r="11" spans="1:10" ht="18" customHeight="1" x14ac:dyDescent="0.2">
      <c r="A11" s="1684">
        <v>1</v>
      </c>
      <c r="B11" s="1686" t="s">
        <v>442</v>
      </c>
      <c r="C11" s="208">
        <v>18799</v>
      </c>
      <c r="D11" s="208">
        <v>18753.5</v>
      </c>
      <c r="E11" s="208">
        <v>21000</v>
      </c>
      <c r="F11" s="207">
        <v>3263</v>
      </c>
      <c r="G11" s="208">
        <v>21000</v>
      </c>
      <c r="H11" s="209" t="s">
        <v>444</v>
      </c>
      <c r="I11" s="319" t="s">
        <v>445</v>
      </c>
    </row>
    <row r="12" spans="1:10" ht="31.5" customHeight="1" x14ac:dyDescent="0.2">
      <c r="A12" s="1685"/>
      <c r="B12" s="1687"/>
      <c r="C12" s="208">
        <v>210</v>
      </c>
      <c r="D12" s="208">
        <v>120.31</v>
      </c>
      <c r="E12" s="208">
        <f>35*6</f>
        <v>210</v>
      </c>
      <c r="F12" s="207">
        <v>2314</v>
      </c>
      <c r="G12" s="208">
        <v>210</v>
      </c>
      <c r="H12" s="209" t="s">
        <v>444</v>
      </c>
      <c r="I12" s="319" t="s">
        <v>446</v>
      </c>
    </row>
    <row r="13" spans="1:10" ht="24" x14ac:dyDescent="0.2">
      <c r="A13" s="320">
        <v>2</v>
      </c>
      <c r="B13" s="321" t="s">
        <v>447</v>
      </c>
      <c r="C13" s="208">
        <v>146</v>
      </c>
      <c r="D13" s="208">
        <v>146</v>
      </c>
      <c r="E13" s="208">
        <v>146</v>
      </c>
      <c r="F13" s="207">
        <v>2279</v>
      </c>
      <c r="G13" s="208">
        <v>146</v>
      </c>
      <c r="H13" s="209" t="s">
        <v>448</v>
      </c>
      <c r="I13" s="319" t="s">
        <v>449</v>
      </c>
    </row>
    <row r="14" spans="1:10" ht="75.75" customHeight="1" x14ac:dyDescent="0.2">
      <c r="A14" s="320">
        <v>3</v>
      </c>
      <c r="B14" s="321" t="s">
        <v>450</v>
      </c>
      <c r="C14" s="208">
        <v>14398</v>
      </c>
      <c r="D14" s="208">
        <v>4961</v>
      </c>
      <c r="E14" s="208">
        <v>12000</v>
      </c>
      <c r="F14" s="207">
        <v>2279</v>
      </c>
      <c r="G14" s="208">
        <v>5000</v>
      </c>
      <c r="H14" s="209" t="s">
        <v>451</v>
      </c>
      <c r="I14" s="319" t="s">
        <v>452</v>
      </c>
    </row>
    <row r="15" spans="1:10" ht="58.5" hidden="1" customHeight="1" x14ac:dyDescent="0.2">
      <c r="A15" s="1694">
        <v>4</v>
      </c>
      <c r="B15" s="1695" t="s">
        <v>453</v>
      </c>
      <c r="C15" s="208">
        <v>2118</v>
      </c>
      <c r="D15" s="208">
        <v>2118</v>
      </c>
      <c r="E15" s="208">
        <v>0</v>
      </c>
      <c r="F15" s="207">
        <v>5240</v>
      </c>
      <c r="G15" s="208"/>
      <c r="H15" s="1696" t="s">
        <v>454</v>
      </c>
      <c r="I15" s="1671" t="s">
        <v>443</v>
      </c>
    </row>
    <row r="16" spans="1:10" ht="49.5" hidden="1" customHeight="1" x14ac:dyDescent="0.2">
      <c r="A16" s="1694"/>
      <c r="B16" s="1695"/>
      <c r="C16" s="322">
        <v>3509</v>
      </c>
      <c r="D16" s="322">
        <v>3509</v>
      </c>
      <c r="E16" s="322">
        <v>0</v>
      </c>
      <c r="F16" s="323">
        <v>5250</v>
      </c>
      <c r="G16" s="322"/>
      <c r="H16" s="1696"/>
      <c r="I16" s="1671"/>
    </row>
    <row r="17" spans="1:11" x14ac:dyDescent="0.2">
      <c r="A17" s="324"/>
      <c r="B17" s="324"/>
      <c r="C17" s="324"/>
      <c r="D17" s="324"/>
      <c r="E17" s="324"/>
      <c r="F17" s="324"/>
      <c r="G17" s="324"/>
      <c r="H17" s="325"/>
      <c r="I17" s="324"/>
    </row>
    <row r="18" spans="1:11" x14ac:dyDescent="0.2">
      <c r="A18" s="306" t="s">
        <v>455</v>
      </c>
    </row>
    <row r="19" spans="1:11" ht="12" customHeight="1" x14ac:dyDescent="0.2">
      <c r="A19" s="1697" t="s">
        <v>456</v>
      </c>
      <c r="B19" s="1697"/>
      <c r="C19" s="1697"/>
      <c r="D19" s="1697"/>
      <c r="E19" s="1697"/>
      <c r="F19" s="1697"/>
      <c r="G19" s="1697"/>
      <c r="H19" s="1697"/>
      <c r="I19" s="1697"/>
      <c r="J19" s="327"/>
    </row>
    <row r="20" spans="1:11" ht="15" customHeight="1" x14ac:dyDescent="0.2">
      <c r="A20" s="1697"/>
      <c r="B20" s="1697"/>
      <c r="C20" s="1697"/>
      <c r="D20" s="1697"/>
      <c r="E20" s="1697"/>
      <c r="F20" s="1697"/>
      <c r="G20" s="1697"/>
      <c r="H20" s="1697"/>
      <c r="I20" s="1697"/>
      <c r="J20" s="327"/>
    </row>
    <row r="21" spans="1:11" s="329" customFormat="1" x14ac:dyDescent="0.2">
      <c r="A21" s="156" t="s">
        <v>328</v>
      </c>
      <c r="B21" s="156"/>
      <c r="C21" s="156"/>
      <c r="D21" s="156"/>
      <c r="E21" s="156"/>
      <c r="F21" s="156"/>
      <c r="G21" s="156"/>
      <c r="H21" s="328"/>
      <c r="I21" s="303"/>
      <c r="J21" s="1399"/>
    </row>
    <row r="22" spans="1:11" s="156" customFormat="1" x14ac:dyDescent="0.2">
      <c r="A22" s="1399" t="s">
        <v>457</v>
      </c>
      <c r="B22" s="1691" t="s">
        <v>458</v>
      </c>
      <c r="C22" s="1691"/>
      <c r="D22" s="1691"/>
      <c r="E22" s="1691"/>
      <c r="F22" s="1691"/>
      <c r="G22" s="1691"/>
      <c r="H22" s="1691"/>
      <c r="I22" s="1691"/>
      <c r="J22" s="304"/>
      <c r="K22" s="304"/>
    </row>
    <row r="23" spans="1:11" s="329" customFormat="1" x14ac:dyDescent="0.2">
      <c r="A23" s="1399"/>
      <c r="B23" s="1691" t="s">
        <v>459</v>
      </c>
      <c r="C23" s="1691"/>
      <c r="D23" s="1691"/>
      <c r="E23" s="1691"/>
      <c r="F23" s="1691"/>
      <c r="G23" s="1691"/>
      <c r="H23" s="1691"/>
      <c r="I23" s="1691"/>
    </row>
    <row r="24" spans="1:11" s="329" customFormat="1" x14ac:dyDescent="0.2">
      <c r="A24" s="156" t="s">
        <v>329</v>
      </c>
      <c r="B24" s="156"/>
      <c r="C24" s="156"/>
      <c r="D24" s="156"/>
      <c r="E24" s="156"/>
      <c r="F24" s="156"/>
      <c r="G24" s="156"/>
      <c r="H24" s="328"/>
      <c r="I24" s="303"/>
    </row>
    <row r="25" spans="1:11" s="329" customFormat="1" x14ac:dyDescent="0.2">
      <c r="A25" s="329" t="s">
        <v>460</v>
      </c>
      <c r="B25" s="330" t="s">
        <v>461</v>
      </c>
      <c r="H25" s="331"/>
    </row>
    <row r="26" spans="1:11" s="329" customFormat="1" x14ac:dyDescent="0.2">
      <c r="B26" s="1688" t="s">
        <v>462</v>
      </c>
      <c r="C26" s="1689"/>
      <c r="D26" s="1689"/>
      <c r="E26" s="1689"/>
      <c r="F26" s="1689"/>
      <c r="G26" s="1689"/>
      <c r="H26" s="1689"/>
      <c r="I26" s="1689"/>
    </row>
    <row r="27" spans="1:11" s="329" customFormat="1" x14ac:dyDescent="0.2">
      <c r="A27" s="329" t="s">
        <v>460</v>
      </c>
      <c r="B27" s="1688" t="s">
        <v>461</v>
      </c>
      <c r="C27" s="1688"/>
      <c r="D27" s="1688"/>
      <c r="E27" s="1688"/>
      <c r="F27" s="1688"/>
      <c r="G27" s="1688"/>
      <c r="H27" s="1688"/>
      <c r="I27" s="1688"/>
    </row>
    <row r="28" spans="1:11" s="329" customFormat="1" x14ac:dyDescent="0.2">
      <c r="B28" s="1688" t="s">
        <v>463</v>
      </c>
      <c r="C28" s="1688"/>
      <c r="D28" s="1688"/>
      <c r="E28" s="1688"/>
      <c r="F28" s="1688"/>
      <c r="G28" s="1688"/>
      <c r="H28" s="1688"/>
      <c r="I28" s="1688"/>
    </row>
    <row r="29" spans="1:11" s="329" customFormat="1" x14ac:dyDescent="0.2">
      <c r="A29" s="329" t="s">
        <v>464</v>
      </c>
      <c r="B29" s="1398"/>
      <c r="C29" s="1398"/>
      <c r="D29" s="1398"/>
      <c r="E29" s="1398"/>
      <c r="F29" s="1398"/>
      <c r="G29" s="1398"/>
      <c r="H29" s="333"/>
      <c r="I29" s="1398"/>
    </row>
    <row r="30" spans="1:11" s="329" customFormat="1" x14ac:dyDescent="0.2">
      <c r="A30" s="329" t="s">
        <v>465</v>
      </c>
      <c r="B30" s="1688" t="s">
        <v>466</v>
      </c>
      <c r="C30" s="1688"/>
      <c r="D30" s="1688"/>
      <c r="E30" s="1688"/>
      <c r="F30" s="1688"/>
      <c r="G30" s="1688"/>
      <c r="H30" s="1688"/>
      <c r="I30" s="1688"/>
    </row>
    <row r="31" spans="1:11" s="329" customFormat="1" ht="12" customHeight="1" x14ac:dyDescent="0.2">
      <c r="B31" s="1688" t="s">
        <v>467</v>
      </c>
      <c r="C31" s="1688"/>
      <c r="D31" s="1688"/>
      <c r="E31" s="1688"/>
      <c r="F31" s="1688"/>
      <c r="G31" s="1688"/>
      <c r="H31" s="1688"/>
      <c r="I31" s="1688"/>
    </row>
    <row r="32" spans="1:11" s="329" customFormat="1" ht="12" customHeight="1" x14ac:dyDescent="0.2">
      <c r="A32" s="329" t="s">
        <v>331</v>
      </c>
      <c r="B32" s="1398"/>
      <c r="C32" s="1398"/>
      <c r="D32" s="1398"/>
      <c r="E32" s="1398"/>
      <c r="F32" s="1398"/>
      <c r="G32" s="1398"/>
      <c r="H32" s="333"/>
      <c r="I32" s="1398"/>
    </row>
    <row r="33" spans="1:11" s="329" customFormat="1" ht="12" customHeight="1" x14ac:dyDescent="0.2">
      <c r="A33" s="329" t="s">
        <v>468</v>
      </c>
      <c r="B33" s="1688" t="s">
        <v>469</v>
      </c>
      <c r="C33" s="1688"/>
      <c r="D33" s="1688"/>
      <c r="E33" s="1688"/>
      <c r="F33" s="1688"/>
      <c r="G33" s="1688"/>
      <c r="H33" s="1688"/>
      <c r="I33" s="1688"/>
    </row>
    <row r="34" spans="1:11" s="329" customFormat="1" x14ac:dyDescent="0.2">
      <c r="B34" s="1688" t="s">
        <v>470</v>
      </c>
      <c r="C34" s="1688"/>
      <c r="D34" s="1688"/>
      <c r="E34" s="1688"/>
      <c r="F34" s="1688"/>
      <c r="G34" s="1688"/>
      <c r="H34" s="1688"/>
      <c r="I34" s="1688"/>
    </row>
    <row r="35" spans="1:11" s="329" customFormat="1" x14ac:dyDescent="0.2">
      <c r="A35" s="329" t="s">
        <v>331</v>
      </c>
      <c r="B35" s="1400"/>
      <c r="C35" s="1400"/>
      <c r="D35" s="1400"/>
      <c r="E35" s="1400"/>
      <c r="F35" s="1400"/>
      <c r="G35" s="1400"/>
      <c r="H35" s="1400"/>
      <c r="I35" s="1400"/>
    </row>
    <row r="36" spans="1:11" s="329" customFormat="1" ht="12" customHeight="1" x14ac:dyDescent="0.2">
      <c r="A36" s="329" t="s">
        <v>471</v>
      </c>
      <c r="B36" s="1400" t="s">
        <v>472</v>
      </c>
      <c r="C36" s="1400"/>
      <c r="D36" s="1400"/>
      <c r="E36" s="1400"/>
      <c r="F36" s="1400"/>
      <c r="G36" s="1400"/>
      <c r="H36" s="1400"/>
      <c r="I36" s="1400"/>
    </row>
    <row r="37" spans="1:11" s="329" customFormat="1" ht="12" customHeight="1" x14ac:dyDescent="0.2">
      <c r="B37" s="1400" t="s">
        <v>473</v>
      </c>
      <c r="C37" s="1400"/>
      <c r="D37" s="1400"/>
      <c r="E37" s="1400"/>
      <c r="F37" s="1400"/>
      <c r="G37" s="1400"/>
      <c r="H37" s="1400"/>
      <c r="I37" s="1400"/>
    </row>
    <row r="38" spans="1:11" s="329" customFormat="1" x14ac:dyDescent="0.2">
      <c r="A38" s="329" t="s">
        <v>474</v>
      </c>
      <c r="B38" s="1398"/>
      <c r="C38" s="1398"/>
      <c r="D38" s="1398"/>
      <c r="E38" s="1398"/>
      <c r="F38" s="1398"/>
      <c r="G38" s="1398"/>
      <c r="H38" s="333"/>
      <c r="I38" s="1398"/>
    </row>
    <row r="39" spans="1:11" s="156" customFormat="1" x14ac:dyDescent="0.2">
      <c r="A39" s="329" t="s">
        <v>475</v>
      </c>
      <c r="B39" s="330" t="s">
        <v>476</v>
      </c>
      <c r="C39" s="329"/>
      <c r="D39" s="329"/>
      <c r="E39" s="329"/>
      <c r="F39" s="329"/>
      <c r="G39" s="329"/>
      <c r="H39" s="331"/>
      <c r="I39" s="329"/>
      <c r="J39" s="304"/>
      <c r="K39" s="304"/>
    </row>
    <row r="40" spans="1:11" s="329" customFormat="1" ht="12" customHeight="1" x14ac:dyDescent="0.2">
      <c r="B40" s="1690" t="s">
        <v>477</v>
      </c>
      <c r="C40" s="1690"/>
      <c r="D40" s="1690"/>
      <c r="E40" s="1690"/>
      <c r="F40" s="1690"/>
      <c r="G40" s="1690"/>
      <c r="H40" s="1690"/>
      <c r="I40" s="1690"/>
      <c r="J40" s="1398"/>
    </row>
    <row r="41" spans="1:11" s="329" customFormat="1" x14ac:dyDescent="0.2">
      <c r="A41" s="329" t="s">
        <v>478</v>
      </c>
      <c r="B41" s="1398"/>
      <c r="C41" s="1398"/>
      <c r="D41" s="1398"/>
      <c r="E41" s="1398"/>
      <c r="F41" s="1398"/>
      <c r="G41" s="1398"/>
      <c r="H41" s="333"/>
      <c r="I41" s="1398"/>
      <c r="J41" s="1467"/>
    </row>
    <row r="42" spans="1:11" s="329" customFormat="1" x14ac:dyDescent="0.2">
      <c r="A42" s="329" t="s">
        <v>479</v>
      </c>
      <c r="B42" s="1688" t="s">
        <v>480</v>
      </c>
      <c r="C42" s="1688"/>
      <c r="D42" s="1688"/>
      <c r="E42" s="1688"/>
      <c r="F42" s="1688"/>
      <c r="G42" s="1688"/>
      <c r="H42" s="1688"/>
      <c r="I42" s="1688"/>
    </row>
    <row r="43" spans="1:11" s="329" customFormat="1" ht="12" customHeight="1" x14ac:dyDescent="0.2">
      <c r="B43" s="1688" t="s">
        <v>481</v>
      </c>
      <c r="C43" s="1688"/>
      <c r="D43" s="1688"/>
      <c r="E43" s="1688"/>
      <c r="F43" s="1688"/>
      <c r="G43" s="1688"/>
      <c r="H43" s="1688"/>
      <c r="I43" s="1688"/>
      <c r="J43" s="336"/>
    </row>
    <row r="44" spans="1:11" ht="12" customHeight="1" x14ac:dyDescent="0.2">
      <c r="A44" s="329"/>
      <c r="B44" s="329"/>
      <c r="C44" s="329"/>
      <c r="D44" s="329"/>
      <c r="E44" s="329"/>
      <c r="F44" s="329"/>
      <c r="G44" s="329"/>
      <c r="H44" s="331"/>
      <c r="I44" s="329"/>
      <c r="J44" s="335"/>
    </row>
    <row r="45" spans="1:11" ht="12" customHeight="1" x14ac:dyDescent="0.2">
      <c r="A45" s="336"/>
      <c r="B45" s="336"/>
      <c r="C45" s="336"/>
      <c r="D45" s="336"/>
      <c r="E45" s="336"/>
      <c r="F45" s="336"/>
      <c r="G45" s="336"/>
      <c r="H45" s="337"/>
      <c r="I45" s="336"/>
      <c r="J45" s="335"/>
    </row>
    <row r="46" spans="1:11" ht="12" customHeight="1" x14ac:dyDescent="0.2">
      <c r="A46" s="335"/>
      <c r="B46" s="335"/>
      <c r="C46" s="335"/>
      <c r="D46" s="335"/>
      <c r="E46" s="335"/>
      <c r="F46" s="335"/>
      <c r="G46" s="335"/>
      <c r="H46" s="338"/>
      <c r="I46" s="335"/>
      <c r="J46" s="335"/>
    </row>
    <row r="47" spans="1:11" x14ac:dyDescent="0.2">
      <c r="A47" s="335"/>
      <c r="B47" s="335"/>
      <c r="C47" s="335"/>
      <c r="D47" s="335"/>
      <c r="E47" s="335"/>
      <c r="F47" s="335"/>
      <c r="G47" s="335"/>
      <c r="H47" s="338"/>
      <c r="I47" s="335"/>
    </row>
    <row r="48" spans="1:11" x14ac:dyDescent="0.2">
      <c r="A48" s="335"/>
      <c r="B48" s="335"/>
      <c r="C48" s="335"/>
      <c r="D48" s="335"/>
      <c r="E48" s="335"/>
      <c r="F48" s="335"/>
      <c r="G48" s="335"/>
      <c r="H48" s="338"/>
      <c r="I48" s="335"/>
    </row>
  </sheetData>
  <sheetProtection algorithmName="SHA-512" hashValue="gX2r0AUTqSeD7GNIEl+RbFNr+zLgNQL7ZQtrfN15RE7HQZMgR/12wZHtC/6srKMWPpvK5e8vvU35o4L75gKKvw==" saltValue="0scx9ynf8Un8Bazah4NBBQ==" spinCount="100000" sheet="1" objects="1" scenarios="1"/>
  <mergeCells count="28">
    <mergeCell ref="H15:H16"/>
    <mergeCell ref="I15:I16"/>
    <mergeCell ref="A19:I20"/>
    <mergeCell ref="C5:I5"/>
    <mergeCell ref="C6:I6"/>
    <mergeCell ref="C7:I7"/>
    <mergeCell ref="A9:B9"/>
    <mergeCell ref="A1:B1"/>
    <mergeCell ref="C1:I1"/>
    <mergeCell ref="A2:B2"/>
    <mergeCell ref="C2:I2"/>
    <mergeCell ref="A3:I3"/>
    <mergeCell ref="A11:A12"/>
    <mergeCell ref="B11:B12"/>
    <mergeCell ref="B43:I43"/>
    <mergeCell ref="B33:I33"/>
    <mergeCell ref="B26:I26"/>
    <mergeCell ref="B27:I27"/>
    <mergeCell ref="B34:I34"/>
    <mergeCell ref="B40:I40"/>
    <mergeCell ref="B42:I42"/>
    <mergeCell ref="B28:I28"/>
    <mergeCell ref="B30:I30"/>
    <mergeCell ref="B31:I31"/>
    <mergeCell ref="B22:I22"/>
    <mergeCell ref="B23:I23"/>
    <mergeCell ref="A15:A16"/>
    <mergeCell ref="B15:B16"/>
  </mergeCells>
  <pageMargins left="0.78740157480314965" right="0.39370078740157483" top="0.59055118110236227" bottom="0.39370078740157483" header="0.23622047244094491" footer="0.23622047244094491"/>
  <pageSetup paperSize="9" scale="65" fitToHeight="0" orientation="portrait" r:id="rId1"/>
  <headerFooter>
    <oddHeader>&amp;R&amp;"Times New Roman,Regular"&amp;10 6.pielikums Jūrmalas pilsētas domes
2018.gada 18.decembra saistošajiem noteikumiem Nr.44
(protokols Nr.17, 2.punkts)</oddHeader>
    <oddFooter xml:space="preserve">&amp;R&amp;"Times New Roman,Regular"&amp;8&amp;P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3"/>
  <sheetViews>
    <sheetView view="pageLayout" zoomScaleNormal="100" workbookViewId="0">
      <selection activeCell="A3" sqref="A3:I3"/>
    </sheetView>
  </sheetViews>
  <sheetFormatPr defaultColWidth="9.140625" defaultRowHeight="12" x14ac:dyDescent="0.2"/>
  <cols>
    <col min="1" max="1" width="6.140625" style="306" customWidth="1"/>
    <col min="2" max="2" width="25.85546875" style="306" customWidth="1"/>
    <col min="3" max="3" width="10.5703125" style="306" hidden="1" customWidth="1"/>
    <col min="4" max="4" width="11.140625" style="306" hidden="1" customWidth="1"/>
    <col min="5" max="5" width="10.28515625" style="306" hidden="1" customWidth="1"/>
    <col min="6" max="6" width="10.5703125" style="306" customWidth="1"/>
    <col min="7" max="7" width="9.7109375" style="306" customWidth="1"/>
    <col min="8" max="8" width="19.7109375" style="306" customWidth="1"/>
    <col min="9" max="9" width="66.5703125" style="306" hidden="1" customWidth="1"/>
    <col min="10" max="16384" width="9.140625" style="306"/>
  </cols>
  <sheetData>
    <row r="1" spans="1:10" x14ac:dyDescent="0.2">
      <c r="A1" s="1692" t="s">
        <v>438</v>
      </c>
      <c r="B1" s="1692"/>
      <c r="C1" s="1692" t="s">
        <v>125</v>
      </c>
      <c r="D1" s="1692"/>
      <c r="E1" s="1692"/>
      <c r="F1" s="1692"/>
      <c r="G1" s="1692"/>
      <c r="H1" s="1692"/>
      <c r="I1" s="1692"/>
    </row>
    <row r="2" spans="1:10" x14ac:dyDescent="0.2">
      <c r="A2" s="1692" t="s">
        <v>439</v>
      </c>
      <c r="B2" s="1692"/>
      <c r="C2" s="1692">
        <v>90000056357</v>
      </c>
      <c r="D2" s="1692"/>
      <c r="E2" s="1692"/>
      <c r="F2" s="1692"/>
      <c r="G2" s="1692"/>
      <c r="H2" s="1692"/>
      <c r="I2" s="1692"/>
    </row>
    <row r="3" spans="1:10" ht="15.75" x14ac:dyDescent="0.25">
      <c r="A3" s="1693" t="s">
        <v>3639</v>
      </c>
      <c r="B3" s="1693"/>
      <c r="C3" s="1693"/>
      <c r="D3" s="1693"/>
      <c r="E3" s="1693"/>
      <c r="F3" s="1693"/>
      <c r="G3" s="1693"/>
      <c r="H3" s="1693"/>
      <c r="I3" s="1693"/>
    </row>
    <row r="4" spans="1:10" ht="15.75" x14ac:dyDescent="0.25">
      <c r="A4" s="307"/>
      <c r="B4" s="307"/>
      <c r="C4" s="307"/>
      <c r="D4" s="307"/>
      <c r="E4" s="307"/>
      <c r="F4" s="307"/>
      <c r="G4" s="307"/>
      <c r="H4" s="307"/>
      <c r="I4" s="307"/>
    </row>
    <row r="5" spans="1:10" ht="15.75" x14ac:dyDescent="0.25">
      <c r="A5" s="309" t="s">
        <v>440</v>
      </c>
      <c r="B5" s="309"/>
      <c r="C5" s="1698" t="s">
        <v>482</v>
      </c>
      <c r="D5" s="1698"/>
      <c r="E5" s="1698"/>
      <c r="F5" s="1698"/>
      <c r="G5" s="1698"/>
      <c r="H5" s="1698"/>
      <c r="I5" s="1698"/>
      <c r="J5" s="1698"/>
    </row>
    <row r="6" spans="1:10" x14ac:dyDescent="0.2">
      <c r="A6" s="309" t="s">
        <v>129</v>
      </c>
      <c r="B6" s="309"/>
      <c r="C6" s="1692" t="s">
        <v>424</v>
      </c>
      <c r="D6" s="1692"/>
      <c r="E6" s="1692"/>
      <c r="F6" s="1692"/>
      <c r="G6" s="1692"/>
      <c r="H6" s="1692"/>
      <c r="I6" s="1692"/>
    </row>
    <row r="7" spans="1:10" x14ac:dyDescent="0.2">
      <c r="A7" s="309" t="s">
        <v>131</v>
      </c>
      <c r="B7" s="309"/>
      <c r="C7" s="1701" t="s">
        <v>425</v>
      </c>
      <c r="D7" s="1701"/>
      <c r="E7" s="1701"/>
      <c r="F7" s="1701"/>
      <c r="G7" s="1701"/>
      <c r="H7" s="1701"/>
      <c r="I7" s="1701"/>
    </row>
    <row r="8" spans="1:10" ht="48" x14ac:dyDescent="0.2">
      <c r="A8" s="312" t="s">
        <v>4</v>
      </c>
      <c r="B8" s="312" t="s">
        <v>133</v>
      </c>
      <c r="C8" s="312" t="s">
        <v>17</v>
      </c>
      <c r="D8" s="312" t="s">
        <v>15</v>
      </c>
      <c r="E8" s="312" t="s">
        <v>134</v>
      </c>
      <c r="F8" s="312" t="s">
        <v>135</v>
      </c>
      <c r="G8" s="312" t="s">
        <v>3465</v>
      </c>
      <c r="H8" s="312" t="s">
        <v>14</v>
      </c>
      <c r="I8" s="312" t="s">
        <v>137</v>
      </c>
    </row>
    <row r="9" spans="1:10" ht="12.75" customHeight="1" x14ac:dyDescent="0.2">
      <c r="A9" s="1700" t="s">
        <v>138</v>
      </c>
      <c r="B9" s="1700"/>
      <c r="C9" s="339">
        <f>SUM(C10:C18)</f>
        <v>358280</v>
      </c>
      <c r="D9" s="339">
        <f>SUM(D10:D18)</f>
        <v>328279.74</v>
      </c>
      <c r="E9" s="339">
        <f>SUM(E10:E18)</f>
        <v>167105</v>
      </c>
      <c r="F9" s="339"/>
      <c r="G9" s="339">
        <f>SUM(G11:G39)</f>
        <v>137105</v>
      </c>
      <c r="H9" s="313"/>
      <c r="I9" s="315"/>
    </row>
    <row r="10" spans="1:10" ht="24" hidden="1" x14ac:dyDescent="0.2">
      <c r="A10" s="1468"/>
      <c r="B10" s="1469"/>
      <c r="C10" s="340">
        <v>7979</v>
      </c>
      <c r="D10" s="340">
        <v>7978.74</v>
      </c>
      <c r="E10" s="340">
        <v>0</v>
      </c>
      <c r="F10" s="314">
        <v>5110</v>
      </c>
      <c r="G10" s="313"/>
      <c r="H10" s="188" t="s">
        <v>484</v>
      </c>
      <c r="I10" s="341" t="s">
        <v>485</v>
      </c>
    </row>
    <row r="11" spans="1:10" ht="14.25" customHeight="1" x14ac:dyDescent="0.2">
      <c r="A11" s="1704">
        <v>1</v>
      </c>
      <c r="B11" s="1686" t="s">
        <v>483</v>
      </c>
      <c r="C11" s="1702">
        <v>0</v>
      </c>
      <c r="D11" s="1702">
        <v>0</v>
      </c>
      <c r="E11" s="342">
        <v>25000</v>
      </c>
      <c r="F11" s="323">
        <v>2239</v>
      </c>
      <c r="G11" s="342">
        <v>25000</v>
      </c>
      <c r="H11" s="1674" t="s">
        <v>486</v>
      </c>
      <c r="I11" s="343" t="s">
        <v>487</v>
      </c>
    </row>
    <row r="12" spans="1:10" ht="13.5" customHeight="1" x14ac:dyDescent="0.2">
      <c r="A12" s="1705"/>
      <c r="B12" s="1687"/>
      <c r="C12" s="1703"/>
      <c r="D12" s="1703"/>
      <c r="E12" s="342">
        <v>15000</v>
      </c>
      <c r="F12" s="323">
        <v>5110</v>
      </c>
      <c r="G12" s="342">
        <v>15000</v>
      </c>
      <c r="H12" s="1675"/>
      <c r="I12" s="343" t="s">
        <v>488</v>
      </c>
    </row>
    <row r="13" spans="1:10" ht="60" x14ac:dyDescent="0.2">
      <c r="A13" s="312">
        <v>2</v>
      </c>
      <c r="B13" s="321" t="s">
        <v>489</v>
      </c>
      <c r="C13" s="340">
        <v>194321</v>
      </c>
      <c r="D13" s="340">
        <v>194321</v>
      </c>
      <c r="E13" s="340">
        <f>11105+30000</f>
        <v>41105</v>
      </c>
      <c r="F13" s="314">
        <v>5110</v>
      </c>
      <c r="G13" s="340">
        <v>41105</v>
      </c>
      <c r="H13" s="188" t="s">
        <v>490</v>
      </c>
      <c r="I13" s="341" t="s">
        <v>491</v>
      </c>
    </row>
    <row r="14" spans="1:10" ht="24" hidden="1" x14ac:dyDescent="0.2">
      <c r="A14" s="312">
        <v>3</v>
      </c>
      <c r="B14" s="321" t="s">
        <v>492</v>
      </c>
      <c r="C14" s="340">
        <v>25000</v>
      </c>
      <c r="D14" s="340">
        <v>25000</v>
      </c>
      <c r="E14" s="340">
        <v>0</v>
      </c>
      <c r="F14" s="314">
        <v>5110</v>
      </c>
      <c r="G14" s="339"/>
      <c r="H14" s="188" t="s">
        <v>486</v>
      </c>
      <c r="I14" s="341" t="s">
        <v>493</v>
      </c>
    </row>
    <row r="15" spans="1:10" ht="24" x14ac:dyDescent="0.2">
      <c r="A15" s="320">
        <v>3</v>
      </c>
      <c r="B15" s="321" t="s">
        <v>494</v>
      </c>
      <c r="C15" s="344">
        <v>6000</v>
      </c>
      <c r="D15" s="344">
        <v>6000</v>
      </c>
      <c r="E15" s="342">
        <v>6000</v>
      </c>
      <c r="F15" s="323">
        <v>2279</v>
      </c>
      <c r="G15" s="342">
        <v>6000</v>
      </c>
      <c r="H15" s="188" t="s">
        <v>495</v>
      </c>
      <c r="I15" s="341" t="s">
        <v>496</v>
      </c>
    </row>
    <row r="16" spans="1:10" ht="24" hidden="1" x14ac:dyDescent="0.2">
      <c r="A16" s="320">
        <v>5</v>
      </c>
      <c r="B16" s="321" t="s">
        <v>497</v>
      </c>
      <c r="C16" s="342">
        <v>0</v>
      </c>
      <c r="D16" s="342">
        <v>0</v>
      </c>
      <c r="E16" s="342">
        <v>30000</v>
      </c>
      <c r="F16" s="323">
        <v>5250</v>
      </c>
      <c r="G16" s="342"/>
      <c r="H16" s="188" t="s">
        <v>495</v>
      </c>
      <c r="I16" s="341" t="s">
        <v>498</v>
      </c>
    </row>
    <row r="17" spans="1:9" ht="38.25" customHeight="1" x14ac:dyDescent="0.2">
      <c r="A17" s="320">
        <v>4</v>
      </c>
      <c r="B17" s="321" t="s">
        <v>499</v>
      </c>
      <c r="C17" s="342">
        <v>50000</v>
      </c>
      <c r="D17" s="342">
        <v>20000</v>
      </c>
      <c r="E17" s="342">
        <v>50000</v>
      </c>
      <c r="F17" s="323">
        <v>2279</v>
      </c>
      <c r="G17" s="342">
        <v>50000</v>
      </c>
      <c r="H17" s="188" t="s">
        <v>500</v>
      </c>
      <c r="I17" s="341" t="s">
        <v>501</v>
      </c>
    </row>
    <row r="18" spans="1:9" ht="36" hidden="1" x14ac:dyDescent="0.2">
      <c r="A18" s="320">
        <v>7</v>
      </c>
      <c r="B18" s="321" t="s">
        <v>502</v>
      </c>
      <c r="C18" s="344">
        <v>74980</v>
      </c>
      <c r="D18" s="344">
        <v>74980</v>
      </c>
      <c r="E18" s="344">
        <v>0</v>
      </c>
      <c r="F18" s="207">
        <v>2279</v>
      </c>
      <c r="G18" s="344"/>
      <c r="H18" s="209" t="s">
        <v>503</v>
      </c>
      <c r="I18" s="319" t="s">
        <v>504</v>
      </c>
    </row>
    <row r="19" spans="1:9" x14ac:dyDescent="0.2">
      <c r="A19" s="324"/>
      <c r="B19" s="324"/>
      <c r="C19" s="324"/>
      <c r="D19" s="324"/>
      <c r="E19" s="324"/>
      <c r="F19" s="324"/>
      <c r="G19" s="324"/>
      <c r="H19" s="324"/>
      <c r="I19" s="324"/>
    </row>
    <row r="20" spans="1:9" x14ac:dyDescent="0.2">
      <c r="A20" s="306" t="s">
        <v>455</v>
      </c>
      <c r="H20" s="326"/>
    </row>
    <row r="21" spans="1:9" x14ac:dyDescent="0.2">
      <c r="A21" s="306" t="s">
        <v>505</v>
      </c>
      <c r="D21" s="345"/>
    </row>
    <row r="22" spans="1:9" x14ac:dyDescent="0.2">
      <c r="A22" s="346" t="s">
        <v>506</v>
      </c>
      <c r="B22" s="346"/>
      <c r="C22" s="346"/>
      <c r="D22" s="345"/>
    </row>
    <row r="23" spans="1:9" ht="13.5" customHeight="1" x14ac:dyDescent="0.2">
      <c r="A23" s="351" t="s">
        <v>507</v>
      </c>
      <c r="B23" s="329"/>
      <c r="C23" s="329"/>
      <c r="D23" s="1470"/>
      <c r="E23" s="329"/>
      <c r="F23" s="329"/>
      <c r="G23" s="329"/>
      <c r="H23" s="329"/>
      <c r="I23" s="329"/>
    </row>
    <row r="24" spans="1:9" ht="13.5" customHeight="1" x14ac:dyDescent="0.2">
      <c r="A24" s="329" t="s">
        <v>508</v>
      </c>
      <c r="B24" s="329"/>
      <c r="C24" s="329"/>
      <c r="D24" s="1470"/>
      <c r="E24" s="329"/>
      <c r="F24" s="329"/>
      <c r="G24" s="329"/>
      <c r="H24" s="329"/>
      <c r="I24" s="329"/>
    </row>
    <row r="25" spans="1:9" ht="13.5" customHeight="1" x14ac:dyDescent="0.2">
      <c r="A25" s="329" t="s">
        <v>509</v>
      </c>
      <c r="B25" s="329"/>
      <c r="C25" s="329"/>
      <c r="D25" s="1470"/>
      <c r="E25" s="329"/>
      <c r="F25" s="329"/>
      <c r="G25" s="329"/>
      <c r="H25" s="329"/>
      <c r="I25" s="329"/>
    </row>
    <row r="26" spans="1:9" ht="13.5" customHeight="1" x14ac:dyDescent="0.2">
      <c r="A26" s="351" t="s">
        <v>510</v>
      </c>
      <c r="B26" s="329"/>
      <c r="C26" s="329"/>
      <c r="D26" s="1470"/>
      <c r="E26" s="329"/>
      <c r="F26" s="329"/>
      <c r="G26" s="329"/>
      <c r="H26" s="329"/>
      <c r="I26" s="329"/>
    </row>
    <row r="27" spans="1:9" ht="13.5" customHeight="1" x14ac:dyDescent="0.2">
      <c r="A27" s="329" t="s">
        <v>511</v>
      </c>
      <c r="B27" s="329"/>
      <c r="C27" s="329"/>
      <c r="D27" s="1470"/>
      <c r="E27" s="329"/>
      <c r="F27" s="329"/>
      <c r="G27" s="329"/>
      <c r="H27" s="329"/>
      <c r="I27" s="329"/>
    </row>
    <row r="28" spans="1:9" ht="13.5" customHeight="1" x14ac:dyDescent="0.2">
      <c r="A28" s="329" t="s">
        <v>512</v>
      </c>
      <c r="B28" s="329"/>
      <c r="C28" s="329"/>
      <c r="D28" s="1470"/>
      <c r="E28" s="329"/>
      <c r="F28" s="329"/>
      <c r="G28" s="329"/>
      <c r="H28" s="329"/>
      <c r="I28" s="329"/>
    </row>
    <row r="29" spans="1:9" s="349" customFormat="1" ht="13.5" customHeight="1" x14ac:dyDescent="0.25">
      <c r="A29" s="400" t="s">
        <v>513</v>
      </c>
      <c r="B29" s="330"/>
      <c r="C29" s="330"/>
      <c r="D29" s="330"/>
      <c r="E29" s="330"/>
      <c r="F29" s="330"/>
      <c r="G29" s="331"/>
      <c r="H29" s="330"/>
      <c r="I29" s="330"/>
    </row>
    <row r="30" spans="1:9" s="349" customFormat="1" ht="13.5" customHeight="1" x14ac:dyDescent="0.25">
      <c r="A30" s="330" t="s">
        <v>514</v>
      </c>
      <c r="B30" s="330"/>
      <c r="C30" s="330"/>
      <c r="D30" s="330"/>
      <c r="E30" s="330"/>
      <c r="F30" s="330"/>
      <c r="G30" s="331"/>
      <c r="H30" s="330"/>
      <c r="I30" s="330"/>
    </row>
    <row r="31" spans="1:9" s="349" customFormat="1" ht="13.5" customHeight="1" x14ac:dyDescent="0.25">
      <c r="A31" s="330" t="s">
        <v>515</v>
      </c>
      <c r="B31" s="330"/>
      <c r="C31" s="330"/>
      <c r="D31" s="330"/>
      <c r="E31" s="330"/>
      <c r="F31" s="330"/>
      <c r="G31" s="331"/>
      <c r="H31" s="330"/>
      <c r="I31" s="330"/>
    </row>
    <row r="32" spans="1:9" ht="13.5" customHeight="1" x14ac:dyDescent="0.2">
      <c r="A32" s="350" t="s">
        <v>516</v>
      </c>
      <c r="B32" s="350"/>
      <c r="C32" s="350"/>
      <c r="D32" s="1470"/>
      <c r="E32" s="329"/>
      <c r="F32" s="329"/>
      <c r="G32" s="329"/>
      <c r="H32" s="329"/>
      <c r="I32" s="329"/>
    </row>
    <row r="33" spans="1:9" x14ac:dyDescent="0.2">
      <c r="A33" s="351" t="s">
        <v>517</v>
      </c>
      <c r="B33" s="329"/>
      <c r="C33" s="329"/>
      <c r="D33" s="1470"/>
      <c r="E33" s="329"/>
      <c r="F33" s="329"/>
      <c r="G33" s="329"/>
      <c r="H33" s="329"/>
      <c r="I33" s="329"/>
    </row>
    <row r="34" spans="1:9" x14ac:dyDescent="0.2">
      <c r="A34" s="1689" t="s">
        <v>518</v>
      </c>
      <c r="B34" s="1689"/>
      <c r="C34" s="1689"/>
      <c r="D34" s="1689"/>
      <c r="E34" s="1689"/>
      <c r="F34" s="1689"/>
      <c r="G34" s="1689"/>
      <c r="H34" s="1689"/>
      <c r="I34" s="1689"/>
    </row>
    <row r="35" spans="1:9" x14ac:dyDescent="0.2">
      <c r="A35" s="329" t="s">
        <v>519</v>
      </c>
      <c r="B35" s="329"/>
      <c r="C35" s="329"/>
      <c r="D35" s="1470"/>
      <c r="E35" s="329"/>
      <c r="F35" s="329"/>
      <c r="G35" s="329"/>
      <c r="H35" s="329"/>
      <c r="I35" s="329"/>
    </row>
    <row r="36" spans="1:9" x14ac:dyDescent="0.2">
      <c r="A36" s="350" t="s">
        <v>520</v>
      </c>
      <c r="B36" s="350"/>
      <c r="C36" s="350"/>
      <c r="D36" s="1470"/>
      <c r="E36" s="329"/>
      <c r="F36" s="329"/>
      <c r="G36" s="329"/>
      <c r="H36" s="329"/>
      <c r="I36" s="329"/>
    </row>
    <row r="37" spans="1:9" x14ac:dyDescent="0.2">
      <c r="A37" s="351" t="s">
        <v>521</v>
      </c>
      <c r="B37" s="351"/>
      <c r="C37" s="351"/>
      <c r="D37" s="1470"/>
      <c r="E37" s="329"/>
      <c r="F37" s="329"/>
      <c r="G37" s="329"/>
      <c r="H37" s="329"/>
      <c r="I37" s="329"/>
    </row>
    <row r="38" spans="1:9" x14ac:dyDescent="0.2">
      <c r="A38" s="329" t="s">
        <v>522</v>
      </c>
      <c r="B38" s="329"/>
      <c r="C38" s="329"/>
      <c r="D38" s="1470"/>
      <c r="E38" s="329"/>
      <c r="F38" s="329"/>
      <c r="G38" s="329"/>
      <c r="H38" s="329"/>
      <c r="I38" s="329"/>
    </row>
    <row r="39" spans="1:9" x14ac:dyDescent="0.2">
      <c r="A39" s="329" t="s">
        <v>523</v>
      </c>
      <c r="B39" s="329"/>
      <c r="C39" s="329"/>
      <c r="D39" s="1470"/>
      <c r="E39" s="329"/>
      <c r="F39" s="329"/>
      <c r="G39" s="329"/>
      <c r="H39" s="329"/>
      <c r="I39" s="329"/>
    </row>
    <row r="40" spans="1:9" x14ac:dyDescent="0.2">
      <c r="A40" s="324"/>
      <c r="B40" s="324"/>
      <c r="C40" s="324"/>
      <c r="D40" s="324"/>
      <c r="E40" s="324"/>
      <c r="F40" s="324"/>
      <c r="G40" s="324"/>
      <c r="H40" s="324"/>
      <c r="I40" s="324"/>
    </row>
    <row r="42" spans="1:9" s="349" customFormat="1" x14ac:dyDescent="0.25">
      <c r="G42" s="326"/>
    </row>
    <row r="43" spans="1:9" s="349" customFormat="1" x14ac:dyDescent="0.25">
      <c r="G43" s="326"/>
    </row>
  </sheetData>
  <sheetProtection algorithmName="SHA-512" hashValue="XZFHnJsvCWEftIL9HVFxaVf+WWPf9Hx5rHPeupdxO10ZfxG2kR+ag0mpa4O3XlhY5bxS68ZdQc81ZUFACEqmJA==" saltValue="HhCtik4ygYsLI5SVDqv7pg==" spinCount="100000" sheet="1" objects="1" scenarios="1"/>
  <mergeCells count="15">
    <mergeCell ref="A1:B1"/>
    <mergeCell ref="C1:I1"/>
    <mergeCell ref="A2:B2"/>
    <mergeCell ref="C2:I2"/>
    <mergeCell ref="A3:I3"/>
    <mergeCell ref="C5:J5"/>
    <mergeCell ref="A34:I34"/>
    <mergeCell ref="C6:I6"/>
    <mergeCell ref="C7:I7"/>
    <mergeCell ref="A9:B9"/>
    <mergeCell ref="C11:C12"/>
    <mergeCell ref="D11:D12"/>
    <mergeCell ref="A11:A12"/>
    <mergeCell ref="B11:B12"/>
    <mergeCell ref="H11:H12"/>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7.pielikums Jūrmalas pilsētas domes
2018.gada 18.decembra saistošajiem noteikumiem Nr.44
(protokols Nr.17, 2.punkts)</oddHeader>
    <oddFooter xml:space="preserve">&amp;R&amp;"Times New Roman,Regular"&amp;8&amp;P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73"/>
  <sheetViews>
    <sheetView view="pageLayout" zoomScaleNormal="100" workbookViewId="0">
      <selection activeCell="R7" sqref="R7"/>
    </sheetView>
  </sheetViews>
  <sheetFormatPr defaultRowHeight="12" x14ac:dyDescent="0.2"/>
  <cols>
    <col min="1" max="1" width="4.85546875" style="306" customWidth="1"/>
    <col min="2" max="2" width="26.85546875" style="306" customWidth="1"/>
    <col min="3" max="3" width="10.7109375" style="306" hidden="1" customWidth="1"/>
    <col min="4" max="4" width="9.5703125" style="306" hidden="1" customWidth="1"/>
    <col min="5" max="5" width="10.7109375" style="306" hidden="1" customWidth="1"/>
    <col min="6" max="6" width="9.5703125" style="306" hidden="1" customWidth="1"/>
    <col min="7" max="7" width="10.7109375" style="306" hidden="1" customWidth="1"/>
    <col min="8" max="8" width="9.5703125" style="306" hidden="1" customWidth="1"/>
    <col min="9" max="9" width="10.42578125" style="306" customWidth="1"/>
    <col min="10" max="10" width="10.7109375" style="306" bestFit="1" customWidth="1"/>
    <col min="11" max="11" width="9.5703125" style="306" bestFit="1" customWidth="1"/>
    <col min="12" max="12" width="19.42578125" style="306" customWidth="1"/>
    <col min="13" max="13" width="49.85546875" style="306" hidden="1" customWidth="1"/>
    <col min="14" max="14" width="10.140625" style="306" customWidth="1"/>
    <col min="15" max="16384" width="9.140625" style="306"/>
  </cols>
  <sheetData>
    <row r="1" spans="1:15" ht="12.75" customHeight="1" x14ac:dyDescent="0.2">
      <c r="A1" s="352" t="s">
        <v>438</v>
      </c>
      <c r="B1" s="353"/>
      <c r="C1" s="1742" t="s">
        <v>125</v>
      </c>
      <c r="D1" s="1742"/>
      <c r="E1" s="1742"/>
      <c r="F1" s="1742"/>
      <c r="G1" s="1742"/>
      <c r="H1" s="1742"/>
      <c r="I1" s="1742"/>
      <c r="J1" s="1742"/>
      <c r="K1" s="1742"/>
      <c r="L1" s="1742"/>
      <c r="M1" s="1742"/>
    </row>
    <row r="2" spans="1:15" ht="12.75" customHeight="1" x14ac:dyDescent="0.2">
      <c r="A2" s="352" t="s">
        <v>524</v>
      </c>
      <c r="B2" s="353"/>
      <c r="C2" s="1743">
        <v>90000056357</v>
      </c>
      <c r="D2" s="1743"/>
      <c r="E2" s="1743"/>
      <c r="F2" s="1743"/>
      <c r="G2" s="1743"/>
      <c r="H2" s="1743"/>
      <c r="I2" s="1743"/>
      <c r="J2" s="1743"/>
      <c r="K2" s="1743"/>
      <c r="L2" s="1743"/>
      <c r="M2" s="1743"/>
    </row>
    <row r="3" spans="1:15" ht="12.75" customHeight="1" x14ac:dyDescent="0.2">
      <c r="A3" s="352"/>
      <c r="B3" s="353"/>
      <c r="C3" s="354"/>
      <c r="D3" s="354"/>
      <c r="E3" s="354"/>
      <c r="F3" s="354"/>
      <c r="G3" s="354"/>
      <c r="H3" s="354"/>
      <c r="I3" s="354"/>
      <c r="J3" s="354"/>
      <c r="K3" s="354"/>
      <c r="L3" s="355"/>
      <c r="M3" s="355"/>
    </row>
    <row r="4" spans="1:15" ht="15.75" x14ac:dyDescent="0.25">
      <c r="A4" s="1744" t="s">
        <v>3641</v>
      </c>
      <c r="B4" s="1744"/>
      <c r="C4" s="1744"/>
      <c r="D4" s="1744"/>
      <c r="E4" s="1744"/>
      <c r="F4" s="1744"/>
      <c r="G4" s="1744"/>
      <c r="H4" s="1744"/>
      <c r="I4" s="1744"/>
      <c r="J4" s="1744"/>
      <c r="K4" s="1744"/>
      <c r="L4" s="1744"/>
      <c r="M4" s="1744"/>
      <c r="N4" s="356"/>
      <c r="O4" s="356"/>
    </row>
    <row r="5" spans="1:15" ht="10.5" customHeight="1" x14ac:dyDescent="0.25">
      <c r="A5" s="357"/>
      <c r="B5" s="357"/>
      <c r="C5" s="357"/>
      <c r="D5" s="357"/>
      <c r="E5" s="357"/>
      <c r="F5" s="357"/>
      <c r="G5" s="357"/>
      <c r="H5" s="357"/>
      <c r="I5" s="357"/>
      <c r="J5" s="357"/>
      <c r="K5" s="357"/>
      <c r="L5" s="357"/>
      <c r="M5" s="357"/>
      <c r="N5" s="356"/>
      <c r="O5" s="356"/>
    </row>
    <row r="6" spans="1:15" ht="17.25" customHeight="1" x14ac:dyDescent="0.25">
      <c r="A6" s="1745" t="s">
        <v>440</v>
      </c>
      <c r="B6" s="1745"/>
      <c r="C6" s="1746" t="s">
        <v>525</v>
      </c>
      <c r="D6" s="1746"/>
      <c r="E6" s="1746"/>
      <c r="F6" s="1746"/>
      <c r="G6" s="1746"/>
      <c r="H6" s="1746"/>
      <c r="I6" s="1746"/>
      <c r="J6" s="1746"/>
      <c r="K6" s="1746"/>
      <c r="L6" s="1746"/>
      <c r="M6" s="1746"/>
      <c r="N6" s="1746"/>
    </row>
    <row r="7" spans="1:15" ht="12.75" customHeight="1" x14ac:dyDescent="0.2">
      <c r="A7" s="352" t="s">
        <v>129</v>
      </c>
      <c r="B7" s="352"/>
      <c r="C7" s="1742" t="s">
        <v>526</v>
      </c>
      <c r="D7" s="1742"/>
      <c r="E7" s="1742"/>
      <c r="F7" s="1742"/>
      <c r="G7" s="1742"/>
      <c r="H7" s="1742"/>
      <c r="I7" s="1742"/>
      <c r="J7" s="1742"/>
      <c r="K7" s="1742"/>
      <c r="L7" s="1742"/>
      <c r="M7" s="1742"/>
    </row>
    <row r="8" spans="1:15" ht="12.75" customHeight="1" x14ac:dyDescent="0.2">
      <c r="A8" s="358" t="s">
        <v>131</v>
      </c>
      <c r="B8" s="358"/>
      <c r="C8" s="1747" t="s">
        <v>527</v>
      </c>
      <c r="D8" s="1747"/>
      <c r="E8" s="1747"/>
      <c r="F8" s="1747"/>
      <c r="G8" s="1747"/>
      <c r="H8" s="1747"/>
      <c r="I8" s="1747"/>
      <c r="J8" s="1747"/>
      <c r="K8" s="1747"/>
      <c r="L8" s="1747"/>
      <c r="M8" s="1747"/>
    </row>
    <row r="9" spans="1:15" ht="25.5" customHeight="1" x14ac:dyDescent="0.2">
      <c r="A9" s="1707" t="s">
        <v>4</v>
      </c>
      <c r="B9" s="1707" t="s">
        <v>133</v>
      </c>
      <c r="C9" s="1707" t="s">
        <v>528</v>
      </c>
      <c r="D9" s="1707"/>
      <c r="E9" s="1707" t="s">
        <v>529</v>
      </c>
      <c r="F9" s="1707"/>
      <c r="G9" s="1707" t="s">
        <v>530</v>
      </c>
      <c r="H9" s="1707"/>
      <c r="I9" s="1707" t="s">
        <v>135</v>
      </c>
      <c r="J9" s="1707" t="s">
        <v>3472</v>
      </c>
      <c r="K9" s="1707"/>
      <c r="L9" s="1707" t="s">
        <v>14</v>
      </c>
      <c r="M9" s="1707" t="s">
        <v>137</v>
      </c>
    </row>
    <row r="10" spans="1:15" ht="24" x14ac:dyDescent="0.2">
      <c r="A10" s="1707"/>
      <c r="B10" s="1707"/>
      <c r="C10" s="312" t="s">
        <v>531</v>
      </c>
      <c r="D10" s="312" t="s">
        <v>532</v>
      </c>
      <c r="E10" s="312" t="s">
        <v>531</v>
      </c>
      <c r="F10" s="312" t="s">
        <v>532</v>
      </c>
      <c r="G10" s="312" t="s">
        <v>531</v>
      </c>
      <c r="H10" s="312" t="s">
        <v>532</v>
      </c>
      <c r="I10" s="1707"/>
      <c r="J10" s="312" t="s">
        <v>531</v>
      </c>
      <c r="K10" s="312" t="s">
        <v>532</v>
      </c>
      <c r="L10" s="1707"/>
      <c r="M10" s="1707"/>
    </row>
    <row r="11" spans="1:15" ht="17.25" customHeight="1" x14ac:dyDescent="0.2">
      <c r="A11" s="1700" t="s">
        <v>533</v>
      </c>
      <c r="B11" s="1700"/>
      <c r="C11" s="339">
        <f>SUM(C12:C30)</f>
        <v>2384152</v>
      </c>
      <c r="D11" s="339">
        <f>SUM(D12:D30)</f>
        <v>145444</v>
      </c>
      <c r="E11" s="339">
        <f>ROUNDUP(SUM(E12:E30),1)</f>
        <v>2226831.7000000002</v>
      </c>
      <c r="F11" s="359">
        <f>SUM(F12:F30)</f>
        <v>0</v>
      </c>
      <c r="G11" s="339">
        <f>ROUNDUP(SUM(G12:G30),1)</f>
        <v>2520086.2000000002</v>
      </c>
      <c r="H11" s="339">
        <f>ROUNDUP(SUM(H12:H30),1)</f>
        <v>5895.8</v>
      </c>
      <c r="I11" s="359"/>
      <c r="J11" s="339">
        <f>SUM(J12:J30)</f>
        <v>2299120</v>
      </c>
      <c r="K11" s="339">
        <f>SUM(K12:K30)</f>
        <v>5896</v>
      </c>
      <c r="L11" s="313"/>
      <c r="M11" s="313"/>
    </row>
    <row r="12" spans="1:15" ht="50.25" customHeight="1" x14ac:dyDescent="0.2">
      <c r="A12" s="1397">
        <v>1</v>
      </c>
      <c r="B12" s="1395" t="s">
        <v>534</v>
      </c>
      <c r="C12" s="1414">
        <v>1819231</v>
      </c>
      <c r="D12" s="1414">
        <v>41386</v>
      </c>
      <c r="E12" s="1414">
        <v>1760000</v>
      </c>
      <c r="F12" s="360">
        <v>0</v>
      </c>
      <c r="G12" s="1414">
        <v>1800000</v>
      </c>
      <c r="H12" s="360">
        <v>0</v>
      </c>
      <c r="I12" s="1415">
        <v>3320</v>
      </c>
      <c r="J12" s="1414">
        <v>1760000</v>
      </c>
      <c r="K12" s="361"/>
      <c r="L12" s="1404" t="s">
        <v>535</v>
      </c>
      <c r="M12" s="1391" t="s">
        <v>536</v>
      </c>
    </row>
    <row r="13" spans="1:15" ht="48" x14ac:dyDescent="0.2">
      <c r="A13" s="1397">
        <v>2</v>
      </c>
      <c r="B13" s="1395" t="s">
        <v>537</v>
      </c>
      <c r="C13" s="1414">
        <v>206383</v>
      </c>
      <c r="D13" s="1414">
        <v>0</v>
      </c>
      <c r="E13" s="1414">
        <v>206383</v>
      </c>
      <c r="F13" s="1414">
        <v>0</v>
      </c>
      <c r="G13" s="1414">
        <v>187000</v>
      </c>
      <c r="H13" s="1414">
        <v>0</v>
      </c>
      <c r="I13" s="1415">
        <v>3310</v>
      </c>
      <c r="J13" s="1414">
        <v>187000</v>
      </c>
      <c r="K13" s="361"/>
      <c r="L13" s="1404" t="s">
        <v>538</v>
      </c>
      <c r="M13" s="1391" t="s">
        <v>539</v>
      </c>
    </row>
    <row r="14" spans="1:15" ht="24" hidden="1" x14ac:dyDescent="0.2">
      <c r="A14" s="1397">
        <v>3</v>
      </c>
      <c r="B14" s="1395" t="s">
        <v>540</v>
      </c>
      <c r="C14" s="1414">
        <v>500</v>
      </c>
      <c r="D14" s="1414"/>
      <c r="E14" s="1414">
        <v>500</v>
      </c>
      <c r="F14" s="360"/>
      <c r="G14" s="1414">
        <v>0</v>
      </c>
      <c r="H14" s="360"/>
      <c r="I14" s="1415">
        <v>2390</v>
      </c>
      <c r="J14" s="1414"/>
      <c r="K14" s="361"/>
      <c r="L14" s="322" t="s">
        <v>538</v>
      </c>
      <c r="M14" s="1391" t="s">
        <v>541</v>
      </c>
    </row>
    <row r="15" spans="1:15" ht="25.5" customHeight="1" x14ac:dyDescent="0.2">
      <c r="A15" s="1397">
        <v>3</v>
      </c>
      <c r="B15" s="1395" t="s">
        <v>542</v>
      </c>
      <c r="C15" s="1414">
        <v>13385</v>
      </c>
      <c r="D15" s="1414"/>
      <c r="E15" s="1414">
        <v>5385</v>
      </c>
      <c r="F15" s="360"/>
      <c r="G15" s="344">
        <v>16000</v>
      </c>
      <c r="H15" s="360"/>
      <c r="I15" s="1415">
        <v>2232</v>
      </c>
      <c r="J15" s="1414">
        <v>7000</v>
      </c>
      <c r="K15" s="361"/>
      <c r="L15" s="322" t="s">
        <v>538</v>
      </c>
      <c r="M15" s="364" t="s">
        <v>543</v>
      </c>
    </row>
    <row r="16" spans="1:15" ht="25.5" customHeight="1" x14ac:dyDescent="0.2">
      <c r="A16" s="1397">
        <v>4</v>
      </c>
      <c r="B16" s="1395" t="s">
        <v>544</v>
      </c>
      <c r="C16" s="1414">
        <v>3923</v>
      </c>
      <c r="D16" s="1414">
        <v>0</v>
      </c>
      <c r="E16" s="1414">
        <v>0</v>
      </c>
      <c r="F16" s="360">
        <v>0</v>
      </c>
      <c r="G16" s="344">
        <v>25000</v>
      </c>
      <c r="H16" s="360">
        <v>0</v>
      </c>
      <c r="I16" s="207">
        <v>2314</v>
      </c>
      <c r="J16" s="1414">
        <v>4000</v>
      </c>
      <c r="K16" s="361"/>
      <c r="L16" s="1404" t="s">
        <v>538</v>
      </c>
      <c r="M16" s="364" t="s">
        <v>545</v>
      </c>
    </row>
    <row r="17" spans="1:13" ht="29.25" customHeight="1" x14ac:dyDescent="0.2">
      <c r="A17" s="1397">
        <v>5</v>
      </c>
      <c r="B17" s="1395" t="s">
        <v>546</v>
      </c>
      <c r="C17" s="1414">
        <v>49551</v>
      </c>
      <c r="D17" s="1414">
        <v>0</v>
      </c>
      <c r="E17" s="1414">
        <f>49551-18000</f>
        <v>31551</v>
      </c>
      <c r="F17" s="360">
        <v>0</v>
      </c>
      <c r="G17" s="344">
        <f>145200+9000+9000</f>
        <v>163200</v>
      </c>
      <c r="H17" s="360">
        <v>0</v>
      </c>
      <c r="I17" s="365">
        <v>2262</v>
      </c>
      <c r="J17" s="1414">
        <v>114400</v>
      </c>
      <c r="K17" s="361"/>
      <c r="L17" s="1433" t="s">
        <v>547</v>
      </c>
      <c r="M17" s="364" t="s">
        <v>548</v>
      </c>
    </row>
    <row r="18" spans="1:13" ht="15.75" customHeight="1" x14ac:dyDescent="0.2">
      <c r="A18" s="1397">
        <v>6</v>
      </c>
      <c r="B18" s="1395" t="s">
        <v>549</v>
      </c>
      <c r="C18" s="360">
        <v>7442</v>
      </c>
      <c r="D18" s="1414">
        <v>0</v>
      </c>
      <c r="E18" s="360">
        <f>7442-586</f>
        <v>6856</v>
      </c>
      <c r="F18" s="360">
        <v>0</v>
      </c>
      <c r="G18" s="344">
        <f>12100+586</f>
        <v>12686</v>
      </c>
      <c r="H18" s="360">
        <v>0</v>
      </c>
      <c r="I18" s="365">
        <v>2279</v>
      </c>
      <c r="J18" s="1414">
        <v>10920</v>
      </c>
      <c r="K18" s="361"/>
      <c r="L18" s="1403" t="s">
        <v>538</v>
      </c>
      <c r="M18" s="364" t="s">
        <v>550</v>
      </c>
    </row>
    <row r="19" spans="1:13" ht="14.25" customHeight="1" x14ac:dyDescent="0.2">
      <c r="A19" s="1708">
        <v>7</v>
      </c>
      <c r="B19" s="1695" t="s">
        <v>551</v>
      </c>
      <c r="C19" s="1414">
        <v>43616</v>
      </c>
      <c r="D19" s="1414">
        <v>0</v>
      </c>
      <c r="E19" s="1414">
        <v>42843</v>
      </c>
      <c r="F19" s="1414">
        <v>0</v>
      </c>
      <c r="G19" s="1414">
        <v>43616</v>
      </c>
      <c r="H19" s="1414">
        <v>0</v>
      </c>
      <c r="I19" s="1415">
        <v>5240</v>
      </c>
      <c r="J19" s="1414">
        <v>43616</v>
      </c>
      <c r="K19" s="361"/>
      <c r="L19" s="1731" t="s">
        <v>552</v>
      </c>
      <c r="M19" s="1417" t="s">
        <v>553</v>
      </c>
    </row>
    <row r="20" spans="1:13" ht="15" customHeight="1" x14ac:dyDescent="0.2">
      <c r="A20" s="1708"/>
      <c r="B20" s="1695"/>
      <c r="C20" s="1414">
        <v>125532</v>
      </c>
      <c r="D20" s="1414">
        <v>21378</v>
      </c>
      <c r="E20" s="1414">
        <v>92262.5</v>
      </c>
      <c r="F20" s="1414">
        <v>0</v>
      </c>
      <c r="G20" s="1414">
        <f>49400-H20</f>
        <v>43504.22</v>
      </c>
      <c r="H20" s="1414">
        <f>2980+2915.78</f>
        <v>5895.7800000000007</v>
      </c>
      <c r="I20" s="1415">
        <v>2390</v>
      </c>
      <c r="J20" s="1414">
        <v>43504</v>
      </c>
      <c r="K20" s="361">
        <v>5896</v>
      </c>
      <c r="L20" s="1737"/>
      <c r="M20" s="1395" t="s">
        <v>554</v>
      </c>
    </row>
    <row r="21" spans="1:13" hidden="1" x14ac:dyDescent="0.2">
      <c r="A21" s="1708"/>
      <c r="B21" s="1695"/>
      <c r="C21" s="344">
        <v>0</v>
      </c>
      <c r="D21" s="344">
        <v>20063</v>
      </c>
      <c r="E21" s="344">
        <v>0</v>
      </c>
      <c r="F21" s="344">
        <v>0</v>
      </c>
      <c r="G21" s="344">
        <v>0</v>
      </c>
      <c r="H21" s="344">
        <v>0</v>
      </c>
      <c r="I21" s="207">
        <v>2512</v>
      </c>
      <c r="J21" s="344"/>
      <c r="K21" s="366"/>
      <c r="L21" s="1737"/>
      <c r="M21" s="1391" t="s">
        <v>555</v>
      </c>
    </row>
    <row r="22" spans="1:13" hidden="1" x14ac:dyDescent="0.2">
      <c r="A22" s="1708"/>
      <c r="B22" s="1695"/>
      <c r="C22" s="344">
        <v>0</v>
      </c>
      <c r="D22" s="344">
        <v>52215</v>
      </c>
      <c r="E22" s="344">
        <v>0</v>
      </c>
      <c r="F22" s="344">
        <v>0</v>
      </c>
      <c r="G22" s="344">
        <v>0</v>
      </c>
      <c r="H22" s="344">
        <v>0</v>
      </c>
      <c r="I22" s="207">
        <v>2275</v>
      </c>
      <c r="J22" s="344"/>
      <c r="K22" s="366"/>
      <c r="L22" s="1737"/>
      <c r="M22" s="1391" t="s">
        <v>556</v>
      </c>
    </row>
    <row r="23" spans="1:13" hidden="1" x14ac:dyDescent="0.2">
      <c r="A23" s="1708"/>
      <c r="B23" s="1695"/>
      <c r="C23" s="344">
        <v>0</v>
      </c>
      <c r="D23" s="344">
        <v>528</v>
      </c>
      <c r="E23" s="344">
        <v>0</v>
      </c>
      <c r="F23" s="344">
        <v>0</v>
      </c>
      <c r="G23" s="344">
        <v>0</v>
      </c>
      <c r="H23" s="344">
        <v>0</v>
      </c>
      <c r="I23" s="207">
        <v>2222</v>
      </c>
      <c r="J23" s="344"/>
      <c r="K23" s="366"/>
      <c r="L23" s="1737"/>
      <c r="M23" s="1391" t="s">
        <v>557</v>
      </c>
    </row>
    <row r="24" spans="1:13" ht="15" customHeight="1" x14ac:dyDescent="0.2">
      <c r="A24" s="1708"/>
      <c r="B24" s="1695"/>
      <c r="C24" s="1414">
        <v>84358</v>
      </c>
      <c r="D24" s="1414">
        <v>0</v>
      </c>
      <c r="E24" s="1414">
        <f>84358-7029.8</f>
        <v>77328.2</v>
      </c>
      <c r="F24" s="1414">
        <v>0</v>
      </c>
      <c r="G24" s="1414">
        <v>84358</v>
      </c>
      <c r="H24" s="1414">
        <v>0</v>
      </c>
      <c r="I24" s="1415">
        <v>2259</v>
      </c>
      <c r="J24" s="1414">
        <v>84358</v>
      </c>
      <c r="K24" s="361"/>
      <c r="L24" s="1737"/>
      <c r="M24" s="1395" t="s">
        <v>558</v>
      </c>
    </row>
    <row r="25" spans="1:13" ht="15" customHeight="1" x14ac:dyDescent="0.2">
      <c r="A25" s="1708"/>
      <c r="B25" s="1695"/>
      <c r="C25" s="1414">
        <v>0</v>
      </c>
      <c r="D25" s="1414">
        <v>0</v>
      </c>
      <c r="E25" s="1414">
        <v>0</v>
      </c>
      <c r="F25" s="1414">
        <v>0</v>
      </c>
      <c r="G25" s="1414">
        <v>38400</v>
      </c>
      <c r="H25" s="1414">
        <v>0</v>
      </c>
      <c r="I25" s="1415">
        <v>2279</v>
      </c>
      <c r="J25" s="1414">
        <v>38000</v>
      </c>
      <c r="K25" s="361"/>
      <c r="L25" s="1737"/>
      <c r="M25" s="1471" t="s">
        <v>559</v>
      </c>
    </row>
    <row r="26" spans="1:13" ht="36" hidden="1" x14ac:dyDescent="0.2">
      <c r="A26" s="1708"/>
      <c r="B26" s="1695"/>
      <c r="C26" s="344">
        <v>0</v>
      </c>
      <c r="D26" s="344">
        <v>0</v>
      </c>
      <c r="E26" s="344">
        <v>0</v>
      </c>
      <c r="F26" s="344">
        <v>0</v>
      </c>
      <c r="G26" s="344">
        <v>100000</v>
      </c>
      <c r="H26" s="344">
        <v>0</v>
      </c>
      <c r="I26" s="207">
        <v>5140</v>
      </c>
      <c r="J26" s="344"/>
      <c r="K26" s="366"/>
      <c r="L26" s="1737"/>
      <c r="M26" s="210" t="s">
        <v>560</v>
      </c>
    </row>
    <row r="27" spans="1:13" ht="36" hidden="1" x14ac:dyDescent="0.2">
      <c r="A27" s="1708"/>
      <c r="B27" s="1695"/>
      <c r="C27" s="1414">
        <v>12708</v>
      </c>
      <c r="D27" s="1414">
        <v>5166</v>
      </c>
      <c r="E27" s="1414">
        <v>0</v>
      </c>
      <c r="F27" s="1414">
        <v>0</v>
      </c>
      <c r="G27" s="1414">
        <v>0</v>
      </c>
      <c r="H27" s="1414">
        <v>0</v>
      </c>
      <c r="I27" s="1415">
        <v>2279</v>
      </c>
      <c r="J27" s="1414"/>
      <c r="K27" s="361"/>
      <c r="L27" s="1737"/>
      <c r="M27" s="1417" t="s">
        <v>561</v>
      </c>
    </row>
    <row r="28" spans="1:13" ht="60" hidden="1" x14ac:dyDescent="0.2">
      <c r="A28" s="1708"/>
      <c r="B28" s="1695"/>
      <c r="C28" s="1414">
        <v>13800</v>
      </c>
      <c r="D28" s="1414">
        <v>0</v>
      </c>
      <c r="E28" s="1414">
        <v>0</v>
      </c>
      <c r="F28" s="1414">
        <v>0</v>
      </c>
      <c r="G28" s="1414">
        <v>0</v>
      </c>
      <c r="H28" s="1414">
        <v>0</v>
      </c>
      <c r="I28" s="1415">
        <v>5239</v>
      </c>
      <c r="J28" s="1414"/>
      <c r="K28" s="361"/>
      <c r="L28" s="1737"/>
      <c r="M28" s="1417" t="s">
        <v>562</v>
      </c>
    </row>
    <row r="29" spans="1:13" ht="14.25" customHeight="1" x14ac:dyDescent="0.2">
      <c r="A29" s="1708"/>
      <c r="B29" s="1695"/>
      <c r="C29" s="1414">
        <v>3000</v>
      </c>
      <c r="D29" s="1414">
        <v>3794</v>
      </c>
      <c r="E29" s="1414">
        <v>3000</v>
      </c>
      <c r="F29" s="1414">
        <v>0</v>
      </c>
      <c r="G29" s="1414">
        <v>5094.6000000000004</v>
      </c>
      <c r="H29" s="1414">
        <v>0</v>
      </c>
      <c r="I29" s="1415">
        <v>1150</v>
      </c>
      <c r="J29" s="1414">
        <v>5095</v>
      </c>
      <c r="K29" s="361"/>
      <c r="L29" s="1737"/>
      <c r="M29" s="1738" t="s">
        <v>3461</v>
      </c>
    </row>
    <row r="30" spans="1:13" ht="14.25" customHeight="1" x14ac:dyDescent="0.2">
      <c r="A30" s="1708"/>
      <c r="B30" s="1695"/>
      <c r="C30" s="1414">
        <v>723</v>
      </c>
      <c r="D30" s="1414">
        <v>914</v>
      </c>
      <c r="E30" s="1414">
        <v>723</v>
      </c>
      <c r="F30" s="1414">
        <v>0</v>
      </c>
      <c r="G30" s="1414">
        <v>1227.29</v>
      </c>
      <c r="H30" s="1414">
        <v>0</v>
      </c>
      <c r="I30" s="1415">
        <v>1210</v>
      </c>
      <c r="J30" s="1414">
        <v>1227</v>
      </c>
      <c r="K30" s="361"/>
      <c r="L30" s="1737"/>
      <c r="M30" s="1738"/>
    </row>
    <row r="31" spans="1:13" x14ac:dyDescent="0.2">
      <c r="A31" s="1416"/>
      <c r="B31" s="1413"/>
      <c r="C31" s="369"/>
      <c r="D31" s="369"/>
      <c r="E31" s="369"/>
      <c r="F31" s="369"/>
      <c r="G31" s="369"/>
      <c r="H31" s="369"/>
      <c r="I31" s="369"/>
      <c r="J31" s="370"/>
      <c r="K31" s="371"/>
      <c r="L31" s="372"/>
      <c r="M31" s="373"/>
    </row>
    <row r="32" spans="1:13" s="352" customFormat="1" x14ac:dyDescent="0.2">
      <c r="A32" s="352" t="s">
        <v>129</v>
      </c>
      <c r="C32" s="1742" t="s">
        <v>563</v>
      </c>
      <c r="D32" s="1742"/>
      <c r="E32" s="1742"/>
      <c r="F32" s="1742"/>
      <c r="G32" s="1742"/>
      <c r="H32" s="1742"/>
      <c r="I32" s="1742"/>
      <c r="J32" s="1742"/>
      <c r="K32" s="1742"/>
      <c r="L32" s="1742"/>
      <c r="M32" s="1742"/>
    </row>
    <row r="33" spans="1:13" s="352" customFormat="1" x14ac:dyDescent="0.2">
      <c r="A33" s="358" t="s">
        <v>131</v>
      </c>
      <c r="B33" s="358"/>
      <c r="C33" s="1736" t="s">
        <v>564</v>
      </c>
      <c r="D33" s="1736"/>
      <c r="E33" s="1736"/>
      <c r="F33" s="1736"/>
      <c r="G33" s="1736"/>
      <c r="H33" s="1736"/>
      <c r="I33" s="1736"/>
      <c r="J33" s="1736"/>
      <c r="K33" s="1736"/>
      <c r="L33" s="1736"/>
      <c r="M33" s="1736"/>
    </row>
    <row r="34" spans="1:13" s="352" customFormat="1" ht="15" customHeight="1" x14ac:dyDescent="0.2">
      <c r="A34" s="1707" t="s">
        <v>4</v>
      </c>
      <c r="B34" s="1707" t="s">
        <v>133</v>
      </c>
      <c r="C34" s="1707" t="s">
        <v>528</v>
      </c>
      <c r="D34" s="1707"/>
      <c r="E34" s="1707" t="s">
        <v>529</v>
      </c>
      <c r="F34" s="1707"/>
      <c r="G34" s="1707" t="s">
        <v>530</v>
      </c>
      <c r="H34" s="1707"/>
      <c r="I34" s="1707" t="s">
        <v>135</v>
      </c>
      <c r="J34" s="1707" t="s">
        <v>3472</v>
      </c>
      <c r="K34" s="1707"/>
      <c r="L34" s="1707" t="s">
        <v>14</v>
      </c>
      <c r="M34" s="1707" t="s">
        <v>137</v>
      </c>
    </row>
    <row r="35" spans="1:13" s="352" customFormat="1" ht="31.5" customHeight="1" x14ac:dyDescent="0.2">
      <c r="A35" s="1707"/>
      <c r="B35" s="1707"/>
      <c r="C35" s="1402" t="s">
        <v>565</v>
      </c>
      <c r="D35" s="1402" t="s">
        <v>532</v>
      </c>
      <c r="E35" s="1402" t="s">
        <v>565</v>
      </c>
      <c r="F35" s="1402" t="s">
        <v>532</v>
      </c>
      <c r="G35" s="1402" t="s">
        <v>531</v>
      </c>
      <c r="H35" s="1402" t="s">
        <v>532</v>
      </c>
      <c r="I35" s="1707"/>
      <c r="J35" s="1402" t="s">
        <v>531</v>
      </c>
      <c r="K35" s="1402" t="s">
        <v>532</v>
      </c>
      <c r="L35" s="1707"/>
      <c r="M35" s="1707"/>
    </row>
    <row r="36" spans="1:13" s="352" customFormat="1" x14ac:dyDescent="0.2">
      <c r="A36" s="1700" t="s">
        <v>533</v>
      </c>
      <c r="B36" s="1700"/>
      <c r="C36" s="339">
        <f t="shared" ref="C36:H36" si="0">SUM(C37:C56)</f>
        <v>97890</v>
      </c>
      <c r="D36" s="339">
        <f t="shared" si="0"/>
        <v>672</v>
      </c>
      <c r="E36" s="339">
        <f t="shared" si="0"/>
        <v>85863</v>
      </c>
      <c r="F36" s="339">
        <f t="shared" si="0"/>
        <v>666</v>
      </c>
      <c r="G36" s="339">
        <f t="shared" si="0"/>
        <v>170722</v>
      </c>
      <c r="H36" s="339">
        <f t="shared" si="0"/>
        <v>672</v>
      </c>
      <c r="I36" s="339"/>
      <c r="J36" s="339">
        <f>SUM(J37:J56)</f>
        <v>153248</v>
      </c>
      <c r="K36" s="339">
        <f>SUM(K37:K56)</f>
        <v>0</v>
      </c>
      <c r="L36" s="313"/>
      <c r="M36" s="313"/>
    </row>
    <row r="37" spans="1:13" s="352" customFormat="1" ht="22.5" customHeight="1" x14ac:dyDescent="0.2">
      <c r="A37" s="1708">
        <v>1</v>
      </c>
      <c r="B37" s="1645" t="s">
        <v>3473</v>
      </c>
      <c r="C37" s="1414">
        <v>15940</v>
      </c>
      <c r="D37" s="1414">
        <v>672</v>
      </c>
      <c r="E37" s="1414">
        <v>15644</v>
      </c>
      <c r="F37" s="344">
        <v>666</v>
      </c>
      <c r="G37" s="1414">
        <f>16400-H37</f>
        <v>15728</v>
      </c>
      <c r="H37" s="1414">
        <v>672</v>
      </c>
      <c r="I37" s="1415">
        <v>2279</v>
      </c>
      <c r="J37" s="1414">
        <f>15728+672</f>
        <v>16400</v>
      </c>
      <c r="K37" s="1414"/>
      <c r="L37" s="1731" t="s">
        <v>566</v>
      </c>
      <c r="M37" s="1417" t="s">
        <v>567</v>
      </c>
    </row>
    <row r="38" spans="1:13" s="352" customFormat="1" ht="16.5" customHeight="1" x14ac:dyDescent="0.2">
      <c r="A38" s="1708"/>
      <c r="B38" s="1645"/>
      <c r="C38" s="1414">
        <v>0</v>
      </c>
      <c r="D38" s="1414">
        <v>0</v>
      </c>
      <c r="E38" s="1414">
        <v>0</v>
      </c>
      <c r="F38" s="1414">
        <v>0</v>
      </c>
      <c r="G38" s="1414">
        <v>900</v>
      </c>
      <c r="H38" s="1414">
        <v>0</v>
      </c>
      <c r="I38" s="207">
        <v>1150</v>
      </c>
      <c r="J38" s="1414">
        <v>900</v>
      </c>
      <c r="K38" s="1414"/>
      <c r="L38" s="1731"/>
      <c r="M38" s="1417" t="s">
        <v>3462</v>
      </c>
    </row>
    <row r="39" spans="1:13" s="352" customFormat="1" ht="26.25" customHeight="1" x14ac:dyDescent="0.2">
      <c r="A39" s="1708">
        <v>2</v>
      </c>
      <c r="B39" s="1671" t="s">
        <v>568</v>
      </c>
      <c r="C39" s="1414">
        <v>515</v>
      </c>
      <c r="D39" s="1414">
        <v>0</v>
      </c>
      <c r="E39" s="1414">
        <v>227</v>
      </c>
      <c r="F39" s="1414">
        <v>0</v>
      </c>
      <c r="G39" s="1414">
        <v>330</v>
      </c>
      <c r="H39" s="1414">
        <v>0</v>
      </c>
      <c r="I39" s="1415">
        <v>2121</v>
      </c>
      <c r="J39" s="1414">
        <v>330</v>
      </c>
      <c r="K39" s="1414"/>
      <c r="L39" s="1731" t="s">
        <v>569</v>
      </c>
      <c r="M39" s="1417" t="s">
        <v>570</v>
      </c>
    </row>
    <row r="40" spans="1:13" s="352" customFormat="1" hidden="1" x14ac:dyDescent="0.2">
      <c r="A40" s="1708"/>
      <c r="B40" s="1671"/>
      <c r="C40" s="1414">
        <v>25</v>
      </c>
      <c r="D40" s="1414">
        <v>0</v>
      </c>
      <c r="E40" s="1414">
        <v>0</v>
      </c>
      <c r="F40" s="1414">
        <v>0</v>
      </c>
      <c r="G40" s="1414">
        <v>0</v>
      </c>
      <c r="H40" s="1414">
        <v>0</v>
      </c>
      <c r="I40" s="1415">
        <v>2390</v>
      </c>
      <c r="J40" s="1414"/>
      <c r="K40" s="1414"/>
      <c r="L40" s="1731"/>
      <c r="M40" s="1417"/>
    </row>
    <row r="41" spans="1:13" s="352" customFormat="1" ht="24.75" customHeight="1" x14ac:dyDescent="0.2">
      <c r="A41" s="1708"/>
      <c r="B41" s="1671"/>
      <c r="C41" s="1414">
        <v>3908</v>
      </c>
      <c r="D41" s="1414">
        <v>0</v>
      </c>
      <c r="E41" s="1414">
        <v>999</v>
      </c>
      <c r="F41" s="1414">
        <v>0</v>
      </c>
      <c r="G41" s="1414">
        <v>1200</v>
      </c>
      <c r="H41" s="1414">
        <v>0</v>
      </c>
      <c r="I41" s="1415">
        <v>2122</v>
      </c>
      <c r="J41" s="1414">
        <v>1200</v>
      </c>
      <c r="K41" s="1414"/>
      <c r="L41" s="1731"/>
      <c r="M41" s="1417" t="s">
        <v>571</v>
      </c>
    </row>
    <row r="42" spans="1:13" s="352" customFormat="1" ht="24" hidden="1" x14ac:dyDescent="0.2">
      <c r="A42" s="1397">
        <v>3</v>
      </c>
      <c r="B42" s="1391" t="s">
        <v>572</v>
      </c>
      <c r="C42" s="1414">
        <v>9259</v>
      </c>
      <c r="D42" s="1414">
        <v>0</v>
      </c>
      <c r="E42" s="1414">
        <v>9159</v>
      </c>
      <c r="F42" s="1414">
        <v>0</v>
      </c>
      <c r="G42" s="1414">
        <v>0</v>
      </c>
      <c r="H42" s="1414">
        <v>0</v>
      </c>
      <c r="I42" s="1415">
        <v>2231</v>
      </c>
      <c r="J42" s="1414"/>
      <c r="K42" s="1414"/>
      <c r="L42" s="208" t="s">
        <v>573</v>
      </c>
      <c r="M42" s="1417" t="s">
        <v>574</v>
      </c>
    </row>
    <row r="43" spans="1:13" s="352" customFormat="1" ht="35.25" customHeight="1" x14ac:dyDescent="0.2">
      <c r="A43" s="1406">
        <v>3</v>
      </c>
      <c r="B43" s="1391" t="s">
        <v>575</v>
      </c>
      <c r="C43" s="1414">
        <v>20000</v>
      </c>
      <c r="D43" s="1414">
        <v>0</v>
      </c>
      <c r="E43" s="1414">
        <v>20000</v>
      </c>
      <c r="F43" s="1414">
        <v>0</v>
      </c>
      <c r="G43" s="1414">
        <v>35000</v>
      </c>
      <c r="H43" s="1414">
        <v>0</v>
      </c>
      <c r="I43" s="1415">
        <v>2279</v>
      </c>
      <c r="J43" s="1414">
        <v>25000</v>
      </c>
      <c r="K43" s="1414"/>
      <c r="L43" s="1396" t="s">
        <v>3475</v>
      </c>
      <c r="M43" s="210" t="s">
        <v>576</v>
      </c>
    </row>
    <row r="44" spans="1:13" s="352" customFormat="1" ht="39.75" customHeight="1" x14ac:dyDescent="0.2">
      <c r="A44" s="1406">
        <v>4</v>
      </c>
      <c r="B44" s="1391" t="s">
        <v>577</v>
      </c>
      <c r="C44" s="1414">
        <v>300</v>
      </c>
      <c r="D44" s="1414">
        <v>0</v>
      </c>
      <c r="E44" s="1414">
        <v>87</v>
      </c>
      <c r="F44" s="1414">
        <v>0</v>
      </c>
      <c r="G44" s="1414">
        <v>174</v>
      </c>
      <c r="H44" s="1414">
        <v>0</v>
      </c>
      <c r="I44" s="1415">
        <v>2121</v>
      </c>
      <c r="J44" s="1414">
        <v>174</v>
      </c>
      <c r="K44" s="1414"/>
      <c r="L44" s="1396" t="s">
        <v>3476</v>
      </c>
      <c r="M44" s="210" t="s">
        <v>578</v>
      </c>
    </row>
    <row r="45" spans="1:13" s="352" customFormat="1" ht="36.75" customHeight="1" x14ac:dyDescent="0.2">
      <c r="A45" s="1730">
        <v>5</v>
      </c>
      <c r="B45" s="1671" t="s">
        <v>579</v>
      </c>
      <c r="C45" s="1414">
        <v>1416</v>
      </c>
      <c r="D45" s="1414">
        <v>0</v>
      </c>
      <c r="E45" s="1414">
        <v>1400</v>
      </c>
      <c r="F45" s="1414">
        <v>0</v>
      </c>
      <c r="G45" s="1414">
        <v>1400</v>
      </c>
      <c r="H45" s="1414">
        <v>0</v>
      </c>
      <c r="I45" s="1415">
        <v>2239</v>
      </c>
      <c r="J45" s="1414">
        <v>1400</v>
      </c>
      <c r="K45" s="1414"/>
      <c r="L45" s="1731" t="s">
        <v>3477</v>
      </c>
      <c r="M45" s="1417" t="s">
        <v>580</v>
      </c>
    </row>
    <row r="46" spans="1:13" s="352" customFormat="1" ht="24" x14ac:dyDescent="0.2">
      <c r="A46" s="1730"/>
      <c r="B46" s="1671"/>
      <c r="C46" s="1414">
        <v>0</v>
      </c>
      <c r="D46" s="1414">
        <v>0</v>
      </c>
      <c r="E46" s="1414">
        <v>0</v>
      </c>
      <c r="F46" s="1414">
        <v>0</v>
      </c>
      <c r="G46" s="1414">
        <v>600</v>
      </c>
      <c r="H46" s="1414">
        <v>0</v>
      </c>
      <c r="I46" s="1415">
        <v>2231</v>
      </c>
      <c r="J46" s="1414">
        <v>600</v>
      </c>
      <c r="K46" s="1414"/>
      <c r="L46" s="1731"/>
      <c r="M46" s="1391" t="s">
        <v>581</v>
      </c>
    </row>
    <row r="47" spans="1:13" s="352" customFormat="1" ht="27.75" hidden="1" customHeight="1" x14ac:dyDescent="0.2">
      <c r="A47" s="1397">
        <v>6</v>
      </c>
      <c r="B47" s="1391" t="s">
        <v>582</v>
      </c>
      <c r="C47" s="344">
        <v>0</v>
      </c>
      <c r="D47" s="344">
        <v>0</v>
      </c>
      <c r="E47" s="344">
        <v>0</v>
      </c>
      <c r="F47" s="344">
        <v>0</v>
      </c>
      <c r="G47" s="344">
        <v>5000</v>
      </c>
      <c r="H47" s="344">
        <v>0</v>
      </c>
      <c r="I47" s="207">
        <v>2279</v>
      </c>
      <c r="J47" s="344"/>
      <c r="K47" s="344"/>
      <c r="L47" s="1396" t="s">
        <v>583</v>
      </c>
      <c r="M47" s="210" t="s">
        <v>584</v>
      </c>
    </row>
    <row r="48" spans="1:13" s="352" customFormat="1" ht="15.75" customHeight="1" x14ac:dyDescent="0.2">
      <c r="A48" s="1397">
        <v>7</v>
      </c>
      <c r="B48" s="1391" t="s">
        <v>585</v>
      </c>
      <c r="C48" s="1414">
        <v>173</v>
      </c>
      <c r="D48" s="1414">
        <v>0</v>
      </c>
      <c r="E48" s="1414">
        <v>112</v>
      </c>
      <c r="F48" s="1414">
        <v>0</v>
      </c>
      <c r="G48" s="1414">
        <v>150</v>
      </c>
      <c r="H48" s="1414">
        <v>0</v>
      </c>
      <c r="I48" s="1415">
        <v>2279</v>
      </c>
      <c r="J48" s="1414">
        <v>150</v>
      </c>
      <c r="K48" s="1414"/>
      <c r="L48" s="1403" t="s">
        <v>586</v>
      </c>
      <c r="M48" s="1417" t="s">
        <v>587</v>
      </c>
    </row>
    <row r="49" spans="1:14" s="352" customFormat="1" x14ac:dyDescent="0.2">
      <c r="A49" s="1684">
        <v>8</v>
      </c>
      <c r="B49" s="1732" t="s">
        <v>588</v>
      </c>
      <c r="C49" s="1414">
        <v>40400</v>
      </c>
      <c r="D49" s="1414">
        <v>0</v>
      </c>
      <c r="E49" s="1414">
        <v>32307</v>
      </c>
      <c r="F49" s="1414">
        <v>0</v>
      </c>
      <c r="G49" s="1414">
        <v>81400</v>
      </c>
      <c r="H49" s="1414">
        <v>0</v>
      </c>
      <c r="I49" s="1415">
        <v>2279</v>
      </c>
      <c r="J49" s="1414">
        <v>81400</v>
      </c>
      <c r="K49" s="1414"/>
      <c r="L49" s="1702" t="s">
        <v>589</v>
      </c>
      <c r="M49" s="1722" t="s">
        <v>590</v>
      </c>
    </row>
    <row r="50" spans="1:14" s="352" customFormat="1" ht="14.25" customHeight="1" x14ac:dyDescent="0.2">
      <c r="A50" s="1720"/>
      <c r="B50" s="1733"/>
      <c r="C50" s="1414"/>
      <c r="D50" s="1414"/>
      <c r="E50" s="1414"/>
      <c r="F50" s="1414"/>
      <c r="G50" s="1414">
        <v>1500</v>
      </c>
      <c r="H50" s="1414"/>
      <c r="I50" s="207">
        <v>2222</v>
      </c>
      <c r="J50" s="1414">
        <v>1500</v>
      </c>
      <c r="K50" s="1414"/>
      <c r="L50" s="1735"/>
      <c r="M50" s="1723"/>
    </row>
    <row r="51" spans="1:14" s="352" customFormat="1" ht="13.5" customHeight="1" x14ac:dyDescent="0.2">
      <c r="A51" s="1685"/>
      <c r="B51" s="1734"/>
      <c r="C51" s="1414"/>
      <c r="D51" s="1414"/>
      <c r="E51" s="1414"/>
      <c r="F51" s="1414"/>
      <c r="G51" s="1414">
        <v>18500</v>
      </c>
      <c r="H51" s="1414"/>
      <c r="I51" s="207">
        <v>2223</v>
      </c>
      <c r="J51" s="1414">
        <v>18500</v>
      </c>
      <c r="K51" s="1414"/>
      <c r="L51" s="1703"/>
      <c r="M51" s="1724"/>
    </row>
    <row r="52" spans="1:14" s="352" customFormat="1" ht="24" x14ac:dyDescent="0.2">
      <c r="A52" s="1684">
        <v>9</v>
      </c>
      <c r="B52" s="1725" t="s">
        <v>591</v>
      </c>
      <c r="C52" s="1414">
        <v>0</v>
      </c>
      <c r="D52" s="1414">
        <v>0</v>
      </c>
      <c r="E52" s="1414">
        <v>0</v>
      </c>
      <c r="F52" s="1414">
        <v>0</v>
      </c>
      <c r="G52" s="344">
        <v>4000</v>
      </c>
      <c r="H52" s="1414">
        <v>0</v>
      </c>
      <c r="I52" s="376">
        <v>2279</v>
      </c>
      <c r="J52" s="1414">
        <v>4254</v>
      </c>
      <c r="K52" s="1414"/>
      <c r="L52" s="1728" t="s">
        <v>592</v>
      </c>
      <c r="M52" s="210" t="s">
        <v>593</v>
      </c>
      <c r="N52" s="1473"/>
    </row>
    <row r="53" spans="1:14" s="352" customFormat="1" ht="36" hidden="1" x14ac:dyDescent="0.2">
      <c r="A53" s="1720"/>
      <c r="B53" s="1726"/>
      <c r="C53" s="1414">
        <v>0</v>
      </c>
      <c r="D53" s="1414">
        <v>0</v>
      </c>
      <c r="E53" s="1414">
        <v>0</v>
      </c>
      <c r="F53" s="1414">
        <v>0</v>
      </c>
      <c r="G53" s="1414">
        <v>400</v>
      </c>
      <c r="H53" s="1414">
        <v>0</v>
      </c>
      <c r="I53" s="1415">
        <v>2279</v>
      </c>
      <c r="J53" s="1414"/>
      <c r="K53" s="1414"/>
      <c r="L53" s="1728"/>
      <c r="M53" s="1417" t="s">
        <v>594</v>
      </c>
    </row>
    <row r="54" spans="1:14" s="352" customFormat="1" ht="51" hidden="1" customHeight="1" x14ac:dyDescent="0.2">
      <c r="A54" s="1685"/>
      <c r="B54" s="1727"/>
      <c r="C54" s="1414">
        <v>0</v>
      </c>
      <c r="D54" s="1414">
        <v>0</v>
      </c>
      <c r="E54" s="1414">
        <v>0</v>
      </c>
      <c r="F54" s="1414">
        <v>0</v>
      </c>
      <c r="G54" s="1414">
        <v>3000</v>
      </c>
      <c r="H54" s="1414">
        <v>0</v>
      </c>
      <c r="I54" s="1415">
        <v>2279</v>
      </c>
      <c r="J54" s="1414"/>
      <c r="K54" s="1414"/>
      <c r="L54" s="1728"/>
      <c r="M54" s="1417" t="s">
        <v>3463</v>
      </c>
    </row>
    <row r="55" spans="1:14" s="352" customFormat="1" ht="41.25" hidden="1" customHeight="1" x14ac:dyDescent="0.2">
      <c r="A55" s="1401">
        <v>14</v>
      </c>
      <c r="B55" s="1472" t="s">
        <v>595</v>
      </c>
      <c r="C55" s="1414">
        <v>4514</v>
      </c>
      <c r="D55" s="1414">
        <v>0</v>
      </c>
      <c r="E55" s="1414">
        <v>4488</v>
      </c>
      <c r="F55" s="1414">
        <v>0</v>
      </c>
      <c r="G55" s="1414">
        <v>0</v>
      </c>
      <c r="H55" s="1414">
        <v>0</v>
      </c>
      <c r="I55" s="378">
        <v>3263</v>
      </c>
      <c r="J55" s="1414"/>
      <c r="K55" s="1414"/>
      <c r="L55" s="1475" t="s">
        <v>596</v>
      </c>
      <c r="M55" s="1407" t="s">
        <v>597</v>
      </c>
    </row>
    <row r="56" spans="1:14" s="352" customFormat="1" ht="39" customHeight="1" x14ac:dyDescent="0.2">
      <c r="A56" s="1403">
        <v>10</v>
      </c>
      <c r="B56" s="1404" t="s">
        <v>598</v>
      </c>
      <c r="C56" s="1414">
        <v>1440</v>
      </c>
      <c r="D56" s="1414">
        <v>0</v>
      </c>
      <c r="E56" s="1414">
        <v>1440</v>
      </c>
      <c r="F56" s="1414">
        <v>0</v>
      </c>
      <c r="G56" s="1414">
        <v>1440</v>
      </c>
      <c r="H56" s="1414">
        <v>0</v>
      </c>
      <c r="I56" s="1415">
        <v>3263</v>
      </c>
      <c r="J56" s="1414">
        <v>1440</v>
      </c>
      <c r="K56" s="1414"/>
      <c r="L56" s="1482" t="s">
        <v>596</v>
      </c>
      <c r="M56" s="1404" t="s">
        <v>599</v>
      </c>
    </row>
    <row r="57" spans="1:14" s="352" customFormat="1" ht="44.25" hidden="1" customHeight="1" x14ac:dyDescent="0.2">
      <c r="A57" s="1729" t="s">
        <v>600</v>
      </c>
      <c r="B57" s="1729"/>
      <c r="C57" s="1729"/>
      <c r="D57" s="1729"/>
      <c r="E57" s="1729"/>
      <c r="F57" s="1729"/>
      <c r="G57" s="1729"/>
      <c r="H57" s="1729"/>
      <c r="I57" s="1729"/>
      <c r="J57" s="1729"/>
      <c r="K57" s="1729"/>
      <c r="L57" s="1729"/>
      <c r="M57" s="380"/>
    </row>
    <row r="58" spans="1:14" s="352" customFormat="1" x14ac:dyDescent="0.2">
      <c r="A58" s="369"/>
      <c r="B58" s="381"/>
      <c r="C58" s="369"/>
      <c r="D58" s="369"/>
      <c r="E58" s="369"/>
      <c r="F58" s="369"/>
      <c r="G58" s="369"/>
      <c r="H58" s="369"/>
      <c r="I58" s="369"/>
      <c r="J58" s="369"/>
      <c r="K58" s="369"/>
      <c r="L58" s="369"/>
      <c r="M58" s="381"/>
    </row>
    <row r="59" spans="1:14" s="352" customFormat="1" x14ac:dyDescent="0.2">
      <c r="A59" s="1418" t="s">
        <v>129</v>
      </c>
      <c r="B59" s="1418"/>
      <c r="C59" s="1692" t="s">
        <v>424</v>
      </c>
      <c r="D59" s="1692"/>
      <c r="E59" s="1692"/>
      <c r="F59" s="1692"/>
      <c r="G59" s="1692"/>
      <c r="H59" s="1692"/>
      <c r="I59" s="1692"/>
      <c r="J59" s="1692"/>
      <c r="K59" s="1692"/>
      <c r="L59" s="1692"/>
      <c r="M59" s="1692"/>
    </row>
    <row r="60" spans="1:14" s="352" customFormat="1" x14ac:dyDescent="0.2">
      <c r="A60" s="1418" t="s">
        <v>131</v>
      </c>
      <c r="B60" s="1418"/>
      <c r="C60" s="1699" t="s">
        <v>425</v>
      </c>
      <c r="D60" s="1699"/>
      <c r="E60" s="1699"/>
      <c r="F60" s="1699"/>
      <c r="G60" s="1699"/>
      <c r="H60" s="1699"/>
      <c r="I60" s="1699"/>
      <c r="J60" s="1699"/>
      <c r="K60" s="1699"/>
      <c r="L60" s="1699"/>
      <c r="M60" s="1699"/>
    </row>
    <row r="61" spans="1:14" s="352" customFormat="1" ht="25.5" customHeight="1" x14ac:dyDescent="0.2">
      <c r="A61" s="1707" t="s">
        <v>4</v>
      </c>
      <c r="B61" s="1707" t="s">
        <v>133</v>
      </c>
      <c r="C61" s="1707" t="s">
        <v>528</v>
      </c>
      <c r="D61" s="1707"/>
      <c r="E61" s="1707" t="s">
        <v>529</v>
      </c>
      <c r="F61" s="1707"/>
      <c r="G61" s="1707" t="s">
        <v>530</v>
      </c>
      <c r="H61" s="1707"/>
      <c r="I61" s="1707" t="s">
        <v>135</v>
      </c>
      <c r="J61" s="1707" t="s">
        <v>3472</v>
      </c>
      <c r="K61" s="1707"/>
      <c r="L61" s="1707" t="s">
        <v>14</v>
      </c>
      <c r="M61" s="1707" t="s">
        <v>137</v>
      </c>
    </row>
    <row r="62" spans="1:14" s="352" customFormat="1" ht="24" x14ac:dyDescent="0.2">
      <c r="A62" s="1707"/>
      <c r="B62" s="1707"/>
      <c r="C62" s="1402" t="s">
        <v>531</v>
      </c>
      <c r="D62" s="1402" t="s">
        <v>532</v>
      </c>
      <c r="E62" s="1402" t="s">
        <v>531</v>
      </c>
      <c r="F62" s="1402" t="s">
        <v>532</v>
      </c>
      <c r="G62" s="1402" t="s">
        <v>531</v>
      </c>
      <c r="H62" s="1402" t="s">
        <v>532</v>
      </c>
      <c r="I62" s="1707"/>
      <c r="J62" s="1402" t="s">
        <v>531</v>
      </c>
      <c r="K62" s="1402" t="s">
        <v>532</v>
      </c>
      <c r="L62" s="1707"/>
      <c r="M62" s="1707"/>
    </row>
    <row r="63" spans="1:14" s="352" customFormat="1" ht="12" customHeight="1" x14ac:dyDescent="0.2">
      <c r="A63" s="1700" t="s">
        <v>533</v>
      </c>
      <c r="B63" s="1700"/>
      <c r="C63" s="339">
        <f>SUM(C64:C86)</f>
        <v>266094</v>
      </c>
      <c r="D63" s="339">
        <f>SUM(D64:D86)</f>
        <v>0</v>
      </c>
      <c r="E63" s="339">
        <f>SUM(E64:E86)</f>
        <v>144455</v>
      </c>
      <c r="F63" s="339">
        <f>SUM(F64:F86)</f>
        <v>0</v>
      </c>
      <c r="G63" s="339">
        <f>SUM(G64,G71:G72,G75:G86)</f>
        <v>379809</v>
      </c>
      <c r="H63" s="339">
        <f>SUM(H64,H71:H72,H75:H86)</f>
        <v>0</v>
      </c>
      <c r="I63" s="313"/>
      <c r="J63" s="339">
        <f>SUM(J64,J71:J72,J75:J86)</f>
        <v>240609</v>
      </c>
      <c r="K63" s="339">
        <f t="shared" ref="K63" si="1">SUM(K64,K71:K72,K75:K86)</f>
        <v>0</v>
      </c>
      <c r="L63" s="313"/>
      <c r="M63" s="313"/>
    </row>
    <row r="64" spans="1:14" s="384" customFormat="1" ht="25.5" customHeight="1" x14ac:dyDescent="0.25">
      <c r="A64" s="1708">
        <v>1</v>
      </c>
      <c r="B64" s="1695" t="s">
        <v>601</v>
      </c>
      <c r="C64" s="1709">
        <v>48700</v>
      </c>
      <c r="D64" s="1710">
        <v>0</v>
      </c>
      <c r="E64" s="1710">
        <v>48700</v>
      </c>
      <c r="F64" s="382"/>
      <c r="G64" s="208">
        <f>SUM(G65:G70)</f>
        <v>40900</v>
      </c>
      <c r="H64" s="208">
        <f>SUM(H65:H70)</f>
        <v>0</v>
      </c>
      <c r="I64" s="1474">
        <v>2279</v>
      </c>
      <c r="J64" s="208">
        <f>SUM(J65:J70)</f>
        <v>38000</v>
      </c>
      <c r="K64" s="208"/>
      <c r="L64" s="1739" t="s">
        <v>3474</v>
      </c>
      <c r="M64" s="364"/>
    </row>
    <row r="65" spans="1:13" s="384" customFormat="1" ht="120" hidden="1" customHeight="1" x14ac:dyDescent="0.25">
      <c r="A65" s="1708"/>
      <c r="B65" s="1695"/>
      <c r="C65" s="1709"/>
      <c r="D65" s="1710"/>
      <c r="E65" s="1710"/>
      <c r="F65" s="382">
        <v>0</v>
      </c>
      <c r="G65" s="208">
        <v>3000</v>
      </c>
      <c r="H65" s="382">
        <v>0</v>
      </c>
      <c r="I65" s="383"/>
      <c r="J65" s="385">
        <v>3000</v>
      </c>
      <c r="K65" s="313"/>
      <c r="L65" s="1740"/>
      <c r="M65" s="364" t="s">
        <v>602</v>
      </c>
    </row>
    <row r="66" spans="1:13" s="352" customFormat="1" ht="142.5" hidden="1" customHeight="1" x14ac:dyDescent="0.2">
      <c r="A66" s="1708"/>
      <c r="B66" s="1695"/>
      <c r="C66" s="1709"/>
      <c r="D66" s="1710"/>
      <c r="E66" s="1710"/>
      <c r="F66" s="382">
        <v>0</v>
      </c>
      <c r="G66" s="208">
        <v>10000</v>
      </c>
      <c r="H66" s="382">
        <v>0</v>
      </c>
      <c r="I66" s="386"/>
      <c r="J66" s="340">
        <v>10000</v>
      </c>
      <c r="K66" s="339"/>
      <c r="L66" s="1740"/>
      <c r="M66" s="1391" t="s">
        <v>603</v>
      </c>
    </row>
    <row r="67" spans="1:13" s="352" customFormat="1" ht="60" hidden="1" customHeight="1" x14ac:dyDescent="0.2">
      <c r="A67" s="1708"/>
      <c r="B67" s="1695"/>
      <c r="C67" s="1709"/>
      <c r="D67" s="1710"/>
      <c r="E67" s="1710"/>
      <c r="F67" s="382">
        <v>0</v>
      </c>
      <c r="G67" s="208">
        <v>3000</v>
      </c>
      <c r="H67" s="382">
        <v>0</v>
      </c>
      <c r="I67" s="386"/>
      <c r="J67" s="340">
        <v>3000</v>
      </c>
      <c r="K67" s="339"/>
      <c r="L67" s="1740"/>
      <c r="M67" s="1391" t="s">
        <v>604</v>
      </c>
    </row>
    <row r="68" spans="1:13" s="352" customFormat="1" ht="246.75" hidden="1" customHeight="1" x14ac:dyDescent="0.2">
      <c r="A68" s="1708"/>
      <c r="B68" s="1695"/>
      <c r="C68" s="1709"/>
      <c r="D68" s="1710"/>
      <c r="E68" s="1710"/>
      <c r="F68" s="382"/>
      <c r="G68" s="208">
        <v>4500</v>
      </c>
      <c r="H68" s="382"/>
      <c r="I68" s="386"/>
      <c r="J68" s="340">
        <v>3000</v>
      </c>
      <c r="K68" s="339"/>
      <c r="L68" s="1740"/>
      <c r="M68" s="1471" t="s">
        <v>605</v>
      </c>
    </row>
    <row r="69" spans="1:13" s="352" customFormat="1" ht="298.5" hidden="1" customHeight="1" x14ac:dyDescent="0.2">
      <c r="A69" s="1708"/>
      <c r="B69" s="1695"/>
      <c r="C69" s="1709"/>
      <c r="D69" s="1710"/>
      <c r="E69" s="1710"/>
      <c r="F69" s="382">
        <v>0</v>
      </c>
      <c r="G69" s="208">
        <v>15000</v>
      </c>
      <c r="H69" s="382">
        <v>0</v>
      </c>
      <c r="I69" s="386"/>
      <c r="J69" s="340">
        <v>19000</v>
      </c>
      <c r="K69" s="339"/>
      <c r="L69" s="1740"/>
      <c r="M69" s="1471" t="s">
        <v>606</v>
      </c>
    </row>
    <row r="70" spans="1:13" s="352" customFormat="1" ht="249.75" hidden="1" customHeight="1" x14ac:dyDescent="0.2">
      <c r="A70" s="1708"/>
      <c r="B70" s="1695"/>
      <c r="C70" s="1709"/>
      <c r="D70" s="1710"/>
      <c r="E70" s="1710"/>
      <c r="F70" s="382"/>
      <c r="G70" s="208">
        <v>5400</v>
      </c>
      <c r="H70" s="375"/>
      <c r="I70" s="387"/>
      <c r="J70" s="339"/>
      <c r="K70" s="339"/>
      <c r="L70" s="1740"/>
      <c r="M70" s="1391" t="s">
        <v>607</v>
      </c>
    </row>
    <row r="71" spans="1:13" s="352" customFormat="1" ht="21" customHeight="1" x14ac:dyDescent="0.2">
      <c r="A71" s="1708"/>
      <c r="B71" s="1695"/>
      <c r="C71" s="322">
        <v>0</v>
      </c>
      <c r="D71" s="322"/>
      <c r="E71" s="322">
        <v>0</v>
      </c>
      <c r="F71" s="382"/>
      <c r="G71" s="208">
        <v>33421</v>
      </c>
      <c r="H71" s="382"/>
      <c r="I71" s="207">
        <v>3262</v>
      </c>
      <c r="J71" s="340">
        <v>33421</v>
      </c>
      <c r="K71" s="339"/>
      <c r="L71" s="1740"/>
      <c r="M71" s="1471" t="s">
        <v>608</v>
      </c>
    </row>
    <row r="72" spans="1:13" s="352" customFormat="1" ht="27.75" customHeight="1" x14ac:dyDescent="0.2">
      <c r="A72" s="1708"/>
      <c r="B72" s="1695"/>
      <c r="C72" s="1711">
        <v>18664</v>
      </c>
      <c r="D72" s="1714">
        <v>0</v>
      </c>
      <c r="E72" s="1714">
        <v>18664</v>
      </c>
      <c r="F72" s="1717">
        <v>0</v>
      </c>
      <c r="G72" s="208">
        <f>SUM(G73:G74)</f>
        <v>23400</v>
      </c>
      <c r="H72" s="382">
        <f>SUM(H73:H74)</f>
        <v>0</v>
      </c>
      <c r="I72" s="207">
        <v>2231</v>
      </c>
      <c r="J72" s="340">
        <f t="shared" ref="J72" si="2">SUM(J73:J74)</f>
        <v>12500</v>
      </c>
      <c r="K72" s="340"/>
      <c r="L72" s="1741"/>
      <c r="M72" s="1471"/>
    </row>
    <row r="73" spans="1:13" s="352" customFormat="1" ht="156" hidden="1" x14ac:dyDescent="0.2">
      <c r="A73" s="1708"/>
      <c r="B73" s="1695"/>
      <c r="C73" s="1712"/>
      <c r="D73" s="1715"/>
      <c r="E73" s="1715"/>
      <c r="F73" s="1718"/>
      <c r="G73" s="208">
        <v>15000</v>
      </c>
      <c r="H73" s="382">
        <v>0</v>
      </c>
      <c r="I73" s="207"/>
      <c r="J73" s="340">
        <v>10000</v>
      </c>
      <c r="K73" s="339"/>
      <c r="L73" s="1392" t="s">
        <v>609</v>
      </c>
      <c r="M73" s="1471" t="s">
        <v>610</v>
      </c>
    </row>
    <row r="74" spans="1:13" s="352" customFormat="1" ht="193.5" hidden="1" customHeight="1" x14ac:dyDescent="0.2">
      <c r="A74" s="1708"/>
      <c r="B74" s="1695"/>
      <c r="C74" s="1713"/>
      <c r="D74" s="1716"/>
      <c r="E74" s="1716"/>
      <c r="F74" s="1719"/>
      <c r="G74" s="208">
        <v>8400</v>
      </c>
      <c r="H74" s="382">
        <v>0</v>
      </c>
      <c r="I74" s="207"/>
      <c r="J74" s="340">
        <v>2500</v>
      </c>
      <c r="K74" s="339"/>
      <c r="L74" s="1392" t="s">
        <v>611</v>
      </c>
      <c r="M74" s="1471" t="s">
        <v>3460</v>
      </c>
    </row>
    <row r="75" spans="1:13" s="352" customFormat="1" ht="15.75" customHeight="1" x14ac:dyDescent="0.2">
      <c r="A75" s="1684">
        <v>2</v>
      </c>
      <c r="B75" s="1686" t="s">
        <v>612</v>
      </c>
      <c r="C75" s="388">
        <v>8600</v>
      </c>
      <c r="D75" s="389">
        <v>0</v>
      </c>
      <c r="E75" s="389">
        <v>8600</v>
      </c>
      <c r="F75" s="382">
        <v>0</v>
      </c>
      <c r="G75" s="208">
        <v>13000</v>
      </c>
      <c r="H75" s="382">
        <v>0</v>
      </c>
      <c r="I75" s="207">
        <v>3262</v>
      </c>
      <c r="J75" s="340">
        <v>8600</v>
      </c>
      <c r="K75" s="339"/>
      <c r="L75" s="1739" t="s">
        <v>613</v>
      </c>
      <c r="M75" s="1471" t="s">
        <v>614</v>
      </c>
    </row>
    <row r="76" spans="1:13" s="352" customFormat="1" ht="12" hidden="1" customHeight="1" x14ac:dyDescent="0.2">
      <c r="A76" s="1720"/>
      <c r="B76" s="1721"/>
      <c r="C76" s="388">
        <v>7000</v>
      </c>
      <c r="D76" s="389">
        <v>0</v>
      </c>
      <c r="E76" s="389">
        <v>7000</v>
      </c>
      <c r="F76" s="382">
        <v>0</v>
      </c>
      <c r="G76" s="208">
        <v>0</v>
      </c>
      <c r="H76" s="382">
        <v>0</v>
      </c>
      <c r="I76" s="207">
        <v>2279</v>
      </c>
      <c r="J76" s="340"/>
      <c r="K76" s="339"/>
      <c r="L76" s="1740"/>
      <c r="M76" s="1671" t="s">
        <v>615</v>
      </c>
    </row>
    <row r="77" spans="1:13" s="352" customFormat="1" ht="12" hidden="1" customHeight="1" x14ac:dyDescent="0.2">
      <c r="A77" s="1720"/>
      <c r="B77" s="1721"/>
      <c r="C77" s="388">
        <v>50</v>
      </c>
      <c r="D77" s="389">
        <v>0</v>
      </c>
      <c r="E77" s="389">
        <v>50</v>
      </c>
      <c r="F77" s="382">
        <v>0</v>
      </c>
      <c r="G77" s="208">
        <v>0</v>
      </c>
      <c r="H77" s="382">
        <v>0</v>
      </c>
      <c r="I77" s="207">
        <v>1210</v>
      </c>
      <c r="J77" s="340"/>
      <c r="K77" s="339"/>
      <c r="L77" s="1740"/>
      <c r="M77" s="1671"/>
    </row>
    <row r="78" spans="1:13" s="352" customFormat="1" ht="0.75" hidden="1" customHeight="1" x14ac:dyDescent="0.2">
      <c r="A78" s="1720"/>
      <c r="B78" s="1721"/>
      <c r="C78" s="388">
        <v>1000</v>
      </c>
      <c r="D78" s="389">
        <v>0</v>
      </c>
      <c r="E78" s="389">
        <v>1000</v>
      </c>
      <c r="F78" s="382">
        <v>0</v>
      </c>
      <c r="G78" s="208">
        <v>0</v>
      </c>
      <c r="H78" s="382">
        <v>0</v>
      </c>
      <c r="I78" s="207">
        <v>1150</v>
      </c>
      <c r="J78" s="340"/>
      <c r="K78" s="339"/>
      <c r="L78" s="1740"/>
      <c r="M78" s="1671"/>
    </row>
    <row r="79" spans="1:13" s="352" customFormat="1" ht="16.5" customHeight="1" x14ac:dyDescent="0.2">
      <c r="A79" s="1685"/>
      <c r="B79" s="1687"/>
      <c r="C79" s="388">
        <v>0</v>
      </c>
      <c r="D79" s="389">
        <v>0</v>
      </c>
      <c r="E79" s="389">
        <v>0</v>
      </c>
      <c r="F79" s="382">
        <v>0</v>
      </c>
      <c r="G79" s="208">
        <v>8000</v>
      </c>
      <c r="H79" s="382">
        <v>0</v>
      </c>
      <c r="I79" s="207">
        <v>2279</v>
      </c>
      <c r="J79" s="340">
        <v>8000</v>
      </c>
      <c r="K79" s="339"/>
      <c r="L79" s="1741"/>
      <c r="M79" s="1391" t="s">
        <v>616</v>
      </c>
    </row>
    <row r="80" spans="1:13" s="352" customFormat="1" ht="27" customHeight="1" x14ac:dyDescent="0.2">
      <c r="A80" s="1394">
        <v>3</v>
      </c>
      <c r="B80" s="1395" t="s">
        <v>617</v>
      </c>
      <c r="C80" s="208">
        <v>3300</v>
      </c>
      <c r="D80" s="208"/>
      <c r="E80" s="208">
        <v>3300</v>
      </c>
      <c r="F80" s="382"/>
      <c r="G80" s="208">
        <v>3300</v>
      </c>
      <c r="H80" s="382"/>
      <c r="I80" s="207">
        <v>2261</v>
      </c>
      <c r="J80" s="340">
        <v>3300</v>
      </c>
      <c r="K80" s="339"/>
      <c r="L80" s="1405" t="s">
        <v>618</v>
      </c>
      <c r="M80" s="1391" t="s">
        <v>619</v>
      </c>
    </row>
    <row r="81" spans="1:13" s="352" customFormat="1" ht="35.25" customHeight="1" x14ac:dyDescent="0.2">
      <c r="A81" s="1394">
        <v>4</v>
      </c>
      <c r="B81" s="1395" t="s">
        <v>620</v>
      </c>
      <c r="C81" s="388">
        <v>950</v>
      </c>
      <c r="D81" s="389">
        <v>0</v>
      </c>
      <c r="E81" s="389">
        <v>950</v>
      </c>
      <c r="F81" s="382">
        <v>0</v>
      </c>
      <c r="G81" s="208">
        <v>2000</v>
      </c>
      <c r="H81" s="382">
        <v>0</v>
      </c>
      <c r="I81" s="207">
        <v>2262</v>
      </c>
      <c r="J81" s="340">
        <v>2000</v>
      </c>
      <c r="K81" s="339"/>
      <c r="L81" s="254" t="s">
        <v>621</v>
      </c>
      <c r="M81" s="208" t="s">
        <v>622</v>
      </c>
    </row>
    <row r="82" spans="1:13" s="352" customFormat="1" ht="37.5" customHeight="1" x14ac:dyDescent="0.2">
      <c r="A82" s="1412">
        <v>5</v>
      </c>
      <c r="B82" s="1391" t="s">
        <v>623</v>
      </c>
      <c r="C82" s="389">
        <v>71000</v>
      </c>
      <c r="D82" s="389">
        <v>0</v>
      </c>
      <c r="E82" s="389">
        <v>15348</v>
      </c>
      <c r="F82" s="382">
        <v>0</v>
      </c>
      <c r="G82" s="208">
        <v>153000</v>
      </c>
      <c r="H82" s="382">
        <v>0</v>
      </c>
      <c r="I82" s="207">
        <v>5250</v>
      </c>
      <c r="J82" s="340">
        <v>57000</v>
      </c>
      <c r="K82" s="339"/>
      <c r="L82" s="1426" t="s">
        <v>624</v>
      </c>
      <c r="M82" s="1471" t="s">
        <v>625</v>
      </c>
    </row>
    <row r="83" spans="1:13" s="352" customFormat="1" ht="41.25" customHeight="1" x14ac:dyDescent="0.2">
      <c r="A83" s="1412">
        <v>6</v>
      </c>
      <c r="B83" s="1391" t="s">
        <v>626</v>
      </c>
      <c r="C83" s="389">
        <v>100000</v>
      </c>
      <c r="D83" s="389">
        <v>0</v>
      </c>
      <c r="E83" s="389">
        <v>35525</v>
      </c>
      <c r="F83" s="382">
        <v>0</v>
      </c>
      <c r="G83" s="389">
        <v>102788</v>
      </c>
      <c r="H83" s="382">
        <v>0</v>
      </c>
      <c r="I83" s="392">
        <v>5240</v>
      </c>
      <c r="J83" s="340">
        <v>77788</v>
      </c>
      <c r="K83" s="339"/>
      <c r="L83" s="1475" t="s">
        <v>627</v>
      </c>
      <c r="M83" s="208" t="s">
        <v>628</v>
      </c>
    </row>
    <row r="84" spans="1:13" s="352" customFormat="1" ht="48" hidden="1" x14ac:dyDescent="0.2">
      <c r="A84" s="1412">
        <v>7</v>
      </c>
      <c r="B84" s="1391" t="s">
        <v>629</v>
      </c>
      <c r="C84" s="389">
        <v>0</v>
      </c>
      <c r="D84" s="389">
        <v>0</v>
      </c>
      <c r="E84" s="389">
        <v>0</v>
      </c>
      <c r="F84" s="382">
        <v>0</v>
      </c>
      <c r="G84" s="389">
        <v>0</v>
      </c>
      <c r="H84" s="382">
        <v>0</v>
      </c>
      <c r="I84" s="392">
        <v>3263</v>
      </c>
      <c r="J84" s="340"/>
      <c r="K84" s="339"/>
      <c r="L84" s="1475" t="s">
        <v>596</v>
      </c>
      <c r="M84" s="208" t="s">
        <v>630</v>
      </c>
    </row>
    <row r="85" spans="1:13" s="352" customFormat="1" ht="48" hidden="1" x14ac:dyDescent="0.2">
      <c r="A85" s="1412">
        <v>8</v>
      </c>
      <c r="B85" s="1391" t="s">
        <v>631</v>
      </c>
      <c r="C85" s="389">
        <v>5390</v>
      </c>
      <c r="D85" s="389">
        <v>0</v>
      </c>
      <c r="E85" s="389">
        <v>5318</v>
      </c>
      <c r="F85" s="382">
        <v>0</v>
      </c>
      <c r="G85" s="389">
        <v>0</v>
      </c>
      <c r="H85" s="382">
        <v>0</v>
      </c>
      <c r="I85" s="392">
        <v>3262</v>
      </c>
      <c r="J85" s="340"/>
      <c r="K85" s="339"/>
      <c r="L85" s="1475" t="s">
        <v>596</v>
      </c>
      <c r="M85" s="208" t="s">
        <v>632</v>
      </c>
    </row>
    <row r="86" spans="1:13" s="352" customFormat="1" ht="48" hidden="1" x14ac:dyDescent="0.2">
      <c r="A86" s="1412">
        <v>9</v>
      </c>
      <c r="B86" s="1391" t="s">
        <v>633</v>
      </c>
      <c r="C86" s="389">
        <v>1440</v>
      </c>
      <c r="D86" s="389">
        <v>0</v>
      </c>
      <c r="E86" s="389">
        <v>0</v>
      </c>
      <c r="F86" s="382">
        <v>0</v>
      </c>
      <c r="G86" s="389">
        <v>0</v>
      </c>
      <c r="H86" s="382">
        <v>0</v>
      </c>
      <c r="I86" s="392">
        <v>3263</v>
      </c>
      <c r="J86" s="340"/>
      <c r="K86" s="339"/>
      <c r="L86" s="1475" t="s">
        <v>596</v>
      </c>
      <c r="M86" s="1407" t="s">
        <v>599</v>
      </c>
    </row>
    <row r="87" spans="1:13" x14ac:dyDescent="0.2">
      <c r="A87" s="306" t="s">
        <v>455</v>
      </c>
      <c r="J87" s="324"/>
      <c r="K87" s="352"/>
      <c r="L87" s="352"/>
      <c r="M87" s="352"/>
    </row>
    <row r="88" spans="1:13" x14ac:dyDescent="0.2">
      <c r="A88" s="306" t="s">
        <v>505</v>
      </c>
      <c r="J88" s="324"/>
      <c r="K88" s="352"/>
      <c r="L88" s="352"/>
      <c r="M88" s="352"/>
    </row>
    <row r="89" spans="1:13" x14ac:dyDescent="0.2">
      <c r="B89" s="400" t="s">
        <v>117</v>
      </c>
      <c r="C89" s="331"/>
      <c r="D89" s="397"/>
      <c r="E89" s="397"/>
      <c r="F89" s="397"/>
      <c r="G89" s="330"/>
      <c r="H89" s="330"/>
      <c r="J89" s="398"/>
      <c r="K89" s="399"/>
      <c r="L89" s="399"/>
      <c r="M89" s="399"/>
    </row>
    <row r="90" spans="1:13" x14ac:dyDescent="0.2">
      <c r="B90" s="400" t="s">
        <v>634</v>
      </c>
      <c r="C90" s="331"/>
      <c r="D90" s="397"/>
      <c r="E90" s="397"/>
      <c r="F90" s="397"/>
      <c r="G90" s="330"/>
      <c r="H90" s="330"/>
      <c r="J90" s="335"/>
      <c r="K90" s="335"/>
      <c r="L90" s="335"/>
      <c r="M90" s="335"/>
    </row>
    <row r="91" spans="1:13" x14ac:dyDescent="0.2">
      <c r="A91" s="335"/>
      <c r="B91" s="330" t="s">
        <v>635</v>
      </c>
      <c r="C91" s="331"/>
      <c r="D91" s="397"/>
      <c r="E91" s="397"/>
      <c r="F91" s="397"/>
      <c r="G91" s="330"/>
      <c r="H91" s="330"/>
      <c r="I91" s="335"/>
      <c r="J91" s="335"/>
      <c r="K91" s="335"/>
      <c r="L91" s="335"/>
      <c r="M91" s="335"/>
    </row>
    <row r="92" spans="1:13" x14ac:dyDescent="0.2">
      <c r="A92" s="335"/>
      <c r="B92" s="330" t="s">
        <v>636</v>
      </c>
      <c r="C92" s="331"/>
      <c r="D92" s="397"/>
      <c r="E92" s="397"/>
      <c r="F92" s="397"/>
      <c r="G92" s="330"/>
      <c r="H92" s="330"/>
      <c r="I92" s="335"/>
      <c r="J92" s="335"/>
      <c r="K92" s="335"/>
      <c r="L92" s="335"/>
      <c r="M92" s="335"/>
    </row>
    <row r="93" spans="1:13" x14ac:dyDescent="0.2">
      <c r="A93" s="335"/>
      <c r="B93" s="400" t="s">
        <v>330</v>
      </c>
      <c r="C93" s="331"/>
      <c r="D93" s="397"/>
      <c r="E93" s="397"/>
      <c r="F93" s="397"/>
      <c r="G93" s="330"/>
      <c r="H93" s="330"/>
      <c r="I93" s="335"/>
      <c r="J93" s="335"/>
      <c r="K93" s="335"/>
      <c r="L93" s="335"/>
      <c r="M93" s="335"/>
    </row>
    <row r="94" spans="1:13" x14ac:dyDescent="0.2">
      <c r="A94" s="335"/>
      <c r="B94" s="330" t="s">
        <v>3479</v>
      </c>
      <c r="C94" s="331"/>
      <c r="D94" s="397"/>
      <c r="E94" s="397"/>
      <c r="F94" s="397"/>
      <c r="G94" s="330"/>
      <c r="H94" s="330"/>
      <c r="I94" s="335"/>
      <c r="J94" s="335"/>
      <c r="K94" s="335"/>
      <c r="L94" s="335"/>
      <c r="M94" s="335"/>
    </row>
    <row r="95" spans="1:13" x14ac:dyDescent="0.2">
      <c r="A95" s="335"/>
      <c r="B95" s="330" t="s">
        <v>2141</v>
      </c>
      <c r="C95" s="331"/>
      <c r="D95" s="397"/>
      <c r="E95" s="397"/>
      <c r="F95" s="397"/>
      <c r="G95" s="330"/>
      <c r="H95" s="330"/>
      <c r="I95" s="335"/>
      <c r="J95" s="335"/>
      <c r="K95" s="335"/>
      <c r="L95" s="335"/>
      <c r="M95" s="335"/>
    </row>
    <row r="96" spans="1:13" x14ac:dyDescent="0.2">
      <c r="A96" s="335"/>
      <c r="B96" s="400" t="s">
        <v>637</v>
      </c>
      <c r="C96" s="331"/>
      <c r="D96" s="397"/>
      <c r="E96" s="397"/>
      <c r="F96" s="397"/>
      <c r="G96" s="330"/>
      <c r="H96" s="330"/>
      <c r="I96" s="335"/>
      <c r="J96" s="335"/>
      <c r="K96" s="335"/>
      <c r="L96" s="335"/>
      <c r="M96" s="335"/>
    </row>
    <row r="97" spans="1:13" x14ac:dyDescent="0.2">
      <c r="A97" s="335"/>
      <c r="B97" s="330" t="s">
        <v>638</v>
      </c>
      <c r="C97" s="331"/>
      <c r="D97" s="397"/>
      <c r="E97" s="397"/>
      <c r="F97" s="397"/>
      <c r="G97" s="330"/>
      <c r="H97" s="330"/>
      <c r="I97" s="335"/>
      <c r="J97" s="335"/>
      <c r="K97" s="335"/>
      <c r="L97" s="335"/>
      <c r="M97" s="335"/>
    </row>
    <row r="98" spans="1:13" x14ac:dyDescent="0.2">
      <c r="A98" s="335"/>
      <c r="B98" s="330" t="s">
        <v>3478</v>
      </c>
      <c r="C98" s="331"/>
      <c r="D98" s="397"/>
      <c r="E98" s="397"/>
      <c r="F98" s="397"/>
      <c r="G98" s="330"/>
      <c r="H98" s="330"/>
      <c r="I98" s="335"/>
      <c r="J98" s="335"/>
      <c r="K98" s="335"/>
      <c r="L98" s="335"/>
      <c r="M98" s="335"/>
    </row>
    <row r="99" spans="1:13" x14ac:dyDescent="0.2">
      <c r="A99" s="335"/>
      <c r="B99" s="400" t="s">
        <v>3480</v>
      </c>
      <c r="C99" s="331"/>
      <c r="D99" s="397"/>
      <c r="E99" s="397"/>
      <c r="F99" s="397"/>
      <c r="G99" s="330"/>
      <c r="H99" s="330"/>
      <c r="I99" s="335"/>
      <c r="J99" s="335"/>
      <c r="K99" s="335"/>
      <c r="L99" s="335"/>
      <c r="M99" s="335"/>
    </row>
    <row r="100" spans="1:13" x14ac:dyDescent="0.2">
      <c r="A100" s="335"/>
      <c r="B100" s="330" t="s">
        <v>3481</v>
      </c>
      <c r="C100" s="331"/>
      <c r="D100" s="397"/>
      <c r="E100" s="397"/>
      <c r="F100" s="397"/>
      <c r="G100" s="330"/>
      <c r="H100" s="330"/>
      <c r="I100" s="335"/>
      <c r="J100" s="335"/>
      <c r="K100" s="335"/>
      <c r="L100" s="335"/>
      <c r="M100" s="335"/>
    </row>
    <row r="101" spans="1:13" x14ac:dyDescent="0.2">
      <c r="A101" s="335"/>
      <c r="B101" s="330" t="s">
        <v>3482</v>
      </c>
      <c r="C101" s="331"/>
      <c r="D101" s="397"/>
      <c r="E101" s="397"/>
      <c r="F101" s="397"/>
      <c r="G101" s="330"/>
      <c r="H101" s="330"/>
      <c r="I101" s="335"/>
      <c r="J101" s="335"/>
      <c r="K101" s="335"/>
      <c r="L101" s="335"/>
      <c r="M101" s="335"/>
    </row>
    <row r="102" spans="1:13" x14ac:dyDescent="0.2">
      <c r="A102" s="335"/>
      <c r="B102" s="400" t="s">
        <v>639</v>
      </c>
      <c r="C102" s="337"/>
      <c r="D102" s="401"/>
      <c r="E102" s="401"/>
      <c r="F102" s="401"/>
      <c r="G102" s="402"/>
      <c r="H102" s="402"/>
      <c r="I102" s="335"/>
      <c r="J102" s="335"/>
      <c r="K102" s="335"/>
      <c r="L102" s="335"/>
      <c r="M102" s="335"/>
    </row>
    <row r="103" spans="1:13" x14ac:dyDescent="0.2">
      <c r="B103" s="330" t="s">
        <v>640</v>
      </c>
      <c r="C103" s="337"/>
      <c r="D103" s="401"/>
      <c r="E103" s="401"/>
      <c r="F103" s="401"/>
      <c r="G103" s="402"/>
      <c r="H103" s="402"/>
      <c r="J103" s="335"/>
      <c r="K103" s="335"/>
      <c r="L103" s="335"/>
      <c r="M103" s="335"/>
    </row>
    <row r="104" spans="1:13" x14ac:dyDescent="0.2">
      <c r="B104" s="330" t="s">
        <v>641</v>
      </c>
      <c r="C104" s="337"/>
      <c r="D104" s="401"/>
      <c r="E104" s="401"/>
      <c r="F104" s="401"/>
      <c r="G104" s="402"/>
      <c r="H104" s="402"/>
      <c r="J104" s="335"/>
      <c r="K104" s="335"/>
      <c r="L104" s="335"/>
      <c r="M104" s="335"/>
    </row>
    <row r="105" spans="1:13" x14ac:dyDescent="0.2">
      <c r="B105" s="400" t="s">
        <v>642</v>
      </c>
      <c r="C105" s="331"/>
      <c r="D105" s="397"/>
      <c r="E105" s="397"/>
      <c r="F105" s="397"/>
      <c r="G105" s="330"/>
      <c r="H105" s="330"/>
    </row>
    <row r="106" spans="1:13" x14ac:dyDescent="0.2">
      <c r="B106" s="403" t="s">
        <v>643</v>
      </c>
      <c r="C106" s="403"/>
      <c r="D106" s="403"/>
      <c r="E106" s="403"/>
      <c r="F106" s="403"/>
      <c r="G106" s="403"/>
      <c r="H106" s="403"/>
    </row>
    <row r="107" spans="1:13" x14ac:dyDescent="0.2">
      <c r="B107" s="403" t="s">
        <v>644</v>
      </c>
      <c r="C107" s="403"/>
      <c r="D107" s="403"/>
      <c r="E107" s="403"/>
      <c r="F107" s="403"/>
      <c r="G107" s="403"/>
      <c r="H107" s="403"/>
    </row>
    <row r="108" spans="1:13" x14ac:dyDescent="0.2">
      <c r="B108" s="400" t="s">
        <v>645</v>
      </c>
      <c r="C108" s="331"/>
      <c r="D108" s="397"/>
      <c r="E108" s="397"/>
      <c r="F108" s="397"/>
      <c r="G108" s="330"/>
      <c r="H108" s="330"/>
    </row>
    <row r="109" spans="1:13" x14ac:dyDescent="0.2">
      <c r="B109" s="330" t="s">
        <v>646</v>
      </c>
      <c r="C109" s="331"/>
      <c r="D109" s="397"/>
      <c r="E109" s="397"/>
      <c r="F109" s="397"/>
      <c r="G109" s="330"/>
      <c r="H109" s="330"/>
    </row>
    <row r="110" spans="1:13" x14ac:dyDescent="0.2">
      <c r="B110" s="330" t="s">
        <v>647</v>
      </c>
      <c r="C110" s="331"/>
      <c r="D110" s="397"/>
      <c r="E110" s="397"/>
      <c r="F110" s="397"/>
      <c r="G110" s="330"/>
      <c r="H110" s="330"/>
    </row>
    <row r="111" spans="1:13" x14ac:dyDescent="0.2">
      <c r="B111" s="400" t="s">
        <v>648</v>
      </c>
      <c r="C111" s="331"/>
      <c r="D111" s="397"/>
      <c r="E111" s="397"/>
      <c r="F111" s="397"/>
      <c r="G111" s="330"/>
      <c r="H111" s="330"/>
    </row>
    <row r="112" spans="1:13" x14ac:dyDescent="0.2">
      <c r="B112" s="330" t="s">
        <v>649</v>
      </c>
      <c r="C112" s="331"/>
      <c r="D112" s="397"/>
      <c r="E112" s="397"/>
      <c r="F112" s="397"/>
      <c r="G112" s="330"/>
      <c r="H112" s="330"/>
    </row>
    <row r="113" spans="2:8" x14ac:dyDescent="0.2">
      <c r="B113" s="330" t="s">
        <v>650</v>
      </c>
      <c r="C113" s="331"/>
      <c r="D113" s="397"/>
      <c r="E113" s="397"/>
      <c r="F113" s="397"/>
      <c r="G113" s="330"/>
      <c r="H113" s="330"/>
    </row>
    <row r="114" spans="2:8" x14ac:dyDescent="0.2">
      <c r="B114" s="330" t="s">
        <v>651</v>
      </c>
      <c r="C114" s="331"/>
      <c r="D114" s="397"/>
      <c r="E114" s="397"/>
      <c r="F114" s="397"/>
      <c r="G114" s="330"/>
      <c r="H114" s="330"/>
    </row>
    <row r="115" spans="2:8" x14ac:dyDescent="0.2">
      <c r="B115" s="330" t="s">
        <v>652</v>
      </c>
      <c r="C115" s="331"/>
      <c r="D115" s="397"/>
      <c r="E115" s="397"/>
      <c r="F115" s="397"/>
      <c r="G115" s="330"/>
      <c r="H115" s="330"/>
    </row>
    <row r="116" spans="2:8" x14ac:dyDescent="0.2">
      <c r="B116" s="330" t="s">
        <v>653</v>
      </c>
      <c r="C116" s="331"/>
      <c r="D116" s="397"/>
      <c r="E116" s="397"/>
      <c r="F116" s="397"/>
      <c r="G116" s="330"/>
      <c r="H116" s="330"/>
    </row>
    <row r="117" spans="2:8" x14ac:dyDescent="0.2">
      <c r="B117" s="330" t="s">
        <v>654</v>
      </c>
      <c r="C117" s="331"/>
      <c r="D117" s="397"/>
      <c r="E117" s="397"/>
      <c r="F117" s="397"/>
      <c r="G117" s="330"/>
      <c r="H117" s="330"/>
    </row>
    <row r="118" spans="2:8" x14ac:dyDescent="0.2">
      <c r="B118" s="330" t="s">
        <v>655</v>
      </c>
      <c r="C118" s="331"/>
      <c r="D118" s="397"/>
      <c r="E118" s="397"/>
      <c r="F118" s="397"/>
      <c r="G118" s="330"/>
      <c r="H118" s="330"/>
    </row>
    <row r="119" spans="2:8" x14ac:dyDescent="0.2">
      <c r="B119" s="330" t="s">
        <v>656</v>
      </c>
      <c r="C119" s="331"/>
      <c r="D119" s="397"/>
      <c r="E119" s="397"/>
      <c r="F119" s="397"/>
      <c r="G119" s="330"/>
      <c r="H119" s="330"/>
    </row>
    <row r="120" spans="2:8" x14ac:dyDescent="0.2">
      <c r="B120" s="334"/>
      <c r="C120" s="331"/>
      <c r="D120" s="397"/>
      <c r="E120" s="397"/>
      <c r="F120" s="397"/>
      <c r="G120" s="330"/>
      <c r="H120" s="330"/>
    </row>
    <row r="121" spans="2:8" x14ac:dyDescent="0.2">
      <c r="B121" s="400" t="s">
        <v>657</v>
      </c>
      <c r="C121" s="330"/>
      <c r="D121" s="330"/>
      <c r="E121" s="330"/>
      <c r="F121" s="330"/>
      <c r="G121" s="330"/>
      <c r="H121" s="330"/>
    </row>
    <row r="122" spans="2:8" x14ac:dyDescent="0.2">
      <c r="B122" s="400" t="s">
        <v>658</v>
      </c>
      <c r="C122" s="400"/>
      <c r="D122" s="400"/>
      <c r="E122" s="400"/>
      <c r="F122" s="400"/>
      <c r="G122" s="400"/>
      <c r="H122" s="1400"/>
    </row>
    <row r="123" spans="2:8" x14ac:dyDescent="0.2">
      <c r="B123" s="330" t="s">
        <v>659</v>
      </c>
      <c r="C123" s="330"/>
      <c r="D123" s="330"/>
      <c r="E123" s="330"/>
      <c r="F123" s="330"/>
      <c r="G123" s="330"/>
      <c r="H123" s="1400"/>
    </row>
    <row r="124" spans="2:8" x14ac:dyDescent="0.2">
      <c r="B124" s="400" t="s">
        <v>3483</v>
      </c>
      <c r="C124" s="330"/>
      <c r="D124" s="330"/>
      <c r="E124" s="330"/>
      <c r="F124" s="330"/>
      <c r="G124" s="330"/>
      <c r="H124" s="1400"/>
    </row>
    <row r="125" spans="2:8" x14ac:dyDescent="0.2">
      <c r="B125" s="330" t="s">
        <v>3484</v>
      </c>
      <c r="C125" s="330"/>
      <c r="D125" s="330"/>
      <c r="E125" s="330"/>
      <c r="F125" s="330"/>
      <c r="G125" s="330"/>
      <c r="H125" s="1400"/>
    </row>
    <row r="126" spans="2:8" x14ac:dyDescent="0.2">
      <c r="B126" s="400" t="s">
        <v>3485</v>
      </c>
      <c r="C126" s="330"/>
      <c r="D126" s="330"/>
      <c r="E126" s="330"/>
      <c r="F126" s="330"/>
      <c r="G126" s="330"/>
      <c r="H126" s="1400"/>
    </row>
    <row r="127" spans="2:8" x14ac:dyDescent="0.2">
      <c r="B127" s="330" t="s">
        <v>405</v>
      </c>
      <c r="C127" s="330"/>
      <c r="D127" s="330"/>
      <c r="E127" s="330"/>
      <c r="F127" s="330"/>
      <c r="G127" s="330"/>
      <c r="H127" s="1400"/>
    </row>
    <row r="128" spans="2:8" x14ac:dyDescent="0.2">
      <c r="B128" s="330" t="s">
        <v>3486</v>
      </c>
      <c r="C128" s="330"/>
      <c r="D128" s="330"/>
      <c r="E128" s="330"/>
      <c r="F128" s="330"/>
      <c r="G128" s="330"/>
      <c r="H128" s="1400"/>
    </row>
    <row r="129" spans="2:9" x14ac:dyDescent="0.2">
      <c r="B129" s="347" t="s">
        <v>660</v>
      </c>
      <c r="C129" s="1400"/>
      <c r="D129" s="1400"/>
      <c r="E129" s="1400"/>
      <c r="F129" s="1400"/>
      <c r="G129" s="1400"/>
      <c r="H129" s="1400"/>
    </row>
    <row r="130" spans="2:9" ht="12" customHeight="1" x14ac:dyDescent="0.2">
      <c r="B130" s="404" t="s">
        <v>661</v>
      </c>
      <c r="C130" s="404"/>
      <c r="D130" s="404"/>
      <c r="E130" s="404"/>
      <c r="F130" s="404"/>
      <c r="G130" s="1400"/>
      <c r="H130" s="1400"/>
    </row>
    <row r="131" spans="2:9" x14ac:dyDescent="0.2">
      <c r="B131" s="1409" t="s">
        <v>662</v>
      </c>
      <c r="C131" s="1400"/>
      <c r="D131" s="1400"/>
      <c r="E131" s="1400"/>
      <c r="F131" s="1400"/>
      <c r="G131" s="1400"/>
      <c r="H131" s="1400"/>
    </row>
    <row r="132" spans="2:9" x14ac:dyDescent="0.2">
      <c r="B132" s="1400" t="s">
        <v>663</v>
      </c>
      <c r="C132" s="1400"/>
      <c r="D132" s="1400"/>
      <c r="E132" s="1400"/>
      <c r="F132" s="1400"/>
      <c r="G132" s="1400"/>
      <c r="H132" s="1400"/>
    </row>
    <row r="133" spans="2:9" x14ac:dyDescent="0.2">
      <c r="B133" s="1409" t="s">
        <v>664</v>
      </c>
      <c r="C133" s="1400"/>
      <c r="D133" s="1400"/>
      <c r="E133" s="1400"/>
      <c r="F133" s="1400"/>
      <c r="G133" s="1400"/>
      <c r="H133" s="1400"/>
    </row>
    <row r="134" spans="2:9" ht="12" customHeight="1" x14ac:dyDescent="0.2">
      <c r="B134" s="1483" t="s">
        <v>665</v>
      </c>
      <c r="C134" s="1476"/>
      <c r="D134" s="1476"/>
      <c r="E134" s="1476"/>
      <c r="F134" s="1476"/>
      <c r="G134" s="1476"/>
      <c r="H134" s="1476"/>
    </row>
    <row r="135" spans="2:9" ht="12" customHeight="1" x14ac:dyDescent="0.2">
      <c r="B135" s="814" t="s">
        <v>666</v>
      </c>
      <c r="C135" s="404"/>
      <c r="D135" s="404"/>
      <c r="E135" s="404"/>
      <c r="F135" s="404"/>
      <c r="G135" s="404"/>
      <c r="H135" s="405"/>
      <c r="I135" s="406"/>
    </row>
    <row r="136" spans="2:9" ht="12" customHeight="1" x14ac:dyDescent="0.2">
      <c r="B136" s="814" t="s">
        <v>3487</v>
      </c>
      <c r="C136" s="404"/>
      <c r="D136" s="404"/>
      <c r="E136" s="404"/>
      <c r="F136" s="404"/>
      <c r="G136" s="404"/>
      <c r="H136" s="405"/>
      <c r="I136" s="406"/>
    </row>
    <row r="137" spans="2:9" ht="12" customHeight="1" x14ac:dyDescent="0.2">
      <c r="B137" s="1477" t="s">
        <v>667</v>
      </c>
      <c r="C137" s="1477"/>
      <c r="D137" s="1477"/>
      <c r="E137" s="1477"/>
      <c r="F137" s="1477"/>
      <c r="G137" s="1477"/>
      <c r="H137" s="405"/>
      <c r="I137" s="406"/>
    </row>
    <row r="138" spans="2:9" ht="12" customHeight="1" x14ac:dyDescent="0.2">
      <c r="B138" s="1483" t="s">
        <v>668</v>
      </c>
      <c r="C138" s="1476"/>
      <c r="D138" s="1476"/>
      <c r="E138" s="1476"/>
      <c r="F138" s="1476"/>
      <c r="G138" s="404"/>
      <c r="H138" s="405"/>
      <c r="I138" s="406"/>
    </row>
    <row r="139" spans="2:9" ht="12" customHeight="1" x14ac:dyDescent="0.2">
      <c r="B139" s="1483" t="s">
        <v>669</v>
      </c>
      <c r="C139" s="1476"/>
      <c r="D139" s="1476"/>
      <c r="E139" s="1476"/>
      <c r="F139" s="1476"/>
      <c r="G139" s="1476"/>
      <c r="H139" s="1476"/>
      <c r="I139" s="406"/>
    </row>
    <row r="140" spans="2:9" ht="12" customHeight="1" x14ac:dyDescent="0.2">
      <c r="B140" s="1484" t="s">
        <v>670</v>
      </c>
      <c r="C140" s="1478"/>
      <c r="D140" s="1478"/>
      <c r="E140" s="1478"/>
      <c r="F140" s="1410"/>
      <c r="G140" s="1410"/>
      <c r="H140" s="1410"/>
      <c r="I140" s="406"/>
    </row>
    <row r="141" spans="2:9" ht="12" customHeight="1" x14ac:dyDescent="0.2">
      <c r="B141" s="814" t="s">
        <v>671</v>
      </c>
      <c r="C141" s="404"/>
      <c r="D141" s="404"/>
      <c r="E141" s="404"/>
      <c r="F141" s="404"/>
      <c r="G141" s="404"/>
      <c r="H141" s="1410"/>
      <c r="I141" s="406"/>
    </row>
    <row r="142" spans="2:9" ht="12" customHeight="1" x14ac:dyDescent="0.2">
      <c r="B142" s="814" t="s">
        <v>672</v>
      </c>
      <c r="C142" s="404"/>
      <c r="D142" s="404"/>
      <c r="E142" s="404"/>
      <c r="F142" s="404"/>
      <c r="G142" s="404"/>
      <c r="H142" s="404"/>
      <c r="I142" s="406"/>
    </row>
    <row r="143" spans="2:9" ht="12" customHeight="1" x14ac:dyDescent="0.2">
      <c r="B143" s="1485" t="s">
        <v>3488</v>
      </c>
      <c r="C143" s="404"/>
      <c r="D143" s="404"/>
      <c r="E143" s="404"/>
      <c r="F143" s="404"/>
      <c r="G143" s="404"/>
      <c r="H143" s="404"/>
      <c r="I143" s="406"/>
    </row>
    <row r="144" spans="2:9" ht="12" customHeight="1" x14ac:dyDescent="0.2">
      <c r="B144" s="814" t="s">
        <v>3489</v>
      </c>
      <c r="C144" s="404"/>
      <c r="D144" s="404"/>
      <c r="E144" s="404"/>
      <c r="F144" s="404"/>
      <c r="G144" s="404"/>
      <c r="H144" s="404"/>
      <c r="I144" s="406"/>
    </row>
    <row r="145" spans="2:9" ht="12" customHeight="1" x14ac:dyDescent="0.2">
      <c r="B145" s="1485" t="s">
        <v>3490</v>
      </c>
      <c r="C145" s="404"/>
      <c r="D145" s="404"/>
      <c r="E145" s="404"/>
      <c r="F145" s="404"/>
      <c r="G145" s="404"/>
      <c r="H145" s="404"/>
      <c r="I145" s="406"/>
    </row>
    <row r="146" spans="2:9" ht="12" customHeight="1" x14ac:dyDescent="0.2">
      <c r="B146" s="814" t="s">
        <v>3491</v>
      </c>
      <c r="C146" s="404"/>
      <c r="D146" s="404"/>
      <c r="E146" s="404"/>
      <c r="F146" s="404"/>
      <c r="G146" s="404"/>
      <c r="H146" s="404"/>
      <c r="I146" s="406"/>
    </row>
    <row r="147" spans="2:9" ht="12" customHeight="1" x14ac:dyDescent="0.2">
      <c r="B147" s="1485" t="s">
        <v>673</v>
      </c>
      <c r="C147" s="1477"/>
      <c r="D147" s="1477"/>
      <c r="E147" s="1477"/>
      <c r="F147" s="1408"/>
      <c r="G147" s="1408"/>
      <c r="H147" s="1408"/>
      <c r="I147" s="406"/>
    </row>
    <row r="148" spans="2:9" ht="12" customHeight="1" x14ac:dyDescent="0.2">
      <c r="B148" s="814" t="s">
        <v>674</v>
      </c>
      <c r="C148" s="404"/>
      <c r="D148" s="404"/>
      <c r="E148" s="404"/>
      <c r="F148" s="404"/>
      <c r="G148" s="404"/>
      <c r="H148" s="404"/>
      <c r="I148" s="404"/>
    </row>
    <row r="149" spans="2:9" x14ac:dyDescent="0.2">
      <c r="B149" s="400" t="s">
        <v>3492</v>
      </c>
      <c r="C149" s="400"/>
      <c r="D149" s="400"/>
      <c r="E149" s="400"/>
      <c r="F149" s="400"/>
      <c r="G149" s="1400"/>
      <c r="H149" s="1400"/>
    </row>
    <row r="150" spans="2:9" ht="12" customHeight="1" x14ac:dyDescent="0.2">
      <c r="B150" s="1486" t="s">
        <v>3493</v>
      </c>
      <c r="C150" s="1479"/>
      <c r="D150" s="1479"/>
      <c r="E150" s="1479"/>
      <c r="F150" s="1479"/>
      <c r="G150" s="1411"/>
      <c r="H150" s="408"/>
    </row>
    <row r="151" spans="2:9" ht="12" customHeight="1" x14ac:dyDescent="0.2">
      <c r="B151" s="1487" t="s">
        <v>675</v>
      </c>
      <c r="C151" s="1480"/>
      <c r="D151" s="1480"/>
      <c r="E151" s="1480"/>
      <c r="F151" s="1480"/>
      <c r="G151" s="1480"/>
      <c r="H151" s="1480"/>
    </row>
    <row r="152" spans="2:9" ht="12" customHeight="1" x14ac:dyDescent="0.2">
      <c r="B152" s="814" t="s">
        <v>676</v>
      </c>
      <c r="C152" s="404"/>
      <c r="D152" s="404"/>
      <c r="E152" s="404"/>
      <c r="F152" s="404"/>
      <c r="G152" s="409"/>
      <c r="H152" s="409"/>
      <c r="I152" s="409"/>
    </row>
    <row r="153" spans="2:9" ht="12" customHeight="1" x14ac:dyDescent="0.2">
      <c r="B153" s="814" t="s">
        <v>677</v>
      </c>
      <c r="C153" s="404"/>
      <c r="D153" s="404"/>
      <c r="E153" s="404"/>
      <c r="F153" s="404"/>
      <c r="G153" s="404"/>
      <c r="I153" s="409"/>
    </row>
    <row r="154" spans="2:9" x14ac:dyDescent="0.2">
      <c r="B154" s="1418"/>
    </row>
    <row r="155" spans="2:9" ht="11.25" customHeight="1" x14ac:dyDescent="0.2">
      <c r="B155" s="1497" t="s">
        <v>3499</v>
      </c>
      <c r="C155" s="1481"/>
      <c r="D155" s="1481"/>
      <c r="E155" s="1481"/>
      <c r="F155" s="1481"/>
    </row>
    <row r="156" spans="2:9" x14ac:dyDescent="0.2">
      <c r="B156" s="1488" t="s">
        <v>678</v>
      </c>
    </row>
    <row r="157" spans="2:9" x14ac:dyDescent="0.2">
      <c r="B157" s="1451" t="s">
        <v>679</v>
      </c>
    </row>
    <row r="159" spans="2:9" x14ac:dyDescent="0.2">
      <c r="B159" s="347" t="s">
        <v>1870</v>
      </c>
    </row>
    <row r="160" spans="2:9" x14ac:dyDescent="0.2">
      <c r="B160" s="347" t="s">
        <v>3494</v>
      </c>
    </row>
    <row r="161" spans="2:18" x14ac:dyDescent="0.2">
      <c r="B161" s="306" t="s">
        <v>3495</v>
      </c>
    </row>
    <row r="162" spans="2:18" x14ac:dyDescent="0.2">
      <c r="B162" s="306" t="s">
        <v>3496</v>
      </c>
    </row>
    <row r="163" spans="2:18" x14ac:dyDescent="0.2">
      <c r="B163" s="306" t="s">
        <v>3497</v>
      </c>
    </row>
    <row r="164" spans="2:18" x14ac:dyDescent="0.2">
      <c r="B164" s="306" t="s">
        <v>3498</v>
      </c>
    </row>
    <row r="166" spans="2:18" ht="15" x14ac:dyDescent="0.25">
      <c r="B166" s="1495" t="s">
        <v>3500</v>
      </c>
      <c r="C166" s="1384"/>
    </row>
    <row r="167" spans="2:18" ht="9.75" customHeight="1" x14ac:dyDescent="0.2">
      <c r="B167" s="1706" t="s">
        <v>3503</v>
      </c>
      <c r="C167" s="1706"/>
      <c r="D167" s="1706"/>
      <c r="E167" s="1706"/>
      <c r="F167" s="1706"/>
      <c r="G167" s="1706"/>
      <c r="H167" s="1706"/>
      <c r="I167" s="1706"/>
      <c r="J167" s="1706"/>
      <c r="K167" s="1706"/>
      <c r="L167" s="1706"/>
      <c r="M167" s="1706"/>
      <c r="N167" s="1706"/>
      <c r="O167" s="1706"/>
      <c r="P167" s="1706"/>
      <c r="Q167" s="1706"/>
      <c r="R167" s="1706"/>
    </row>
    <row r="168" spans="2:18" ht="15" customHeight="1" x14ac:dyDescent="0.2">
      <c r="B168" s="1706"/>
      <c r="C168" s="1706"/>
      <c r="D168" s="1706"/>
      <c r="E168" s="1706"/>
      <c r="F168" s="1706"/>
      <c r="G168" s="1706"/>
      <c r="H168" s="1706"/>
      <c r="I168" s="1706"/>
      <c r="J168" s="1706"/>
      <c r="K168" s="1706"/>
      <c r="L168" s="1706"/>
      <c r="M168" s="1706"/>
      <c r="N168" s="1706"/>
      <c r="O168" s="1706"/>
      <c r="P168" s="1706"/>
      <c r="Q168" s="1706"/>
      <c r="R168" s="1706"/>
    </row>
    <row r="169" spans="2:18" ht="15" x14ac:dyDescent="0.25">
      <c r="B169" s="287" t="s">
        <v>3502</v>
      </c>
      <c r="C169" s="1384"/>
    </row>
    <row r="170" spans="2:18" x14ac:dyDescent="0.2">
      <c r="B170" s="306" t="s">
        <v>3501</v>
      </c>
    </row>
    <row r="172" spans="2:18" x14ac:dyDescent="0.2">
      <c r="B172" s="1498" t="s">
        <v>3505</v>
      </c>
    </row>
    <row r="173" spans="2:18" x14ac:dyDescent="0.2">
      <c r="B173" s="1005" t="s">
        <v>3504</v>
      </c>
    </row>
  </sheetData>
  <sheetProtection algorithmName="SHA-512" hashValue="mdpG9kIHGAHUTOPAxue7L7LJksJ2Fg6Tkp7ayX8wGP0YSFPD0eIvKiOsFnMzv63F/ZcrNgtk0K1i+x5l0sN6vw==" saltValue="oy1Zcqy2NzaZ5zGl/OMq0Q==" spinCount="100000" sheet="1" objects="1" scenarios="1"/>
  <mergeCells count="77">
    <mergeCell ref="L75:L79"/>
    <mergeCell ref="L64:L72"/>
    <mergeCell ref="C7:M7"/>
    <mergeCell ref="C1:M1"/>
    <mergeCell ref="C2:M2"/>
    <mergeCell ref="A4:M4"/>
    <mergeCell ref="A6:B6"/>
    <mergeCell ref="C6:N6"/>
    <mergeCell ref="C32:M32"/>
    <mergeCell ref="C8:M8"/>
    <mergeCell ref="A9:A10"/>
    <mergeCell ref="B9:B10"/>
    <mergeCell ref="C9:D9"/>
    <mergeCell ref="E9:F9"/>
    <mergeCell ref="G9:H9"/>
    <mergeCell ref="I9:I10"/>
    <mergeCell ref="J9:K9"/>
    <mergeCell ref="L9:L10"/>
    <mergeCell ref="M9:M10"/>
    <mergeCell ref="A11:B11"/>
    <mergeCell ref="A19:A30"/>
    <mergeCell ref="B19:B30"/>
    <mergeCell ref="L19:L30"/>
    <mergeCell ref="M29:M30"/>
    <mergeCell ref="C33:M33"/>
    <mergeCell ref="A34:A35"/>
    <mergeCell ref="B34:B35"/>
    <mergeCell ref="C34:D34"/>
    <mergeCell ref="E34:F34"/>
    <mergeCell ref="G34:H34"/>
    <mergeCell ref="I34:I35"/>
    <mergeCell ref="J34:K34"/>
    <mergeCell ref="L34:L35"/>
    <mergeCell ref="M34:M35"/>
    <mergeCell ref="A36:B36"/>
    <mergeCell ref="A37:A38"/>
    <mergeCell ref="B37:B38"/>
    <mergeCell ref="L37:L38"/>
    <mergeCell ref="A39:A41"/>
    <mergeCell ref="B39:B41"/>
    <mergeCell ref="L39:L41"/>
    <mergeCell ref="A45:A46"/>
    <mergeCell ref="B45:B46"/>
    <mergeCell ref="L45:L46"/>
    <mergeCell ref="A49:A51"/>
    <mergeCell ref="B49:B51"/>
    <mergeCell ref="L49:L51"/>
    <mergeCell ref="M49:M51"/>
    <mergeCell ref="A52:A54"/>
    <mergeCell ref="B52:B54"/>
    <mergeCell ref="L52:L54"/>
    <mergeCell ref="A57:L57"/>
    <mergeCell ref="C59:M59"/>
    <mergeCell ref="C60:M60"/>
    <mergeCell ref="A61:A62"/>
    <mergeCell ref="B61:B62"/>
    <mergeCell ref="C61:D61"/>
    <mergeCell ref="E61:F61"/>
    <mergeCell ref="G61:H61"/>
    <mergeCell ref="I61:I62"/>
    <mergeCell ref="J61:K61"/>
    <mergeCell ref="B167:R168"/>
    <mergeCell ref="M76:M78"/>
    <mergeCell ref="L61:L62"/>
    <mergeCell ref="M61:M62"/>
    <mergeCell ref="A63:B63"/>
    <mergeCell ref="A64:A74"/>
    <mergeCell ref="B64:B74"/>
    <mergeCell ref="C64:C70"/>
    <mergeCell ref="D64:D70"/>
    <mergeCell ref="E64:E70"/>
    <mergeCell ref="C72:C74"/>
    <mergeCell ref="D72:D74"/>
    <mergeCell ref="E72:E74"/>
    <mergeCell ref="F72:F74"/>
    <mergeCell ref="A75:A79"/>
    <mergeCell ref="B75:B79"/>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8.pielikums Jūrmalas pilsētas domes
2018.gada 18.decembra saistošajiem noteikumiem Nr.44
(protokols Nr.17, 2.punkts)</oddHeader>
    <oddFooter xml:space="preserve">&amp;R&amp;"Times New Roman,Regular"&amp;8&amp;P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4"/>
  <sheetViews>
    <sheetView view="pageLayout" zoomScaleNormal="100" workbookViewId="0">
      <selection activeCell="P6" sqref="P6"/>
    </sheetView>
  </sheetViews>
  <sheetFormatPr defaultRowHeight="12" x14ac:dyDescent="0.2"/>
  <cols>
    <col min="1" max="1" width="6.140625" style="306" customWidth="1"/>
    <col min="2" max="2" width="26.85546875" style="306" customWidth="1"/>
    <col min="3" max="3" width="11.85546875" style="306" hidden="1" customWidth="1"/>
    <col min="4" max="4" width="11.140625" style="306" hidden="1" customWidth="1"/>
    <col min="5" max="5" width="10.28515625" style="306" hidden="1" customWidth="1"/>
    <col min="6" max="6" width="10.5703125" style="306" customWidth="1"/>
    <col min="7" max="7" width="9.7109375" style="306" customWidth="1"/>
    <col min="8" max="8" width="19.140625" style="306" customWidth="1"/>
    <col min="9" max="9" width="45.28515625" style="306" hidden="1" customWidth="1"/>
    <col min="10" max="16384" width="9.140625" style="306"/>
  </cols>
  <sheetData>
    <row r="1" spans="1:10" x14ac:dyDescent="0.2">
      <c r="A1" s="1692" t="s">
        <v>438</v>
      </c>
      <c r="B1" s="1692"/>
      <c r="C1" s="1692" t="s">
        <v>125</v>
      </c>
      <c r="D1" s="1692"/>
      <c r="E1" s="1692"/>
      <c r="F1" s="1692"/>
      <c r="G1" s="1692"/>
      <c r="H1" s="1692"/>
      <c r="I1" s="1692"/>
    </row>
    <row r="2" spans="1:10" x14ac:dyDescent="0.2">
      <c r="A2" s="1692" t="s">
        <v>439</v>
      </c>
      <c r="B2" s="1692"/>
      <c r="C2" s="1692">
        <v>90000056357</v>
      </c>
      <c r="D2" s="1692"/>
      <c r="E2" s="1692"/>
      <c r="F2" s="1692"/>
      <c r="G2" s="1692"/>
      <c r="H2" s="1692"/>
      <c r="I2" s="1692"/>
    </row>
    <row r="3" spans="1:10" ht="15.75" x14ac:dyDescent="0.25">
      <c r="A3" s="1693" t="s">
        <v>3639</v>
      </c>
      <c r="B3" s="1693"/>
      <c r="C3" s="1693"/>
      <c r="D3" s="1693"/>
      <c r="E3" s="1693"/>
      <c r="F3" s="1693"/>
      <c r="G3" s="1693"/>
      <c r="H3" s="1693"/>
      <c r="I3" s="1693"/>
    </row>
    <row r="4" spans="1:10" ht="15.75" x14ac:dyDescent="0.25">
      <c r="A4" s="307"/>
      <c r="B4" s="307"/>
      <c r="C4" s="307"/>
      <c r="D4" s="307"/>
      <c r="E4" s="307"/>
      <c r="F4" s="307"/>
      <c r="G4" s="307"/>
      <c r="H4" s="307"/>
      <c r="I4" s="307"/>
    </row>
    <row r="5" spans="1:10" ht="15.75" x14ac:dyDescent="0.25">
      <c r="A5" s="309" t="s">
        <v>440</v>
      </c>
      <c r="B5" s="309"/>
      <c r="C5" s="1698" t="s">
        <v>680</v>
      </c>
      <c r="D5" s="1698"/>
      <c r="E5" s="1698"/>
      <c r="F5" s="1698"/>
      <c r="G5" s="1698"/>
      <c r="H5" s="1698"/>
      <c r="I5" s="1698"/>
      <c r="J5" s="310"/>
    </row>
    <row r="6" spans="1:10" x14ac:dyDescent="0.2">
      <c r="A6" s="309" t="s">
        <v>129</v>
      </c>
      <c r="B6" s="309"/>
      <c r="C6" s="1692" t="s">
        <v>681</v>
      </c>
      <c r="D6" s="1692"/>
      <c r="E6" s="1692"/>
      <c r="F6" s="1692"/>
      <c r="G6" s="1692"/>
      <c r="H6" s="1692"/>
      <c r="I6" s="1692"/>
      <c r="J6" s="309"/>
    </row>
    <row r="7" spans="1:10" x14ac:dyDescent="0.2">
      <c r="A7" s="309" t="s">
        <v>131</v>
      </c>
      <c r="B7" s="309"/>
      <c r="C7" s="1699" t="s">
        <v>682</v>
      </c>
      <c r="D7" s="1699"/>
      <c r="E7" s="1699"/>
      <c r="F7" s="1699"/>
      <c r="G7" s="1699"/>
      <c r="H7" s="1699"/>
      <c r="I7" s="1699"/>
      <c r="J7" s="309"/>
    </row>
    <row r="8" spans="1:10" ht="48" x14ac:dyDescent="0.2">
      <c r="A8" s="312" t="s">
        <v>4</v>
      </c>
      <c r="B8" s="410" t="s">
        <v>133</v>
      </c>
      <c r="C8" s="312" t="s">
        <v>17</v>
      </c>
      <c r="D8" s="312" t="s">
        <v>15</v>
      </c>
      <c r="E8" s="312" t="s">
        <v>134</v>
      </c>
      <c r="F8" s="312" t="s">
        <v>135</v>
      </c>
      <c r="G8" s="312" t="s">
        <v>3465</v>
      </c>
      <c r="H8" s="312" t="s">
        <v>14</v>
      </c>
      <c r="I8" s="312" t="s">
        <v>137</v>
      </c>
    </row>
    <row r="9" spans="1:10" ht="12.75" customHeight="1" x14ac:dyDescent="0.2">
      <c r="A9" s="1748" t="s">
        <v>138</v>
      </c>
      <c r="B9" s="1749"/>
      <c r="C9" s="313">
        <f>SUM(C10:C17)</f>
        <v>39496</v>
      </c>
      <c r="D9" s="313">
        <f>SUM(D10:D17)</f>
        <v>38330.560000000005</v>
      </c>
      <c r="E9" s="313">
        <f>SUM(E10:E17)</f>
        <v>35534</v>
      </c>
      <c r="F9" s="313"/>
      <c r="G9" s="313">
        <f>SUM(G10:G17)</f>
        <v>35534</v>
      </c>
      <c r="H9" s="313"/>
      <c r="I9" s="315"/>
    </row>
    <row r="10" spans="1:10" ht="36.75" customHeight="1" x14ac:dyDescent="0.2">
      <c r="A10" s="320">
        <v>1</v>
      </c>
      <c r="B10" s="411" t="s">
        <v>683</v>
      </c>
      <c r="C10" s="322">
        <v>1526</v>
      </c>
      <c r="D10" s="322">
        <v>1500.4</v>
      </c>
      <c r="E10" s="322">
        <v>3290</v>
      </c>
      <c r="F10" s="323">
        <v>2244</v>
      </c>
      <c r="G10" s="322">
        <v>3290</v>
      </c>
      <c r="H10" s="412" t="s">
        <v>684</v>
      </c>
      <c r="I10" s="315" t="s">
        <v>685</v>
      </c>
    </row>
    <row r="11" spans="1:10" ht="30" customHeight="1" x14ac:dyDescent="0.2">
      <c r="A11" s="320">
        <v>2</v>
      </c>
      <c r="B11" s="411" t="s">
        <v>686</v>
      </c>
      <c r="C11" s="322">
        <v>5724</v>
      </c>
      <c r="D11" s="322">
        <v>5723.3</v>
      </c>
      <c r="E11" s="322">
        <v>5724</v>
      </c>
      <c r="F11" s="323">
        <v>2279</v>
      </c>
      <c r="G11" s="322">
        <v>5724</v>
      </c>
      <c r="H11" s="412" t="s">
        <v>684</v>
      </c>
      <c r="I11" s="315" t="s">
        <v>687</v>
      </c>
    </row>
    <row r="12" spans="1:10" ht="48" x14ac:dyDescent="0.2">
      <c r="A12" s="320">
        <v>3</v>
      </c>
      <c r="B12" s="411" t="s">
        <v>688</v>
      </c>
      <c r="C12" s="322">
        <v>3000</v>
      </c>
      <c r="D12" s="322">
        <v>2783</v>
      </c>
      <c r="E12" s="322">
        <v>3000</v>
      </c>
      <c r="F12" s="323">
        <v>2279</v>
      </c>
      <c r="G12" s="322">
        <v>3000</v>
      </c>
      <c r="H12" s="412" t="s">
        <v>689</v>
      </c>
      <c r="I12" s="315" t="s">
        <v>690</v>
      </c>
    </row>
    <row r="13" spans="1:10" ht="48.75" customHeight="1" x14ac:dyDescent="0.2">
      <c r="A13" s="1684">
        <v>4</v>
      </c>
      <c r="B13" s="1686" t="s">
        <v>691</v>
      </c>
      <c r="C13" s="322">
        <v>22970</v>
      </c>
      <c r="D13" s="322">
        <v>22968.95</v>
      </c>
      <c r="E13" s="322">
        <v>22970</v>
      </c>
      <c r="F13" s="323">
        <v>2244</v>
      </c>
      <c r="G13" s="322">
        <v>22970</v>
      </c>
      <c r="H13" s="1702" t="s">
        <v>692</v>
      </c>
      <c r="I13" s="315" t="s">
        <v>693</v>
      </c>
    </row>
    <row r="14" spans="1:10" hidden="1" x14ac:dyDescent="0.2">
      <c r="A14" s="1720"/>
      <c r="B14" s="1721"/>
      <c r="C14" s="322">
        <v>1500</v>
      </c>
      <c r="D14" s="322">
        <v>1174.9100000000001</v>
      </c>
      <c r="E14" s="322">
        <v>0</v>
      </c>
      <c r="F14" s="323">
        <v>2312</v>
      </c>
      <c r="G14" s="322"/>
      <c r="H14" s="1735"/>
      <c r="I14" s="413" t="s">
        <v>694</v>
      </c>
    </row>
    <row r="15" spans="1:10" ht="12.75" hidden="1" customHeight="1" x14ac:dyDescent="0.2">
      <c r="A15" s="1720"/>
      <c r="B15" s="1721"/>
      <c r="C15" s="322">
        <v>726</v>
      </c>
      <c r="D15" s="322">
        <v>726</v>
      </c>
      <c r="E15" s="322">
        <v>0</v>
      </c>
      <c r="F15" s="323">
        <v>2279</v>
      </c>
      <c r="G15" s="322"/>
      <c r="H15" s="1735"/>
      <c r="I15" s="1686" t="s">
        <v>695</v>
      </c>
    </row>
    <row r="16" spans="1:10" hidden="1" x14ac:dyDescent="0.2">
      <c r="A16" s="1685"/>
      <c r="B16" s="1687"/>
      <c r="C16" s="322">
        <v>3500</v>
      </c>
      <c r="D16" s="322">
        <v>2904</v>
      </c>
      <c r="E16" s="322">
        <v>0</v>
      </c>
      <c r="F16" s="323">
        <v>5239</v>
      </c>
      <c r="G16" s="322"/>
      <c r="H16" s="1703"/>
      <c r="I16" s="1687"/>
    </row>
    <row r="17" spans="1:11" ht="48" x14ac:dyDescent="0.2">
      <c r="A17" s="390">
        <v>5</v>
      </c>
      <c r="B17" s="411" t="s">
        <v>696</v>
      </c>
      <c r="C17" s="361">
        <v>550</v>
      </c>
      <c r="D17" s="361">
        <v>550</v>
      </c>
      <c r="E17" s="361">
        <v>550</v>
      </c>
      <c r="F17" s="414">
        <v>2279</v>
      </c>
      <c r="G17" s="322">
        <v>550</v>
      </c>
      <c r="H17" s="379" t="s">
        <v>697</v>
      </c>
      <c r="I17" s="415"/>
    </row>
    <row r="18" spans="1:11" x14ac:dyDescent="0.2">
      <c r="A18" s="395"/>
      <c r="B18" s="395"/>
      <c r="C18" s="395"/>
      <c r="D18" s="395"/>
      <c r="E18" s="395"/>
      <c r="F18" s="395"/>
      <c r="G18" s="395"/>
      <c r="H18" s="395"/>
      <c r="I18" s="395"/>
    </row>
    <row r="19" spans="1:11" x14ac:dyDescent="0.2">
      <c r="A19" s="349" t="s">
        <v>129</v>
      </c>
      <c r="B19" s="349"/>
      <c r="C19" s="1750" t="s">
        <v>698</v>
      </c>
      <c r="D19" s="1750"/>
      <c r="E19" s="1750"/>
      <c r="F19" s="1750"/>
      <c r="G19" s="1750"/>
      <c r="H19" s="1750"/>
      <c r="I19" s="1750"/>
      <c r="J19" s="1750"/>
      <c r="K19" s="1750"/>
    </row>
    <row r="20" spans="1:11" x14ac:dyDescent="0.2">
      <c r="A20" s="349" t="s">
        <v>131</v>
      </c>
      <c r="B20" s="349"/>
      <c r="C20" s="1736" t="s">
        <v>699</v>
      </c>
      <c r="D20" s="1736"/>
      <c r="E20" s="1736"/>
      <c r="F20" s="1736"/>
      <c r="G20" s="1736"/>
      <c r="H20" s="1736"/>
      <c r="I20" s="1736"/>
    </row>
    <row r="21" spans="1:11" ht="48" x14ac:dyDescent="0.2">
      <c r="A21" s="312" t="s">
        <v>4</v>
      </c>
      <c r="B21" s="410" t="s">
        <v>133</v>
      </c>
      <c r="C21" s="312" t="s">
        <v>17</v>
      </c>
      <c r="D21" s="312" t="s">
        <v>15</v>
      </c>
      <c r="E21" s="312" t="s">
        <v>134</v>
      </c>
      <c r="F21" s="312" t="s">
        <v>135</v>
      </c>
      <c r="G21" s="1435" t="s">
        <v>3465</v>
      </c>
      <c r="H21" s="312" t="s">
        <v>14</v>
      </c>
      <c r="I21" s="312" t="s">
        <v>137</v>
      </c>
    </row>
    <row r="22" spans="1:11" x14ac:dyDescent="0.2">
      <c r="A22" s="1748" t="s">
        <v>138</v>
      </c>
      <c r="B22" s="1749"/>
      <c r="C22" s="313">
        <f>SUM(C23:C24)</f>
        <v>29900</v>
      </c>
      <c r="D22" s="313">
        <f>SUM(D23:D24)</f>
        <v>29894.04</v>
      </c>
      <c r="E22" s="313">
        <f>SUM(E23:E24)</f>
        <v>38900</v>
      </c>
      <c r="F22" s="313"/>
      <c r="G22" s="313">
        <f>SUM(G23:G24)</f>
        <v>38900</v>
      </c>
      <c r="H22" s="313"/>
      <c r="I22" s="315"/>
    </row>
    <row r="23" spans="1:11" ht="51" customHeight="1" x14ac:dyDescent="0.2">
      <c r="A23" s="320">
        <v>1</v>
      </c>
      <c r="B23" s="411" t="s">
        <v>700</v>
      </c>
      <c r="C23" s="322">
        <v>28000</v>
      </c>
      <c r="D23" s="322">
        <v>27994.34</v>
      </c>
      <c r="E23" s="322">
        <v>37000</v>
      </c>
      <c r="F23" s="323">
        <v>2279</v>
      </c>
      <c r="G23" s="322">
        <v>37000</v>
      </c>
      <c r="H23" s="379" t="s">
        <v>701</v>
      </c>
      <c r="I23" s="315" t="s">
        <v>702</v>
      </c>
    </row>
    <row r="24" spans="1:11" ht="25.5" customHeight="1" x14ac:dyDescent="0.2">
      <c r="A24" s="320">
        <v>2</v>
      </c>
      <c r="B24" s="411" t="s">
        <v>703</v>
      </c>
      <c r="C24" s="322">
        <v>1900</v>
      </c>
      <c r="D24" s="322">
        <v>1899.7</v>
      </c>
      <c r="E24" s="322">
        <v>1900</v>
      </c>
      <c r="F24" s="323">
        <v>2244</v>
      </c>
      <c r="G24" s="322">
        <v>1900</v>
      </c>
      <c r="H24" s="379" t="s">
        <v>704</v>
      </c>
      <c r="I24" s="315" t="s">
        <v>705</v>
      </c>
    </row>
    <row r="25" spans="1:11" x14ac:dyDescent="0.2">
      <c r="A25" s="395"/>
      <c r="B25" s="395"/>
      <c r="C25" s="395"/>
      <c r="D25" s="395"/>
      <c r="E25" s="395"/>
      <c r="G25" s="416"/>
      <c r="H25" s="416"/>
      <c r="I25" s="395"/>
    </row>
    <row r="26" spans="1:11" x14ac:dyDescent="0.2">
      <c r="A26" s="349" t="s">
        <v>129</v>
      </c>
      <c r="B26" s="349"/>
      <c r="C26" s="1750" t="s">
        <v>706</v>
      </c>
      <c r="D26" s="1750"/>
      <c r="E26" s="1750"/>
      <c r="F26" s="1750"/>
      <c r="G26" s="1750"/>
      <c r="H26" s="1750"/>
      <c r="I26" s="1750"/>
      <c r="J26" s="1750"/>
      <c r="K26" s="1750"/>
    </row>
    <row r="27" spans="1:11" x14ac:dyDescent="0.2">
      <c r="A27" s="349" t="s">
        <v>131</v>
      </c>
      <c r="B27" s="349"/>
      <c r="C27" s="1736" t="s">
        <v>707</v>
      </c>
      <c r="D27" s="1736"/>
      <c r="E27" s="1736"/>
      <c r="F27" s="1736"/>
      <c r="G27" s="1736"/>
      <c r="H27" s="1736"/>
      <c r="I27" s="1736"/>
    </row>
    <row r="28" spans="1:11" ht="48" x14ac:dyDescent="0.2">
      <c r="A28" s="312" t="s">
        <v>4</v>
      </c>
      <c r="B28" s="410" t="s">
        <v>133</v>
      </c>
      <c r="C28" s="312" t="s">
        <v>17</v>
      </c>
      <c r="D28" s="312" t="s">
        <v>15</v>
      </c>
      <c r="E28" s="312" t="s">
        <v>134</v>
      </c>
      <c r="F28" s="312" t="s">
        <v>135</v>
      </c>
      <c r="G28" s="1435" t="s">
        <v>3465</v>
      </c>
      <c r="H28" s="312" t="s">
        <v>14</v>
      </c>
      <c r="I28" s="312" t="s">
        <v>137</v>
      </c>
    </row>
    <row r="29" spans="1:11" x14ac:dyDescent="0.2">
      <c r="A29" s="1748" t="s">
        <v>138</v>
      </c>
      <c r="B29" s="1749"/>
      <c r="C29" s="313">
        <f>SUM(C30:C39)</f>
        <v>31637</v>
      </c>
      <c r="D29" s="313">
        <f>SUM(D30:D39)</f>
        <v>29990.379999999997</v>
      </c>
      <c r="E29" s="313">
        <f>SUM(E30:E39)</f>
        <v>24712</v>
      </c>
      <c r="F29" s="313"/>
      <c r="G29" s="313">
        <f>SUM(G30:G39)</f>
        <v>22712</v>
      </c>
      <c r="H29" s="313"/>
      <c r="I29" s="315"/>
    </row>
    <row r="30" spans="1:11" ht="13.5" customHeight="1" x14ac:dyDescent="0.2">
      <c r="A30" s="1708">
        <v>1</v>
      </c>
      <c r="B30" s="1708" t="s">
        <v>708</v>
      </c>
      <c r="C30" s="322">
        <v>712</v>
      </c>
      <c r="D30" s="322">
        <v>711.44</v>
      </c>
      <c r="E30" s="322">
        <v>712</v>
      </c>
      <c r="F30" s="323">
        <v>2279</v>
      </c>
      <c r="G30" s="322">
        <v>712</v>
      </c>
      <c r="H30" s="1751" t="s">
        <v>715</v>
      </c>
      <c r="I30" s="315" t="s">
        <v>709</v>
      </c>
    </row>
    <row r="31" spans="1:11" ht="12" hidden="1" customHeight="1" x14ac:dyDescent="0.2">
      <c r="A31" s="1708"/>
      <c r="B31" s="1708"/>
      <c r="C31" s="322">
        <v>19435</v>
      </c>
      <c r="D31" s="322">
        <v>19435</v>
      </c>
      <c r="E31" s="322">
        <v>0</v>
      </c>
      <c r="F31" s="323">
        <v>1150</v>
      </c>
      <c r="G31" s="322"/>
      <c r="H31" s="1752"/>
      <c r="I31" s="315" t="s">
        <v>710</v>
      </c>
    </row>
    <row r="32" spans="1:11" ht="12" hidden="1" customHeight="1" x14ac:dyDescent="0.2">
      <c r="A32" s="1708"/>
      <c r="B32" s="1708"/>
      <c r="C32" s="322">
        <v>4651</v>
      </c>
      <c r="D32" s="322">
        <v>4651</v>
      </c>
      <c r="E32" s="322">
        <v>0</v>
      </c>
      <c r="F32" s="323">
        <v>1210</v>
      </c>
      <c r="G32" s="322"/>
      <c r="H32" s="1752"/>
      <c r="I32" s="315" t="s">
        <v>711</v>
      </c>
    </row>
    <row r="33" spans="1:9" ht="12.75" hidden="1" customHeight="1" x14ac:dyDescent="0.2">
      <c r="A33" s="1708"/>
      <c r="B33" s="1708"/>
      <c r="C33" s="322">
        <v>200</v>
      </c>
      <c r="D33" s="322">
        <v>156.05000000000001</v>
      </c>
      <c r="E33" s="322">
        <v>0</v>
      </c>
      <c r="F33" s="323">
        <v>1221</v>
      </c>
      <c r="G33" s="322"/>
      <c r="H33" s="1752"/>
      <c r="I33" s="315" t="s">
        <v>712</v>
      </c>
    </row>
    <row r="34" spans="1:9" ht="13.5" hidden="1" customHeight="1" x14ac:dyDescent="0.2">
      <c r="A34" s="1708"/>
      <c r="B34" s="1708"/>
      <c r="C34" s="322">
        <v>713</v>
      </c>
      <c r="D34" s="322">
        <v>712.69</v>
      </c>
      <c r="E34" s="322">
        <v>0</v>
      </c>
      <c r="F34" s="323">
        <v>2361</v>
      </c>
      <c r="G34" s="322"/>
      <c r="H34" s="1752"/>
      <c r="I34" s="315" t="s">
        <v>713</v>
      </c>
    </row>
    <row r="35" spans="1:9" ht="60" hidden="1" customHeight="1" x14ac:dyDescent="0.2">
      <c r="A35" s="1708"/>
      <c r="B35" s="1708"/>
      <c r="C35" s="322">
        <v>1500</v>
      </c>
      <c r="D35" s="322">
        <v>847</v>
      </c>
      <c r="E35" s="322">
        <v>0</v>
      </c>
      <c r="F35" s="323">
        <v>2243</v>
      </c>
      <c r="G35" s="322"/>
      <c r="H35" s="1752"/>
      <c r="I35" s="315" t="s">
        <v>714</v>
      </c>
    </row>
    <row r="36" spans="1:9" ht="42.75" hidden="1" customHeight="1" x14ac:dyDescent="0.2">
      <c r="A36" s="1708"/>
      <c r="B36" s="1708"/>
      <c r="C36" s="361">
        <v>3599</v>
      </c>
      <c r="D36" s="361">
        <v>2650.5</v>
      </c>
      <c r="E36" s="361">
        <v>0</v>
      </c>
      <c r="F36" s="414">
        <v>3263</v>
      </c>
      <c r="G36" s="322"/>
      <c r="H36" s="1752"/>
      <c r="I36" s="1686" t="s">
        <v>716</v>
      </c>
    </row>
    <row r="37" spans="1:9" ht="14.25" customHeight="1" x14ac:dyDescent="0.2">
      <c r="A37" s="1708"/>
      <c r="B37" s="1708"/>
      <c r="C37" s="361">
        <v>0</v>
      </c>
      <c r="D37" s="361">
        <v>0</v>
      </c>
      <c r="E37" s="361">
        <v>6000</v>
      </c>
      <c r="F37" s="414">
        <v>2275</v>
      </c>
      <c r="G37" s="322">
        <v>4000</v>
      </c>
      <c r="H37" s="1752"/>
      <c r="I37" s="1687"/>
    </row>
    <row r="38" spans="1:9" ht="24" hidden="1" customHeight="1" x14ac:dyDescent="0.2">
      <c r="A38" s="1708"/>
      <c r="B38" s="1708"/>
      <c r="C38" s="361">
        <v>827</v>
      </c>
      <c r="D38" s="361">
        <v>826.7</v>
      </c>
      <c r="E38" s="361">
        <v>0</v>
      </c>
      <c r="F38" s="414">
        <v>2314</v>
      </c>
      <c r="G38" s="322"/>
      <c r="H38" s="1752"/>
      <c r="I38" s="321" t="s">
        <v>717</v>
      </c>
    </row>
    <row r="39" spans="1:9" ht="13.5" customHeight="1" x14ac:dyDescent="0.2">
      <c r="A39" s="1708"/>
      <c r="B39" s="1708"/>
      <c r="C39" s="342">
        <v>0</v>
      </c>
      <c r="D39" s="342">
        <v>0</v>
      </c>
      <c r="E39" s="342">
        <v>18000</v>
      </c>
      <c r="F39" s="207">
        <v>2279</v>
      </c>
      <c r="G39" s="322">
        <v>18000</v>
      </c>
      <c r="H39" s="1753"/>
      <c r="I39" s="321" t="s">
        <v>718</v>
      </c>
    </row>
    <row r="40" spans="1:9" x14ac:dyDescent="0.2">
      <c r="A40" s="349"/>
      <c r="B40" s="349"/>
      <c r="C40" s="417"/>
      <c r="D40" s="417"/>
      <c r="E40" s="417"/>
      <c r="F40" s="349"/>
      <c r="G40" s="417"/>
      <c r="H40" s="417"/>
      <c r="I40" s="349"/>
    </row>
    <row r="41" spans="1:9" x14ac:dyDescent="0.2">
      <c r="A41" s="349" t="s">
        <v>455</v>
      </c>
      <c r="B41" s="349"/>
      <c r="C41" s="349"/>
      <c r="D41" s="349"/>
      <c r="E41" s="349"/>
      <c r="F41" s="349"/>
      <c r="G41" s="349"/>
      <c r="H41" s="349"/>
      <c r="I41" s="349"/>
    </row>
    <row r="42" spans="1:9" x14ac:dyDescent="0.2">
      <c r="A42" s="349" t="s">
        <v>505</v>
      </c>
      <c r="B42" s="349"/>
      <c r="C42" s="349"/>
      <c r="D42" s="349"/>
      <c r="E42" s="349"/>
      <c r="F42" s="349"/>
      <c r="G42" s="349"/>
      <c r="H42" s="349"/>
      <c r="I42" s="349"/>
    </row>
    <row r="43" spans="1:9" x14ac:dyDescent="0.2">
      <c r="A43" s="349"/>
      <c r="B43" s="803" t="s">
        <v>719</v>
      </c>
      <c r="C43" s="403"/>
      <c r="D43" s="403"/>
      <c r="E43" s="349"/>
      <c r="F43" s="349"/>
      <c r="G43" s="349"/>
      <c r="H43" s="349"/>
      <c r="I43" s="349"/>
    </row>
    <row r="44" spans="1:9" x14ac:dyDescent="0.2">
      <c r="A44" s="403"/>
      <c r="B44" s="403" t="s">
        <v>720</v>
      </c>
      <c r="D44" s="403"/>
      <c r="E44" s="349"/>
      <c r="F44" s="349"/>
      <c r="G44" s="349"/>
      <c r="H44" s="349"/>
      <c r="I44" s="349"/>
    </row>
    <row r="45" spans="1:9" x14ac:dyDescent="0.2">
      <c r="A45" s="419" t="s">
        <v>721</v>
      </c>
      <c r="B45" s="418"/>
      <c r="D45" s="403"/>
      <c r="E45" s="349"/>
      <c r="F45" s="349"/>
      <c r="G45" s="349"/>
      <c r="H45" s="349"/>
      <c r="I45" s="349"/>
    </row>
    <row r="46" spans="1:9" x14ac:dyDescent="0.2">
      <c r="A46" s="420"/>
      <c r="B46" s="418" t="s">
        <v>722</v>
      </c>
      <c r="D46" s="403"/>
      <c r="E46" s="349"/>
      <c r="F46" s="349"/>
      <c r="G46" s="349"/>
      <c r="H46" s="349"/>
      <c r="I46" s="349"/>
    </row>
    <row r="47" spans="1:9" x14ac:dyDescent="0.2">
      <c r="A47" s="419" t="s">
        <v>723</v>
      </c>
      <c r="B47" s="418"/>
      <c r="D47" s="403"/>
      <c r="E47" s="349"/>
      <c r="F47" s="349"/>
      <c r="G47" s="349"/>
      <c r="H47" s="349"/>
      <c r="I47" s="349"/>
    </row>
    <row r="48" spans="1:9" x14ac:dyDescent="0.2">
      <c r="A48" s="420"/>
      <c r="B48" s="418" t="s">
        <v>724</v>
      </c>
      <c r="D48" s="403"/>
      <c r="E48" s="349"/>
      <c r="F48" s="349"/>
      <c r="G48" s="349"/>
      <c r="H48" s="349"/>
      <c r="I48" s="349"/>
    </row>
    <row r="49" spans="1:9" x14ac:dyDescent="0.2">
      <c r="A49" s="419" t="s">
        <v>725</v>
      </c>
      <c r="B49" s="418"/>
      <c r="D49" s="403"/>
      <c r="E49" s="349"/>
      <c r="F49" s="349"/>
      <c r="G49" s="349"/>
      <c r="H49" s="349"/>
      <c r="I49" s="349"/>
    </row>
    <row r="50" spans="1:9" x14ac:dyDescent="0.2">
      <c r="A50" s="419" t="s">
        <v>726</v>
      </c>
      <c r="B50" s="418"/>
      <c r="D50" s="403"/>
      <c r="E50" s="349"/>
      <c r="F50" s="349"/>
      <c r="G50" s="349"/>
      <c r="H50" s="349"/>
      <c r="I50" s="349"/>
    </row>
    <row r="51" spans="1:9" x14ac:dyDescent="0.2">
      <c r="A51" s="419" t="s">
        <v>727</v>
      </c>
      <c r="B51" s="418"/>
      <c r="D51" s="403"/>
      <c r="E51" s="349"/>
      <c r="F51" s="349"/>
      <c r="G51" s="349"/>
      <c r="H51" s="349"/>
      <c r="I51" s="349"/>
    </row>
    <row r="52" spans="1:9" x14ac:dyDescent="0.2">
      <c r="A52" s="420"/>
      <c r="B52" s="418" t="s">
        <v>728</v>
      </c>
      <c r="D52" s="403"/>
      <c r="E52" s="349"/>
      <c r="F52" s="349"/>
      <c r="G52" s="349"/>
      <c r="H52" s="349"/>
      <c r="I52" s="349"/>
    </row>
    <row r="53" spans="1:9" x14ac:dyDescent="0.2">
      <c r="A53" s="419" t="s">
        <v>729</v>
      </c>
      <c r="B53" s="418"/>
      <c r="D53" s="403"/>
      <c r="E53" s="349"/>
      <c r="F53" s="349"/>
      <c r="G53" s="349"/>
      <c r="H53" s="349"/>
      <c r="I53" s="349"/>
    </row>
    <row r="54" spans="1:9" x14ac:dyDescent="0.2">
      <c r="A54" s="420"/>
      <c r="B54" s="418" t="s">
        <v>730</v>
      </c>
      <c r="D54" s="403"/>
      <c r="E54" s="349"/>
      <c r="F54" s="349"/>
      <c r="G54" s="349"/>
      <c r="H54" s="349"/>
      <c r="I54" s="349"/>
    </row>
    <row r="55" spans="1:9" x14ac:dyDescent="0.2">
      <c r="A55" s="419" t="s">
        <v>731</v>
      </c>
      <c r="B55" s="418"/>
      <c r="D55" s="403"/>
      <c r="E55" s="349"/>
      <c r="F55" s="349"/>
      <c r="G55" s="349"/>
      <c r="H55" s="349"/>
      <c r="I55" s="349"/>
    </row>
    <row r="56" spans="1:9" x14ac:dyDescent="0.2">
      <c r="A56" s="420"/>
      <c r="B56" s="418" t="s">
        <v>732</v>
      </c>
      <c r="D56" s="403"/>
      <c r="E56" s="349"/>
      <c r="F56" s="349"/>
      <c r="G56" s="349"/>
      <c r="H56" s="349"/>
      <c r="I56" s="349"/>
    </row>
    <row r="57" spans="1:9" x14ac:dyDescent="0.2">
      <c r="A57" s="419" t="s">
        <v>733</v>
      </c>
      <c r="B57" s="418"/>
      <c r="D57" s="403"/>
      <c r="E57" s="349"/>
      <c r="F57" s="349"/>
      <c r="G57" s="349"/>
      <c r="H57" s="349"/>
      <c r="I57" s="349"/>
    </row>
    <row r="58" spans="1:9" x14ac:dyDescent="0.2">
      <c r="A58" s="419"/>
      <c r="B58" s="418" t="s">
        <v>732</v>
      </c>
      <c r="D58" s="403"/>
      <c r="E58" s="349"/>
      <c r="F58" s="349"/>
      <c r="G58" s="349"/>
      <c r="H58" s="349"/>
      <c r="I58" s="349"/>
    </row>
    <row r="59" spans="1:9" x14ac:dyDescent="0.2">
      <c r="A59" s="419" t="s">
        <v>734</v>
      </c>
      <c r="B59" s="418"/>
      <c r="D59" s="403"/>
      <c r="E59" s="349"/>
      <c r="F59" s="349"/>
      <c r="G59" s="349"/>
      <c r="H59" s="349"/>
      <c r="I59" s="349"/>
    </row>
    <row r="60" spans="1:9" x14ac:dyDescent="0.2">
      <c r="A60" s="419"/>
      <c r="B60" s="418" t="s">
        <v>735</v>
      </c>
      <c r="D60" s="403"/>
      <c r="E60" s="349"/>
      <c r="F60" s="349"/>
      <c r="G60" s="349"/>
      <c r="H60" s="349"/>
      <c r="I60" s="349"/>
    </row>
    <row r="61" spans="1:9" x14ac:dyDescent="0.2">
      <c r="A61" s="419" t="s">
        <v>736</v>
      </c>
      <c r="B61" s="418"/>
      <c r="D61" s="403"/>
      <c r="E61" s="349"/>
      <c r="F61" s="349"/>
      <c r="G61" s="349"/>
      <c r="H61" s="349"/>
      <c r="I61" s="349"/>
    </row>
    <row r="62" spans="1:9" x14ac:dyDescent="0.2">
      <c r="A62" s="420"/>
      <c r="B62" s="418" t="s">
        <v>737</v>
      </c>
      <c r="D62" s="403"/>
      <c r="E62" s="349"/>
      <c r="F62" s="349"/>
      <c r="G62" s="349"/>
      <c r="H62" s="349"/>
      <c r="I62" s="349"/>
    </row>
    <row r="63" spans="1:9" x14ac:dyDescent="0.2">
      <c r="A63" s="419" t="s">
        <v>738</v>
      </c>
      <c r="B63" s="418"/>
      <c r="D63" s="403"/>
      <c r="E63" s="349"/>
      <c r="F63" s="349"/>
      <c r="G63" s="349"/>
      <c r="H63" s="349"/>
      <c r="I63" s="349"/>
    </row>
    <row r="64" spans="1:9" x14ac:dyDescent="0.2">
      <c r="A64" s="349"/>
      <c r="B64" s="330"/>
      <c r="C64" s="349"/>
      <c r="D64" s="349"/>
      <c r="E64" s="349"/>
      <c r="F64" s="349"/>
      <c r="G64" s="349"/>
      <c r="H64" s="349"/>
      <c r="I64" s="349"/>
    </row>
    <row r="65" spans="1:9" x14ac:dyDescent="0.2">
      <c r="A65" s="349"/>
      <c r="B65" s="1500" t="s">
        <v>739</v>
      </c>
      <c r="C65" s="403"/>
      <c r="D65" s="403"/>
      <c r="E65" s="349"/>
      <c r="F65" s="349"/>
      <c r="G65" s="349"/>
      <c r="H65" s="349"/>
      <c r="I65" s="349"/>
    </row>
    <row r="66" spans="1:9" x14ac:dyDescent="0.2">
      <c r="A66" s="420"/>
      <c r="B66" s="418" t="s">
        <v>740</v>
      </c>
      <c r="D66" s="403"/>
      <c r="E66" s="349"/>
      <c r="F66" s="349"/>
      <c r="G66" s="349"/>
      <c r="H66" s="349"/>
      <c r="I66" s="349"/>
    </row>
    <row r="67" spans="1:9" x14ac:dyDescent="0.2">
      <c r="A67" s="419" t="s">
        <v>741</v>
      </c>
      <c r="B67" s="418"/>
      <c r="D67" s="403"/>
      <c r="E67" s="349"/>
      <c r="F67" s="349"/>
      <c r="G67" s="349"/>
      <c r="H67" s="349"/>
      <c r="I67" s="349"/>
    </row>
    <row r="68" spans="1:9" x14ac:dyDescent="0.2">
      <c r="A68" s="419" t="s">
        <v>742</v>
      </c>
      <c r="B68" s="418"/>
      <c r="D68" s="403"/>
      <c r="E68" s="349"/>
      <c r="F68" s="349"/>
      <c r="G68" s="349"/>
      <c r="H68" s="349"/>
      <c r="I68" s="349"/>
    </row>
    <row r="69" spans="1:9" x14ac:dyDescent="0.2">
      <c r="A69" s="419" t="s">
        <v>743</v>
      </c>
      <c r="B69" s="418"/>
      <c r="D69" s="403"/>
      <c r="E69" s="349"/>
      <c r="F69" s="349"/>
      <c r="G69" s="349"/>
      <c r="H69" s="349"/>
      <c r="I69" s="349"/>
    </row>
    <row r="70" spans="1:9" x14ac:dyDescent="0.2">
      <c r="A70" s="420"/>
      <c r="B70" s="418" t="s">
        <v>744</v>
      </c>
      <c r="D70" s="403"/>
      <c r="E70" s="349"/>
      <c r="F70" s="349"/>
      <c r="G70" s="349"/>
      <c r="H70" s="349"/>
      <c r="I70" s="349"/>
    </row>
    <row r="71" spans="1:9" x14ac:dyDescent="0.2">
      <c r="A71" s="419" t="s">
        <v>745</v>
      </c>
      <c r="B71" s="418"/>
      <c r="D71" s="403"/>
      <c r="E71" s="349"/>
      <c r="F71" s="349"/>
      <c r="G71" s="349"/>
      <c r="H71" s="349"/>
      <c r="I71" s="349"/>
    </row>
    <row r="72" spans="1:9" x14ac:dyDescent="0.2">
      <c r="A72" s="349"/>
      <c r="B72" s="349"/>
      <c r="C72" s="349"/>
      <c r="D72" s="349"/>
      <c r="E72" s="349"/>
      <c r="F72" s="349"/>
      <c r="G72" s="349"/>
      <c r="H72" s="349"/>
      <c r="I72" s="349"/>
    </row>
    <row r="73" spans="1:9" x14ac:dyDescent="0.2">
      <c r="A73" s="349"/>
      <c r="B73" s="349"/>
      <c r="C73" s="349"/>
      <c r="D73" s="349"/>
      <c r="E73" s="349"/>
      <c r="F73" s="349"/>
      <c r="G73" s="349"/>
      <c r="H73" s="349"/>
      <c r="I73" s="349"/>
    </row>
    <row r="74" spans="1:9" x14ac:dyDescent="0.2">
      <c r="A74" s="349"/>
      <c r="B74" s="349"/>
      <c r="C74" s="349"/>
      <c r="D74" s="349"/>
      <c r="E74" s="349"/>
      <c r="F74" s="349"/>
      <c r="G74" s="349"/>
      <c r="H74" s="349"/>
      <c r="I74" s="349"/>
    </row>
  </sheetData>
  <sheetProtection algorithmName="SHA-512" hashValue="CctLL6rMnQ59kqf1R9yO3M3TfzwUbAWW3KA4Suz6RdV/qBMUn0QCBYK+EhyJC20CuTb06Hv9Ik5ViIBoV8Xp2g==" saltValue="9GgDKSqm2uEt5WF/1rnl3Q==" spinCount="100000" sheet="1" objects="1" scenarios="1"/>
  <mergeCells count="23">
    <mergeCell ref="C5:I5"/>
    <mergeCell ref="A1:B1"/>
    <mergeCell ref="C1:I1"/>
    <mergeCell ref="A2:B2"/>
    <mergeCell ref="C2:I2"/>
    <mergeCell ref="A3:I3"/>
    <mergeCell ref="A9:B9"/>
    <mergeCell ref="A13:A16"/>
    <mergeCell ref="B13:B16"/>
    <mergeCell ref="H13:H16"/>
    <mergeCell ref="I15:I16"/>
    <mergeCell ref="C19:K19"/>
    <mergeCell ref="H30:H39"/>
    <mergeCell ref="C26:K26"/>
    <mergeCell ref="C6:I6"/>
    <mergeCell ref="C7:I7"/>
    <mergeCell ref="A30:A39"/>
    <mergeCell ref="B30:B39"/>
    <mergeCell ref="I36:I37"/>
    <mergeCell ref="C20:I20"/>
    <mergeCell ref="A22:B22"/>
    <mergeCell ref="C27:I27"/>
    <mergeCell ref="A29:B29"/>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9.pielikums Jūrmalas pilsētas domes
2018.gada 18.decembra saistošajiem noteikumiem Nr.44
(protokols Nr.17, 2.punkts)</oddHeader>
    <oddFooter xml:space="preserve">&amp;R&amp;"Times New Roman,Regular"&amp;8&amp;P (&amp;N)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U569"/>
  <sheetViews>
    <sheetView view="pageLayout" zoomScaleNormal="100" workbookViewId="0">
      <selection activeCell="O8" sqref="O8"/>
    </sheetView>
  </sheetViews>
  <sheetFormatPr defaultColWidth="9.140625" defaultRowHeight="12" x14ac:dyDescent="0.2"/>
  <cols>
    <col min="1" max="1" width="6.140625" style="274" customWidth="1"/>
    <col min="2" max="2" width="17.28515625" style="274" customWidth="1"/>
    <col min="3" max="3" width="18.28515625" style="274" customWidth="1"/>
    <col min="4" max="4" width="11.85546875" style="274" hidden="1" customWidth="1"/>
    <col min="5" max="5" width="11.140625" style="274" hidden="1" customWidth="1"/>
    <col min="6" max="6" width="10.28515625" style="274" hidden="1" customWidth="1"/>
    <col min="7" max="7" width="10.5703125" style="274" customWidth="1"/>
    <col min="8" max="8" width="9.7109375" style="274" customWidth="1"/>
    <col min="9" max="9" width="17.85546875" style="274" customWidth="1"/>
    <col min="10" max="10" width="9.7109375" style="274" hidden="1" customWidth="1"/>
    <col min="11" max="11" width="19.7109375" style="274" hidden="1" customWidth="1"/>
    <col min="12" max="12" width="11.28515625" style="274" customWidth="1"/>
    <col min="13" max="13" width="11.7109375" style="274" customWidth="1"/>
    <col min="14" max="16384" width="9.140625" style="274"/>
  </cols>
  <sheetData>
    <row r="1" spans="1:21" x14ac:dyDescent="0.2">
      <c r="A1" s="1903" t="s">
        <v>124</v>
      </c>
      <c r="B1" s="1903"/>
      <c r="C1" s="1903" t="s">
        <v>125</v>
      </c>
      <c r="D1" s="1903"/>
      <c r="E1" s="287"/>
      <c r="F1" s="287"/>
      <c r="G1" s="1904"/>
      <c r="H1" s="1904"/>
      <c r="I1" s="1904"/>
      <c r="J1" s="1904"/>
      <c r="K1" s="1904"/>
    </row>
    <row r="2" spans="1:21" x14ac:dyDescent="0.2">
      <c r="A2" s="1903" t="s">
        <v>126</v>
      </c>
      <c r="B2" s="1903"/>
      <c r="C2" s="1903">
        <v>90000056357</v>
      </c>
      <c r="D2" s="1903"/>
      <c r="E2" s="1903"/>
      <c r="F2" s="1903"/>
      <c r="G2" s="1903"/>
      <c r="H2" s="1903"/>
      <c r="I2" s="1903"/>
      <c r="J2" s="1903"/>
    </row>
    <row r="3" spans="1:21" ht="15.75" x14ac:dyDescent="0.25">
      <c r="A3" s="1905" t="s">
        <v>3640</v>
      </c>
      <c r="B3" s="1905"/>
      <c r="C3" s="1905"/>
      <c r="D3" s="1905"/>
      <c r="E3" s="1905"/>
      <c r="F3" s="1905"/>
      <c r="G3" s="1905"/>
      <c r="H3" s="1905"/>
      <c r="I3" s="1905"/>
      <c r="J3" s="1905"/>
    </row>
    <row r="4" spans="1:21" ht="15.75" x14ac:dyDescent="0.25">
      <c r="A4" s="421"/>
      <c r="B4" s="421"/>
      <c r="C4" s="421"/>
      <c r="D4" s="421"/>
      <c r="E4" s="421"/>
      <c r="F4" s="422"/>
      <c r="G4" s="421"/>
      <c r="H4" s="421"/>
      <c r="I4" s="421"/>
      <c r="J4" s="421"/>
    </row>
    <row r="5" spans="1:21" ht="15.75" x14ac:dyDescent="0.25">
      <c r="A5" s="1903" t="s">
        <v>127</v>
      </c>
      <c r="B5" s="1903"/>
      <c r="C5" s="423" t="s">
        <v>746</v>
      </c>
      <c r="D5" s="423"/>
      <c r="E5" s="423"/>
      <c r="F5" s="423"/>
      <c r="G5" s="423"/>
      <c r="H5" s="423"/>
      <c r="I5" s="423"/>
      <c r="J5" s="423"/>
    </row>
    <row r="6" spans="1:21" x14ac:dyDescent="0.2">
      <c r="A6" s="1903" t="s">
        <v>129</v>
      </c>
      <c r="B6" s="1903"/>
      <c r="C6" s="287" t="s">
        <v>130</v>
      </c>
      <c r="D6" s="287"/>
      <c r="E6" s="287"/>
      <c r="F6" s="287"/>
      <c r="G6" s="287"/>
      <c r="H6" s="287"/>
      <c r="I6" s="287"/>
      <c r="J6" s="287"/>
    </row>
    <row r="7" spans="1:21" x14ac:dyDescent="0.2">
      <c r="A7" s="1903" t="s">
        <v>131</v>
      </c>
      <c r="B7" s="1903"/>
      <c r="C7" s="160" t="s">
        <v>132</v>
      </c>
      <c r="D7" s="424"/>
      <c r="E7" s="424"/>
      <c r="F7" s="424"/>
      <c r="G7" s="424"/>
      <c r="H7" s="424"/>
      <c r="I7" s="424"/>
      <c r="J7" s="424"/>
      <c r="K7" s="425"/>
    </row>
    <row r="8" spans="1:21" ht="48" x14ac:dyDescent="0.2">
      <c r="A8" s="426" t="s">
        <v>4</v>
      </c>
      <c r="B8" s="1760" t="s">
        <v>133</v>
      </c>
      <c r="C8" s="1760"/>
      <c r="D8" s="426" t="s">
        <v>17</v>
      </c>
      <c r="E8" s="426" t="s">
        <v>15</v>
      </c>
      <c r="F8" s="426" t="s">
        <v>134</v>
      </c>
      <c r="G8" s="426" t="s">
        <v>135</v>
      </c>
      <c r="H8" s="426" t="s">
        <v>3510</v>
      </c>
      <c r="I8" s="426" t="s">
        <v>14</v>
      </c>
      <c r="J8" s="1760" t="s">
        <v>137</v>
      </c>
      <c r="K8" s="1760"/>
    </row>
    <row r="9" spans="1:21" ht="12" customHeight="1" x14ac:dyDescent="0.2">
      <c r="A9" s="1761" t="s">
        <v>138</v>
      </c>
      <c r="B9" s="1761"/>
      <c r="C9" s="1761"/>
      <c r="D9" s="427">
        <f>SUM(D10:D33)</f>
        <v>283841</v>
      </c>
      <c r="E9" s="427">
        <f>SUM(E10:E33)</f>
        <v>45450.09</v>
      </c>
      <c r="F9" s="427">
        <f>F10+F32+F33</f>
        <v>389294.22</v>
      </c>
      <c r="G9" s="428"/>
      <c r="H9" s="427">
        <f>H10+H32+H33</f>
        <v>214303</v>
      </c>
      <c r="I9" s="429"/>
      <c r="J9" s="1773"/>
      <c r="K9" s="1773"/>
      <c r="L9" s="156"/>
    </row>
    <row r="10" spans="1:21" ht="12" customHeight="1" x14ac:dyDescent="0.2">
      <c r="A10" s="1894">
        <v>1</v>
      </c>
      <c r="B10" s="1764" t="s">
        <v>747</v>
      </c>
      <c r="C10" s="1765"/>
      <c r="D10" s="166">
        <v>272787</v>
      </c>
      <c r="E10" s="166">
        <v>34843.089999999997</v>
      </c>
      <c r="F10" s="166">
        <f>SUM(F11:F31)</f>
        <v>374685.22</v>
      </c>
      <c r="G10" s="1115">
        <v>5250</v>
      </c>
      <c r="H10" s="166">
        <f>SUM(H11:H31)</f>
        <v>202094</v>
      </c>
      <c r="I10" s="1674" t="s">
        <v>748</v>
      </c>
      <c r="J10" s="1897"/>
      <c r="K10" s="1897"/>
      <c r="M10" s="430"/>
    </row>
    <row r="11" spans="1:21" s="287" customFormat="1" ht="43.5" hidden="1" customHeight="1" x14ac:dyDescent="0.2">
      <c r="A11" s="1895"/>
      <c r="B11" s="1766"/>
      <c r="C11" s="1767"/>
      <c r="D11" s="166"/>
      <c r="E11" s="166"/>
      <c r="F11" s="431">
        <v>302.5</v>
      </c>
      <c r="G11" s="432"/>
      <c r="H11" s="433"/>
      <c r="I11" s="1774"/>
      <c r="J11" s="1818" t="s">
        <v>749</v>
      </c>
      <c r="K11" s="1818"/>
    </row>
    <row r="12" spans="1:21" ht="42" hidden="1" customHeight="1" x14ac:dyDescent="0.2">
      <c r="A12" s="1895"/>
      <c r="B12" s="1766"/>
      <c r="C12" s="1767"/>
      <c r="D12" s="166"/>
      <c r="E12" s="166"/>
      <c r="F12" s="431">
        <v>12087.9</v>
      </c>
      <c r="G12" s="432"/>
      <c r="H12" s="433"/>
      <c r="I12" s="1774"/>
      <c r="J12" s="1818" t="s">
        <v>750</v>
      </c>
      <c r="K12" s="1818"/>
    </row>
    <row r="13" spans="1:21" hidden="1" x14ac:dyDescent="0.2">
      <c r="A13" s="1895"/>
      <c r="B13" s="1766"/>
      <c r="C13" s="1767"/>
      <c r="D13" s="166"/>
      <c r="E13" s="166"/>
      <c r="F13" s="431">
        <v>3575</v>
      </c>
      <c r="G13" s="434"/>
      <c r="H13" s="166"/>
      <c r="I13" s="1774"/>
      <c r="J13" s="1898" t="s">
        <v>751</v>
      </c>
      <c r="K13" s="1898"/>
      <c r="M13" s="275"/>
      <c r="N13" s="275"/>
      <c r="O13" s="275"/>
      <c r="P13" s="275"/>
      <c r="Q13" s="275"/>
      <c r="R13" s="275"/>
      <c r="S13" s="275"/>
      <c r="T13" s="275"/>
      <c r="U13" s="275"/>
    </row>
    <row r="14" spans="1:21" hidden="1" x14ac:dyDescent="0.2">
      <c r="A14" s="1895"/>
      <c r="B14" s="1766"/>
      <c r="C14" s="1767"/>
      <c r="D14" s="166"/>
      <c r="E14" s="166"/>
      <c r="F14" s="431">
        <v>55332</v>
      </c>
      <c r="G14" s="434"/>
      <c r="H14" s="166"/>
      <c r="I14" s="1774"/>
      <c r="J14" s="1898" t="s">
        <v>752</v>
      </c>
      <c r="K14" s="1898"/>
      <c r="M14" s="191"/>
      <c r="N14" s="191"/>
      <c r="O14" s="191"/>
      <c r="P14" s="199"/>
      <c r="Q14" s="191"/>
      <c r="R14" s="435"/>
      <c r="S14" s="1900"/>
      <c r="T14" s="1900"/>
      <c r="U14" s="275"/>
    </row>
    <row r="15" spans="1:21" ht="36" hidden="1" customHeight="1" x14ac:dyDescent="0.2">
      <c r="A15" s="1895"/>
      <c r="B15" s="1766"/>
      <c r="C15" s="1767"/>
      <c r="D15" s="166"/>
      <c r="E15" s="169"/>
      <c r="F15" s="436">
        <v>750.2</v>
      </c>
      <c r="G15" s="434"/>
      <c r="H15" s="166">
        <v>751</v>
      </c>
      <c r="I15" s="1774"/>
      <c r="J15" s="1901" t="s">
        <v>753</v>
      </c>
      <c r="K15" s="1901"/>
      <c r="M15" s="191"/>
      <c r="N15" s="275"/>
      <c r="O15" s="191"/>
      <c r="P15" s="199"/>
      <c r="Q15" s="191"/>
      <c r="R15" s="435"/>
      <c r="S15" s="1900"/>
      <c r="T15" s="1900"/>
      <c r="U15" s="275"/>
    </row>
    <row r="16" spans="1:21" ht="35.25" hidden="1" customHeight="1" x14ac:dyDescent="0.2">
      <c r="A16" s="1895"/>
      <c r="B16" s="1766"/>
      <c r="C16" s="1767"/>
      <c r="D16" s="166"/>
      <c r="E16" s="437"/>
      <c r="F16" s="436">
        <v>9596.4</v>
      </c>
      <c r="G16" s="434"/>
      <c r="H16" s="166">
        <v>9597</v>
      </c>
      <c r="I16" s="1774"/>
      <c r="J16" s="1901" t="s">
        <v>754</v>
      </c>
      <c r="K16" s="1901"/>
    </row>
    <row r="17" spans="1:13" ht="30.75" hidden="1" customHeight="1" x14ac:dyDescent="0.2">
      <c r="A17" s="1895"/>
      <c r="B17" s="1766"/>
      <c r="C17" s="1767"/>
      <c r="D17" s="166"/>
      <c r="E17" s="437"/>
      <c r="F17" s="431">
        <v>116582.04</v>
      </c>
      <c r="G17" s="434"/>
      <c r="H17" s="166">
        <v>116582</v>
      </c>
      <c r="I17" s="1774"/>
      <c r="J17" s="1818" t="s">
        <v>755</v>
      </c>
      <c r="K17" s="1818"/>
    </row>
    <row r="18" spans="1:13" ht="22.5" hidden="1" customHeight="1" x14ac:dyDescent="0.2">
      <c r="A18" s="1895"/>
      <c r="B18" s="1766"/>
      <c r="C18" s="1767"/>
      <c r="D18" s="166"/>
      <c r="E18" s="437"/>
      <c r="F18" s="431">
        <v>3630</v>
      </c>
      <c r="G18" s="434"/>
      <c r="H18" s="166">
        <v>3630</v>
      </c>
      <c r="I18" s="1774"/>
      <c r="J18" s="1818" t="s">
        <v>756</v>
      </c>
      <c r="K18" s="1818"/>
    </row>
    <row r="19" spans="1:13" ht="44.25" hidden="1" customHeight="1" x14ac:dyDescent="0.2">
      <c r="A19" s="1895"/>
      <c r="B19" s="1766"/>
      <c r="C19" s="1767"/>
      <c r="D19" s="166"/>
      <c r="E19" s="437"/>
      <c r="F19" s="431">
        <v>32040.799999999999</v>
      </c>
      <c r="G19" s="434"/>
      <c r="H19" s="166">
        <v>32041</v>
      </c>
      <c r="I19" s="1774"/>
      <c r="J19" s="1902" t="s">
        <v>757</v>
      </c>
      <c r="K19" s="1902"/>
    </row>
    <row r="20" spans="1:13" ht="27" hidden="1" customHeight="1" x14ac:dyDescent="0.2">
      <c r="A20" s="1895"/>
      <c r="B20" s="1766"/>
      <c r="C20" s="1767"/>
      <c r="D20" s="166"/>
      <c r="E20" s="437"/>
      <c r="F20" s="436">
        <v>24200</v>
      </c>
      <c r="G20" s="438"/>
      <c r="H20" s="166"/>
      <c r="I20" s="1774"/>
      <c r="J20" s="1899" t="s">
        <v>758</v>
      </c>
      <c r="K20" s="1899"/>
    </row>
    <row r="21" spans="1:13" ht="22.5" hidden="1" customHeight="1" x14ac:dyDescent="0.2">
      <c r="A21" s="1895"/>
      <c r="B21" s="1766"/>
      <c r="C21" s="1767"/>
      <c r="D21" s="166"/>
      <c r="E21" s="437"/>
      <c r="F21" s="436">
        <v>5135</v>
      </c>
      <c r="G21" s="438"/>
      <c r="H21" s="166"/>
      <c r="I21" s="1774"/>
      <c r="J21" s="1899" t="s">
        <v>759</v>
      </c>
      <c r="K21" s="1899"/>
    </row>
    <row r="22" spans="1:13" ht="16.5" hidden="1" customHeight="1" x14ac:dyDescent="0.2">
      <c r="A22" s="1895"/>
      <c r="B22" s="1766"/>
      <c r="C22" s="1767"/>
      <c r="D22" s="166"/>
      <c r="E22" s="437"/>
      <c r="F22" s="436">
        <v>4925.9799999999996</v>
      </c>
      <c r="G22" s="438"/>
      <c r="H22" s="166"/>
      <c r="I22" s="1774"/>
      <c r="J22" s="1899" t="s">
        <v>760</v>
      </c>
      <c r="K22" s="1899"/>
    </row>
    <row r="23" spans="1:13" ht="37.5" hidden="1" customHeight="1" x14ac:dyDescent="0.2">
      <c r="A23" s="1895"/>
      <c r="B23" s="1766"/>
      <c r="C23" s="1767"/>
      <c r="D23" s="166"/>
      <c r="E23" s="437"/>
      <c r="F23" s="431">
        <v>42834</v>
      </c>
      <c r="G23" s="438"/>
      <c r="H23" s="166"/>
      <c r="I23" s="1774"/>
      <c r="J23" s="1899" t="s">
        <v>761</v>
      </c>
      <c r="K23" s="1899"/>
    </row>
    <row r="24" spans="1:13" hidden="1" x14ac:dyDescent="0.2">
      <c r="A24" s="1895"/>
      <c r="B24" s="1766"/>
      <c r="C24" s="1767"/>
      <c r="D24" s="166"/>
      <c r="E24" s="437"/>
      <c r="F24" s="431">
        <v>5566</v>
      </c>
      <c r="G24" s="438"/>
      <c r="H24" s="166">
        <v>5566</v>
      </c>
      <c r="I24" s="1774"/>
      <c r="J24" s="1818" t="s">
        <v>762</v>
      </c>
      <c r="K24" s="1818"/>
    </row>
    <row r="25" spans="1:13" ht="12" hidden="1" customHeight="1" x14ac:dyDescent="0.2">
      <c r="A25" s="1895"/>
      <c r="B25" s="1766"/>
      <c r="C25" s="1767"/>
      <c r="D25" s="166"/>
      <c r="E25" s="437"/>
      <c r="F25" s="431">
        <v>1016.4</v>
      </c>
      <c r="G25" s="438"/>
      <c r="H25" s="166">
        <v>1016</v>
      </c>
      <c r="I25" s="1774"/>
      <c r="J25" s="1818" t="s">
        <v>763</v>
      </c>
      <c r="K25" s="1818"/>
    </row>
    <row r="26" spans="1:13" ht="21.75" hidden="1" customHeight="1" x14ac:dyDescent="0.2">
      <c r="A26" s="1895"/>
      <c r="B26" s="1766"/>
      <c r="C26" s="1767"/>
      <c r="D26" s="166"/>
      <c r="E26" s="437"/>
      <c r="F26" s="431">
        <v>6712</v>
      </c>
      <c r="G26" s="438"/>
      <c r="H26" s="166">
        <v>6712</v>
      </c>
      <c r="I26" s="1774"/>
      <c r="J26" s="1818" t="s">
        <v>764</v>
      </c>
      <c r="K26" s="1818"/>
    </row>
    <row r="27" spans="1:13" hidden="1" x14ac:dyDescent="0.2">
      <c r="A27" s="1895"/>
      <c r="B27" s="1766"/>
      <c r="C27" s="1767"/>
      <c r="D27" s="166"/>
      <c r="E27" s="437"/>
      <c r="F27" s="431">
        <v>883</v>
      </c>
      <c r="G27" s="438"/>
      <c r="H27" s="166">
        <v>883</v>
      </c>
      <c r="I27" s="1774"/>
      <c r="J27" s="1818" t="s">
        <v>765</v>
      </c>
      <c r="K27" s="1818"/>
    </row>
    <row r="28" spans="1:13" ht="11.25" hidden="1" customHeight="1" x14ac:dyDescent="0.2">
      <c r="A28" s="1895"/>
      <c r="B28" s="1766"/>
      <c r="C28" s="1767"/>
      <c r="D28" s="166"/>
      <c r="E28" s="437"/>
      <c r="F28" s="431"/>
      <c r="G28" s="438"/>
      <c r="H28" s="166"/>
      <c r="I28" s="1774"/>
      <c r="J28" s="1878" t="s">
        <v>766</v>
      </c>
      <c r="K28" s="1878"/>
    </row>
    <row r="29" spans="1:13" ht="20.25" hidden="1" customHeight="1" x14ac:dyDescent="0.2">
      <c r="A29" s="1895"/>
      <c r="B29" s="1766"/>
      <c r="C29" s="1767"/>
      <c r="D29" s="166"/>
      <c r="E29" s="437"/>
      <c r="F29" s="431">
        <v>18646</v>
      </c>
      <c r="G29" s="438"/>
      <c r="H29" s="166">
        <v>18646</v>
      </c>
      <c r="I29" s="1774"/>
      <c r="J29" s="1818" t="s">
        <v>767</v>
      </c>
      <c r="K29" s="1818"/>
      <c r="M29" s="274" t="s">
        <v>768</v>
      </c>
    </row>
    <row r="30" spans="1:13" hidden="1" x14ac:dyDescent="0.2">
      <c r="A30" s="1895"/>
      <c r="B30" s="1766"/>
      <c r="C30" s="1767"/>
      <c r="D30" s="166"/>
      <c r="E30" s="437"/>
      <c r="F30" s="431">
        <v>6670</v>
      </c>
      <c r="G30" s="438"/>
      <c r="H30" s="166">
        <v>6670</v>
      </c>
      <c r="I30" s="1774"/>
      <c r="J30" s="1879" t="s">
        <v>769</v>
      </c>
      <c r="K30" s="1880"/>
    </row>
    <row r="31" spans="1:13" ht="27" hidden="1" customHeight="1" x14ac:dyDescent="0.2">
      <c r="A31" s="1895"/>
      <c r="B31" s="1766"/>
      <c r="C31" s="1767"/>
      <c r="D31" s="166"/>
      <c r="E31" s="437"/>
      <c r="F31" s="431">
        <v>24200</v>
      </c>
      <c r="G31" s="438"/>
      <c r="H31" s="166"/>
      <c r="I31" s="1774"/>
      <c r="J31" s="1818" t="s">
        <v>770</v>
      </c>
      <c r="K31" s="1818"/>
    </row>
    <row r="32" spans="1:13" hidden="1" x14ac:dyDescent="0.2">
      <c r="A32" s="1895"/>
      <c r="B32" s="1766"/>
      <c r="C32" s="1767"/>
      <c r="D32" s="439">
        <v>300</v>
      </c>
      <c r="E32" s="440">
        <v>0</v>
      </c>
      <c r="F32" s="166">
        <v>2400</v>
      </c>
      <c r="G32" s="1115">
        <v>2239</v>
      </c>
      <c r="H32" s="166"/>
      <c r="I32" s="1774"/>
      <c r="J32" s="1818" t="s">
        <v>771</v>
      </c>
      <c r="K32" s="1818"/>
    </row>
    <row r="33" spans="1:11" x14ac:dyDescent="0.2">
      <c r="A33" s="1896"/>
      <c r="B33" s="1820"/>
      <c r="C33" s="1821"/>
      <c r="D33" s="439">
        <v>10754</v>
      </c>
      <c r="E33" s="440">
        <v>10607</v>
      </c>
      <c r="F33" s="253">
        <f>12000+209</f>
        <v>12209</v>
      </c>
      <c r="G33" s="1115">
        <v>2241</v>
      </c>
      <c r="H33" s="166">
        <f>12000+209</f>
        <v>12209</v>
      </c>
      <c r="I33" s="1675"/>
      <c r="J33" s="1818" t="s">
        <v>772</v>
      </c>
      <c r="K33" s="1818"/>
    </row>
    <row r="34" spans="1:11" x14ac:dyDescent="0.2">
      <c r="A34" s="441"/>
      <c r="B34" s="442"/>
      <c r="C34" s="442"/>
      <c r="D34" s="443"/>
      <c r="E34" s="444"/>
      <c r="F34" s="1376"/>
      <c r="G34" s="445"/>
      <c r="H34" s="435"/>
      <c r="I34" s="265"/>
      <c r="J34" s="446"/>
      <c r="K34" s="446"/>
    </row>
    <row r="35" spans="1:11" x14ac:dyDescent="0.2">
      <c r="A35" s="1771" t="s">
        <v>129</v>
      </c>
      <c r="B35" s="1771"/>
      <c r="C35" s="447" t="s">
        <v>773</v>
      </c>
      <c r="D35" s="447"/>
      <c r="E35" s="447"/>
      <c r="F35" s="1112"/>
      <c r="G35" s="241"/>
      <c r="H35" s="1112"/>
      <c r="I35" s="447"/>
      <c r="J35" s="449"/>
      <c r="K35" s="449"/>
    </row>
    <row r="36" spans="1:11" x14ac:dyDescent="0.2">
      <c r="A36" s="1771" t="s">
        <v>131</v>
      </c>
      <c r="B36" s="1771"/>
      <c r="C36" s="450" t="s">
        <v>774</v>
      </c>
      <c r="D36" s="451"/>
      <c r="E36" s="451"/>
      <c r="F36" s="1377"/>
      <c r="G36" s="1378"/>
      <c r="H36" s="1377"/>
      <c r="I36" s="451"/>
      <c r="J36" s="453"/>
      <c r="K36" s="453"/>
    </row>
    <row r="37" spans="1:11" ht="48" x14ac:dyDescent="0.2">
      <c r="A37" s="426" t="s">
        <v>4</v>
      </c>
      <c r="B37" s="1760" t="s">
        <v>133</v>
      </c>
      <c r="C37" s="1760"/>
      <c r="D37" s="426" t="s">
        <v>17</v>
      </c>
      <c r="E37" s="426" t="s">
        <v>15</v>
      </c>
      <c r="F37" s="1111" t="s">
        <v>134</v>
      </c>
      <c r="G37" s="1111" t="s">
        <v>135</v>
      </c>
      <c r="H37" s="1438" t="s">
        <v>3510</v>
      </c>
      <c r="I37" s="426" t="s">
        <v>14</v>
      </c>
      <c r="J37" s="1760" t="s">
        <v>137</v>
      </c>
      <c r="K37" s="1760"/>
    </row>
    <row r="38" spans="1:11" x14ac:dyDescent="0.2">
      <c r="A38" s="1761" t="s">
        <v>138</v>
      </c>
      <c r="B38" s="1761"/>
      <c r="C38" s="1761"/>
      <c r="D38" s="427">
        <f>SUM(D39:D44)</f>
        <v>0</v>
      </c>
      <c r="E38" s="427">
        <f>SUM(E39:E44)</f>
        <v>0</v>
      </c>
      <c r="F38" s="163">
        <f>F39</f>
        <v>68873.55</v>
      </c>
      <c r="G38" s="1113"/>
      <c r="H38" s="163">
        <f>SUM(H39)</f>
        <v>66505</v>
      </c>
      <c r="I38" s="166"/>
      <c r="J38" s="1818"/>
      <c r="K38" s="1818"/>
    </row>
    <row r="39" spans="1:11" x14ac:dyDescent="0.2">
      <c r="A39" s="1762">
        <v>1</v>
      </c>
      <c r="B39" s="1764" t="s">
        <v>776</v>
      </c>
      <c r="C39" s="1765"/>
      <c r="D39" s="166"/>
      <c r="E39" s="166"/>
      <c r="F39" s="166">
        <f>SUM(F40:F44)</f>
        <v>68873.55</v>
      </c>
      <c r="G39" s="1115">
        <v>5250</v>
      </c>
      <c r="H39" s="166">
        <f>SUM(H40:H44)</f>
        <v>66505</v>
      </c>
      <c r="I39" s="1648" t="s">
        <v>775</v>
      </c>
      <c r="J39" s="1818"/>
      <c r="K39" s="1818"/>
    </row>
    <row r="40" spans="1:11" ht="15" hidden="1" customHeight="1" x14ac:dyDescent="0.2">
      <c r="A40" s="1763"/>
      <c r="B40" s="1766"/>
      <c r="C40" s="1767"/>
      <c r="D40" s="431"/>
      <c r="E40" s="431"/>
      <c r="F40" s="456">
        <v>18098</v>
      </c>
      <c r="G40" s="438"/>
      <c r="H40" s="166">
        <v>18098</v>
      </c>
      <c r="I40" s="1648"/>
      <c r="J40" s="1879" t="s">
        <v>777</v>
      </c>
      <c r="K40" s="1880"/>
    </row>
    <row r="41" spans="1:11" ht="19.5" hidden="1" customHeight="1" x14ac:dyDescent="0.2">
      <c r="A41" s="1763"/>
      <c r="B41" s="1766"/>
      <c r="C41" s="1767"/>
      <c r="D41" s="431"/>
      <c r="E41" s="431"/>
      <c r="F41" s="456">
        <v>24200</v>
      </c>
      <c r="G41" s="438"/>
      <c r="H41" s="166">
        <v>21831</v>
      </c>
      <c r="I41" s="1648"/>
      <c r="J41" s="1818" t="s">
        <v>778</v>
      </c>
      <c r="K41" s="1818"/>
    </row>
    <row r="42" spans="1:11" ht="19.5" hidden="1" customHeight="1" x14ac:dyDescent="0.2">
      <c r="A42" s="1763"/>
      <c r="B42" s="1766"/>
      <c r="C42" s="1767"/>
      <c r="D42" s="431"/>
      <c r="E42" s="431"/>
      <c r="F42" s="456">
        <v>9600</v>
      </c>
      <c r="G42" s="438"/>
      <c r="H42" s="166">
        <v>9600</v>
      </c>
      <c r="I42" s="1648"/>
      <c r="J42" s="1818" t="s">
        <v>779</v>
      </c>
      <c r="K42" s="1818"/>
    </row>
    <row r="43" spans="1:11" ht="32.25" hidden="1" customHeight="1" x14ac:dyDescent="0.2">
      <c r="A43" s="1763"/>
      <c r="B43" s="1766"/>
      <c r="C43" s="1767"/>
      <c r="D43" s="431"/>
      <c r="E43" s="431"/>
      <c r="F43" s="456">
        <f>2500+3575.55</f>
        <v>6075.55</v>
      </c>
      <c r="G43" s="438"/>
      <c r="H43" s="166">
        <v>6076</v>
      </c>
      <c r="I43" s="1648"/>
      <c r="J43" s="1879" t="s">
        <v>780</v>
      </c>
      <c r="K43" s="1880"/>
    </row>
    <row r="44" spans="1:11" ht="19.5" hidden="1" customHeight="1" x14ac:dyDescent="0.2">
      <c r="A44" s="1779"/>
      <c r="B44" s="1820"/>
      <c r="C44" s="1821"/>
      <c r="D44" s="457"/>
      <c r="E44" s="431"/>
      <c r="F44" s="456">
        <v>10900</v>
      </c>
      <c r="G44" s="438"/>
      <c r="H44" s="166">
        <v>10900</v>
      </c>
      <c r="I44" s="1648"/>
      <c r="J44" s="1818" t="s">
        <v>781</v>
      </c>
      <c r="K44" s="1818"/>
    </row>
    <row r="45" spans="1:11" hidden="1" x14ac:dyDescent="0.2">
      <c r="A45" s="458"/>
      <c r="B45" s="459"/>
      <c r="C45" s="460"/>
      <c r="D45" s="191"/>
      <c r="E45" s="275"/>
      <c r="F45" s="191"/>
      <c r="G45" s="192"/>
      <c r="H45" s="191"/>
      <c r="I45" s="231"/>
      <c r="J45" s="446"/>
      <c r="K45" s="446"/>
    </row>
    <row r="46" spans="1:11" hidden="1" x14ac:dyDescent="0.2">
      <c r="A46" s="1771" t="s">
        <v>129</v>
      </c>
      <c r="B46" s="1771"/>
      <c r="C46" s="447" t="s">
        <v>142</v>
      </c>
      <c r="D46" s="447"/>
      <c r="E46" s="447"/>
      <c r="F46" s="1112"/>
      <c r="G46" s="241"/>
      <c r="H46" s="1112"/>
      <c r="I46" s="447"/>
      <c r="J46" s="449"/>
      <c r="K46" s="449"/>
    </row>
    <row r="47" spans="1:11" hidden="1" x14ac:dyDescent="0.2">
      <c r="A47" s="1771" t="s">
        <v>131</v>
      </c>
      <c r="B47" s="1771"/>
      <c r="C47" s="450" t="s">
        <v>143</v>
      </c>
      <c r="D47" s="451"/>
      <c r="E47" s="451"/>
      <c r="F47" s="1377"/>
      <c r="G47" s="1378"/>
      <c r="H47" s="1377"/>
      <c r="I47" s="451"/>
      <c r="J47" s="453"/>
      <c r="K47" s="453"/>
    </row>
    <row r="48" spans="1:11" ht="48" hidden="1" x14ac:dyDescent="0.2">
      <c r="A48" s="426" t="s">
        <v>4</v>
      </c>
      <c r="B48" s="1760" t="s">
        <v>133</v>
      </c>
      <c r="C48" s="1760"/>
      <c r="D48" s="426" t="s">
        <v>17</v>
      </c>
      <c r="E48" s="426" t="s">
        <v>15</v>
      </c>
      <c r="F48" s="1111" t="s">
        <v>134</v>
      </c>
      <c r="G48" s="1111" t="s">
        <v>135</v>
      </c>
      <c r="H48" s="1111" t="s">
        <v>136</v>
      </c>
      <c r="I48" s="426" t="s">
        <v>14</v>
      </c>
      <c r="J48" s="1760" t="s">
        <v>137</v>
      </c>
      <c r="K48" s="1760"/>
    </row>
    <row r="49" spans="1:11" hidden="1" x14ac:dyDescent="0.2">
      <c r="A49" s="1761" t="s">
        <v>138</v>
      </c>
      <c r="B49" s="1761"/>
      <c r="C49" s="1761"/>
      <c r="D49" s="427">
        <f>SUM(D50:D52)</f>
        <v>46905</v>
      </c>
      <c r="E49" s="427">
        <f>SUM(E50:E52)</f>
        <v>46166</v>
      </c>
      <c r="F49" s="163">
        <f>F50</f>
        <v>19600</v>
      </c>
      <c r="G49" s="1113"/>
      <c r="H49" s="163">
        <f>SUM(H50:H52)</f>
        <v>0</v>
      </c>
      <c r="I49" s="166"/>
      <c r="J49" s="1818"/>
      <c r="K49" s="1818"/>
    </row>
    <row r="50" spans="1:11" hidden="1" x14ac:dyDescent="0.2">
      <c r="A50" s="1773">
        <v>1</v>
      </c>
      <c r="B50" s="1822" t="s">
        <v>782</v>
      </c>
      <c r="C50" s="1822"/>
      <c r="D50" s="166">
        <v>46905</v>
      </c>
      <c r="E50" s="166">
        <v>46166</v>
      </c>
      <c r="F50" s="166">
        <f>SUM(F51:F52)</f>
        <v>19600</v>
      </c>
      <c r="G50" s="1115">
        <v>5250</v>
      </c>
      <c r="H50" s="166">
        <f>SUM(H51:H52)</f>
        <v>0</v>
      </c>
      <c r="I50" s="1648" t="s">
        <v>775</v>
      </c>
      <c r="J50" s="1818"/>
      <c r="K50" s="1818"/>
    </row>
    <row r="51" spans="1:11" hidden="1" x14ac:dyDescent="0.2">
      <c r="A51" s="1773"/>
      <c r="B51" s="1822"/>
      <c r="C51" s="1822"/>
      <c r="D51" s="431"/>
      <c r="E51" s="431"/>
      <c r="F51" s="456">
        <v>19600</v>
      </c>
      <c r="G51" s="438"/>
      <c r="H51" s="166"/>
      <c r="I51" s="1648"/>
      <c r="J51" s="1878" t="s">
        <v>783</v>
      </c>
      <c r="K51" s="1878"/>
    </row>
    <row r="52" spans="1:11" hidden="1" x14ac:dyDescent="0.2">
      <c r="A52" s="1773"/>
      <c r="B52" s="1822"/>
      <c r="C52" s="1822"/>
      <c r="D52" s="457"/>
      <c r="E52" s="431"/>
      <c r="F52" s="456"/>
      <c r="G52" s="438"/>
      <c r="H52" s="166"/>
      <c r="I52" s="1648"/>
      <c r="J52" s="1818"/>
      <c r="K52" s="1818"/>
    </row>
    <row r="53" spans="1:11" x14ac:dyDescent="0.2">
      <c r="A53" s="1501"/>
      <c r="B53" s="1502"/>
      <c r="C53" s="1502"/>
      <c r="D53" s="1503"/>
      <c r="E53" s="1503"/>
      <c r="F53" s="1503"/>
      <c r="G53" s="1504"/>
      <c r="H53" s="1505"/>
      <c r="I53" s="1505"/>
      <c r="J53" s="462"/>
      <c r="K53" s="462"/>
    </row>
    <row r="54" spans="1:11" x14ac:dyDescent="0.2">
      <c r="A54" s="1771" t="s">
        <v>129</v>
      </c>
      <c r="B54" s="1771"/>
      <c r="C54" s="447" t="s">
        <v>153</v>
      </c>
      <c r="D54" s="447"/>
      <c r="E54" s="447"/>
      <c r="F54" s="447"/>
      <c r="G54" s="448"/>
      <c r="H54" s="447"/>
      <c r="I54" s="447"/>
      <c r="J54" s="449"/>
      <c r="K54" s="449"/>
    </row>
    <row r="55" spans="1:11" x14ac:dyDescent="0.2">
      <c r="A55" s="1771" t="s">
        <v>131</v>
      </c>
      <c r="B55" s="1771"/>
      <c r="C55" s="450" t="s">
        <v>154</v>
      </c>
      <c r="D55" s="451"/>
      <c r="E55" s="451"/>
      <c r="F55" s="451"/>
      <c r="G55" s="452"/>
      <c r="H55" s="451"/>
      <c r="I55" s="451"/>
      <c r="J55" s="453"/>
      <c r="K55" s="453"/>
    </row>
    <row r="56" spans="1:11" ht="48" x14ac:dyDescent="0.2">
      <c r="A56" s="426" t="s">
        <v>4</v>
      </c>
      <c r="B56" s="1760" t="s">
        <v>133</v>
      </c>
      <c r="C56" s="1760"/>
      <c r="D56" s="426" t="s">
        <v>17</v>
      </c>
      <c r="E56" s="426" t="s">
        <v>15</v>
      </c>
      <c r="F56" s="426" t="s">
        <v>134</v>
      </c>
      <c r="G56" s="426" t="s">
        <v>135</v>
      </c>
      <c r="H56" s="1438" t="s">
        <v>3510</v>
      </c>
      <c r="I56" s="426" t="s">
        <v>14</v>
      </c>
      <c r="J56" s="1760" t="s">
        <v>137</v>
      </c>
      <c r="K56" s="1760"/>
    </row>
    <row r="57" spans="1:11" x14ac:dyDescent="0.2">
      <c r="A57" s="1761" t="s">
        <v>138</v>
      </c>
      <c r="B57" s="1761"/>
      <c r="C57" s="1761"/>
      <c r="D57" s="427">
        <f>SUM(D58:D107)</f>
        <v>710778</v>
      </c>
      <c r="E57" s="427">
        <f>SUM(E58:E107)</f>
        <v>639197.66</v>
      </c>
      <c r="F57" s="427">
        <f>F58+F65+F69+F73+F80+F83+F86+F90+F98+F99+F101+F103+F104+F106+F107</f>
        <v>1107680.5</v>
      </c>
      <c r="G57" s="454"/>
      <c r="H57" s="427">
        <f>SUM(H58,H65,H69,H73,H80,H83,H86,H90,H98,H99,H101,H103,H104,H106,H107)</f>
        <v>231169</v>
      </c>
      <c r="I57" s="429"/>
      <c r="J57" s="1818"/>
      <c r="K57" s="1818"/>
    </row>
    <row r="58" spans="1:11" ht="12" customHeight="1" x14ac:dyDescent="0.2">
      <c r="A58" s="1773">
        <v>1</v>
      </c>
      <c r="B58" s="1822" t="s">
        <v>784</v>
      </c>
      <c r="C58" s="1822"/>
      <c r="D58" s="166">
        <v>48746</v>
      </c>
      <c r="E58" s="166">
        <f>19335.33+23104.31</f>
        <v>42439.64</v>
      </c>
      <c r="F58" s="166">
        <f>SUM(F59:F64)</f>
        <v>26924.28</v>
      </c>
      <c r="G58" s="1115">
        <v>5240</v>
      </c>
      <c r="H58" s="166">
        <f>SUM(H59:H64)</f>
        <v>5350</v>
      </c>
      <c r="I58" s="1648" t="s">
        <v>785</v>
      </c>
      <c r="J58" s="1818"/>
      <c r="K58" s="1818"/>
    </row>
    <row r="59" spans="1:11" ht="17.25" hidden="1" customHeight="1" x14ac:dyDescent="0.2">
      <c r="A59" s="1773"/>
      <c r="B59" s="1822"/>
      <c r="C59" s="1822"/>
      <c r="D59" s="431"/>
      <c r="E59" s="431"/>
      <c r="F59" s="463">
        <v>5349.98</v>
      </c>
      <c r="G59" s="438"/>
      <c r="H59" s="166">
        <v>5350</v>
      </c>
      <c r="I59" s="1648"/>
      <c r="J59" s="1818" t="s">
        <v>786</v>
      </c>
      <c r="K59" s="1818"/>
    </row>
    <row r="60" spans="1:11" ht="17.25" hidden="1" customHeight="1" x14ac:dyDescent="0.2">
      <c r="A60" s="1773"/>
      <c r="B60" s="1822"/>
      <c r="C60" s="1822"/>
      <c r="D60" s="431"/>
      <c r="E60" s="431"/>
      <c r="F60" s="463">
        <v>955.9</v>
      </c>
      <c r="G60" s="438"/>
      <c r="H60" s="166"/>
      <c r="I60" s="1648"/>
      <c r="J60" s="1818" t="s">
        <v>787</v>
      </c>
      <c r="K60" s="1818"/>
    </row>
    <row r="61" spans="1:11" ht="15" hidden="1" customHeight="1" x14ac:dyDescent="0.2">
      <c r="A61" s="1773"/>
      <c r="B61" s="1822"/>
      <c r="C61" s="1822"/>
      <c r="D61" s="431"/>
      <c r="E61" s="431"/>
      <c r="F61" s="463"/>
      <c r="G61" s="438"/>
      <c r="H61" s="166"/>
      <c r="I61" s="1648"/>
      <c r="J61" s="1878" t="s">
        <v>788</v>
      </c>
      <c r="K61" s="1893"/>
    </row>
    <row r="62" spans="1:11" ht="23.25" hidden="1" customHeight="1" x14ac:dyDescent="0.2">
      <c r="A62" s="1773"/>
      <c r="B62" s="1822"/>
      <c r="C62" s="1822"/>
      <c r="D62" s="431"/>
      <c r="E62" s="431"/>
      <c r="F62" s="463">
        <v>5082</v>
      </c>
      <c r="G62" s="438"/>
      <c r="H62" s="166"/>
      <c r="I62" s="1648"/>
      <c r="J62" s="1818" t="s">
        <v>789</v>
      </c>
      <c r="K62" s="1818"/>
    </row>
    <row r="63" spans="1:11" ht="22.5" hidden="1" customHeight="1" x14ac:dyDescent="0.2">
      <c r="A63" s="1773"/>
      <c r="B63" s="1822"/>
      <c r="C63" s="1822"/>
      <c r="D63" s="431"/>
      <c r="E63" s="431"/>
      <c r="F63" s="463">
        <v>5082</v>
      </c>
      <c r="G63" s="438"/>
      <c r="H63" s="166"/>
      <c r="I63" s="1648"/>
      <c r="J63" s="1818" t="s">
        <v>790</v>
      </c>
      <c r="K63" s="1818"/>
    </row>
    <row r="64" spans="1:11" ht="27" hidden="1" customHeight="1" x14ac:dyDescent="0.2">
      <c r="A64" s="1773"/>
      <c r="B64" s="1822"/>
      <c r="C64" s="1822"/>
      <c r="D64" s="166"/>
      <c r="E64" s="166"/>
      <c r="F64" s="463">
        <v>10454.4</v>
      </c>
      <c r="G64" s="438"/>
      <c r="H64" s="166"/>
      <c r="I64" s="1648"/>
      <c r="J64" s="1802" t="s">
        <v>791</v>
      </c>
      <c r="K64" s="1802"/>
    </row>
    <row r="65" spans="1:11" ht="12" customHeight="1" x14ac:dyDescent="0.2">
      <c r="A65" s="1773">
        <v>2</v>
      </c>
      <c r="B65" s="1764" t="s">
        <v>158</v>
      </c>
      <c r="C65" s="1765"/>
      <c r="D65" s="166">
        <v>189105</v>
      </c>
      <c r="E65" s="166">
        <v>189105</v>
      </c>
      <c r="F65" s="166">
        <f>SUM(F66:F68)</f>
        <v>227286.64</v>
      </c>
      <c r="G65" s="1115">
        <v>5250</v>
      </c>
      <c r="H65" s="166">
        <f>SUM(H66:H68)</f>
        <v>113586</v>
      </c>
      <c r="I65" s="1674" t="s">
        <v>792</v>
      </c>
      <c r="J65" s="1818"/>
      <c r="K65" s="1818"/>
    </row>
    <row r="66" spans="1:11" ht="43.5" hidden="1" customHeight="1" x14ac:dyDescent="0.2">
      <c r="A66" s="1773"/>
      <c r="B66" s="1766"/>
      <c r="C66" s="1767"/>
      <c r="D66" s="166"/>
      <c r="E66" s="166"/>
      <c r="F66" s="431">
        <v>24198.639999999999</v>
      </c>
      <c r="G66" s="438"/>
      <c r="H66" s="166">
        <v>9000</v>
      </c>
      <c r="I66" s="1774"/>
      <c r="J66" s="1818" t="s">
        <v>793</v>
      </c>
      <c r="K66" s="1818"/>
    </row>
    <row r="67" spans="1:11" ht="26.25" hidden="1" customHeight="1" x14ac:dyDescent="0.2">
      <c r="A67" s="1773"/>
      <c r="B67" s="1766"/>
      <c r="C67" s="1767"/>
      <c r="D67" s="166"/>
      <c r="E67" s="166"/>
      <c r="F67" s="431">
        <v>2400</v>
      </c>
      <c r="G67" s="438"/>
      <c r="H67" s="166">
        <v>2400</v>
      </c>
      <c r="I67" s="1774"/>
      <c r="J67" s="1818" t="s">
        <v>794</v>
      </c>
      <c r="K67" s="1818"/>
    </row>
    <row r="68" spans="1:11" ht="26.25" hidden="1" customHeight="1" x14ac:dyDescent="0.2">
      <c r="A68" s="1773"/>
      <c r="B68" s="1766"/>
      <c r="C68" s="1767"/>
      <c r="D68" s="166"/>
      <c r="E68" s="166"/>
      <c r="F68" s="431">
        <v>200688</v>
      </c>
      <c r="G68" s="438"/>
      <c r="H68" s="166">
        <f>101000+1186</f>
        <v>102186</v>
      </c>
      <c r="I68" s="1774"/>
      <c r="J68" s="1873" t="s">
        <v>795</v>
      </c>
      <c r="K68" s="1873"/>
    </row>
    <row r="69" spans="1:11" x14ac:dyDescent="0.2">
      <c r="A69" s="1773"/>
      <c r="B69" s="1766"/>
      <c r="C69" s="1767"/>
      <c r="D69" s="166">
        <v>22214</v>
      </c>
      <c r="E69" s="166">
        <v>22214</v>
      </c>
      <c r="F69" s="166">
        <f>SUM(F70:F72)</f>
        <v>11671</v>
      </c>
      <c r="G69" s="1115">
        <v>2241</v>
      </c>
      <c r="H69" s="166">
        <f>SUM(H70:H72)</f>
        <v>11671</v>
      </c>
      <c r="I69" s="1774"/>
      <c r="J69" s="437"/>
      <c r="K69" s="437"/>
    </row>
    <row r="70" spans="1:11" ht="26.25" hidden="1" customHeight="1" x14ac:dyDescent="0.2">
      <c r="A70" s="1773"/>
      <c r="B70" s="1766"/>
      <c r="C70" s="1767"/>
      <c r="D70" s="166"/>
      <c r="E70" s="166"/>
      <c r="F70" s="457">
        <v>6671</v>
      </c>
      <c r="G70" s="438"/>
      <c r="H70" s="166">
        <v>6671</v>
      </c>
      <c r="I70" s="1774"/>
      <c r="J70" s="1818" t="s">
        <v>796</v>
      </c>
      <c r="K70" s="1818"/>
    </row>
    <row r="71" spans="1:11" ht="21.75" hidden="1" customHeight="1" x14ac:dyDescent="0.2">
      <c r="A71" s="1773"/>
      <c r="B71" s="1766"/>
      <c r="C71" s="1767"/>
      <c r="D71" s="431"/>
      <c r="E71" s="431"/>
      <c r="F71" s="456">
        <v>5000</v>
      </c>
      <c r="G71" s="438"/>
      <c r="H71" s="166">
        <v>5000</v>
      </c>
      <c r="I71" s="1774"/>
      <c r="J71" s="1873" t="s">
        <v>795</v>
      </c>
      <c r="K71" s="1873"/>
    </row>
    <row r="72" spans="1:11" ht="14.25" hidden="1" customHeight="1" x14ac:dyDescent="0.2">
      <c r="A72" s="1773"/>
      <c r="B72" s="1820"/>
      <c r="C72" s="1821"/>
      <c r="D72" s="431"/>
      <c r="E72" s="431"/>
      <c r="F72" s="464"/>
      <c r="G72" s="438"/>
      <c r="H72" s="166"/>
      <c r="I72" s="1675"/>
      <c r="J72" s="1878" t="s">
        <v>797</v>
      </c>
      <c r="K72" s="1878"/>
    </row>
    <row r="73" spans="1:11" x14ac:dyDescent="0.2">
      <c r="A73" s="1787">
        <v>3</v>
      </c>
      <c r="B73" s="1822" t="s">
        <v>798</v>
      </c>
      <c r="C73" s="1822"/>
      <c r="D73" s="166">
        <v>68015</v>
      </c>
      <c r="E73" s="166">
        <f>38733.32+5082</f>
        <v>43815.32</v>
      </c>
      <c r="F73" s="166">
        <f>SUM(F74:F79)</f>
        <v>344359</v>
      </c>
      <c r="G73" s="1115">
        <v>2241</v>
      </c>
      <c r="H73" s="166">
        <f>SUM(H74:H79)</f>
        <v>57550</v>
      </c>
      <c r="I73" s="1648" t="s">
        <v>799</v>
      </c>
      <c r="J73" s="1818"/>
      <c r="K73" s="1818"/>
    </row>
    <row r="74" spans="1:11" hidden="1" x14ac:dyDescent="0.2">
      <c r="A74" s="1787"/>
      <c r="B74" s="1822"/>
      <c r="C74" s="1822"/>
      <c r="D74" s="166"/>
      <c r="E74" s="166"/>
      <c r="F74" s="463">
        <v>4069</v>
      </c>
      <c r="G74" s="438"/>
      <c r="H74" s="166">
        <v>4069</v>
      </c>
      <c r="I74" s="1648"/>
      <c r="J74" s="1818" t="s">
        <v>800</v>
      </c>
      <c r="K74" s="1818" t="s">
        <v>800</v>
      </c>
    </row>
    <row r="75" spans="1:11" hidden="1" x14ac:dyDescent="0.2">
      <c r="A75" s="1787"/>
      <c r="B75" s="1822"/>
      <c r="C75" s="1822"/>
      <c r="D75" s="166"/>
      <c r="E75" s="166"/>
      <c r="F75" s="463">
        <v>186809</v>
      </c>
      <c r="G75" s="438"/>
      <c r="H75" s="166"/>
      <c r="I75" s="1648"/>
      <c r="J75" s="1818" t="s">
        <v>801</v>
      </c>
      <c r="K75" s="1818" t="s">
        <v>802</v>
      </c>
    </row>
    <row r="76" spans="1:11" ht="22.5" hidden="1" customHeight="1" x14ac:dyDescent="0.2">
      <c r="A76" s="1787"/>
      <c r="B76" s="1822"/>
      <c r="C76" s="1822"/>
      <c r="D76" s="166"/>
      <c r="E76" s="166"/>
      <c r="F76" s="463">
        <v>24199</v>
      </c>
      <c r="G76" s="438"/>
      <c r="H76" s="166">
        <v>24199</v>
      </c>
      <c r="I76" s="1648"/>
      <c r="J76" s="1873" t="s">
        <v>803</v>
      </c>
      <c r="K76" s="1873"/>
    </row>
    <row r="77" spans="1:11" ht="22.5" hidden="1" customHeight="1" x14ac:dyDescent="0.2">
      <c r="A77" s="1787"/>
      <c r="B77" s="1822"/>
      <c r="C77" s="1822"/>
      <c r="D77" s="166"/>
      <c r="E77" s="166"/>
      <c r="F77" s="463">
        <v>5082</v>
      </c>
      <c r="G77" s="438"/>
      <c r="H77" s="166">
        <v>5082</v>
      </c>
      <c r="I77" s="1648"/>
      <c r="J77" s="1891" t="s">
        <v>804</v>
      </c>
      <c r="K77" s="1892"/>
    </row>
    <row r="78" spans="1:11" hidden="1" x14ac:dyDescent="0.2">
      <c r="A78" s="1787"/>
      <c r="B78" s="1822"/>
      <c r="C78" s="1822"/>
      <c r="D78" s="166"/>
      <c r="E78" s="166"/>
      <c r="F78" s="463">
        <v>24200</v>
      </c>
      <c r="G78" s="438"/>
      <c r="H78" s="166">
        <v>24200</v>
      </c>
      <c r="I78" s="1648"/>
      <c r="J78" s="1891" t="s">
        <v>805</v>
      </c>
      <c r="K78" s="1892"/>
    </row>
    <row r="79" spans="1:11" ht="21" hidden="1" customHeight="1" x14ac:dyDescent="0.2">
      <c r="A79" s="1787"/>
      <c r="B79" s="1822"/>
      <c r="C79" s="1822"/>
      <c r="D79" s="166"/>
      <c r="E79" s="166"/>
      <c r="F79" s="463">
        <v>100000</v>
      </c>
      <c r="G79" s="438"/>
      <c r="H79" s="166"/>
      <c r="I79" s="1648"/>
      <c r="J79" s="1818" t="s">
        <v>806</v>
      </c>
      <c r="K79" s="1818"/>
    </row>
    <row r="80" spans="1:11" hidden="1" x14ac:dyDescent="0.2">
      <c r="A80" s="1887">
        <v>4</v>
      </c>
      <c r="B80" s="1659" t="s">
        <v>162</v>
      </c>
      <c r="C80" s="1660"/>
      <c r="D80" s="166">
        <v>5374</v>
      </c>
      <c r="E80" s="166">
        <v>0</v>
      </c>
      <c r="F80" s="166">
        <f>SUM(F81:F82)</f>
        <v>17474</v>
      </c>
      <c r="G80" s="1115">
        <v>2239</v>
      </c>
      <c r="H80" s="166">
        <f>SUM(H81:H82)</f>
        <v>0</v>
      </c>
      <c r="I80" s="1674" t="s">
        <v>807</v>
      </c>
      <c r="J80" s="437"/>
      <c r="K80" s="437"/>
    </row>
    <row r="81" spans="1:11" ht="15.75" hidden="1" customHeight="1" x14ac:dyDescent="0.2">
      <c r="A81" s="1888"/>
      <c r="B81" s="1661"/>
      <c r="C81" s="1662"/>
      <c r="D81" s="166"/>
      <c r="E81" s="166"/>
      <c r="F81" s="166">
        <v>5374</v>
      </c>
      <c r="G81" s="438"/>
      <c r="H81" s="166"/>
      <c r="I81" s="1774"/>
      <c r="J81" s="1818" t="s">
        <v>771</v>
      </c>
      <c r="K81" s="1818"/>
    </row>
    <row r="82" spans="1:11" ht="18" hidden="1" customHeight="1" x14ac:dyDescent="0.2">
      <c r="A82" s="1889"/>
      <c r="B82" s="1663"/>
      <c r="C82" s="1664"/>
      <c r="D82" s="166"/>
      <c r="E82" s="166"/>
      <c r="F82" s="166">
        <v>12100</v>
      </c>
      <c r="G82" s="438"/>
      <c r="H82" s="166"/>
      <c r="I82" s="1675"/>
      <c r="J82" s="1818" t="s">
        <v>808</v>
      </c>
      <c r="K82" s="1818"/>
    </row>
    <row r="83" spans="1:11" x14ac:dyDescent="0.2">
      <c r="A83" s="1787">
        <v>4</v>
      </c>
      <c r="B83" s="1645" t="s">
        <v>809</v>
      </c>
      <c r="C83" s="1645"/>
      <c r="D83" s="166">
        <v>197756</v>
      </c>
      <c r="E83" s="166">
        <f>178110.39+1000</f>
        <v>179110.39</v>
      </c>
      <c r="F83" s="166">
        <f>SUM(F84:F85)</f>
        <v>9838.98</v>
      </c>
      <c r="G83" s="1115">
        <v>5250</v>
      </c>
      <c r="H83" s="166">
        <f>SUM(H84:H85)</f>
        <v>9144</v>
      </c>
      <c r="I83" s="1648" t="s">
        <v>810</v>
      </c>
      <c r="J83" s="1890"/>
      <c r="K83" s="1890"/>
    </row>
    <row r="84" spans="1:11" ht="30" hidden="1" customHeight="1" x14ac:dyDescent="0.2">
      <c r="A84" s="1787"/>
      <c r="B84" s="1645"/>
      <c r="C84" s="1645"/>
      <c r="D84" s="431"/>
      <c r="E84" s="431"/>
      <c r="F84" s="431">
        <v>9143.23</v>
      </c>
      <c r="G84" s="438"/>
      <c r="H84" s="166">
        <v>9144</v>
      </c>
      <c r="I84" s="1648"/>
      <c r="J84" s="1867" t="s">
        <v>811</v>
      </c>
      <c r="K84" s="1818"/>
    </row>
    <row r="85" spans="1:11" hidden="1" x14ac:dyDescent="0.2">
      <c r="A85" s="1787"/>
      <c r="B85" s="1645"/>
      <c r="C85" s="1645"/>
      <c r="D85" s="431"/>
      <c r="E85" s="431"/>
      <c r="F85" s="431">
        <v>695.75</v>
      </c>
      <c r="G85" s="438"/>
      <c r="H85" s="166"/>
      <c r="I85" s="1648"/>
      <c r="J85" s="1867" t="s">
        <v>812</v>
      </c>
      <c r="K85" s="1867"/>
    </row>
    <row r="86" spans="1:11" x14ac:dyDescent="0.2">
      <c r="A86" s="1773">
        <v>5</v>
      </c>
      <c r="B86" s="1764" t="s">
        <v>813</v>
      </c>
      <c r="C86" s="1765"/>
      <c r="D86" s="203">
        <v>3097</v>
      </c>
      <c r="E86" s="203">
        <v>0</v>
      </c>
      <c r="F86" s="166">
        <f>SUM(F87:F89)</f>
        <v>7296.1</v>
      </c>
      <c r="G86" s="204">
        <v>5240</v>
      </c>
      <c r="H86" s="203">
        <f>SUM(H87:H89)</f>
        <v>3097</v>
      </c>
      <c r="I86" s="1883" t="s">
        <v>814</v>
      </c>
      <c r="J86" s="1817"/>
      <c r="K86" s="1817"/>
    </row>
    <row r="87" spans="1:11" ht="27" hidden="1" customHeight="1" x14ac:dyDescent="0.2">
      <c r="A87" s="1773"/>
      <c r="B87" s="1766"/>
      <c r="C87" s="1767"/>
      <c r="D87" s="203"/>
      <c r="E87" s="203"/>
      <c r="F87" s="465">
        <v>3096.1</v>
      </c>
      <c r="G87" s="1379"/>
      <c r="H87" s="203">
        <v>3097</v>
      </c>
      <c r="I87" s="1884"/>
      <c r="J87" s="1867" t="s">
        <v>815</v>
      </c>
      <c r="K87" s="1818"/>
    </row>
    <row r="88" spans="1:11" hidden="1" x14ac:dyDescent="0.2">
      <c r="A88" s="1773"/>
      <c r="B88" s="1766"/>
      <c r="C88" s="1767"/>
      <c r="D88" s="203"/>
      <c r="E88" s="203"/>
      <c r="F88" s="465"/>
      <c r="G88" s="1379"/>
      <c r="H88" s="203"/>
      <c r="I88" s="1884"/>
      <c r="J88" s="1886" t="s">
        <v>816</v>
      </c>
      <c r="K88" s="1886"/>
    </row>
    <row r="89" spans="1:11" ht="20.25" hidden="1" customHeight="1" x14ac:dyDescent="0.2">
      <c r="A89" s="1773"/>
      <c r="B89" s="1820"/>
      <c r="C89" s="1821"/>
      <c r="D89" s="203"/>
      <c r="E89" s="203"/>
      <c r="F89" s="465">
        <v>4200</v>
      </c>
      <c r="G89" s="1379"/>
      <c r="H89" s="203"/>
      <c r="I89" s="1885"/>
      <c r="J89" s="1867" t="s">
        <v>817</v>
      </c>
      <c r="K89" s="1867"/>
    </row>
    <row r="90" spans="1:11" x14ac:dyDescent="0.2">
      <c r="A90" s="1832">
        <v>6</v>
      </c>
      <c r="B90" s="1835" t="s">
        <v>818</v>
      </c>
      <c r="C90" s="1836"/>
      <c r="D90" s="203">
        <v>23317</v>
      </c>
      <c r="E90" s="467">
        <v>19913.47</v>
      </c>
      <c r="F90" s="166">
        <f>SUM(F91:F97)</f>
        <v>56145.99</v>
      </c>
      <c r="G90" s="204">
        <v>5250</v>
      </c>
      <c r="H90" s="203">
        <f>SUM(H91:H97)</f>
        <v>4036</v>
      </c>
      <c r="I90" s="1883" t="s">
        <v>819</v>
      </c>
      <c r="J90" s="1818"/>
      <c r="K90" s="1818"/>
    </row>
    <row r="91" spans="1:11" ht="46.5" hidden="1" customHeight="1" x14ac:dyDescent="0.2">
      <c r="A91" s="1833"/>
      <c r="B91" s="1837"/>
      <c r="C91" s="1838"/>
      <c r="D91" s="203"/>
      <c r="E91" s="467"/>
      <c r="F91" s="465">
        <v>1256.58</v>
      </c>
      <c r="G91" s="1379"/>
      <c r="H91" s="203">
        <v>1257</v>
      </c>
      <c r="I91" s="1884"/>
      <c r="J91" s="1818" t="s">
        <v>820</v>
      </c>
      <c r="K91" s="1818"/>
    </row>
    <row r="92" spans="1:11" ht="19.5" hidden="1" customHeight="1" x14ac:dyDescent="0.2">
      <c r="A92" s="1833"/>
      <c r="B92" s="1837"/>
      <c r="C92" s="1838"/>
      <c r="D92" s="465"/>
      <c r="E92" s="468"/>
      <c r="F92" s="465">
        <v>2129.41</v>
      </c>
      <c r="G92" s="1379"/>
      <c r="H92" s="203">
        <v>2129</v>
      </c>
      <c r="I92" s="1884"/>
      <c r="J92" s="1818" t="s">
        <v>821</v>
      </c>
      <c r="K92" s="1818"/>
    </row>
    <row r="93" spans="1:11" ht="24" hidden="1" customHeight="1" x14ac:dyDescent="0.2">
      <c r="A93" s="1833"/>
      <c r="B93" s="1837"/>
      <c r="C93" s="1838"/>
      <c r="D93" s="465"/>
      <c r="E93" s="468"/>
      <c r="F93" s="465">
        <v>18010</v>
      </c>
      <c r="G93" s="1379"/>
      <c r="H93" s="203"/>
      <c r="I93" s="1884"/>
      <c r="J93" s="1818" t="s">
        <v>822</v>
      </c>
      <c r="K93" s="1818"/>
    </row>
    <row r="94" spans="1:11" ht="16.5" hidden="1" customHeight="1" x14ac:dyDescent="0.2">
      <c r="A94" s="1833"/>
      <c r="B94" s="1837"/>
      <c r="C94" s="1838"/>
      <c r="D94" s="465"/>
      <c r="E94" s="468"/>
      <c r="F94" s="465"/>
      <c r="G94" s="1379"/>
      <c r="H94" s="203"/>
      <c r="I94" s="1884"/>
      <c r="J94" s="1878" t="s">
        <v>823</v>
      </c>
      <c r="K94" s="1878"/>
    </row>
    <row r="95" spans="1:11" ht="27" hidden="1" customHeight="1" x14ac:dyDescent="0.2">
      <c r="A95" s="1833"/>
      <c r="B95" s="1837"/>
      <c r="C95" s="1838"/>
      <c r="D95" s="465"/>
      <c r="E95" s="468"/>
      <c r="F95" s="465">
        <v>12100</v>
      </c>
      <c r="G95" s="1379"/>
      <c r="H95" s="203"/>
      <c r="I95" s="1884"/>
      <c r="J95" s="1882" t="s">
        <v>824</v>
      </c>
      <c r="K95" s="1882"/>
    </row>
    <row r="96" spans="1:11" ht="24.75" hidden="1" customHeight="1" x14ac:dyDescent="0.2">
      <c r="A96" s="1833"/>
      <c r="B96" s="1837"/>
      <c r="C96" s="1838"/>
      <c r="D96" s="465"/>
      <c r="E96" s="468"/>
      <c r="F96" s="465">
        <v>22000</v>
      </c>
      <c r="G96" s="1379"/>
      <c r="H96" s="203"/>
      <c r="I96" s="1884"/>
      <c r="J96" s="1882" t="s">
        <v>825</v>
      </c>
      <c r="K96" s="1882"/>
    </row>
    <row r="97" spans="1:11" ht="23.25" hidden="1" customHeight="1" x14ac:dyDescent="0.2">
      <c r="A97" s="1833"/>
      <c r="B97" s="1837"/>
      <c r="C97" s="1838"/>
      <c r="D97" s="465"/>
      <c r="E97" s="468"/>
      <c r="F97" s="465">
        <v>650</v>
      </c>
      <c r="G97" s="1379"/>
      <c r="H97" s="203">
        <v>650</v>
      </c>
      <c r="I97" s="1884"/>
      <c r="J97" s="1818" t="s">
        <v>826</v>
      </c>
      <c r="K97" s="1818"/>
    </row>
    <row r="98" spans="1:11" x14ac:dyDescent="0.2">
      <c r="A98" s="1834"/>
      <c r="B98" s="1839"/>
      <c r="C98" s="1840"/>
      <c r="D98" s="465">
        <v>1728</v>
      </c>
      <c r="E98" s="468">
        <v>1728</v>
      </c>
      <c r="F98" s="465">
        <v>10000</v>
      </c>
      <c r="G98" s="204">
        <v>2241</v>
      </c>
      <c r="H98" s="203">
        <v>10000</v>
      </c>
      <c r="I98" s="1885"/>
      <c r="J98" s="1818" t="s">
        <v>827</v>
      </c>
      <c r="K98" s="1818"/>
    </row>
    <row r="99" spans="1:11" x14ac:dyDescent="0.2">
      <c r="A99" s="1881">
        <v>7</v>
      </c>
      <c r="B99" s="1642" t="s">
        <v>828</v>
      </c>
      <c r="C99" s="1642"/>
      <c r="D99" s="203">
        <v>5000</v>
      </c>
      <c r="E99" s="467">
        <v>1521.47</v>
      </c>
      <c r="F99" s="166">
        <f>SUM(F100)</f>
        <v>1670.96</v>
      </c>
      <c r="G99" s="204">
        <v>2241</v>
      </c>
      <c r="H99" s="203">
        <f>SUM(H100)</f>
        <v>1671</v>
      </c>
      <c r="I99" s="1643" t="s">
        <v>829</v>
      </c>
      <c r="J99" s="1818"/>
      <c r="K99" s="1818"/>
    </row>
    <row r="100" spans="1:11" ht="28.5" hidden="1" customHeight="1" x14ac:dyDescent="0.2">
      <c r="A100" s="1881"/>
      <c r="B100" s="1642"/>
      <c r="C100" s="1642"/>
      <c r="D100" s="203"/>
      <c r="E100" s="467"/>
      <c r="F100" s="465">
        <v>1670.96</v>
      </c>
      <c r="G100" s="466"/>
      <c r="H100" s="467">
        <v>1671</v>
      </c>
      <c r="I100" s="1643"/>
      <c r="J100" s="1867" t="s">
        <v>830</v>
      </c>
      <c r="K100" s="1818"/>
    </row>
    <row r="101" spans="1:11" hidden="1" x14ac:dyDescent="0.2">
      <c r="A101" s="1773">
        <v>9</v>
      </c>
      <c r="B101" s="1874" t="s">
        <v>831</v>
      </c>
      <c r="C101" s="1875"/>
      <c r="D101" s="291">
        <v>14520</v>
      </c>
      <c r="E101" s="469">
        <v>14520</v>
      </c>
      <c r="F101" s="1114">
        <f>SUM(F102)</f>
        <v>0</v>
      </c>
      <c r="G101" s="204">
        <v>5250</v>
      </c>
      <c r="H101" s="203">
        <f>SUM(H102)</f>
        <v>0</v>
      </c>
      <c r="I101" s="1648" t="s">
        <v>829</v>
      </c>
      <c r="J101" s="1780"/>
      <c r="K101" s="1781"/>
    </row>
    <row r="102" spans="1:11" hidden="1" x14ac:dyDescent="0.2">
      <c r="A102" s="1773"/>
      <c r="B102" s="1876"/>
      <c r="C102" s="1877"/>
      <c r="D102" s="291"/>
      <c r="E102" s="291"/>
      <c r="F102" s="1380"/>
      <c r="G102" s="438"/>
      <c r="H102" s="166"/>
      <c r="I102" s="1648"/>
      <c r="J102" s="1878"/>
      <c r="K102" s="1878"/>
    </row>
    <row r="103" spans="1:11" ht="36.75" hidden="1" customHeight="1" x14ac:dyDescent="0.2">
      <c r="A103" s="470">
        <v>10</v>
      </c>
      <c r="B103" s="471" t="s">
        <v>832</v>
      </c>
      <c r="C103" s="472"/>
      <c r="D103" s="291">
        <v>0</v>
      </c>
      <c r="E103" s="291">
        <v>0</v>
      </c>
      <c r="F103" s="1114">
        <v>379950</v>
      </c>
      <c r="G103" s="1115">
        <v>5250</v>
      </c>
      <c r="H103" s="166"/>
      <c r="I103" s="188" t="s">
        <v>829</v>
      </c>
      <c r="J103" s="1879" t="s">
        <v>833</v>
      </c>
      <c r="K103" s="1880"/>
    </row>
    <row r="104" spans="1:11" x14ac:dyDescent="0.2">
      <c r="A104" s="1773">
        <v>8</v>
      </c>
      <c r="B104" s="1869" t="s">
        <v>834</v>
      </c>
      <c r="C104" s="1869"/>
      <c r="D104" s="166">
        <v>99536</v>
      </c>
      <c r="E104" s="166">
        <f>12087.9+1210+83817.97+1754.5</f>
        <v>98870.37</v>
      </c>
      <c r="F104" s="166">
        <f>SUM(F105:F105)</f>
        <v>3463.55</v>
      </c>
      <c r="G104" s="1115">
        <v>5240</v>
      </c>
      <c r="H104" s="166">
        <f>SUM(H105:H105)</f>
        <v>3464</v>
      </c>
      <c r="I104" s="1648" t="s">
        <v>855</v>
      </c>
      <c r="J104" s="1870"/>
      <c r="K104" s="1871"/>
    </row>
    <row r="105" spans="1:11" ht="21.75" hidden="1" customHeight="1" x14ac:dyDescent="0.2">
      <c r="A105" s="1773"/>
      <c r="B105" s="1869"/>
      <c r="C105" s="1869"/>
      <c r="D105" s="431"/>
      <c r="E105" s="431"/>
      <c r="F105" s="431">
        <v>3463.55</v>
      </c>
      <c r="G105" s="438"/>
      <c r="H105" s="166">
        <v>3464</v>
      </c>
      <c r="I105" s="1648"/>
      <c r="J105" s="1818" t="s">
        <v>835</v>
      </c>
      <c r="K105" s="1818"/>
    </row>
    <row r="106" spans="1:11" ht="39" customHeight="1" x14ac:dyDescent="0.2">
      <c r="A106" s="473">
        <v>9</v>
      </c>
      <c r="B106" s="1822" t="s">
        <v>836</v>
      </c>
      <c r="C106" s="1822"/>
      <c r="D106" s="166">
        <v>31373</v>
      </c>
      <c r="E106" s="166">
        <v>25960</v>
      </c>
      <c r="F106" s="166">
        <v>8600</v>
      </c>
      <c r="G106" s="1115">
        <v>2244</v>
      </c>
      <c r="H106" s="166">
        <v>8600</v>
      </c>
      <c r="I106" s="188" t="s">
        <v>792</v>
      </c>
      <c r="J106" s="1872" t="s">
        <v>837</v>
      </c>
      <c r="K106" s="1873"/>
    </row>
    <row r="107" spans="1:11" ht="25.5" customHeight="1" x14ac:dyDescent="0.2">
      <c r="A107" s="470">
        <v>10</v>
      </c>
      <c r="B107" s="1822" t="s">
        <v>838</v>
      </c>
      <c r="C107" s="1822"/>
      <c r="D107" s="166">
        <v>997</v>
      </c>
      <c r="E107" s="166">
        <v>0</v>
      </c>
      <c r="F107" s="166">
        <v>3000</v>
      </c>
      <c r="G107" s="1115">
        <v>2241</v>
      </c>
      <c r="H107" s="166">
        <v>3000</v>
      </c>
      <c r="I107" s="188" t="s">
        <v>792</v>
      </c>
      <c r="J107" s="1818" t="s">
        <v>827</v>
      </c>
      <c r="K107" s="1818"/>
    </row>
    <row r="108" spans="1:11" x14ac:dyDescent="0.2">
      <c r="A108" s="474"/>
      <c r="B108" s="475"/>
      <c r="C108" s="475"/>
      <c r="D108" s="476"/>
      <c r="E108" s="476"/>
      <c r="F108" s="476"/>
      <c r="G108" s="477"/>
      <c r="H108" s="478"/>
      <c r="I108" s="478"/>
      <c r="J108" s="479"/>
      <c r="K108" s="479"/>
    </row>
    <row r="109" spans="1:11" x14ac:dyDescent="0.2">
      <c r="A109" s="1771" t="s">
        <v>129</v>
      </c>
      <c r="B109" s="1771"/>
      <c r="C109" s="480" t="s">
        <v>184</v>
      </c>
      <c r="D109" s="480"/>
      <c r="E109" s="480"/>
      <c r="F109" s="480"/>
      <c r="G109" s="448"/>
      <c r="H109" s="480"/>
      <c r="I109" s="480"/>
      <c r="J109" s="480"/>
      <c r="K109" s="479"/>
    </row>
    <row r="110" spans="1:11" x14ac:dyDescent="0.2">
      <c r="A110" s="1771" t="s">
        <v>131</v>
      </c>
      <c r="B110" s="1771"/>
      <c r="C110" s="450" t="s">
        <v>185</v>
      </c>
      <c r="D110" s="451"/>
      <c r="E110" s="451"/>
      <c r="F110" s="451"/>
      <c r="G110" s="481"/>
      <c r="H110" s="482"/>
      <c r="I110" s="482"/>
      <c r="J110" s="482"/>
      <c r="K110" s="482"/>
    </row>
    <row r="111" spans="1:11" ht="48" x14ac:dyDescent="0.2">
      <c r="A111" s="426" t="s">
        <v>4</v>
      </c>
      <c r="B111" s="1760" t="s">
        <v>133</v>
      </c>
      <c r="C111" s="1760"/>
      <c r="D111" s="426" t="s">
        <v>17</v>
      </c>
      <c r="E111" s="426" t="s">
        <v>15</v>
      </c>
      <c r="F111" s="426" t="s">
        <v>134</v>
      </c>
      <c r="G111" s="426" t="s">
        <v>135</v>
      </c>
      <c r="H111" s="1438" t="s">
        <v>3510</v>
      </c>
      <c r="I111" s="426" t="s">
        <v>14</v>
      </c>
      <c r="J111" s="1760" t="s">
        <v>137</v>
      </c>
      <c r="K111" s="1760"/>
    </row>
    <row r="112" spans="1:11" x14ac:dyDescent="0.2">
      <c r="A112" s="1761" t="s">
        <v>138</v>
      </c>
      <c r="B112" s="1761"/>
      <c r="C112" s="1761"/>
      <c r="D112" s="427">
        <f>SUM(D113:D131)</f>
        <v>237096</v>
      </c>
      <c r="E112" s="427">
        <f>SUM(E113:E131)</f>
        <v>94915.040000000008</v>
      </c>
      <c r="F112" s="427">
        <f>F113+F115+F120+F123+F127+F131+F130</f>
        <v>210293.65000000002</v>
      </c>
      <c r="G112" s="454"/>
      <c r="H112" s="427">
        <f>SUM(H113,H115,H120,H123,H127,H130,H131)</f>
        <v>186871</v>
      </c>
      <c r="I112" s="186"/>
      <c r="J112" s="1759"/>
      <c r="K112" s="1759"/>
    </row>
    <row r="113" spans="1:12" x14ac:dyDescent="0.2">
      <c r="A113" s="1773">
        <v>1</v>
      </c>
      <c r="B113" s="1645" t="s">
        <v>839</v>
      </c>
      <c r="C113" s="1645"/>
      <c r="D113" s="166">
        <v>21086</v>
      </c>
      <c r="E113" s="483">
        <v>21085.52</v>
      </c>
      <c r="F113" s="166">
        <f>SUM(F114:F114)</f>
        <v>5850</v>
      </c>
      <c r="G113" s="1115">
        <v>5250</v>
      </c>
      <c r="H113" s="166">
        <f>SUM(H114)</f>
        <v>5850</v>
      </c>
      <c r="I113" s="1648" t="s">
        <v>1383</v>
      </c>
      <c r="J113" s="1759"/>
      <c r="K113" s="1759"/>
    </row>
    <row r="114" spans="1:12" ht="21" hidden="1" customHeight="1" x14ac:dyDescent="0.2">
      <c r="A114" s="1773"/>
      <c r="B114" s="1645"/>
      <c r="C114" s="1645"/>
      <c r="D114" s="166"/>
      <c r="E114" s="483"/>
      <c r="F114" s="484">
        <v>5850</v>
      </c>
      <c r="G114" s="438"/>
      <c r="H114" s="166">
        <v>5850</v>
      </c>
      <c r="I114" s="1648"/>
      <c r="J114" s="1818" t="s">
        <v>840</v>
      </c>
      <c r="K114" s="1818"/>
    </row>
    <row r="115" spans="1:12" x14ac:dyDescent="0.2">
      <c r="A115" s="1773">
        <v>2</v>
      </c>
      <c r="B115" s="1659" t="s">
        <v>841</v>
      </c>
      <c r="C115" s="1660"/>
      <c r="D115" s="166">
        <v>72451</v>
      </c>
      <c r="E115" s="166">
        <f>19021.55+963.16+47557.82</f>
        <v>67542.53</v>
      </c>
      <c r="F115" s="166">
        <f>SUM(F116:F119)</f>
        <v>15473</v>
      </c>
      <c r="G115" s="1115">
        <v>5250</v>
      </c>
      <c r="H115" s="166">
        <f>SUM(H116:H119)</f>
        <v>2050</v>
      </c>
      <c r="I115" s="1648" t="s">
        <v>842</v>
      </c>
      <c r="J115" s="1759"/>
      <c r="K115" s="1759"/>
    </row>
    <row r="116" spans="1:12" ht="25.5" hidden="1" customHeight="1" x14ac:dyDescent="0.2">
      <c r="A116" s="1773"/>
      <c r="B116" s="1661"/>
      <c r="C116" s="1662"/>
      <c r="D116" s="166"/>
      <c r="E116" s="166"/>
      <c r="F116" s="484">
        <v>2050</v>
      </c>
      <c r="G116" s="438"/>
      <c r="H116" s="166">
        <v>2050</v>
      </c>
      <c r="I116" s="1648"/>
      <c r="J116" s="1829" t="s">
        <v>843</v>
      </c>
      <c r="K116" s="1759"/>
    </row>
    <row r="117" spans="1:12" ht="39" hidden="1" customHeight="1" x14ac:dyDescent="0.2">
      <c r="A117" s="1773"/>
      <c r="B117" s="1661"/>
      <c r="C117" s="1662"/>
      <c r="D117" s="166"/>
      <c r="E117" s="166"/>
      <c r="F117" s="484">
        <v>723</v>
      </c>
      <c r="G117" s="438"/>
      <c r="H117" s="166"/>
      <c r="I117" s="1648"/>
      <c r="J117" s="1829" t="s">
        <v>844</v>
      </c>
      <c r="K117" s="1759"/>
    </row>
    <row r="118" spans="1:12" ht="20.25" hidden="1" customHeight="1" x14ac:dyDescent="0.2">
      <c r="A118" s="1773"/>
      <c r="B118" s="1661"/>
      <c r="C118" s="1662"/>
      <c r="D118" s="166"/>
      <c r="E118" s="166"/>
      <c r="F118" s="484">
        <v>700</v>
      </c>
      <c r="G118" s="438"/>
      <c r="H118" s="166"/>
      <c r="I118" s="1648"/>
      <c r="J118" s="1829" t="s">
        <v>845</v>
      </c>
      <c r="K118" s="1829"/>
    </row>
    <row r="119" spans="1:12" ht="20.25" hidden="1" customHeight="1" x14ac:dyDescent="0.2">
      <c r="A119" s="1773"/>
      <c r="B119" s="1663"/>
      <c r="C119" s="1664"/>
      <c r="D119" s="166"/>
      <c r="E119" s="166"/>
      <c r="F119" s="484">
        <v>12000</v>
      </c>
      <c r="G119" s="438"/>
      <c r="H119" s="166"/>
      <c r="I119" s="1648"/>
      <c r="J119" s="1829" t="s">
        <v>846</v>
      </c>
      <c r="K119" s="1829"/>
    </row>
    <row r="120" spans="1:12" x14ac:dyDescent="0.2">
      <c r="A120" s="1773">
        <v>3</v>
      </c>
      <c r="B120" s="1659" t="s">
        <v>847</v>
      </c>
      <c r="C120" s="1660"/>
      <c r="D120" s="166">
        <v>18392</v>
      </c>
      <c r="E120" s="166">
        <v>0</v>
      </c>
      <c r="F120" s="166">
        <f>SUM(F121:F122)</f>
        <v>23892</v>
      </c>
      <c r="G120" s="1115">
        <v>5250</v>
      </c>
      <c r="H120" s="166">
        <f>SUM(H121:H122)</f>
        <v>23892</v>
      </c>
      <c r="I120" s="1648" t="s">
        <v>842</v>
      </c>
      <c r="J120" s="1759"/>
      <c r="K120" s="1759"/>
    </row>
    <row r="121" spans="1:12" ht="45.75" hidden="1" customHeight="1" x14ac:dyDescent="0.2">
      <c r="A121" s="1773"/>
      <c r="B121" s="1661"/>
      <c r="C121" s="1662"/>
      <c r="D121" s="166"/>
      <c r="E121" s="166"/>
      <c r="F121" s="484">
        <v>18392</v>
      </c>
      <c r="G121" s="438"/>
      <c r="H121" s="166">
        <v>18392</v>
      </c>
      <c r="I121" s="1648"/>
      <c r="J121" s="1829" t="s">
        <v>848</v>
      </c>
      <c r="K121" s="1759"/>
    </row>
    <row r="122" spans="1:12" hidden="1" x14ac:dyDescent="0.2">
      <c r="A122" s="1773"/>
      <c r="B122" s="1663"/>
      <c r="C122" s="1664"/>
      <c r="D122" s="166"/>
      <c r="E122" s="166"/>
      <c r="F122" s="484">
        <v>5500</v>
      </c>
      <c r="G122" s="438"/>
      <c r="H122" s="166">
        <v>5500</v>
      </c>
      <c r="I122" s="1648"/>
      <c r="J122" s="1829" t="s">
        <v>849</v>
      </c>
      <c r="K122" s="1829"/>
    </row>
    <row r="123" spans="1:12" x14ac:dyDescent="0.2">
      <c r="A123" s="1762">
        <v>4</v>
      </c>
      <c r="B123" s="1659" t="s">
        <v>850</v>
      </c>
      <c r="C123" s="1660"/>
      <c r="D123" s="166">
        <v>118656</v>
      </c>
      <c r="E123" s="166">
        <v>0</v>
      </c>
      <c r="F123" s="166">
        <f>SUM(F124:F126)</f>
        <v>118348.65000000001</v>
      </c>
      <c r="G123" s="1115">
        <v>5250</v>
      </c>
      <c r="H123" s="166">
        <f>SUM(H124:H126)</f>
        <v>118349</v>
      </c>
      <c r="I123" s="1648" t="s">
        <v>842</v>
      </c>
      <c r="J123" s="1759"/>
      <c r="K123" s="1759"/>
      <c r="L123" s="486"/>
    </row>
    <row r="124" spans="1:12" ht="25.5" hidden="1" customHeight="1" x14ac:dyDescent="0.2">
      <c r="A124" s="1763"/>
      <c r="B124" s="1661"/>
      <c r="C124" s="1662"/>
      <c r="D124" s="166"/>
      <c r="E124" s="166"/>
      <c r="F124" s="436">
        <v>114767.05</v>
      </c>
      <c r="G124" s="438"/>
      <c r="H124" s="166">
        <v>114767</v>
      </c>
      <c r="I124" s="1648"/>
      <c r="J124" s="1829" t="s">
        <v>851</v>
      </c>
      <c r="K124" s="1759"/>
      <c r="L124" s="486"/>
    </row>
    <row r="125" spans="1:12" ht="38.25" hidden="1" customHeight="1" x14ac:dyDescent="0.2">
      <c r="A125" s="1763"/>
      <c r="B125" s="1661"/>
      <c r="C125" s="1662"/>
      <c r="D125" s="166"/>
      <c r="E125" s="166"/>
      <c r="F125" s="436">
        <v>1790.8</v>
      </c>
      <c r="G125" s="438"/>
      <c r="H125" s="166">
        <v>1791</v>
      </c>
      <c r="I125" s="1648"/>
      <c r="J125" s="1829" t="s">
        <v>852</v>
      </c>
      <c r="K125" s="1759"/>
      <c r="L125" s="486"/>
    </row>
    <row r="126" spans="1:12" ht="48.75" hidden="1" customHeight="1" x14ac:dyDescent="0.2">
      <c r="A126" s="1779"/>
      <c r="B126" s="1663"/>
      <c r="C126" s="1664"/>
      <c r="D126" s="166"/>
      <c r="E126" s="166"/>
      <c r="F126" s="436">
        <v>1790.8</v>
      </c>
      <c r="G126" s="438"/>
      <c r="H126" s="166">
        <v>1791</v>
      </c>
      <c r="I126" s="1648"/>
      <c r="J126" s="1829" t="s">
        <v>853</v>
      </c>
      <c r="K126" s="1759"/>
      <c r="L126" s="486"/>
    </row>
    <row r="127" spans="1:12" x14ac:dyDescent="0.2">
      <c r="A127" s="1773">
        <v>5</v>
      </c>
      <c r="B127" s="1645" t="s">
        <v>854</v>
      </c>
      <c r="C127" s="1645"/>
      <c r="D127" s="166">
        <v>5384</v>
      </c>
      <c r="E127" s="166">
        <v>5383.05</v>
      </c>
      <c r="F127" s="166">
        <f>SUM(F128:F129)</f>
        <v>2730</v>
      </c>
      <c r="G127" s="1115">
        <v>5250</v>
      </c>
      <c r="H127" s="166">
        <f>SUM(H128:H129)</f>
        <v>2730</v>
      </c>
      <c r="I127" s="1674" t="s">
        <v>855</v>
      </c>
      <c r="J127" s="1829"/>
      <c r="K127" s="1829"/>
      <c r="L127" s="486"/>
    </row>
    <row r="128" spans="1:12" ht="10.5" hidden="1" customHeight="1" x14ac:dyDescent="0.2">
      <c r="A128" s="1773"/>
      <c r="B128" s="1645"/>
      <c r="C128" s="1645"/>
      <c r="D128" s="166"/>
      <c r="E128" s="166"/>
      <c r="F128" s="169"/>
      <c r="G128" s="438"/>
      <c r="H128" s="166"/>
      <c r="I128" s="1774"/>
      <c r="J128" s="1868" t="s">
        <v>816</v>
      </c>
      <c r="K128" s="1829"/>
      <c r="L128" s="486"/>
    </row>
    <row r="129" spans="1:12" ht="10.5" hidden="1" customHeight="1" x14ac:dyDescent="0.2">
      <c r="A129" s="1773"/>
      <c r="B129" s="1645"/>
      <c r="C129" s="1645"/>
      <c r="D129" s="166"/>
      <c r="E129" s="166"/>
      <c r="F129" s="436">
        <v>2730</v>
      </c>
      <c r="G129" s="438"/>
      <c r="H129" s="166">
        <v>2730</v>
      </c>
      <c r="I129" s="1675"/>
      <c r="J129" s="1829" t="s">
        <v>856</v>
      </c>
      <c r="K129" s="1829"/>
      <c r="L129" s="486"/>
    </row>
    <row r="130" spans="1:12" ht="21" customHeight="1" x14ac:dyDescent="0.2">
      <c r="A130" s="470">
        <v>6</v>
      </c>
      <c r="B130" s="1645" t="s">
        <v>857</v>
      </c>
      <c r="C130" s="1645"/>
      <c r="D130" s="166">
        <v>0</v>
      </c>
      <c r="E130" s="166">
        <v>0</v>
      </c>
      <c r="F130" s="439">
        <v>41000</v>
      </c>
      <c r="G130" s="1115">
        <v>5250</v>
      </c>
      <c r="H130" s="166">
        <v>31000</v>
      </c>
      <c r="I130" s="188" t="s">
        <v>858</v>
      </c>
      <c r="J130" s="1829" t="s">
        <v>859</v>
      </c>
      <c r="K130" s="1829"/>
      <c r="L130" s="486"/>
    </row>
    <row r="131" spans="1:12" x14ac:dyDescent="0.2">
      <c r="A131" s="202">
        <v>7</v>
      </c>
      <c r="B131" s="1866" t="s">
        <v>238</v>
      </c>
      <c r="C131" s="1866"/>
      <c r="D131" s="166">
        <v>1127</v>
      </c>
      <c r="E131" s="166">
        <v>903.94</v>
      </c>
      <c r="F131" s="439">
        <v>3000</v>
      </c>
      <c r="G131" s="1115">
        <v>2241</v>
      </c>
      <c r="H131" s="166">
        <v>3000</v>
      </c>
      <c r="I131" s="188" t="s">
        <v>3517</v>
      </c>
      <c r="J131" s="1867" t="s">
        <v>860</v>
      </c>
      <c r="K131" s="1818"/>
      <c r="L131" s="486"/>
    </row>
    <row r="132" spans="1:12" x14ac:dyDescent="0.2">
      <c r="A132" s="487"/>
      <c r="B132" s="487"/>
      <c r="C132" s="487"/>
      <c r="D132" s="488"/>
      <c r="E132" s="488"/>
      <c r="F132" s="487"/>
      <c r="G132" s="489"/>
      <c r="H132" s="488"/>
      <c r="I132" s="490"/>
      <c r="J132" s="1863"/>
      <c r="K132" s="1863"/>
    </row>
    <row r="133" spans="1:12" hidden="1" x14ac:dyDescent="0.2">
      <c r="A133" s="1771" t="s">
        <v>129</v>
      </c>
      <c r="B133" s="1771"/>
      <c r="C133" s="447" t="s">
        <v>215</v>
      </c>
      <c r="D133" s="491"/>
      <c r="E133" s="491"/>
      <c r="F133" s="447"/>
      <c r="G133" s="448"/>
      <c r="H133" s="447"/>
      <c r="I133" s="447"/>
      <c r="J133" s="1863"/>
      <c r="K133" s="1863"/>
    </row>
    <row r="134" spans="1:12" hidden="1" x14ac:dyDescent="0.2">
      <c r="A134" s="1771" t="s">
        <v>131</v>
      </c>
      <c r="B134" s="1771"/>
      <c r="C134" s="450" t="s">
        <v>216</v>
      </c>
      <c r="D134" s="492"/>
      <c r="E134" s="492"/>
      <c r="F134" s="451"/>
      <c r="G134" s="452"/>
      <c r="H134" s="451"/>
      <c r="I134" s="451"/>
      <c r="J134" s="493"/>
      <c r="K134" s="493"/>
    </row>
    <row r="135" spans="1:12" ht="48" hidden="1" x14ac:dyDescent="0.2">
      <c r="A135" s="426" t="s">
        <v>4</v>
      </c>
      <c r="B135" s="1760" t="s">
        <v>133</v>
      </c>
      <c r="C135" s="1760"/>
      <c r="D135" s="454" t="s">
        <v>17</v>
      </c>
      <c r="E135" s="454" t="s">
        <v>15</v>
      </c>
      <c r="F135" s="426" t="s">
        <v>134</v>
      </c>
      <c r="G135" s="426" t="s">
        <v>135</v>
      </c>
      <c r="H135" s="426" t="s">
        <v>136</v>
      </c>
      <c r="I135" s="426" t="s">
        <v>14</v>
      </c>
      <c r="J135" s="1760" t="s">
        <v>137</v>
      </c>
      <c r="K135" s="1760"/>
    </row>
    <row r="136" spans="1:12" hidden="1" x14ac:dyDescent="0.2">
      <c r="A136" s="1761" t="s">
        <v>138</v>
      </c>
      <c r="B136" s="1761"/>
      <c r="C136" s="1761"/>
      <c r="D136" s="427">
        <f>SUM(D137:D138)</f>
        <v>29097</v>
      </c>
      <c r="E136" s="427">
        <f>SUM(E137:E138)</f>
        <v>29096.91</v>
      </c>
      <c r="F136" s="494">
        <f>F137</f>
        <v>24200</v>
      </c>
      <c r="G136" s="495"/>
      <c r="H136" s="427">
        <f>SUM(H137)</f>
        <v>0</v>
      </c>
      <c r="I136" s="496"/>
      <c r="J136" s="1759"/>
      <c r="K136" s="1759"/>
    </row>
    <row r="137" spans="1:12" hidden="1" x14ac:dyDescent="0.2">
      <c r="A137" s="470">
        <v>1</v>
      </c>
      <c r="B137" s="1645" t="s">
        <v>217</v>
      </c>
      <c r="C137" s="1645"/>
      <c r="D137" s="166">
        <v>29097</v>
      </c>
      <c r="E137" s="166">
        <v>29096.91</v>
      </c>
      <c r="F137" s="1381">
        <v>24200</v>
      </c>
      <c r="G137" s="497" t="s">
        <v>30</v>
      </c>
      <c r="H137" s="166"/>
      <c r="I137" s="188" t="s">
        <v>861</v>
      </c>
      <c r="J137" s="1801" t="s">
        <v>816</v>
      </c>
      <c r="K137" s="1756"/>
    </row>
    <row r="138" spans="1:12" hidden="1" x14ac:dyDescent="0.2">
      <c r="A138" s="498"/>
      <c r="B138" s="1862"/>
      <c r="C138" s="1862"/>
      <c r="D138" s="264"/>
      <c r="E138" s="264"/>
      <c r="F138" s="191"/>
      <c r="G138" s="192"/>
      <c r="H138" s="191"/>
      <c r="I138" s="193"/>
      <c r="J138" s="1863"/>
      <c r="K138" s="1863"/>
      <c r="L138" s="486"/>
    </row>
    <row r="139" spans="1:12" ht="15" customHeight="1" x14ac:dyDescent="0.2">
      <c r="A139" s="1771" t="s">
        <v>129</v>
      </c>
      <c r="B139" s="1771"/>
      <c r="C139" s="447" t="s">
        <v>219</v>
      </c>
      <c r="D139" s="447"/>
      <c r="E139" s="447"/>
      <c r="F139" s="1112"/>
      <c r="G139" s="241"/>
      <c r="H139" s="1112"/>
      <c r="I139" s="447"/>
      <c r="J139" s="1864"/>
      <c r="K139" s="1864"/>
    </row>
    <row r="140" spans="1:12" ht="15" customHeight="1" x14ac:dyDescent="0.2">
      <c r="A140" s="1771" t="s">
        <v>131</v>
      </c>
      <c r="B140" s="1771"/>
      <c r="C140" s="450" t="s">
        <v>220</v>
      </c>
      <c r="D140" s="451"/>
      <c r="E140" s="451"/>
      <c r="F140" s="1377"/>
      <c r="G140" s="1378"/>
      <c r="H140" s="1377"/>
      <c r="I140" s="451"/>
      <c r="J140" s="1865"/>
      <c r="K140" s="1865"/>
    </row>
    <row r="141" spans="1:12" ht="48" x14ac:dyDescent="0.2">
      <c r="A141" s="426" t="s">
        <v>4</v>
      </c>
      <c r="B141" s="1760" t="s">
        <v>133</v>
      </c>
      <c r="C141" s="1760"/>
      <c r="D141" s="426" t="s">
        <v>17</v>
      </c>
      <c r="E141" s="426" t="s">
        <v>15</v>
      </c>
      <c r="F141" s="1111" t="s">
        <v>134</v>
      </c>
      <c r="G141" s="1111" t="s">
        <v>135</v>
      </c>
      <c r="H141" s="1438" t="s">
        <v>3510</v>
      </c>
      <c r="I141" s="426" t="s">
        <v>14</v>
      </c>
      <c r="J141" s="1760" t="s">
        <v>137</v>
      </c>
      <c r="K141" s="1760"/>
    </row>
    <row r="142" spans="1:12" x14ac:dyDescent="0.2">
      <c r="A142" s="1761" t="s">
        <v>138</v>
      </c>
      <c r="B142" s="1761"/>
      <c r="C142" s="1761"/>
      <c r="D142" s="427">
        <f>SUM(D143:D160)</f>
        <v>244410</v>
      </c>
      <c r="E142" s="427">
        <f>SUM(E143:E160)</f>
        <v>21908.51</v>
      </c>
      <c r="F142" s="1382">
        <f>F143</f>
        <v>367855.04000000004</v>
      </c>
      <c r="G142" s="1113"/>
      <c r="H142" s="163">
        <f>SUM(H143)</f>
        <v>304004</v>
      </c>
      <c r="I142" s="169"/>
      <c r="J142" s="1827"/>
      <c r="K142" s="1827"/>
    </row>
    <row r="143" spans="1:12" ht="13.5" customHeight="1" x14ac:dyDescent="0.2">
      <c r="A143" s="1762">
        <v>1</v>
      </c>
      <c r="B143" s="1855" t="s">
        <v>862</v>
      </c>
      <c r="C143" s="1856"/>
      <c r="D143" s="428">
        <v>244410</v>
      </c>
      <c r="E143" s="428">
        <v>21908.51</v>
      </c>
      <c r="F143" s="1381">
        <f>SUM(F144:F160)</f>
        <v>367855.04000000004</v>
      </c>
      <c r="G143" s="186">
        <v>5250</v>
      </c>
      <c r="H143" s="252">
        <f>SUM(H144:H160)</f>
        <v>304004</v>
      </c>
      <c r="I143" s="1674" t="s">
        <v>863</v>
      </c>
      <c r="J143" s="1861"/>
      <c r="K143" s="1861"/>
    </row>
    <row r="144" spans="1:12" ht="54" hidden="1" customHeight="1" x14ac:dyDescent="0.2">
      <c r="A144" s="1763"/>
      <c r="B144" s="1857"/>
      <c r="C144" s="1858"/>
      <c r="D144" s="166"/>
      <c r="E144" s="166"/>
      <c r="F144" s="431">
        <v>49731</v>
      </c>
      <c r="G144" s="485"/>
      <c r="H144" s="483">
        <v>49731</v>
      </c>
      <c r="I144" s="1774"/>
      <c r="J144" s="1829" t="s">
        <v>864</v>
      </c>
      <c r="K144" s="1759"/>
    </row>
    <row r="145" spans="1:11" hidden="1" x14ac:dyDescent="0.2">
      <c r="A145" s="1763"/>
      <c r="B145" s="1857"/>
      <c r="C145" s="1858"/>
      <c r="D145" s="166"/>
      <c r="E145" s="166"/>
      <c r="F145" s="431">
        <v>7400</v>
      </c>
      <c r="G145" s="485"/>
      <c r="H145" s="483">
        <v>7400</v>
      </c>
      <c r="I145" s="1774"/>
      <c r="J145" s="1829" t="s">
        <v>865</v>
      </c>
      <c r="K145" s="1829"/>
    </row>
    <row r="146" spans="1:11" hidden="1" x14ac:dyDescent="0.2">
      <c r="A146" s="1763"/>
      <c r="B146" s="1857"/>
      <c r="C146" s="1858"/>
      <c r="D146" s="166"/>
      <c r="E146" s="166"/>
      <c r="F146" s="500">
        <v>205700</v>
      </c>
      <c r="G146" s="485"/>
      <c r="H146" s="483">
        <v>205700</v>
      </c>
      <c r="I146" s="1774"/>
      <c r="J146" s="1818" t="s">
        <v>866</v>
      </c>
      <c r="K146" s="1818"/>
    </row>
    <row r="147" spans="1:11" hidden="1" x14ac:dyDescent="0.2">
      <c r="A147" s="1763"/>
      <c r="B147" s="1857"/>
      <c r="C147" s="1858"/>
      <c r="D147" s="166"/>
      <c r="E147" s="166"/>
      <c r="F147" s="500">
        <v>6000</v>
      </c>
      <c r="G147" s="485"/>
      <c r="H147" s="483">
        <v>6000</v>
      </c>
      <c r="I147" s="1774"/>
      <c r="J147" s="1818" t="s">
        <v>867</v>
      </c>
      <c r="K147" s="1818"/>
    </row>
    <row r="148" spans="1:11" hidden="1" x14ac:dyDescent="0.2">
      <c r="A148" s="1763"/>
      <c r="B148" s="1857"/>
      <c r="C148" s="1858"/>
      <c r="D148" s="166"/>
      <c r="E148" s="166"/>
      <c r="F148" s="500">
        <v>700</v>
      </c>
      <c r="G148" s="485"/>
      <c r="H148" s="483">
        <v>700</v>
      </c>
      <c r="I148" s="1774"/>
      <c r="J148" s="1818" t="s">
        <v>868</v>
      </c>
      <c r="K148" s="1818"/>
    </row>
    <row r="149" spans="1:11" ht="21.75" hidden="1" customHeight="1" x14ac:dyDescent="0.2">
      <c r="A149" s="1763"/>
      <c r="B149" s="1857"/>
      <c r="C149" s="1858"/>
      <c r="D149" s="166"/>
      <c r="E149" s="166"/>
      <c r="F149" s="500">
        <v>33491</v>
      </c>
      <c r="G149" s="485"/>
      <c r="H149" s="483"/>
      <c r="I149" s="1774"/>
      <c r="J149" s="1818" t="s">
        <v>869</v>
      </c>
      <c r="K149" s="1818"/>
    </row>
    <row r="150" spans="1:11" ht="21" hidden="1" customHeight="1" x14ac:dyDescent="0.2">
      <c r="A150" s="1763"/>
      <c r="B150" s="1857"/>
      <c r="C150" s="1858"/>
      <c r="D150" s="166"/>
      <c r="E150" s="166"/>
      <c r="F150" s="500">
        <v>7539.54</v>
      </c>
      <c r="G150" s="485"/>
      <c r="H150" s="483"/>
      <c r="I150" s="1774"/>
      <c r="J150" s="1818" t="s">
        <v>870</v>
      </c>
      <c r="K150" s="1818"/>
    </row>
    <row r="151" spans="1:11" ht="12" hidden="1" customHeight="1" x14ac:dyDescent="0.2">
      <c r="A151" s="1763"/>
      <c r="B151" s="1857"/>
      <c r="C151" s="1858"/>
      <c r="D151" s="483"/>
      <c r="E151" s="483"/>
      <c r="F151" s="253"/>
      <c r="G151" s="485"/>
      <c r="H151" s="483"/>
      <c r="I151" s="1774"/>
      <c r="J151" s="1801" t="s">
        <v>871</v>
      </c>
      <c r="K151" s="1756"/>
    </row>
    <row r="152" spans="1:11" ht="39" hidden="1" customHeight="1" x14ac:dyDescent="0.2">
      <c r="A152" s="1763"/>
      <c r="B152" s="1857"/>
      <c r="C152" s="1858"/>
      <c r="D152" s="483"/>
      <c r="E152" s="483"/>
      <c r="F152" s="431">
        <v>22820.6</v>
      </c>
      <c r="G152" s="485"/>
      <c r="H152" s="483"/>
      <c r="I152" s="1774"/>
      <c r="J152" s="1754" t="s">
        <v>872</v>
      </c>
      <c r="K152" s="1754"/>
    </row>
    <row r="153" spans="1:11" ht="21" hidden="1" customHeight="1" x14ac:dyDescent="0.2">
      <c r="A153" s="1763"/>
      <c r="B153" s="1857"/>
      <c r="C153" s="1858"/>
      <c r="D153" s="483"/>
      <c r="E153" s="483"/>
      <c r="F153" s="431"/>
      <c r="G153" s="485"/>
      <c r="H153" s="483"/>
      <c r="I153" s="1774"/>
      <c r="J153" s="1801" t="s">
        <v>873</v>
      </c>
      <c r="K153" s="1801"/>
    </row>
    <row r="154" spans="1:11" ht="21" hidden="1" customHeight="1" x14ac:dyDescent="0.2">
      <c r="A154" s="1763"/>
      <c r="B154" s="1857"/>
      <c r="C154" s="1858"/>
      <c r="D154" s="483"/>
      <c r="E154" s="483"/>
      <c r="F154" s="431">
        <v>4198.7</v>
      </c>
      <c r="G154" s="485"/>
      <c r="H154" s="483">
        <v>4199</v>
      </c>
      <c r="I154" s="1774"/>
      <c r="J154" s="1802" t="s">
        <v>874</v>
      </c>
      <c r="K154" s="1802"/>
    </row>
    <row r="155" spans="1:11" ht="21" hidden="1" customHeight="1" x14ac:dyDescent="0.2">
      <c r="A155" s="1763"/>
      <c r="B155" s="1857"/>
      <c r="C155" s="1858"/>
      <c r="D155" s="483"/>
      <c r="E155" s="483"/>
      <c r="F155" s="431">
        <v>5190.8999999999996</v>
      </c>
      <c r="G155" s="485"/>
      <c r="H155" s="483">
        <v>5191</v>
      </c>
      <c r="I155" s="1774"/>
      <c r="J155" s="1796" t="s">
        <v>875</v>
      </c>
      <c r="K155" s="1796"/>
    </row>
    <row r="156" spans="1:11" ht="21" hidden="1" customHeight="1" x14ac:dyDescent="0.2">
      <c r="A156" s="1763"/>
      <c r="B156" s="1857"/>
      <c r="C156" s="1858"/>
      <c r="D156" s="483"/>
      <c r="E156" s="483"/>
      <c r="F156" s="431">
        <v>1167.6500000000001</v>
      </c>
      <c r="G156" s="485"/>
      <c r="H156" s="483">
        <v>1168</v>
      </c>
      <c r="I156" s="1774"/>
      <c r="J156" s="1802" t="s">
        <v>876</v>
      </c>
      <c r="K156" s="1802"/>
    </row>
    <row r="157" spans="1:11" ht="21" hidden="1" customHeight="1" x14ac:dyDescent="0.2">
      <c r="A157" s="1763"/>
      <c r="B157" s="1857"/>
      <c r="C157" s="1858"/>
      <c r="D157" s="483"/>
      <c r="E157" s="483"/>
      <c r="F157" s="431">
        <v>3035.89</v>
      </c>
      <c r="G157" s="485"/>
      <c r="H157" s="483">
        <v>3036</v>
      </c>
      <c r="I157" s="1774"/>
      <c r="J157" s="1802" t="s">
        <v>877</v>
      </c>
      <c r="K157" s="1802"/>
    </row>
    <row r="158" spans="1:11" ht="21" hidden="1" customHeight="1" x14ac:dyDescent="0.2">
      <c r="A158" s="1763"/>
      <c r="B158" s="1857"/>
      <c r="C158" s="1858"/>
      <c r="D158" s="483"/>
      <c r="E158" s="483"/>
      <c r="F158" s="431">
        <v>5602.3</v>
      </c>
      <c r="G158" s="485"/>
      <c r="H158" s="483">
        <v>5602</v>
      </c>
      <c r="I158" s="1774"/>
      <c r="J158" s="1796" t="s">
        <v>878</v>
      </c>
      <c r="K158" s="1796"/>
    </row>
    <row r="159" spans="1:11" hidden="1" x14ac:dyDescent="0.2">
      <c r="A159" s="1763"/>
      <c r="B159" s="1857"/>
      <c r="C159" s="1858"/>
      <c r="D159" s="483"/>
      <c r="E159" s="483"/>
      <c r="F159" s="431">
        <v>13380.18</v>
      </c>
      <c r="G159" s="485"/>
      <c r="H159" s="483">
        <v>13380</v>
      </c>
      <c r="I159" s="1774"/>
      <c r="J159" s="1796" t="s">
        <v>879</v>
      </c>
      <c r="K159" s="1796"/>
    </row>
    <row r="160" spans="1:11" ht="21" hidden="1" customHeight="1" x14ac:dyDescent="0.2">
      <c r="A160" s="1779"/>
      <c r="B160" s="1859"/>
      <c r="C160" s="1860"/>
      <c r="D160" s="483"/>
      <c r="E160" s="483"/>
      <c r="F160" s="431">
        <v>1897.28</v>
      </c>
      <c r="G160" s="485"/>
      <c r="H160" s="483">
        <v>1897</v>
      </c>
      <c r="I160" s="1675"/>
      <c r="J160" s="1796" t="s">
        <v>880</v>
      </c>
      <c r="K160" s="1796"/>
    </row>
    <row r="161" spans="1:15" x14ac:dyDescent="0.2">
      <c r="A161" s="1506"/>
      <c r="B161" s="1506"/>
      <c r="C161" s="1506"/>
      <c r="D161" s="1506"/>
      <c r="E161" s="1506"/>
      <c r="F161" s="1506"/>
      <c r="G161" s="1507"/>
      <c r="H161" s="1506"/>
      <c r="I161" s="1506"/>
      <c r="J161" s="1854"/>
      <c r="K161" s="1854"/>
    </row>
    <row r="162" spans="1:15" x14ac:dyDescent="0.2">
      <c r="A162" s="1771" t="s">
        <v>129</v>
      </c>
      <c r="B162" s="1771"/>
      <c r="C162" s="447" t="s">
        <v>224</v>
      </c>
      <c r="D162" s="447"/>
      <c r="E162" s="447"/>
      <c r="F162" s="447"/>
      <c r="G162" s="448"/>
      <c r="H162" s="447"/>
      <c r="I162" s="447"/>
      <c r="J162" s="447"/>
      <c r="K162" s="447"/>
    </row>
    <row r="163" spans="1:15" x14ac:dyDescent="0.2">
      <c r="A163" s="1771" t="s">
        <v>131</v>
      </c>
      <c r="B163" s="1771"/>
      <c r="C163" s="450" t="s">
        <v>225</v>
      </c>
      <c r="D163" s="451"/>
      <c r="E163" s="451"/>
      <c r="F163" s="451"/>
      <c r="G163" s="452"/>
      <c r="H163" s="451"/>
      <c r="I163" s="451"/>
      <c r="J163" s="451"/>
      <c r="K163" s="451"/>
    </row>
    <row r="164" spans="1:15" ht="48" x14ac:dyDescent="0.2">
      <c r="A164" s="426" t="s">
        <v>4</v>
      </c>
      <c r="B164" s="1760" t="s">
        <v>133</v>
      </c>
      <c r="C164" s="1760"/>
      <c r="D164" s="426" t="s">
        <v>17</v>
      </c>
      <c r="E164" s="426" t="s">
        <v>15</v>
      </c>
      <c r="F164" s="426" t="s">
        <v>134</v>
      </c>
      <c r="G164" s="426" t="s">
        <v>135</v>
      </c>
      <c r="H164" s="1438" t="s">
        <v>3510</v>
      </c>
      <c r="I164" s="426" t="s">
        <v>14</v>
      </c>
      <c r="J164" s="1760" t="s">
        <v>137</v>
      </c>
      <c r="K164" s="1760"/>
    </row>
    <row r="165" spans="1:15" x14ac:dyDescent="0.2">
      <c r="A165" s="1761" t="s">
        <v>138</v>
      </c>
      <c r="B165" s="1761"/>
      <c r="C165" s="1761"/>
      <c r="D165" s="427">
        <f>SUM(D166:D193)</f>
        <v>109240</v>
      </c>
      <c r="E165" s="427">
        <f>SUM(E166:E193)</f>
        <v>74723.070000000007</v>
      </c>
      <c r="F165" s="163">
        <f>F166+F169</f>
        <v>291868.45200000005</v>
      </c>
      <c r="G165" s="1383"/>
      <c r="H165" s="163">
        <f>SUM(H166)</f>
        <v>46618</v>
      </c>
      <c r="I165" s="188"/>
      <c r="J165" s="1853"/>
      <c r="K165" s="1853"/>
    </row>
    <row r="166" spans="1:15" x14ac:dyDescent="0.2">
      <c r="A166" s="470">
        <v>1</v>
      </c>
      <c r="B166" s="1645" t="s">
        <v>3518</v>
      </c>
      <c r="C166" s="1645"/>
      <c r="D166" s="166">
        <v>109240</v>
      </c>
      <c r="E166" s="166">
        <f>47759.69+11979+10984.38+4000</f>
        <v>74723.070000000007</v>
      </c>
      <c r="F166" s="253">
        <f>SUM(F167:F193)</f>
        <v>291868.45200000005</v>
      </c>
      <c r="G166" s="497" t="s">
        <v>30</v>
      </c>
      <c r="H166" s="166">
        <f>SUM(H167:H193)</f>
        <v>46618</v>
      </c>
      <c r="I166" s="1426" t="s">
        <v>863</v>
      </c>
      <c r="J166" s="1853"/>
      <c r="K166" s="1853"/>
    </row>
    <row r="167" spans="1:15" ht="26.25" hidden="1" customHeight="1" x14ac:dyDescent="0.2">
      <c r="A167" s="1773"/>
      <c r="B167" s="1848"/>
      <c r="C167" s="1848"/>
      <c r="D167" s="166"/>
      <c r="E167" s="166"/>
      <c r="F167" s="431">
        <v>98030</v>
      </c>
      <c r="G167" s="438"/>
      <c r="H167" s="166"/>
      <c r="I167" s="1648"/>
      <c r="J167" s="1818" t="s">
        <v>881</v>
      </c>
      <c r="K167" s="1818"/>
    </row>
    <row r="168" spans="1:15" ht="28.5" hidden="1" customHeight="1" x14ac:dyDescent="0.2">
      <c r="A168" s="1773"/>
      <c r="B168" s="1848"/>
      <c r="C168" s="1848"/>
      <c r="D168" s="166"/>
      <c r="E168" s="166"/>
      <c r="F168" s="431">
        <v>4517</v>
      </c>
      <c r="G168" s="438"/>
      <c r="H168" s="166"/>
      <c r="I168" s="1648"/>
      <c r="J168" s="1818" t="s">
        <v>882</v>
      </c>
      <c r="K168" s="1818"/>
      <c r="O168" s="501"/>
    </row>
    <row r="169" spans="1:15" ht="12.75" hidden="1" customHeight="1" x14ac:dyDescent="0.2">
      <c r="A169" s="1773"/>
      <c r="B169" s="1848"/>
      <c r="C169" s="1848"/>
      <c r="D169" s="166"/>
      <c r="E169" s="166"/>
      <c r="F169" s="431"/>
      <c r="G169" s="438"/>
      <c r="H169" s="166"/>
      <c r="I169" s="1648"/>
      <c r="J169" s="1801" t="s">
        <v>883</v>
      </c>
      <c r="K169" s="1756"/>
    </row>
    <row r="170" spans="1:15" ht="24" hidden="1" customHeight="1" x14ac:dyDescent="0.2">
      <c r="A170" s="1773"/>
      <c r="B170" s="1848"/>
      <c r="C170" s="1848"/>
      <c r="D170" s="166"/>
      <c r="E170" s="166"/>
      <c r="F170" s="431">
        <v>4356</v>
      </c>
      <c r="G170" s="438"/>
      <c r="H170" s="166"/>
      <c r="I170" s="1648"/>
      <c r="J170" s="1849" t="s">
        <v>884</v>
      </c>
      <c r="K170" s="1849"/>
    </row>
    <row r="171" spans="1:15" ht="22.5" hidden="1" customHeight="1" x14ac:dyDescent="0.2">
      <c r="A171" s="1773"/>
      <c r="B171" s="1848"/>
      <c r="C171" s="1848"/>
      <c r="D171" s="166"/>
      <c r="E171" s="166"/>
      <c r="F171" s="431">
        <v>1476.2</v>
      </c>
      <c r="G171" s="438"/>
      <c r="H171" s="166">
        <v>1476</v>
      </c>
      <c r="I171" s="1648"/>
      <c r="J171" s="1849" t="s">
        <v>885</v>
      </c>
      <c r="K171" s="1849"/>
    </row>
    <row r="172" spans="1:15" hidden="1" x14ac:dyDescent="0.2">
      <c r="A172" s="1773"/>
      <c r="B172" s="1848"/>
      <c r="C172" s="1848"/>
      <c r="D172" s="166"/>
      <c r="E172" s="166"/>
      <c r="F172" s="431">
        <v>968</v>
      </c>
      <c r="G172" s="438"/>
      <c r="H172" s="166">
        <v>968</v>
      </c>
      <c r="I172" s="1648"/>
      <c r="J172" s="1796" t="s">
        <v>886</v>
      </c>
      <c r="K172" s="1796"/>
    </row>
    <row r="173" spans="1:15" hidden="1" x14ac:dyDescent="0.2">
      <c r="A173" s="1773"/>
      <c r="B173" s="1848"/>
      <c r="C173" s="1848"/>
      <c r="D173" s="166"/>
      <c r="E173" s="166"/>
      <c r="F173" s="431">
        <v>3487.2</v>
      </c>
      <c r="G173" s="438"/>
      <c r="H173" s="166">
        <v>3487</v>
      </c>
      <c r="I173" s="1648"/>
      <c r="J173" s="1796" t="s">
        <v>887</v>
      </c>
      <c r="K173" s="1796"/>
    </row>
    <row r="174" spans="1:15" hidden="1" x14ac:dyDescent="0.2">
      <c r="A174" s="1773"/>
      <c r="B174" s="1848"/>
      <c r="C174" s="1848"/>
      <c r="D174" s="166"/>
      <c r="E174" s="166"/>
      <c r="F174" s="431">
        <v>877.49199999999996</v>
      </c>
      <c r="G174" s="438"/>
      <c r="H174" s="166">
        <v>878</v>
      </c>
      <c r="I174" s="1648"/>
      <c r="J174" s="1852" t="s">
        <v>888</v>
      </c>
      <c r="K174" s="1852"/>
    </row>
    <row r="175" spans="1:15" hidden="1" x14ac:dyDescent="0.2">
      <c r="A175" s="1773"/>
      <c r="B175" s="1848"/>
      <c r="C175" s="1848"/>
      <c r="D175" s="166"/>
      <c r="E175" s="166"/>
      <c r="F175" s="431">
        <v>6860.7</v>
      </c>
      <c r="G175" s="438"/>
      <c r="H175" s="166"/>
      <c r="I175" s="1648"/>
      <c r="J175" s="1847" t="s">
        <v>889</v>
      </c>
      <c r="K175" s="1847"/>
    </row>
    <row r="176" spans="1:15" hidden="1" x14ac:dyDescent="0.2">
      <c r="A176" s="1773"/>
      <c r="B176" s="1848"/>
      <c r="C176" s="1848"/>
      <c r="D176" s="166"/>
      <c r="E176" s="166"/>
      <c r="F176" s="431">
        <v>3430.35</v>
      </c>
      <c r="G176" s="438"/>
      <c r="H176" s="166"/>
      <c r="I176" s="1648"/>
      <c r="J176" s="1847" t="s">
        <v>890</v>
      </c>
      <c r="K176" s="1847"/>
    </row>
    <row r="177" spans="1:11" hidden="1" x14ac:dyDescent="0.2">
      <c r="A177" s="1773"/>
      <c r="B177" s="1848"/>
      <c r="C177" s="1848"/>
      <c r="D177" s="166"/>
      <c r="E177" s="166"/>
      <c r="F177" s="431">
        <v>1334.0250000000001</v>
      </c>
      <c r="G177" s="438"/>
      <c r="H177" s="166"/>
      <c r="I177" s="1648"/>
      <c r="J177" s="1847" t="s">
        <v>891</v>
      </c>
      <c r="K177" s="1847"/>
    </row>
    <row r="178" spans="1:11" hidden="1" x14ac:dyDescent="0.2">
      <c r="A178" s="1773"/>
      <c r="B178" s="1848"/>
      <c r="C178" s="1848"/>
      <c r="D178" s="166"/>
      <c r="E178" s="166"/>
      <c r="F178" s="431">
        <v>686.07</v>
      </c>
      <c r="G178" s="438"/>
      <c r="H178" s="166"/>
      <c r="I178" s="1648"/>
      <c r="J178" s="1847" t="s">
        <v>892</v>
      </c>
      <c r="K178" s="1847"/>
    </row>
    <row r="179" spans="1:11" ht="47.25" hidden="1" customHeight="1" x14ac:dyDescent="0.2">
      <c r="A179" s="1773"/>
      <c r="B179" s="1848"/>
      <c r="C179" s="1848"/>
      <c r="D179" s="166"/>
      <c r="E179" s="166"/>
      <c r="F179" s="431">
        <v>11979</v>
      </c>
      <c r="G179" s="438"/>
      <c r="H179" s="166">
        <v>11979</v>
      </c>
      <c r="I179" s="1648"/>
      <c r="J179" s="1847" t="s">
        <v>893</v>
      </c>
      <c r="K179" s="1847"/>
    </row>
    <row r="180" spans="1:11" hidden="1" x14ac:dyDescent="0.2">
      <c r="A180" s="1773"/>
      <c r="B180" s="1848"/>
      <c r="C180" s="1848"/>
      <c r="D180" s="166"/>
      <c r="E180" s="166"/>
      <c r="F180" s="431">
        <v>8423.4150000000009</v>
      </c>
      <c r="G180" s="438"/>
      <c r="H180" s="166"/>
      <c r="I180" s="1648"/>
      <c r="J180" s="1847" t="s">
        <v>894</v>
      </c>
      <c r="K180" s="1847"/>
    </row>
    <row r="181" spans="1:11" hidden="1" x14ac:dyDescent="0.2">
      <c r="A181" s="1773"/>
      <c r="B181" s="1848"/>
      <c r="C181" s="1848"/>
      <c r="D181" s="166"/>
      <c r="E181" s="166"/>
      <c r="F181" s="166"/>
      <c r="G181" s="438"/>
      <c r="H181" s="166"/>
      <c r="I181" s="1648"/>
      <c r="J181" s="1814" t="s">
        <v>895</v>
      </c>
      <c r="K181" s="1850"/>
    </row>
    <row r="182" spans="1:11" ht="22.5" hidden="1" customHeight="1" x14ac:dyDescent="0.2">
      <c r="A182" s="1773"/>
      <c r="B182" s="1848"/>
      <c r="C182" s="1848"/>
      <c r="D182" s="166"/>
      <c r="E182" s="166"/>
      <c r="F182" s="431">
        <v>11496</v>
      </c>
      <c r="G182" s="438"/>
      <c r="H182" s="166"/>
      <c r="I182" s="1648"/>
      <c r="J182" s="1851" t="s">
        <v>896</v>
      </c>
      <c r="K182" s="1851"/>
    </row>
    <row r="183" spans="1:11" ht="36" hidden="1" customHeight="1" x14ac:dyDescent="0.2">
      <c r="A183" s="1773"/>
      <c r="B183" s="1848"/>
      <c r="C183" s="1848"/>
      <c r="D183" s="166"/>
      <c r="E183" s="166"/>
      <c r="F183" s="431">
        <v>6050</v>
      </c>
      <c r="G183" s="438"/>
      <c r="H183" s="166">
        <v>6050</v>
      </c>
      <c r="I183" s="1648"/>
      <c r="J183" s="1809" t="s">
        <v>897</v>
      </c>
      <c r="K183" s="1809"/>
    </row>
    <row r="184" spans="1:11" hidden="1" x14ac:dyDescent="0.2">
      <c r="A184" s="1773"/>
      <c r="B184" s="1848"/>
      <c r="C184" s="1848"/>
      <c r="D184" s="166"/>
      <c r="E184" s="166"/>
      <c r="F184" s="431">
        <v>10890</v>
      </c>
      <c r="G184" s="438"/>
      <c r="H184" s="166"/>
      <c r="I184" s="1648"/>
      <c r="J184" s="1809" t="s">
        <v>898</v>
      </c>
      <c r="K184" s="1809"/>
    </row>
    <row r="185" spans="1:11" ht="23.25" hidden="1" customHeight="1" x14ac:dyDescent="0.2">
      <c r="A185" s="1773"/>
      <c r="B185" s="1848"/>
      <c r="C185" s="1848"/>
      <c r="D185" s="166"/>
      <c r="E185" s="166"/>
      <c r="F185" s="431">
        <v>1815</v>
      </c>
      <c r="G185" s="438"/>
      <c r="H185" s="166"/>
      <c r="I185" s="1648"/>
      <c r="J185" s="1809" t="s">
        <v>899</v>
      </c>
      <c r="K185" s="1809"/>
    </row>
    <row r="186" spans="1:11" ht="48" hidden="1" customHeight="1" x14ac:dyDescent="0.2">
      <c r="A186" s="1773"/>
      <c r="B186" s="1848"/>
      <c r="C186" s="1848"/>
      <c r="D186" s="166"/>
      <c r="E186" s="166"/>
      <c r="F186" s="431">
        <v>18150</v>
      </c>
      <c r="G186" s="438"/>
      <c r="H186" s="166"/>
      <c r="I186" s="1648"/>
      <c r="J186" s="1809" t="s">
        <v>900</v>
      </c>
      <c r="K186" s="1809"/>
    </row>
    <row r="187" spans="1:11" ht="44.25" hidden="1" customHeight="1" x14ac:dyDescent="0.2">
      <c r="A187" s="1773"/>
      <c r="B187" s="1848"/>
      <c r="C187" s="1848"/>
      <c r="D187" s="166"/>
      <c r="E187" s="166"/>
      <c r="F187" s="431">
        <v>1573</v>
      </c>
      <c r="G187" s="438"/>
      <c r="H187" s="166"/>
      <c r="I187" s="1648"/>
      <c r="J187" s="1809" t="s">
        <v>901</v>
      </c>
      <c r="K187" s="1809"/>
    </row>
    <row r="188" spans="1:11" hidden="1" x14ac:dyDescent="0.2">
      <c r="A188" s="1773"/>
      <c r="B188" s="1848"/>
      <c r="C188" s="1848"/>
      <c r="D188" s="166"/>
      <c r="E188" s="166"/>
      <c r="F188" s="166"/>
      <c r="G188" s="438"/>
      <c r="H188" s="166"/>
      <c r="I188" s="1648"/>
      <c r="J188" s="1814" t="s">
        <v>902</v>
      </c>
      <c r="K188" s="1814"/>
    </row>
    <row r="189" spans="1:11" hidden="1" x14ac:dyDescent="0.2">
      <c r="A189" s="1773"/>
      <c r="B189" s="1848"/>
      <c r="C189" s="1848"/>
      <c r="D189" s="166"/>
      <c r="E189" s="166"/>
      <c r="F189" s="431">
        <v>11616</v>
      </c>
      <c r="G189" s="438"/>
      <c r="H189" s="166"/>
      <c r="I189" s="1648"/>
      <c r="J189" s="1847" t="s">
        <v>888</v>
      </c>
      <c r="K189" s="1847"/>
    </row>
    <row r="190" spans="1:11" ht="21" hidden="1" customHeight="1" x14ac:dyDescent="0.2">
      <c r="A190" s="1773"/>
      <c r="B190" s="1848"/>
      <c r="C190" s="1848"/>
      <c r="D190" s="166"/>
      <c r="E190" s="166"/>
      <c r="F190" s="431">
        <v>7260</v>
      </c>
      <c r="G190" s="438"/>
      <c r="H190" s="166">
        <v>7260</v>
      </c>
      <c r="I190" s="1648"/>
      <c r="J190" s="1847" t="s">
        <v>903</v>
      </c>
      <c r="K190" s="1847"/>
    </row>
    <row r="191" spans="1:11" hidden="1" x14ac:dyDescent="0.2">
      <c r="A191" s="1773"/>
      <c r="B191" s="1848"/>
      <c r="C191" s="1848"/>
      <c r="D191" s="166"/>
      <c r="E191" s="166"/>
      <c r="F191" s="431">
        <v>14520</v>
      </c>
      <c r="G191" s="438"/>
      <c r="H191" s="166">
        <v>14520</v>
      </c>
      <c r="I191" s="1648"/>
      <c r="J191" s="1847" t="s">
        <v>904</v>
      </c>
      <c r="K191" s="1847"/>
    </row>
    <row r="192" spans="1:11" hidden="1" x14ac:dyDescent="0.2">
      <c r="A192" s="1773"/>
      <c r="B192" s="1848"/>
      <c r="C192" s="1848"/>
      <c r="D192" s="166"/>
      <c r="E192" s="166"/>
      <c r="F192" s="431">
        <v>54450</v>
      </c>
      <c r="G192" s="438"/>
      <c r="H192" s="166"/>
      <c r="I192" s="1648"/>
      <c r="J192" s="1847" t="s">
        <v>905</v>
      </c>
      <c r="K192" s="1847"/>
    </row>
    <row r="193" spans="1:13" hidden="1" x14ac:dyDescent="0.2">
      <c r="A193" s="1773"/>
      <c r="B193" s="1848"/>
      <c r="C193" s="1848"/>
      <c r="D193" s="166"/>
      <c r="E193" s="166"/>
      <c r="F193" s="431">
        <v>7623</v>
      </c>
      <c r="G193" s="438"/>
      <c r="H193" s="166"/>
      <c r="I193" s="1648"/>
      <c r="J193" s="1847" t="s">
        <v>906</v>
      </c>
      <c r="K193" s="1847"/>
    </row>
    <row r="194" spans="1:13" ht="37.5" customHeight="1" x14ac:dyDescent="0.2">
      <c r="A194" s="498"/>
      <c r="B194" s="502"/>
      <c r="C194" s="502"/>
      <c r="D194" s="478"/>
      <c r="E194" s="478"/>
      <c r="F194" s="478"/>
      <c r="G194" s="477"/>
      <c r="H194" s="478"/>
      <c r="I194" s="265"/>
      <c r="J194" s="479"/>
      <c r="K194" s="479"/>
    </row>
    <row r="195" spans="1:13" x14ac:dyDescent="0.2">
      <c r="A195" s="1771" t="s">
        <v>129</v>
      </c>
      <c r="B195" s="1771"/>
      <c r="C195" s="447" t="s">
        <v>236</v>
      </c>
      <c r="D195" s="447"/>
      <c r="E195" s="447"/>
      <c r="F195" s="447"/>
      <c r="G195" s="448"/>
      <c r="H195" s="503"/>
      <c r="I195" s="503"/>
      <c r="J195" s="503"/>
      <c r="K195" s="503"/>
    </row>
    <row r="196" spans="1:13" x14ac:dyDescent="0.2">
      <c r="A196" s="1771" t="s">
        <v>131</v>
      </c>
      <c r="B196" s="1771"/>
      <c r="C196" s="450" t="s">
        <v>237</v>
      </c>
      <c r="D196" s="451"/>
      <c r="E196" s="451"/>
      <c r="F196" s="451"/>
      <c r="G196" s="452"/>
      <c r="H196" s="451"/>
      <c r="I196" s="451"/>
      <c r="J196" s="451"/>
      <c r="K196" s="451"/>
    </row>
    <row r="197" spans="1:13" ht="48" x14ac:dyDescent="0.2">
      <c r="A197" s="426" t="s">
        <v>4</v>
      </c>
      <c r="B197" s="1760" t="s">
        <v>133</v>
      </c>
      <c r="C197" s="1760"/>
      <c r="D197" s="426" t="s">
        <v>17</v>
      </c>
      <c r="E197" s="426" t="s">
        <v>15</v>
      </c>
      <c r="F197" s="426" t="s">
        <v>134</v>
      </c>
      <c r="G197" s="426" t="s">
        <v>135</v>
      </c>
      <c r="H197" s="1438" t="s">
        <v>3510</v>
      </c>
      <c r="I197" s="426" t="s">
        <v>14</v>
      </c>
      <c r="J197" s="1760" t="s">
        <v>137</v>
      </c>
      <c r="K197" s="1760"/>
      <c r="L197" s="504"/>
      <c r="M197" s="504"/>
    </row>
    <row r="198" spans="1:13" x14ac:dyDescent="0.2">
      <c r="A198" s="1761" t="s">
        <v>138</v>
      </c>
      <c r="B198" s="1761"/>
      <c r="C198" s="1761"/>
      <c r="D198" s="427">
        <f>SUM(D199,D203,D206,D210,D227,D241,D268,D269,D278,D293,D298,D323,D205)</f>
        <v>261322</v>
      </c>
      <c r="E198" s="427">
        <f>SUM(E199,E203,E206,E210,E227,E241,E268,E269,E278,E293,E298,E323,E205)</f>
        <v>169405.53</v>
      </c>
      <c r="F198" s="494">
        <f>SUM(F199,F203,F206,F210,F227,F241,F268,F269,F278,F293,F298,F323,F205)</f>
        <v>1363672.7389999998</v>
      </c>
      <c r="G198" s="429"/>
      <c r="H198" s="427">
        <f>SUM(H199,H203,H206,H210,H227,H241,H268,H269,H278,H293,H298,H323,H205)</f>
        <v>280370</v>
      </c>
      <c r="I198" s="188"/>
      <c r="J198" s="1759"/>
      <c r="K198" s="1759"/>
      <c r="L198" s="505"/>
      <c r="M198" s="505"/>
    </row>
    <row r="199" spans="1:13" x14ac:dyDescent="0.2">
      <c r="A199" s="1760">
        <v>1</v>
      </c>
      <c r="B199" s="1822" t="s">
        <v>238</v>
      </c>
      <c r="C199" s="1822"/>
      <c r="D199" s="166">
        <v>52937</v>
      </c>
      <c r="E199" s="252">
        <v>17304.580000000002</v>
      </c>
      <c r="F199" s="1381">
        <f>SUM(F200:F202)</f>
        <v>157641.29999999999</v>
      </c>
      <c r="G199" s="186">
        <v>2241</v>
      </c>
      <c r="H199" s="252">
        <f>SUM(H200:H202)</f>
        <v>25641</v>
      </c>
      <c r="I199" s="1739" t="s">
        <v>907</v>
      </c>
      <c r="J199" s="1780"/>
      <c r="K199" s="1781"/>
    </row>
    <row r="200" spans="1:13" ht="12" hidden="1" customHeight="1" x14ac:dyDescent="0.2">
      <c r="A200" s="1760"/>
      <c r="B200" s="1822"/>
      <c r="C200" s="1822"/>
      <c r="D200" s="166"/>
      <c r="E200" s="252"/>
      <c r="F200" s="506">
        <v>57000</v>
      </c>
      <c r="G200" s="438"/>
      <c r="H200" s="252">
        <v>25000</v>
      </c>
      <c r="I200" s="1740"/>
      <c r="J200" s="1759" t="s">
        <v>908</v>
      </c>
      <c r="K200" s="1759"/>
    </row>
    <row r="201" spans="1:13" ht="12" hidden="1" customHeight="1" x14ac:dyDescent="0.2">
      <c r="A201" s="1760"/>
      <c r="B201" s="1822"/>
      <c r="C201" s="1822"/>
      <c r="D201" s="166"/>
      <c r="E201" s="252"/>
      <c r="F201" s="506">
        <v>641.29999999999995</v>
      </c>
      <c r="G201" s="438"/>
      <c r="H201" s="252">
        <v>641</v>
      </c>
      <c r="I201" s="1740"/>
      <c r="J201" s="1759" t="s">
        <v>909</v>
      </c>
      <c r="K201" s="1759"/>
    </row>
    <row r="202" spans="1:13" ht="15.75" hidden="1" customHeight="1" x14ac:dyDescent="0.2">
      <c r="A202" s="1760"/>
      <c r="B202" s="1822"/>
      <c r="C202" s="1822"/>
      <c r="D202" s="166"/>
      <c r="E202" s="252"/>
      <c r="F202" s="506">
        <v>100000</v>
      </c>
      <c r="G202" s="438"/>
      <c r="H202" s="252"/>
      <c r="I202" s="1740"/>
      <c r="J202" s="1759" t="s">
        <v>910</v>
      </c>
      <c r="K202" s="1759"/>
    </row>
    <row r="203" spans="1:13" ht="12" hidden="1" customHeight="1" x14ac:dyDescent="0.2">
      <c r="A203" s="1760">
        <v>2</v>
      </c>
      <c r="B203" s="1822" t="s">
        <v>911</v>
      </c>
      <c r="C203" s="1822"/>
      <c r="D203" s="166">
        <v>9000</v>
      </c>
      <c r="E203" s="166">
        <v>0</v>
      </c>
      <c r="F203" s="253">
        <f>SUM(F204)</f>
        <v>0</v>
      </c>
      <c r="G203" s="1180">
        <v>5250</v>
      </c>
      <c r="H203" s="252">
        <f>SUM(H204)</f>
        <v>0</v>
      </c>
      <c r="I203" s="1740"/>
      <c r="J203" s="1780"/>
      <c r="K203" s="1781"/>
    </row>
    <row r="204" spans="1:13" ht="12" hidden="1" customHeight="1" x14ac:dyDescent="0.2">
      <c r="A204" s="1760"/>
      <c r="B204" s="1822"/>
      <c r="C204" s="1822"/>
      <c r="D204" s="166"/>
      <c r="E204" s="252"/>
      <c r="F204" s="465"/>
      <c r="G204" s="438"/>
      <c r="H204" s="252"/>
      <c r="I204" s="1740"/>
      <c r="J204" s="1843"/>
      <c r="K204" s="1844"/>
    </row>
    <row r="205" spans="1:13" ht="23.25" customHeight="1" x14ac:dyDescent="0.2">
      <c r="A205" s="426">
        <v>2</v>
      </c>
      <c r="B205" s="1757" t="s">
        <v>912</v>
      </c>
      <c r="C205" s="1758"/>
      <c r="D205" s="166"/>
      <c r="E205" s="252"/>
      <c r="F205" s="465">
        <v>30000</v>
      </c>
      <c r="G205" s="1180">
        <v>5250</v>
      </c>
      <c r="H205" s="252">
        <v>30000</v>
      </c>
      <c r="I205" s="1740"/>
      <c r="J205" s="1845" t="s">
        <v>913</v>
      </c>
      <c r="K205" s="1846"/>
    </row>
    <row r="206" spans="1:13" ht="12" hidden="1" customHeight="1" x14ac:dyDescent="0.2">
      <c r="A206" s="1760">
        <v>4</v>
      </c>
      <c r="B206" s="1645" t="s">
        <v>914</v>
      </c>
      <c r="C206" s="1645"/>
      <c r="D206" s="166">
        <v>14330</v>
      </c>
      <c r="E206" s="166">
        <v>14077.68</v>
      </c>
      <c r="F206" s="253">
        <f>SUM(F207:F209)</f>
        <v>9834.880000000001</v>
      </c>
      <c r="G206" s="1180">
        <v>2241</v>
      </c>
      <c r="H206" s="252">
        <f>SUM(H207:H209)</f>
        <v>0</v>
      </c>
      <c r="I206" s="1740"/>
      <c r="J206" s="437"/>
      <c r="K206" s="437"/>
    </row>
    <row r="207" spans="1:13" ht="12" hidden="1" customHeight="1" x14ac:dyDescent="0.2">
      <c r="A207" s="1760"/>
      <c r="B207" s="1645"/>
      <c r="C207" s="1645"/>
      <c r="D207" s="166"/>
      <c r="E207" s="166"/>
      <c r="F207" s="507"/>
      <c r="G207" s="438"/>
      <c r="H207" s="252"/>
      <c r="I207" s="1740"/>
      <c r="J207" s="1826" t="s">
        <v>915</v>
      </c>
      <c r="K207" s="1826"/>
    </row>
    <row r="208" spans="1:13" ht="21.75" hidden="1" customHeight="1" x14ac:dyDescent="0.2">
      <c r="A208" s="1760"/>
      <c r="B208" s="1645"/>
      <c r="C208" s="1645"/>
      <c r="D208" s="166"/>
      <c r="E208" s="166"/>
      <c r="F208" s="465">
        <v>4530.24</v>
      </c>
      <c r="G208" s="438"/>
      <c r="H208" s="252"/>
      <c r="I208" s="1740"/>
      <c r="J208" s="1802" t="s">
        <v>916</v>
      </c>
      <c r="K208" s="1802"/>
    </row>
    <row r="209" spans="1:11" ht="21.75" hidden="1" customHeight="1" x14ac:dyDescent="0.2">
      <c r="A209" s="1760"/>
      <c r="B209" s="1645"/>
      <c r="C209" s="1645"/>
      <c r="D209" s="166"/>
      <c r="E209" s="166"/>
      <c r="F209" s="465">
        <v>5304.64</v>
      </c>
      <c r="G209" s="438"/>
      <c r="H209" s="252"/>
      <c r="I209" s="1740"/>
      <c r="J209" s="1802" t="s">
        <v>917</v>
      </c>
      <c r="K209" s="1802"/>
    </row>
    <row r="210" spans="1:11" x14ac:dyDescent="0.2">
      <c r="A210" s="1760">
        <v>3</v>
      </c>
      <c r="B210" s="1645" t="s">
        <v>918</v>
      </c>
      <c r="C210" s="1645"/>
      <c r="D210" s="166">
        <v>41421</v>
      </c>
      <c r="E210" s="166">
        <v>23517.93</v>
      </c>
      <c r="F210" s="253">
        <f>SUM(F211:F226)</f>
        <v>103050.93000000001</v>
      </c>
      <c r="G210" s="1180">
        <v>5250</v>
      </c>
      <c r="H210" s="252">
        <f>SUM(H211:H226)</f>
        <v>34518</v>
      </c>
      <c r="I210" s="1740"/>
      <c r="J210" s="1826" t="s">
        <v>919</v>
      </c>
      <c r="K210" s="1827"/>
    </row>
    <row r="211" spans="1:11" ht="12" hidden="1" customHeight="1" x14ac:dyDescent="0.2">
      <c r="A211" s="1760"/>
      <c r="B211" s="1645"/>
      <c r="C211" s="1645"/>
      <c r="D211" s="166"/>
      <c r="E211" s="166"/>
      <c r="F211" s="468">
        <v>6580</v>
      </c>
      <c r="G211" s="438"/>
      <c r="H211" s="428">
        <v>6580</v>
      </c>
      <c r="I211" s="1740"/>
      <c r="J211" s="1759" t="s">
        <v>920</v>
      </c>
      <c r="K211" s="1759"/>
    </row>
    <row r="212" spans="1:11" ht="12" hidden="1" customHeight="1" x14ac:dyDescent="0.2">
      <c r="A212" s="1760"/>
      <c r="B212" s="1645"/>
      <c r="C212" s="1645"/>
      <c r="D212" s="166"/>
      <c r="E212" s="166"/>
      <c r="F212" s="468">
        <v>17902</v>
      </c>
      <c r="G212" s="438"/>
      <c r="H212" s="428">
        <v>17684</v>
      </c>
      <c r="I212" s="1740"/>
      <c r="J212" s="1841" t="s">
        <v>921</v>
      </c>
      <c r="K212" s="1842"/>
    </row>
    <row r="213" spans="1:11" ht="12" hidden="1" customHeight="1" x14ac:dyDescent="0.2">
      <c r="A213" s="1760"/>
      <c r="B213" s="1645"/>
      <c r="C213" s="1645"/>
      <c r="D213" s="166"/>
      <c r="E213" s="166"/>
      <c r="F213" s="468">
        <v>5327.63</v>
      </c>
      <c r="G213" s="438"/>
      <c r="H213" s="428"/>
      <c r="I213" s="1740"/>
      <c r="J213" s="1802" t="s">
        <v>922</v>
      </c>
      <c r="K213" s="1802"/>
    </row>
    <row r="214" spans="1:11" ht="12" hidden="1" customHeight="1" x14ac:dyDescent="0.2">
      <c r="A214" s="1760"/>
      <c r="B214" s="1645"/>
      <c r="C214" s="1645"/>
      <c r="D214" s="166"/>
      <c r="E214" s="166"/>
      <c r="F214" s="468">
        <v>223.85</v>
      </c>
      <c r="G214" s="438"/>
      <c r="H214" s="428"/>
      <c r="I214" s="1740"/>
      <c r="J214" s="1796" t="s">
        <v>923</v>
      </c>
      <c r="K214" s="1796"/>
    </row>
    <row r="215" spans="1:11" ht="12" hidden="1" customHeight="1" x14ac:dyDescent="0.2">
      <c r="A215" s="1760"/>
      <c r="B215" s="1645"/>
      <c r="C215" s="1645"/>
      <c r="D215" s="166"/>
      <c r="E215" s="166"/>
      <c r="F215" s="468">
        <v>4477</v>
      </c>
      <c r="G215" s="438"/>
      <c r="H215" s="428">
        <v>4477</v>
      </c>
      <c r="I215" s="1740"/>
      <c r="J215" s="1796" t="s">
        <v>924</v>
      </c>
      <c r="K215" s="1796"/>
    </row>
    <row r="216" spans="1:11" ht="12" hidden="1" customHeight="1" x14ac:dyDescent="0.2">
      <c r="A216" s="1760"/>
      <c r="B216" s="1645"/>
      <c r="C216" s="1645"/>
      <c r="D216" s="166"/>
      <c r="E216" s="166"/>
      <c r="F216" s="468">
        <v>29145.27</v>
      </c>
      <c r="G216" s="438"/>
      <c r="H216" s="428"/>
      <c r="I216" s="1740"/>
      <c r="J216" s="1796" t="s">
        <v>925</v>
      </c>
      <c r="K216" s="1796"/>
    </row>
    <row r="217" spans="1:11" ht="12" hidden="1" customHeight="1" x14ac:dyDescent="0.2">
      <c r="A217" s="1760"/>
      <c r="B217" s="1645"/>
      <c r="C217" s="1645"/>
      <c r="D217" s="166"/>
      <c r="E217" s="166"/>
      <c r="F217" s="468">
        <v>1119.25</v>
      </c>
      <c r="G217" s="438"/>
      <c r="H217" s="428"/>
      <c r="I217" s="1740"/>
      <c r="J217" s="1796" t="s">
        <v>926</v>
      </c>
      <c r="K217" s="1796"/>
    </row>
    <row r="218" spans="1:11" ht="12" hidden="1" customHeight="1" x14ac:dyDescent="0.2">
      <c r="A218" s="1760"/>
      <c r="B218" s="1645"/>
      <c r="C218" s="1645"/>
      <c r="D218" s="166"/>
      <c r="E218" s="166"/>
      <c r="F218" s="468">
        <v>3146</v>
      </c>
      <c r="G218" s="438"/>
      <c r="H218" s="428"/>
      <c r="I218" s="1740"/>
      <c r="J218" s="1796" t="s">
        <v>927</v>
      </c>
      <c r="K218" s="1796"/>
    </row>
    <row r="219" spans="1:11" ht="12" hidden="1" customHeight="1" x14ac:dyDescent="0.2">
      <c r="A219" s="1760"/>
      <c r="B219" s="1645"/>
      <c r="C219" s="1645"/>
      <c r="D219" s="166"/>
      <c r="E219" s="166"/>
      <c r="F219" s="468">
        <v>5142.5</v>
      </c>
      <c r="G219" s="438"/>
      <c r="H219" s="428"/>
      <c r="I219" s="1740"/>
      <c r="J219" s="1796" t="s">
        <v>928</v>
      </c>
      <c r="K219" s="1796"/>
    </row>
    <row r="220" spans="1:11" ht="12" hidden="1" customHeight="1" x14ac:dyDescent="0.2">
      <c r="A220" s="1760"/>
      <c r="B220" s="1645"/>
      <c r="C220" s="1645"/>
      <c r="D220" s="166"/>
      <c r="E220" s="166"/>
      <c r="F220" s="468">
        <v>10527</v>
      </c>
      <c r="G220" s="438"/>
      <c r="H220" s="428"/>
      <c r="I220" s="1740"/>
      <c r="J220" s="1796" t="s">
        <v>929</v>
      </c>
      <c r="K220" s="1796"/>
    </row>
    <row r="221" spans="1:11" ht="12" hidden="1" customHeight="1" x14ac:dyDescent="0.2">
      <c r="A221" s="1760"/>
      <c r="B221" s="1645"/>
      <c r="C221" s="1645"/>
      <c r="D221" s="166"/>
      <c r="E221" s="166"/>
      <c r="F221" s="468">
        <v>895.4</v>
      </c>
      <c r="G221" s="438"/>
      <c r="H221" s="428">
        <v>896</v>
      </c>
      <c r="I221" s="1740"/>
      <c r="J221" s="1796" t="s">
        <v>930</v>
      </c>
      <c r="K221" s="1796"/>
    </row>
    <row r="222" spans="1:11" ht="12" hidden="1" customHeight="1" x14ac:dyDescent="0.2">
      <c r="A222" s="1760"/>
      <c r="B222" s="1645"/>
      <c r="C222" s="1645"/>
      <c r="D222" s="166"/>
      <c r="E222" s="166"/>
      <c r="F222" s="468">
        <v>13685.1</v>
      </c>
      <c r="G222" s="438"/>
      <c r="H222" s="428"/>
      <c r="I222" s="1740"/>
      <c r="J222" s="1796" t="s">
        <v>931</v>
      </c>
      <c r="K222" s="1796"/>
    </row>
    <row r="223" spans="1:11" ht="12" hidden="1" customHeight="1" x14ac:dyDescent="0.2">
      <c r="A223" s="1760"/>
      <c r="B223" s="1645"/>
      <c r="C223" s="1645"/>
      <c r="D223" s="166"/>
      <c r="E223" s="166"/>
      <c r="F223" s="468">
        <v>2148.96</v>
      </c>
      <c r="G223" s="438"/>
      <c r="H223" s="428">
        <v>2149</v>
      </c>
      <c r="I223" s="1740"/>
      <c r="J223" s="1796" t="s">
        <v>932</v>
      </c>
      <c r="K223" s="1796"/>
    </row>
    <row r="224" spans="1:11" ht="12" hidden="1" customHeight="1" x14ac:dyDescent="0.2">
      <c r="A224" s="1760"/>
      <c r="B224" s="1645"/>
      <c r="C224" s="1645"/>
      <c r="D224" s="166"/>
      <c r="E224" s="166"/>
      <c r="F224" s="468">
        <v>1611.72</v>
      </c>
      <c r="G224" s="438"/>
      <c r="H224" s="428">
        <v>1612</v>
      </c>
      <c r="I224" s="1740"/>
      <c r="J224" s="1796" t="s">
        <v>933</v>
      </c>
      <c r="K224" s="1796"/>
    </row>
    <row r="225" spans="1:11" ht="12" hidden="1" customHeight="1" x14ac:dyDescent="0.2">
      <c r="A225" s="1760"/>
      <c r="B225" s="1645"/>
      <c r="C225" s="1645"/>
      <c r="D225" s="166"/>
      <c r="E225" s="166"/>
      <c r="F225" s="468">
        <v>895.4</v>
      </c>
      <c r="G225" s="438"/>
      <c r="H225" s="428">
        <v>896</v>
      </c>
      <c r="I225" s="1740"/>
      <c r="J225" s="1796" t="s">
        <v>934</v>
      </c>
      <c r="K225" s="1796"/>
    </row>
    <row r="226" spans="1:11" ht="12" hidden="1" customHeight="1" x14ac:dyDescent="0.2">
      <c r="A226" s="1760"/>
      <c r="B226" s="1645"/>
      <c r="C226" s="1645"/>
      <c r="D226" s="166"/>
      <c r="E226" s="166"/>
      <c r="F226" s="468">
        <v>223.85</v>
      </c>
      <c r="G226" s="438"/>
      <c r="H226" s="428">
        <v>224</v>
      </c>
      <c r="I226" s="1740"/>
      <c r="J226" s="1796" t="s">
        <v>935</v>
      </c>
      <c r="K226" s="1796"/>
    </row>
    <row r="227" spans="1:11" ht="12" customHeight="1" x14ac:dyDescent="0.2">
      <c r="A227" s="1760">
        <v>4</v>
      </c>
      <c r="B227" s="1645" t="s">
        <v>936</v>
      </c>
      <c r="C227" s="1645"/>
      <c r="D227" s="166">
        <v>40959</v>
      </c>
      <c r="E227" s="166">
        <v>39846.35</v>
      </c>
      <c r="F227" s="253">
        <f>SUM(F228:F240)</f>
        <v>153447.36000000002</v>
      </c>
      <c r="G227" s="1180">
        <v>5250</v>
      </c>
      <c r="H227" s="252">
        <f>SUM(H228:H240)</f>
        <v>25046</v>
      </c>
      <c r="I227" s="1740"/>
      <c r="J227" s="1775" t="s">
        <v>937</v>
      </c>
      <c r="K227" s="1775"/>
    </row>
    <row r="228" spans="1:11" ht="12" hidden="1" customHeight="1" x14ac:dyDescent="0.2">
      <c r="A228" s="1760"/>
      <c r="B228" s="1645"/>
      <c r="C228" s="1645"/>
      <c r="D228" s="166"/>
      <c r="E228" s="166"/>
      <c r="F228" s="507">
        <v>3158.1</v>
      </c>
      <c r="G228" s="438"/>
      <c r="H228" s="252">
        <v>3158</v>
      </c>
      <c r="I228" s="1740"/>
      <c r="J228" s="1777" t="s">
        <v>938</v>
      </c>
      <c r="K228" s="1777"/>
    </row>
    <row r="229" spans="1:11" ht="12" hidden="1" customHeight="1" x14ac:dyDescent="0.2">
      <c r="A229" s="1760"/>
      <c r="B229" s="1645"/>
      <c r="C229" s="1645"/>
      <c r="D229" s="166"/>
      <c r="E229" s="166"/>
      <c r="F229" s="507">
        <v>20376.400000000001</v>
      </c>
      <c r="G229" s="438"/>
      <c r="H229" s="252">
        <v>20376</v>
      </c>
      <c r="I229" s="1740"/>
      <c r="J229" s="1777" t="s">
        <v>904</v>
      </c>
      <c r="K229" s="1777"/>
    </row>
    <row r="230" spans="1:11" ht="12" hidden="1" customHeight="1" x14ac:dyDescent="0.2">
      <c r="A230" s="1760"/>
      <c r="B230" s="1645"/>
      <c r="C230" s="1645"/>
      <c r="D230" s="166"/>
      <c r="E230" s="166"/>
      <c r="F230" s="507">
        <v>27601.794000000002</v>
      </c>
      <c r="G230" s="438"/>
      <c r="H230" s="252"/>
      <c r="I230" s="1740"/>
      <c r="J230" s="1777" t="s">
        <v>939</v>
      </c>
      <c r="K230" s="1777"/>
    </row>
    <row r="231" spans="1:11" ht="12" hidden="1" customHeight="1" x14ac:dyDescent="0.2">
      <c r="A231" s="1760"/>
      <c r="B231" s="1645"/>
      <c r="C231" s="1645"/>
      <c r="D231" s="166"/>
      <c r="E231" s="166"/>
      <c r="F231" s="507">
        <v>27454.416000000001</v>
      </c>
      <c r="G231" s="438"/>
      <c r="H231" s="252"/>
      <c r="I231" s="1740"/>
      <c r="J231" s="1777" t="s">
        <v>940</v>
      </c>
      <c r="K231" s="1777"/>
    </row>
    <row r="232" spans="1:11" ht="12" hidden="1" customHeight="1" x14ac:dyDescent="0.2">
      <c r="A232" s="1760"/>
      <c r="B232" s="1645"/>
      <c r="C232" s="1645"/>
      <c r="D232" s="166"/>
      <c r="E232" s="166"/>
      <c r="F232" s="507">
        <v>24927.936000000002</v>
      </c>
      <c r="G232" s="438"/>
      <c r="H232" s="252"/>
      <c r="I232" s="1740"/>
      <c r="J232" s="1777" t="s">
        <v>941</v>
      </c>
      <c r="K232" s="1777"/>
    </row>
    <row r="233" spans="1:11" ht="12" hidden="1" customHeight="1" x14ac:dyDescent="0.2">
      <c r="A233" s="1760"/>
      <c r="B233" s="1645"/>
      <c r="C233" s="1645"/>
      <c r="D233" s="166"/>
      <c r="E233" s="166"/>
      <c r="F233" s="507">
        <v>11253</v>
      </c>
      <c r="G233" s="438"/>
      <c r="H233" s="252"/>
      <c r="I233" s="1740"/>
      <c r="J233" s="1777" t="s">
        <v>942</v>
      </c>
      <c r="K233" s="1777"/>
    </row>
    <row r="234" spans="1:11" ht="12" hidden="1" customHeight="1" x14ac:dyDescent="0.2">
      <c r="A234" s="1760"/>
      <c r="B234" s="1645"/>
      <c r="C234" s="1645"/>
      <c r="D234" s="166"/>
      <c r="E234" s="166"/>
      <c r="F234" s="507">
        <v>5626.5</v>
      </c>
      <c r="G234" s="438"/>
      <c r="H234" s="252"/>
      <c r="I234" s="1740"/>
      <c r="J234" s="1777" t="s">
        <v>943</v>
      </c>
      <c r="K234" s="1777"/>
    </row>
    <row r="235" spans="1:11" ht="12" hidden="1" customHeight="1" x14ac:dyDescent="0.2">
      <c r="A235" s="1760"/>
      <c r="B235" s="1645"/>
      <c r="C235" s="1645"/>
      <c r="D235" s="166"/>
      <c r="E235" s="166"/>
      <c r="F235" s="507">
        <v>5626.5</v>
      </c>
      <c r="G235" s="438"/>
      <c r="H235" s="252"/>
      <c r="I235" s="1740"/>
      <c r="J235" s="1777" t="s">
        <v>944</v>
      </c>
      <c r="K235" s="1777"/>
    </row>
    <row r="236" spans="1:11" ht="12" hidden="1" customHeight="1" x14ac:dyDescent="0.2">
      <c r="A236" s="1760"/>
      <c r="B236" s="1645"/>
      <c r="C236" s="1645"/>
      <c r="D236" s="166"/>
      <c r="E236" s="166"/>
      <c r="F236" s="507">
        <v>1512.5</v>
      </c>
      <c r="G236" s="438"/>
      <c r="H236" s="252">
        <v>1512</v>
      </c>
      <c r="I236" s="1740"/>
      <c r="J236" s="1777" t="s">
        <v>945</v>
      </c>
      <c r="K236" s="1777"/>
    </row>
    <row r="237" spans="1:11" ht="12" hidden="1" customHeight="1" x14ac:dyDescent="0.2">
      <c r="A237" s="1760"/>
      <c r="B237" s="1645"/>
      <c r="C237" s="1645"/>
      <c r="D237" s="166"/>
      <c r="E237" s="166"/>
      <c r="F237" s="507">
        <v>8712</v>
      </c>
      <c r="G237" s="438"/>
      <c r="H237" s="252"/>
      <c r="I237" s="1740"/>
      <c r="J237" s="1777" t="s">
        <v>946</v>
      </c>
      <c r="K237" s="1777"/>
    </row>
    <row r="238" spans="1:11" ht="12" hidden="1" customHeight="1" x14ac:dyDescent="0.2">
      <c r="A238" s="1760"/>
      <c r="B238" s="1645"/>
      <c r="C238" s="1645"/>
      <c r="D238" s="166"/>
      <c r="E238" s="166"/>
      <c r="F238" s="507">
        <v>1491.93</v>
      </c>
      <c r="G238" s="438"/>
      <c r="H238" s="252"/>
      <c r="I238" s="1740"/>
      <c r="J238" s="1777" t="s">
        <v>947</v>
      </c>
      <c r="K238" s="1777"/>
    </row>
    <row r="239" spans="1:11" ht="12" hidden="1" customHeight="1" x14ac:dyDescent="0.2">
      <c r="A239" s="1760"/>
      <c r="B239" s="1645"/>
      <c r="C239" s="1645"/>
      <c r="D239" s="166"/>
      <c r="E239" s="166"/>
      <c r="F239" s="507">
        <v>10274.352000000001</v>
      </c>
      <c r="G239" s="438"/>
      <c r="H239" s="252"/>
      <c r="I239" s="1740"/>
      <c r="J239" s="1777" t="s">
        <v>948</v>
      </c>
      <c r="K239" s="1777"/>
    </row>
    <row r="240" spans="1:11" ht="12" hidden="1" customHeight="1" x14ac:dyDescent="0.2">
      <c r="A240" s="1760"/>
      <c r="B240" s="1645"/>
      <c r="C240" s="1645"/>
      <c r="D240" s="166"/>
      <c r="E240" s="166"/>
      <c r="F240" s="507">
        <v>5431.9319999999998</v>
      </c>
      <c r="G240" s="438"/>
      <c r="H240" s="252"/>
      <c r="I240" s="1740"/>
      <c r="J240" s="1796" t="s">
        <v>949</v>
      </c>
      <c r="K240" s="1796"/>
    </row>
    <row r="241" spans="1:11" x14ac:dyDescent="0.2">
      <c r="A241" s="1832">
        <v>5</v>
      </c>
      <c r="B241" s="1835" t="s">
        <v>950</v>
      </c>
      <c r="C241" s="1836"/>
      <c r="D241" s="467">
        <v>27000</v>
      </c>
      <c r="E241" s="467">
        <v>2000</v>
      </c>
      <c r="F241" s="203">
        <f>SUM(F242:F267)</f>
        <v>279731.19800000003</v>
      </c>
      <c r="G241" s="204">
        <v>5250</v>
      </c>
      <c r="H241" s="203">
        <f>SUM(H242:H267)</f>
        <v>29694</v>
      </c>
      <c r="I241" s="1740"/>
      <c r="J241" s="1754"/>
      <c r="K241" s="1754"/>
    </row>
    <row r="242" spans="1:11" ht="12" hidden="1" customHeight="1" x14ac:dyDescent="0.2">
      <c r="A242" s="1833"/>
      <c r="B242" s="1837"/>
      <c r="C242" s="1838"/>
      <c r="D242" s="467"/>
      <c r="E242" s="467"/>
      <c r="F242" s="431">
        <v>23979.01</v>
      </c>
      <c r="G242" s="1379"/>
      <c r="H242" s="203">
        <v>23979</v>
      </c>
      <c r="I242" s="1740"/>
      <c r="J242" s="1759" t="s">
        <v>951</v>
      </c>
      <c r="K242" s="1759"/>
    </row>
    <row r="243" spans="1:11" ht="12" hidden="1" customHeight="1" x14ac:dyDescent="0.2">
      <c r="A243" s="1833"/>
      <c r="B243" s="1837"/>
      <c r="C243" s="1838"/>
      <c r="D243" s="467"/>
      <c r="E243" s="467"/>
      <c r="F243" s="431">
        <v>100</v>
      </c>
      <c r="G243" s="466"/>
      <c r="H243" s="467">
        <v>100</v>
      </c>
      <c r="I243" s="1740"/>
      <c r="J243" s="1759" t="s">
        <v>952</v>
      </c>
      <c r="K243" s="1759"/>
    </row>
    <row r="244" spans="1:11" ht="12" hidden="1" customHeight="1" x14ac:dyDescent="0.2">
      <c r="A244" s="1833"/>
      <c r="B244" s="1837"/>
      <c r="C244" s="1838"/>
      <c r="D244" s="467"/>
      <c r="E244" s="467"/>
      <c r="F244" s="431"/>
      <c r="G244" s="466"/>
      <c r="H244" s="467"/>
      <c r="I244" s="1740"/>
      <c r="J244" s="1826" t="s">
        <v>953</v>
      </c>
      <c r="K244" s="1827"/>
    </row>
    <row r="245" spans="1:11" ht="12" hidden="1" customHeight="1" x14ac:dyDescent="0.2">
      <c r="A245" s="1833"/>
      <c r="B245" s="1837"/>
      <c r="C245" s="1838"/>
      <c r="D245" s="467"/>
      <c r="E245" s="467"/>
      <c r="F245" s="431">
        <v>34606</v>
      </c>
      <c r="G245" s="466"/>
      <c r="H245" s="467"/>
      <c r="I245" s="1740"/>
      <c r="J245" s="1802" t="s">
        <v>954</v>
      </c>
      <c r="K245" s="1802"/>
    </row>
    <row r="246" spans="1:11" ht="12" hidden="1" customHeight="1" x14ac:dyDescent="0.2">
      <c r="A246" s="1833"/>
      <c r="B246" s="1837"/>
      <c r="C246" s="1838"/>
      <c r="D246" s="467"/>
      <c r="E246" s="467"/>
      <c r="F246" s="431">
        <v>2662</v>
      </c>
      <c r="G246" s="466"/>
      <c r="H246" s="467"/>
      <c r="I246" s="1740"/>
      <c r="J246" s="1802" t="s">
        <v>955</v>
      </c>
      <c r="K246" s="1802"/>
    </row>
    <row r="247" spans="1:11" ht="12" hidden="1" customHeight="1" x14ac:dyDescent="0.2">
      <c r="A247" s="1833"/>
      <c r="B247" s="1837"/>
      <c r="C247" s="1838"/>
      <c r="D247" s="467"/>
      <c r="E247" s="467"/>
      <c r="F247" s="431">
        <v>3811.5</v>
      </c>
      <c r="G247" s="466"/>
      <c r="H247" s="467">
        <v>3812</v>
      </c>
      <c r="I247" s="1740"/>
      <c r="J247" s="1796" t="s">
        <v>956</v>
      </c>
      <c r="K247" s="1796"/>
    </row>
    <row r="248" spans="1:11" ht="12" hidden="1" customHeight="1" x14ac:dyDescent="0.2">
      <c r="A248" s="1833"/>
      <c r="B248" s="1837"/>
      <c r="C248" s="1838"/>
      <c r="D248" s="467"/>
      <c r="E248" s="467"/>
      <c r="F248" s="431">
        <v>43792.32</v>
      </c>
      <c r="G248" s="466"/>
      <c r="H248" s="467"/>
      <c r="I248" s="1740"/>
      <c r="J248" s="1796" t="s">
        <v>957</v>
      </c>
      <c r="K248" s="1796"/>
    </row>
    <row r="249" spans="1:11" ht="12" hidden="1" customHeight="1" x14ac:dyDescent="0.2">
      <c r="A249" s="1833"/>
      <c r="B249" s="1837"/>
      <c r="C249" s="1838"/>
      <c r="D249" s="467"/>
      <c r="E249" s="467"/>
      <c r="F249" s="431">
        <v>13813.481</v>
      </c>
      <c r="G249" s="466"/>
      <c r="H249" s="467"/>
      <c r="I249" s="1740"/>
      <c r="J249" s="1796" t="s">
        <v>958</v>
      </c>
      <c r="K249" s="1796"/>
    </row>
    <row r="250" spans="1:11" ht="12" hidden="1" customHeight="1" x14ac:dyDescent="0.2">
      <c r="A250" s="1833"/>
      <c r="B250" s="1837"/>
      <c r="C250" s="1838"/>
      <c r="D250" s="467"/>
      <c r="E250" s="467"/>
      <c r="F250" s="431">
        <v>13699.861999999999</v>
      </c>
      <c r="G250" s="466"/>
      <c r="H250" s="467"/>
      <c r="I250" s="1740"/>
      <c r="J250" s="1796" t="s">
        <v>959</v>
      </c>
      <c r="K250" s="1796"/>
    </row>
    <row r="251" spans="1:11" ht="12" hidden="1" customHeight="1" x14ac:dyDescent="0.2">
      <c r="A251" s="1833"/>
      <c r="B251" s="1837"/>
      <c r="C251" s="1838"/>
      <c r="D251" s="467"/>
      <c r="E251" s="467"/>
      <c r="F251" s="431">
        <v>11790.24</v>
      </c>
      <c r="G251" s="466"/>
      <c r="H251" s="467"/>
      <c r="I251" s="1740"/>
      <c r="J251" s="1796" t="s">
        <v>960</v>
      </c>
      <c r="K251" s="1796"/>
    </row>
    <row r="252" spans="1:11" ht="12" hidden="1" customHeight="1" x14ac:dyDescent="0.2">
      <c r="A252" s="1833"/>
      <c r="B252" s="1837"/>
      <c r="C252" s="1838"/>
      <c r="D252" s="467"/>
      <c r="E252" s="467"/>
      <c r="F252" s="431">
        <v>2395.9209999999998</v>
      </c>
      <c r="G252" s="466"/>
      <c r="H252" s="467"/>
      <c r="I252" s="1740"/>
      <c r="J252" s="1796" t="s">
        <v>961</v>
      </c>
      <c r="K252" s="1796"/>
    </row>
    <row r="253" spans="1:11" ht="12" hidden="1" customHeight="1" x14ac:dyDescent="0.2">
      <c r="A253" s="1833"/>
      <c r="B253" s="1837"/>
      <c r="C253" s="1838"/>
      <c r="D253" s="467"/>
      <c r="E253" s="467"/>
      <c r="F253" s="431">
        <v>3139.1030000000001</v>
      </c>
      <c r="G253" s="466"/>
      <c r="H253" s="467"/>
      <c r="I253" s="1740"/>
      <c r="J253" s="1796" t="s">
        <v>962</v>
      </c>
      <c r="K253" s="1796"/>
    </row>
    <row r="254" spans="1:11" ht="12" hidden="1" customHeight="1" x14ac:dyDescent="0.2">
      <c r="A254" s="1833"/>
      <c r="B254" s="1837"/>
      <c r="C254" s="1838"/>
      <c r="D254" s="467"/>
      <c r="E254" s="467"/>
      <c r="F254" s="431">
        <v>13706.154</v>
      </c>
      <c r="G254" s="466"/>
      <c r="H254" s="467"/>
      <c r="I254" s="1740"/>
      <c r="J254" s="1796" t="s">
        <v>963</v>
      </c>
      <c r="K254" s="1796"/>
    </row>
    <row r="255" spans="1:11" ht="12" hidden="1" customHeight="1" x14ac:dyDescent="0.2">
      <c r="A255" s="1833"/>
      <c r="B255" s="1837"/>
      <c r="C255" s="1838"/>
      <c r="D255" s="467"/>
      <c r="E255" s="467"/>
      <c r="F255" s="431">
        <v>25462.756000000001</v>
      </c>
      <c r="G255" s="466"/>
      <c r="H255" s="467"/>
      <c r="I255" s="1740"/>
      <c r="J255" s="1796" t="s">
        <v>964</v>
      </c>
      <c r="K255" s="1796"/>
    </row>
    <row r="256" spans="1:11" ht="12" hidden="1" customHeight="1" x14ac:dyDescent="0.2">
      <c r="A256" s="1833"/>
      <c r="B256" s="1837"/>
      <c r="C256" s="1838"/>
      <c r="D256" s="467"/>
      <c r="E256" s="467"/>
      <c r="F256" s="431">
        <v>6316.2</v>
      </c>
      <c r="G256" s="466"/>
      <c r="H256" s="467"/>
      <c r="I256" s="1740"/>
      <c r="J256" s="1796" t="s">
        <v>965</v>
      </c>
      <c r="K256" s="1796"/>
    </row>
    <row r="257" spans="1:11" ht="12" hidden="1" customHeight="1" x14ac:dyDescent="0.2">
      <c r="A257" s="1833"/>
      <c r="B257" s="1837"/>
      <c r="C257" s="1838"/>
      <c r="D257" s="467"/>
      <c r="E257" s="467"/>
      <c r="F257" s="431">
        <v>2366.518</v>
      </c>
      <c r="G257" s="466"/>
      <c r="H257" s="467"/>
      <c r="I257" s="1740"/>
      <c r="J257" s="1796" t="s">
        <v>966</v>
      </c>
      <c r="K257" s="1796"/>
    </row>
    <row r="258" spans="1:11" ht="12" hidden="1" customHeight="1" x14ac:dyDescent="0.2">
      <c r="A258" s="1833"/>
      <c r="B258" s="1837"/>
      <c r="C258" s="1838"/>
      <c r="D258" s="467"/>
      <c r="E258" s="467"/>
      <c r="F258" s="431">
        <v>1511.653</v>
      </c>
      <c r="G258" s="466"/>
      <c r="H258" s="467"/>
      <c r="I258" s="1740"/>
      <c r="J258" s="1796" t="s">
        <v>967</v>
      </c>
      <c r="K258" s="1796"/>
    </row>
    <row r="259" spans="1:11" ht="12" hidden="1" customHeight="1" x14ac:dyDescent="0.2">
      <c r="A259" s="1833"/>
      <c r="B259" s="1837"/>
      <c r="C259" s="1838"/>
      <c r="D259" s="467"/>
      <c r="E259" s="467"/>
      <c r="F259" s="431">
        <v>3092.8809999999999</v>
      </c>
      <c r="G259" s="466"/>
      <c r="H259" s="467"/>
      <c r="I259" s="1740"/>
      <c r="J259" s="1796" t="s">
        <v>968</v>
      </c>
      <c r="K259" s="1796"/>
    </row>
    <row r="260" spans="1:11" ht="12" hidden="1" customHeight="1" x14ac:dyDescent="0.2">
      <c r="A260" s="1833"/>
      <c r="B260" s="1837"/>
      <c r="C260" s="1838"/>
      <c r="D260" s="467"/>
      <c r="E260" s="467"/>
      <c r="F260" s="431">
        <v>41265.839999999997</v>
      </c>
      <c r="G260" s="466"/>
      <c r="H260" s="467"/>
      <c r="I260" s="1740"/>
      <c r="J260" s="1796" t="s">
        <v>969</v>
      </c>
      <c r="K260" s="1796"/>
    </row>
    <row r="261" spans="1:11" ht="12" hidden="1" customHeight="1" x14ac:dyDescent="0.2">
      <c r="A261" s="1833"/>
      <c r="B261" s="1837"/>
      <c r="C261" s="1838"/>
      <c r="D261" s="467"/>
      <c r="E261" s="467"/>
      <c r="F261" s="431">
        <v>2262.6999999999998</v>
      </c>
      <c r="G261" s="466"/>
      <c r="H261" s="467"/>
      <c r="I261" s="1740"/>
      <c r="J261" s="1796" t="s">
        <v>970</v>
      </c>
      <c r="K261" s="1796"/>
    </row>
    <row r="262" spans="1:11" ht="12" hidden="1" customHeight="1" x14ac:dyDescent="0.2">
      <c r="A262" s="1833"/>
      <c r="B262" s="1837"/>
      <c r="C262" s="1838"/>
      <c r="D262" s="467"/>
      <c r="E262" s="467"/>
      <c r="F262" s="431">
        <v>3597.6930000000002</v>
      </c>
      <c r="G262" s="466"/>
      <c r="H262" s="467"/>
      <c r="I262" s="1740"/>
      <c r="J262" s="1777" t="s">
        <v>971</v>
      </c>
      <c r="K262" s="1777"/>
    </row>
    <row r="263" spans="1:11" ht="12" hidden="1" customHeight="1" x14ac:dyDescent="0.2">
      <c r="A263" s="1833"/>
      <c r="B263" s="1837"/>
      <c r="C263" s="1838"/>
      <c r="D263" s="467"/>
      <c r="E263" s="467"/>
      <c r="F263" s="431">
        <v>4507.25</v>
      </c>
      <c r="G263" s="466"/>
      <c r="H263" s="467"/>
      <c r="I263" s="1740"/>
      <c r="J263" s="1777" t="s">
        <v>972</v>
      </c>
      <c r="K263" s="1777"/>
    </row>
    <row r="264" spans="1:11" ht="12" hidden="1" customHeight="1" x14ac:dyDescent="0.2">
      <c r="A264" s="1833"/>
      <c r="B264" s="1837"/>
      <c r="C264" s="1838"/>
      <c r="D264" s="467"/>
      <c r="E264" s="467"/>
      <c r="F264" s="431">
        <v>12196.8</v>
      </c>
      <c r="G264" s="466"/>
      <c r="H264" s="467"/>
      <c r="I264" s="1740"/>
      <c r="J264" s="1777" t="s">
        <v>973</v>
      </c>
      <c r="K264" s="1777"/>
    </row>
    <row r="265" spans="1:11" ht="12" hidden="1" customHeight="1" x14ac:dyDescent="0.2">
      <c r="A265" s="1833"/>
      <c r="B265" s="1837"/>
      <c r="C265" s="1838"/>
      <c r="D265" s="467"/>
      <c r="E265" s="467"/>
      <c r="F265" s="431">
        <v>2480.0160000000001</v>
      </c>
      <c r="G265" s="466"/>
      <c r="H265" s="467"/>
      <c r="I265" s="1740"/>
      <c r="J265" s="1777" t="s">
        <v>974</v>
      </c>
      <c r="K265" s="1777"/>
    </row>
    <row r="266" spans="1:11" ht="12" hidden="1" customHeight="1" x14ac:dyDescent="0.2">
      <c r="A266" s="1833"/>
      <c r="B266" s="1837"/>
      <c r="C266" s="1838"/>
      <c r="D266" s="467"/>
      <c r="E266" s="467"/>
      <c r="F266" s="431">
        <v>5372.4</v>
      </c>
      <c r="G266" s="466"/>
      <c r="H266" s="467"/>
      <c r="I266" s="1740"/>
      <c r="J266" s="1777" t="s">
        <v>975</v>
      </c>
      <c r="K266" s="1777"/>
    </row>
    <row r="267" spans="1:11" ht="12" hidden="1" customHeight="1" x14ac:dyDescent="0.2">
      <c r="A267" s="1833"/>
      <c r="B267" s="1837"/>
      <c r="C267" s="1838"/>
      <c r="D267" s="467"/>
      <c r="E267" s="467"/>
      <c r="F267" s="431">
        <v>1802.9</v>
      </c>
      <c r="G267" s="466"/>
      <c r="H267" s="467">
        <v>1803</v>
      </c>
      <c r="I267" s="1740"/>
      <c r="J267" s="1759" t="s">
        <v>976</v>
      </c>
      <c r="K267" s="1759"/>
    </row>
    <row r="268" spans="1:11" ht="12" hidden="1" customHeight="1" x14ac:dyDescent="0.2">
      <c r="A268" s="1834"/>
      <c r="B268" s="1839"/>
      <c r="C268" s="1840"/>
      <c r="D268" s="166">
        <v>21593</v>
      </c>
      <c r="E268" s="166">
        <v>21592.06</v>
      </c>
      <c r="F268" s="253">
        <v>0</v>
      </c>
      <c r="G268" s="1180">
        <v>2241</v>
      </c>
      <c r="H268" s="252"/>
      <c r="I268" s="1740"/>
      <c r="J268" s="1780"/>
      <c r="K268" s="1781"/>
    </row>
    <row r="269" spans="1:11" x14ac:dyDescent="0.2">
      <c r="A269" s="1760">
        <v>6</v>
      </c>
      <c r="B269" s="1645" t="s">
        <v>977</v>
      </c>
      <c r="C269" s="1645"/>
      <c r="D269" s="166">
        <v>0</v>
      </c>
      <c r="E269" s="166">
        <v>0</v>
      </c>
      <c r="F269" s="253">
        <f>SUM(F270:F277)</f>
        <v>21861.433000000001</v>
      </c>
      <c r="G269" s="1180">
        <v>5250</v>
      </c>
      <c r="H269" s="252">
        <f>SUM(H270:H277)</f>
        <v>12990</v>
      </c>
      <c r="I269" s="1740"/>
      <c r="J269" s="1825" t="s">
        <v>978</v>
      </c>
      <c r="K269" s="1825"/>
    </row>
    <row r="270" spans="1:11" ht="12" hidden="1" customHeight="1" x14ac:dyDescent="0.2">
      <c r="A270" s="1760"/>
      <c r="B270" s="1645"/>
      <c r="C270" s="1645"/>
      <c r="D270" s="166"/>
      <c r="E270" s="166"/>
      <c r="F270" s="507">
        <v>3523.52</v>
      </c>
      <c r="G270" s="438"/>
      <c r="H270" s="252">
        <v>3524</v>
      </c>
      <c r="I270" s="1740"/>
      <c r="J270" s="1776" t="s">
        <v>979</v>
      </c>
      <c r="K270" s="1776"/>
    </row>
    <row r="271" spans="1:11" ht="12" hidden="1" customHeight="1" x14ac:dyDescent="0.2">
      <c r="A271" s="1760"/>
      <c r="B271" s="1645"/>
      <c r="C271" s="1645"/>
      <c r="D271" s="166"/>
      <c r="E271" s="166"/>
      <c r="F271" s="507">
        <v>4416.5</v>
      </c>
      <c r="G271" s="438"/>
      <c r="H271" s="252"/>
      <c r="I271" s="1740"/>
      <c r="J271" s="1777" t="s">
        <v>980</v>
      </c>
      <c r="K271" s="1777"/>
    </row>
    <row r="272" spans="1:11" ht="12" hidden="1" customHeight="1" x14ac:dyDescent="0.2">
      <c r="A272" s="1760"/>
      <c r="B272" s="1645"/>
      <c r="C272" s="1645"/>
      <c r="D272" s="166"/>
      <c r="E272" s="166"/>
      <c r="F272" s="507">
        <v>1684.683</v>
      </c>
      <c r="G272" s="438"/>
      <c r="H272" s="252"/>
      <c r="I272" s="1740"/>
      <c r="J272" s="1777" t="s">
        <v>981</v>
      </c>
      <c r="K272" s="1777"/>
    </row>
    <row r="273" spans="1:11" ht="12" hidden="1" customHeight="1" x14ac:dyDescent="0.2">
      <c r="A273" s="1760"/>
      <c r="B273" s="1645"/>
      <c r="C273" s="1645"/>
      <c r="D273" s="166"/>
      <c r="E273" s="166"/>
      <c r="F273" s="507">
        <v>2153.8000000000002</v>
      </c>
      <c r="G273" s="438"/>
      <c r="H273" s="252"/>
      <c r="I273" s="1740"/>
      <c r="J273" s="1777" t="s">
        <v>982</v>
      </c>
      <c r="K273" s="1777"/>
    </row>
    <row r="274" spans="1:11" ht="12" hidden="1" customHeight="1" x14ac:dyDescent="0.2">
      <c r="A274" s="1760"/>
      <c r="B274" s="1645"/>
      <c r="C274" s="1645"/>
      <c r="D274" s="166"/>
      <c r="E274" s="166"/>
      <c r="F274" s="507">
        <v>617.1</v>
      </c>
      <c r="G274" s="438"/>
      <c r="H274" s="252"/>
      <c r="I274" s="1740"/>
      <c r="J274" s="1777" t="s">
        <v>983</v>
      </c>
      <c r="K274" s="1777"/>
    </row>
    <row r="275" spans="1:11" ht="12" hidden="1" customHeight="1" x14ac:dyDescent="0.2">
      <c r="A275" s="1760"/>
      <c r="B275" s="1645"/>
      <c r="C275" s="1645"/>
      <c r="D275" s="166"/>
      <c r="E275" s="166"/>
      <c r="F275" s="507">
        <v>2351.0300000000002</v>
      </c>
      <c r="G275" s="438"/>
      <c r="H275" s="252">
        <v>2351</v>
      </c>
      <c r="I275" s="1740"/>
      <c r="J275" s="1777" t="s">
        <v>984</v>
      </c>
      <c r="K275" s="1777"/>
    </row>
    <row r="276" spans="1:11" ht="12" hidden="1" customHeight="1" x14ac:dyDescent="0.2">
      <c r="A276" s="1760"/>
      <c r="B276" s="1645"/>
      <c r="C276" s="1645"/>
      <c r="D276" s="166"/>
      <c r="E276" s="166"/>
      <c r="F276" s="507">
        <v>1524.6</v>
      </c>
      <c r="G276" s="438"/>
      <c r="H276" s="252">
        <v>1525</v>
      </c>
      <c r="I276" s="1740"/>
      <c r="J276" s="1777" t="s">
        <v>985</v>
      </c>
      <c r="K276" s="1777"/>
    </row>
    <row r="277" spans="1:11" ht="12" hidden="1" customHeight="1" x14ac:dyDescent="0.2">
      <c r="A277" s="1760"/>
      <c r="B277" s="1645"/>
      <c r="C277" s="1645"/>
      <c r="D277" s="166"/>
      <c r="E277" s="166"/>
      <c r="F277" s="507">
        <v>5590.2</v>
      </c>
      <c r="G277" s="438"/>
      <c r="H277" s="252">
        <v>5590</v>
      </c>
      <c r="I277" s="1740"/>
      <c r="J277" s="1793" t="s">
        <v>986</v>
      </c>
      <c r="K277" s="1793"/>
    </row>
    <row r="278" spans="1:11" x14ac:dyDescent="0.2">
      <c r="A278" s="1773">
        <v>7</v>
      </c>
      <c r="B278" s="1645" t="s">
        <v>254</v>
      </c>
      <c r="C278" s="1645"/>
      <c r="D278" s="166">
        <v>4277</v>
      </c>
      <c r="E278" s="166">
        <v>4235</v>
      </c>
      <c r="F278" s="253">
        <f>SUM(F279:F292)</f>
        <v>84401.12999999999</v>
      </c>
      <c r="G278" s="1180">
        <v>5250</v>
      </c>
      <c r="H278" s="166">
        <f>SUM(H279:H292)</f>
        <v>28648</v>
      </c>
      <c r="I278" s="1740"/>
      <c r="J278" s="1828"/>
      <c r="K278" s="1828"/>
    </row>
    <row r="279" spans="1:11" ht="12" hidden="1" customHeight="1" x14ac:dyDescent="0.2">
      <c r="A279" s="1773"/>
      <c r="B279" s="1645"/>
      <c r="C279" s="1645"/>
      <c r="D279" s="166"/>
      <c r="E279" s="166"/>
      <c r="F279" s="468">
        <v>9922</v>
      </c>
      <c r="G279" s="438"/>
      <c r="H279" s="428"/>
      <c r="I279" s="1740"/>
      <c r="J279" s="1829" t="s">
        <v>987</v>
      </c>
      <c r="K279" s="1829"/>
    </row>
    <row r="280" spans="1:11" ht="12" hidden="1" customHeight="1" x14ac:dyDescent="0.2">
      <c r="A280" s="1773"/>
      <c r="B280" s="1645"/>
      <c r="C280" s="1645"/>
      <c r="D280" s="166"/>
      <c r="E280" s="166"/>
      <c r="F280" s="468"/>
      <c r="G280" s="438"/>
      <c r="H280" s="483"/>
      <c r="I280" s="1740"/>
      <c r="J280" s="1826" t="s">
        <v>988</v>
      </c>
      <c r="K280" s="1826"/>
    </row>
    <row r="281" spans="1:11" ht="12" hidden="1" customHeight="1" x14ac:dyDescent="0.2">
      <c r="A281" s="1773"/>
      <c r="B281" s="1645"/>
      <c r="C281" s="1645"/>
      <c r="D281" s="166"/>
      <c r="E281" s="166"/>
      <c r="F281" s="468">
        <v>3779.556</v>
      </c>
      <c r="G281" s="438"/>
      <c r="H281" s="483">
        <v>3780</v>
      </c>
      <c r="I281" s="1740"/>
      <c r="J281" s="1802" t="s">
        <v>989</v>
      </c>
      <c r="K281" s="1802"/>
    </row>
    <row r="282" spans="1:11" ht="12" hidden="1" customHeight="1" x14ac:dyDescent="0.2">
      <c r="A282" s="1773"/>
      <c r="B282" s="1645"/>
      <c r="C282" s="1645"/>
      <c r="D282" s="166"/>
      <c r="E282" s="166"/>
      <c r="F282" s="468">
        <v>14624.302</v>
      </c>
      <c r="G282" s="438"/>
      <c r="H282" s="483">
        <v>14624</v>
      </c>
      <c r="I282" s="1740"/>
      <c r="J282" s="1796" t="s">
        <v>990</v>
      </c>
      <c r="K282" s="1796"/>
    </row>
    <row r="283" spans="1:11" ht="12" hidden="1" customHeight="1" x14ac:dyDescent="0.2">
      <c r="A283" s="1773"/>
      <c r="B283" s="1645"/>
      <c r="C283" s="1645"/>
      <c r="D283" s="166"/>
      <c r="E283" s="166"/>
      <c r="F283" s="468">
        <v>1361.492</v>
      </c>
      <c r="G283" s="438"/>
      <c r="H283" s="483">
        <v>1361</v>
      </c>
      <c r="I283" s="1740"/>
      <c r="J283" s="1796" t="s">
        <v>991</v>
      </c>
      <c r="K283" s="1796"/>
    </row>
    <row r="284" spans="1:11" ht="12" hidden="1" customHeight="1" x14ac:dyDescent="0.2">
      <c r="A284" s="1773"/>
      <c r="B284" s="1645"/>
      <c r="C284" s="1645"/>
      <c r="D284" s="166"/>
      <c r="E284" s="166"/>
      <c r="F284" s="468">
        <v>5070.384</v>
      </c>
      <c r="G284" s="438"/>
      <c r="H284" s="483">
        <v>5070</v>
      </c>
      <c r="I284" s="1740"/>
      <c r="J284" s="1796" t="s">
        <v>992</v>
      </c>
      <c r="K284" s="1796"/>
    </row>
    <row r="285" spans="1:11" ht="12" hidden="1" customHeight="1" x14ac:dyDescent="0.2">
      <c r="A285" s="1773"/>
      <c r="B285" s="1645"/>
      <c r="C285" s="1645"/>
      <c r="D285" s="166"/>
      <c r="E285" s="166"/>
      <c r="F285" s="468">
        <v>3812.71</v>
      </c>
      <c r="G285" s="438"/>
      <c r="H285" s="483">
        <v>3813</v>
      </c>
      <c r="I285" s="1740"/>
      <c r="J285" s="1802" t="s">
        <v>993</v>
      </c>
      <c r="K285" s="1802"/>
    </row>
    <row r="286" spans="1:11" ht="12" hidden="1" customHeight="1" x14ac:dyDescent="0.2">
      <c r="A286" s="1773"/>
      <c r="B286" s="1645"/>
      <c r="C286" s="1645"/>
      <c r="D286" s="166"/>
      <c r="E286" s="166"/>
      <c r="F286" s="468">
        <v>14647.776</v>
      </c>
      <c r="G286" s="438"/>
      <c r="H286" s="483"/>
      <c r="I286" s="1740"/>
      <c r="J286" s="1796" t="s">
        <v>994</v>
      </c>
      <c r="K286" s="1796"/>
    </row>
    <row r="287" spans="1:11" ht="12" hidden="1" customHeight="1" x14ac:dyDescent="0.2">
      <c r="A287" s="1773"/>
      <c r="B287" s="1645"/>
      <c r="C287" s="1645"/>
      <c r="D287" s="166"/>
      <c r="E287" s="166"/>
      <c r="F287" s="468">
        <v>1361.492</v>
      </c>
      <c r="G287" s="438"/>
      <c r="H287" s="483"/>
      <c r="I287" s="1740"/>
      <c r="J287" s="1796" t="s">
        <v>995</v>
      </c>
      <c r="K287" s="1796"/>
    </row>
    <row r="288" spans="1:11" ht="12" hidden="1" customHeight="1" x14ac:dyDescent="0.2">
      <c r="A288" s="1773"/>
      <c r="B288" s="1645"/>
      <c r="C288" s="1645"/>
      <c r="D288" s="166"/>
      <c r="E288" s="166"/>
      <c r="F288" s="468">
        <v>4999.9620000000004</v>
      </c>
      <c r="G288" s="438"/>
      <c r="H288" s="483"/>
      <c r="I288" s="1740"/>
      <c r="J288" s="1796" t="s">
        <v>996</v>
      </c>
      <c r="K288" s="1796"/>
    </row>
    <row r="289" spans="1:11" ht="12" hidden="1" customHeight="1" x14ac:dyDescent="0.2">
      <c r="A289" s="1773"/>
      <c r="B289" s="1645"/>
      <c r="C289" s="1645"/>
      <c r="D289" s="166"/>
      <c r="E289" s="166"/>
      <c r="F289" s="468">
        <v>3978.48</v>
      </c>
      <c r="G289" s="438"/>
      <c r="H289" s="483"/>
      <c r="I289" s="1740"/>
      <c r="J289" s="1776" t="s">
        <v>997</v>
      </c>
      <c r="K289" s="1776"/>
    </row>
    <row r="290" spans="1:11" ht="12" hidden="1" customHeight="1" x14ac:dyDescent="0.2">
      <c r="A290" s="1773"/>
      <c r="B290" s="1645"/>
      <c r="C290" s="1645"/>
      <c r="D290" s="166"/>
      <c r="E290" s="166"/>
      <c r="F290" s="468">
        <v>5364.6559999999999</v>
      </c>
      <c r="G290" s="438"/>
      <c r="H290" s="483"/>
      <c r="I290" s="1740"/>
      <c r="J290" s="1777" t="s">
        <v>998</v>
      </c>
      <c r="K290" s="1777"/>
    </row>
    <row r="291" spans="1:11" ht="12" hidden="1" customHeight="1" x14ac:dyDescent="0.2">
      <c r="A291" s="1773"/>
      <c r="B291" s="1645"/>
      <c r="C291" s="1645"/>
      <c r="D291" s="166"/>
      <c r="E291" s="166"/>
      <c r="F291" s="468">
        <v>7831.12</v>
      </c>
      <c r="G291" s="438"/>
      <c r="H291" s="483"/>
      <c r="I291" s="1740"/>
      <c r="J291" s="1777" t="s">
        <v>999</v>
      </c>
      <c r="K291" s="1777"/>
    </row>
    <row r="292" spans="1:11" ht="12" hidden="1" customHeight="1" x14ac:dyDescent="0.2">
      <c r="A292" s="1773"/>
      <c r="B292" s="1645"/>
      <c r="C292" s="1645"/>
      <c r="D292" s="166"/>
      <c r="E292" s="166"/>
      <c r="F292" s="468">
        <v>7647.2</v>
      </c>
      <c r="G292" s="438"/>
      <c r="H292" s="483"/>
      <c r="I292" s="1740"/>
      <c r="J292" s="1776" t="s">
        <v>1000</v>
      </c>
      <c r="K292" s="1776"/>
    </row>
    <row r="293" spans="1:11" ht="15" customHeight="1" x14ac:dyDescent="0.2">
      <c r="A293" s="1773">
        <v>8</v>
      </c>
      <c r="B293" s="1645" t="s">
        <v>1001</v>
      </c>
      <c r="C293" s="1645"/>
      <c r="D293" s="166">
        <v>25581</v>
      </c>
      <c r="E293" s="166">
        <v>22633.119999999999</v>
      </c>
      <c r="F293" s="253">
        <f>SUM(F294:F297)</f>
        <v>68597.240000000005</v>
      </c>
      <c r="G293" s="1180">
        <v>5250</v>
      </c>
      <c r="H293" s="166">
        <f>SUM(H294:H297)</f>
        <v>52945</v>
      </c>
      <c r="I293" s="1740"/>
      <c r="J293" s="1801" t="s">
        <v>1002</v>
      </c>
      <c r="K293" s="1801"/>
    </row>
    <row r="294" spans="1:11" ht="12" hidden="1" customHeight="1" x14ac:dyDescent="0.2">
      <c r="A294" s="1773"/>
      <c r="B294" s="1645"/>
      <c r="C294" s="1645"/>
      <c r="D294" s="166"/>
      <c r="E294" s="166"/>
      <c r="F294" s="465">
        <v>8576.48</v>
      </c>
      <c r="G294" s="438"/>
      <c r="H294" s="166">
        <v>8576</v>
      </c>
      <c r="I294" s="1740"/>
      <c r="J294" s="1802" t="s">
        <v>1003</v>
      </c>
      <c r="K294" s="1802"/>
    </row>
    <row r="295" spans="1:11" ht="12" hidden="1" customHeight="1" x14ac:dyDescent="0.2">
      <c r="A295" s="1773"/>
      <c r="B295" s="1645"/>
      <c r="C295" s="1645"/>
      <c r="D295" s="166"/>
      <c r="E295" s="166"/>
      <c r="F295" s="465">
        <v>19868.2</v>
      </c>
      <c r="G295" s="438"/>
      <c r="H295" s="166">
        <v>19869</v>
      </c>
      <c r="I295" s="1740"/>
      <c r="J295" s="1802" t="s">
        <v>904</v>
      </c>
      <c r="K295" s="1802"/>
    </row>
    <row r="296" spans="1:11" ht="12" hidden="1" customHeight="1" x14ac:dyDescent="0.2">
      <c r="A296" s="1773"/>
      <c r="B296" s="1645"/>
      <c r="C296" s="1645"/>
      <c r="D296" s="166"/>
      <c r="E296" s="166"/>
      <c r="F296" s="465">
        <v>24500</v>
      </c>
      <c r="G296" s="438"/>
      <c r="H296" s="166">
        <v>24500</v>
      </c>
      <c r="I296" s="1740"/>
      <c r="J296" s="1830" t="s">
        <v>1004</v>
      </c>
      <c r="K296" s="1831"/>
    </row>
    <row r="297" spans="1:11" ht="12" hidden="1" customHeight="1" x14ac:dyDescent="0.2">
      <c r="A297" s="1773"/>
      <c r="B297" s="1645"/>
      <c r="C297" s="1645"/>
      <c r="D297" s="166"/>
      <c r="E297" s="166"/>
      <c r="F297" s="465">
        <v>15652.56</v>
      </c>
      <c r="G297" s="438"/>
      <c r="H297" s="166"/>
      <c r="I297" s="1740"/>
      <c r="J297" s="1796" t="s">
        <v>1005</v>
      </c>
      <c r="K297" s="1796"/>
    </row>
    <row r="298" spans="1:11" s="156" customFormat="1" x14ac:dyDescent="0.2">
      <c r="A298" s="1760">
        <v>9</v>
      </c>
      <c r="B298" s="1645" t="s">
        <v>1006</v>
      </c>
      <c r="C298" s="1645"/>
      <c r="D298" s="166">
        <v>0</v>
      </c>
      <c r="E298" s="166">
        <v>0</v>
      </c>
      <c r="F298" s="253">
        <f>SUM(F299:F322)</f>
        <v>178390.78399999999</v>
      </c>
      <c r="G298" s="1180">
        <v>5250</v>
      </c>
      <c r="H298" s="252">
        <f>SUM(H299:H322)</f>
        <v>16360</v>
      </c>
      <c r="I298" s="1740"/>
      <c r="J298" s="1826" t="s">
        <v>1007</v>
      </c>
      <c r="K298" s="1827"/>
    </row>
    <row r="299" spans="1:11" s="156" customFormat="1" ht="12" hidden="1" customHeight="1" x14ac:dyDescent="0.2">
      <c r="A299" s="1760"/>
      <c r="B299" s="1645"/>
      <c r="C299" s="1645"/>
      <c r="D299" s="166"/>
      <c r="E299" s="166"/>
      <c r="F299" s="507">
        <v>10188.200000000001</v>
      </c>
      <c r="G299" s="438"/>
      <c r="H299" s="252">
        <v>10189</v>
      </c>
      <c r="I299" s="1740"/>
      <c r="J299" s="1808" t="s">
        <v>1008</v>
      </c>
      <c r="K299" s="1808"/>
    </row>
    <row r="300" spans="1:11" s="156" customFormat="1" ht="18.75" hidden="1" customHeight="1" x14ac:dyDescent="0.2">
      <c r="A300" s="1760"/>
      <c r="B300" s="1645"/>
      <c r="C300" s="1645"/>
      <c r="D300" s="166"/>
      <c r="E300" s="166"/>
      <c r="F300" s="507">
        <v>6171</v>
      </c>
      <c r="G300" s="438"/>
      <c r="H300" s="428">
        <v>6171</v>
      </c>
      <c r="I300" s="1740"/>
      <c r="J300" s="1789" t="s">
        <v>1009</v>
      </c>
      <c r="K300" s="1789"/>
    </row>
    <row r="301" spans="1:11" s="156" customFormat="1" ht="20.25" hidden="1" customHeight="1" x14ac:dyDescent="0.2">
      <c r="A301" s="1760"/>
      <c r="B301" s="1645"/>
      <c r="C301" s="1645"/>
      <c r="D301" s="166"/>
      <c r="E301" s="166"/>
      <c r="F301" s="507">
        <v>8863.7340000000004</v>
      </c>
      <c r="G301" s="438"/>
      <c r="H301" s="428"/>
      <c r="I301" s="1740"/>
      <c r="J301" s="1776" t="s">
        <v>1010</v>
      </c>
      <c r="K301" s="1776"/>
    </row>
    <row r="302" spans="1:11" s="156" customFormat="1" ht="12" hidden="1" customHeight="1" x14ac:dyDescent="0.2">
      <c r="A302" s="1760"/>
      <c r="B302" s="1645"/>
      <c r="C302" s="1645"/>
      <c r="D302" s="166"/>
      <c r="E302" s="166"/>
      <c r="F302" s="507">
        <v>6358.308</v>
      </c>
      <c r="G302" s="438"/>
      <c r="H302" s="428"/>
      <c r="I302" s="1740"/>
      <c r="J302" s="1776" t="s">
        <v>1011</v>
      </c>
      <c r="K302" s="1776"/>
    </row>
    <row r="303" spans="1:11" s="156" customFormat="1" ht="12" hidden="1" customHeight="1" x14ac:dyDescent="0.2">
      <c r="A303" s="1760"/>
      <c r="B303" s="1645"/>
      <c r="C303" s="1645"/>
      <c r="D303" s="166"/>
      <c r="E303" s="166"/>
      <c r="F303" s="507">
        <v>3305.4780000000001</v>
      </c>
      <c r="G303" s="438"/>
      <c r="H303" s="428"/>
      <c r="I303" s="1740"/>
      <c r="J303" s="1777" t="s">
        <v>1012</v>
      </c>
      <c r="K303" s="1777"/>
    </row>
    <row r="304" spans="1:11" s="156" customFormat="1" ht="12" hidden="1" customHeight="1" x14ac:dyDescent="0.2">
      <c r="A304" s="1760"/>
      <c r="B304" s="1645"/>
      <c r="C304" s="1645"/>
      <c r="D304" s="166"/>
      <c r="E304" s="166"/>
      <c r="F304" s="507">
        <v>2336.9940000000001</v>
      </c>
      <c r="G304" s="438"/>
      <c r="H304" s="428"/>
      <c r="I304" s="1740"/>
      <c r="J304" s="1777" t="s">
        <v>1013</v>
      </c>
      <c r="K304" s="1777"/>
    </row>
    <row r="305" spans="1:11" s="156" customFormat="1" ht="20.25" hidden="1" customHeight="1" x14ac:dyDescent="0.2">
      <c r="A305" s="1760"/>
      <c r="B305" s="1645"/>
      <c r="C305" s="1645"/>
      <c r="D305" s="166"/>
      <c r="E305" s="166"/>
      <c r="F305" s="507">
        <v>8337.384</v>
      </c>
      <c r="G305" s="438"/>
      <c r="H305" s="428"/>
      <c r="I305" s="1740"/>
      <c r="J305" s="1776" t="s">
        <v>1014</v>
      </c>
      <c r="K305" s="1776"/>
    </row>
    <row r="306" spans="1:11" s="156" customFormat="1" ht="12" hidden="1" customHeight="1" x14ac:dyDescent="0.2">
      <c r="A306" s="1760"/>
      <c r="B306" s="1645"/>
      <c r="C306" s="1645"/>
      <c r="D306" s="166"/>
      <c r="E306" s="166"/>
      <c r="F306" s="507">
        <v>6884.6580000000004</v>
      </c>
      <c r="G306" s="438"/>
      <c r="H306" s="428"/>
      <c r="I306" s="1740"/>
      <c r="J306" s="1776" t="s">
        <v>1015</v>
      </c>
      <c r="K306" s="1776"/>
    </row>
    <row r="307" spans="1:11" s="156" customFormat="1" ht="12" hidden="1" customHeight="1" x14ac:dyDescent="0.2">
      <c r="A307" s="1760"/>
      <c r="B307" s="1645"/>
      <c r="C307" s="1645"/>
      <c r="D307" s="166"/>
      <c r="E307" s="166"/>
      <c r="F307" s="507">
        <v>2905.4520000000002</v>
      </c>
      <c r="G307" s="438"/>
      <c r="H307" s="428"/>
      <c r="I307" s="1740"/>
      <c r="J307" s="1777" t="s">
        <v>1016</v>
      </c>
      <c r="K307" s="1777"/>
    </row>
    <row r="308" spans="1:11" s="156" customFormat="1" ht="12" hidden="1" customHeight="1" x14ac:dyDescent="0.2">
      <c r="A308" s="1760"/>
      <c r="B308" s="1645"/>
      <c r="C308" s="1645"/>
      <c r="D308" s="166"/>
      <c r="E308" s="166"/>
      <c r="F308" s="507">
        <v>2505.4259999999999</v>
      </c>
      <c r="G308" s="438"/>
      <c r="H308" s="428"/>
      <c r="I308" s="1740"/>
      <c r="J308" s="1777" t="s">
        <v>1017</v>
      </c>
      <c r="K308" s="1777"/>
    </row>
    <row r="309" spans="1:11" s="156" customFormat="1" ht="20.25" hidden="1" customHeight="1" x14ac:dyDescent="0.2">
      <c r="A309" s="1760"/>
      <c r="B309" s="1645"/>
      <c r="C309" s="1645"/>
      <c r="D309" s="166"/>
      <c r="E309" s="166"/>
      <c r="F309" s="507">
        <v>7137.3059999999996</v>
      </c>
      <c r="G309" s="438"/>
      <c r="H309" s="428"/>
      <c r="I309" s="1740"/>
      <c r="J309" s="1776" t="s">
        <v>1018</v>
      </c>
      <c r="K309" s="1776"/>
    </row>
    <row r="310" spans="1:11" s="156" customFormat="1" ht="12" hidden="1" customHeight="1" x14ac:dyDescent="0.2">
      <c r="A310" s="1760"/>
      <c r="B310" s="1645"/>
      <c r="C310" s="1645"/>
      <c r="D310" s="166"/>
      <c r="E310" s="166"/>
      <c r="F310" s="507">
        <v>9790.11</v>
      </c>
      <c r="G310" s="438"/>
      <c r="H310" s="428"/>
      <c r="I310" s="1740"/>
      <c r="J310" s="1776" t="s">
        <v>1019</v>
      </c>
      <c r="K310" s="1776"/>
    </row>
    <row r="311" spans="1:11" s="156" customFormat="1" ht="12" hidden="1" customHeight="1" x14ac:dyDescent="0.2">
      <c r="A311" s="1760"/>
      <c r="B311" s="1645"/>
      <c r="C311" s="1645"/>
      <c r="D311" s="166"/>
      <c r="E311" s="166"/>
      <c r="F311" s="507">
        <v>3705.5039999999999</v>
      </c>
      <c r="G311" s="438"/>
      <c r="H311" s="428"/>
      <c r="I311" s="1740"/>
      <c r="J311" s="1777" t="s">
        <v>1020</v>
      </c>
      <c r="K311" s="1777"/>
    </row>
    <row r="312" spans="1:11" s="156" customFormat="1" ht="12" hidden="1" customHeight="1" x14ac:dyDescent="0.2">
      <c r="A312" s="1760"/>
      <c r="B312" s="1645"/>
      <c r="C312" s="1645"/>
      <c r="D312" s="166"/>
      <c r="E312" s="166"/>
      <c r="F312" s="507">
        <v>2968.614</v>
      </c>
      <c r="G312" s="438"/>
      <c r="H312" s="428"/>
      <c r="I312" s="1740"/>
      <c r="J312" s="1777" t="s">
        <v>1021</v>
      </c>
      <c r="K312" s="1777"/>
    </row>
    <row r="313" spans="1:11" s="156" customFormat="1" ht="20.25" hidden="1" customHeight="1" x14ac:dyDescent="0.2">
      <c r="A313" s="1760"/>
      <c r="B313" s="1645"/>
      <c r="C313" s="1645"/>
      <c r="D313" s="166"/>
      <c r="E313" s="166"/>
      <c r="F313" s="507">
        <v>8021.5739999999996</v>
      </c>
      <c r="G313" s="438"/>
      <c r="H313" s="428"/>
      <c r="I313" s="1740"/>
      <c r="J313" s="1776" t="s">
        <v>1022</v>
      </c>
      <c r="K313" s="1776"/>
    </row>
    <row r="314" spans="1:11" s="156" customFormat="1" ht="12" hidden="1" customHeight="1" x14ac:dyDescent="0.2">
      <c r="A314" s="1760"/>
      <c r="B314" s="1645"/>
      <c r="C314" s="1645"/>
      <c r="D314" s="166"/>
      <c r="E314" s="166"/>
      <c r="F314" s="507">
        <v>9705.8940000000002</v>
      </c>
      <c r="G314" s="438"/>
      <c r="H314" s="428"/>
      <c r="I314" s="1740"/>
      <c r="J314" s="1776" t="s">
        <v>1023</v>
      </c>
      <c r="K314" s="1776"/>
    </row>
    <row r="315" spans="1:11" s="156" customFormat="1" ht="11.25" hidden="1" customHeight="1" x14ac:dyDescent="0.2">
      <c r="A315" s="1760"/>
      <c r="B315" s="1645"/>
      <c r="C315" s="1645"/>
      <c r="D315" s="166"/>
      <c r="E315" s="166"/>
      <c r="F315" s="507">
        <v>3726.558</v>
      </c>
      <c r="G315" s="438"/>
      <c r="H315" s="428"/>
      <c r="I315" s="1740"/>
      <c r="J315" s="1777" t="s">
        <v>1024</v>
      </c>
      <c r="K315" s="1777"/>
    </row>
    <row r="316" spans="1:11" s="156" customFormat="1" ht="11.25" hidden="1" customHeight="1" x14ac:dyDescent="0.2">
      <c r="A316" s="1760"/>
      <c r="B316" s="1645"/>
      <c r="C316" s="1645"/>
      <c r="D316" s="166"/>
      <c r="E316" s="166"/>
      <c r="F316" s="507">
        <v>3052.83</v>
      </c>
      <c r="G316" s="438"/>
      <c r="H316" s="428"/>
      <c r="I316" s="1740"/>
      <c r="J316" s="1777" t="s">
        <v>1025</v>
      </c>
      <c r="K316" s="1777"/>
    </row>
    <row r="317" spans="1:11" s="156" customFormat="1" ht="11.25" hidden="1" customHeight="1" x14ac:dyDescent="0.2">
      <c r="A317" s="1760"/>
      <c r="B317" s="1645"/>
      <c r="C317" s="1645"/>
      <c r="D317" s="166"/>
      <c r="E317" s="166"/>
      <c r="F317" s="507">
        <v>20232.894</v>
      </c>
      <c r="G317" s="438"/>
      <c r="H317" s="428"/>
      <c r="I317" s="1740"/>
      <c r="J317" s="1777" t="s">
        <v>1026</v>
      </c>
      <c r="K317" s="1777"/>
    </row>
    <row r="318" spans="1:11" s="156" customFormat="1" ht="12" hidden="1" customHeight="1" x14ac:dyDescent="0.2">
      <c r="A318" s="1760"/>
      <c r="B318" s="1645"/>
      <c r="C318" s="1645"/>
      <c r="D318" s="166"/>
      <c r="E318" s="166"/>
      <c r="F318" s="507">
        <v>16716.876</v>
      </c>
      <c r="G318" s="438"/>
      <c r="H318" s="428"/>
      <c r="I318" s="1740"/>
      <c r="J318" s="1777" t="s">
        <v>1027</v>
      </c>
      <c r="K318" s="1777"/>
    </row>
    <row r="319" spans="1:11" s="156" customFormat="1" ht="12" hidden="1" customHeight="1" x14ac:dyDescent="0.2">
      <c r="A319" s="1760"/>
      <c r="B319" s="1645"/>
      <c r="C319" s="1645"/>
      <c r="D319" s="166"/>
      <c r="E319" s="166"/>
      <c r="F319" s="507">
        <v>16716.876</v>
      </c>
      <c r="G319" s="438"/>
      <c r="H319" s="428"/>
      <c r="I319" s="1740"/>
      <c r="J319" s="1777" t="s">
        <v>1028</v>
      </c>
      <c r="K319" s="1777"/>
    </row>
    <row r="320" spans="1:11" s="156" customFormat="1" ht="12" hidden="1" customHeight="1" x14ac:dyDescent="0.2">
      <c r="A320" s="1760"/>
      <c r="B320" s="1645"/>
      <c r="C320" s="1645"/>
      <c r="D320" s="166"/>
      <c r="E320" s="166"/>
      <c r="F320" s="507">
        <v>12485.022000000001</v>
      </c>
      <c r="G320" s="438"/>
      <c r="H320" s="428"/>
      <c r="I320" s="1740"/>
      <c r="J320" s="1777" t="s">
        <v>1029</v>
      </c>
      <c r="K320" s="1777"/>
    </row>
    <row r="321" spans="1:11" s="156" customFormat="1" ht="12" hidden="1" customHeight="1" x14ac:dyDescent="0.2">
      <c r="A321" s="1760"/>
      <c r="B321" s="1645"/>
      <c r="C321" s="1645"/>
      <c r="D321" s="166"/>
      <c r="E321" s="166"/>
      <c r="F321" s="507">
        <v>1705.374</v>
      </c>
      <c r="G321" s="438"/>
      <c r="H321" s="428"/>
      <c r="I321" s="1740"/>
      <c r="J321" s="1777" t="s">
        <v>1030</v>
      </c>
      <c r="K321" s="1777"/>
    </row>
    <row r="322" spans="1:11" s="156" customFormat="1" ht="12" hidden="1" customHeight="1" x14ac:dyDescent="0.2">
      <c r="A322" s="1760"/>
      <c r="B322" s="1645"/>
      <c r="C322" s="1645"/>
      <c r="D322" s="166"/>
      <c r="E322" s="166"/>
      <c r="F322" s="507">
        <v>4568.7179999999998</v>
      </c>
      <c r="G322" s="438"/>
      <c r="H322" s="428"/>
      <c r="I322" s="1740"/>
      <c r="J322" s="1777" t="s">
        <v>1031</v>
      </c>
      <c r="K322" s="1777"/>
    </row>
    <row r="323" spans="1:11" x14ac:dyDescent="0.2">
      <c r="A323" s="1760">
        <v>10</v>
      </c>
      <c r="B323" s="1645" t="s">
        <v>1032</v>
      </c>
      <c r="C323" s="1645"/>
      <c r="D323" s="166">
        <v>24224</v>
      </c>
      <c r="E323" s="166">
        <v>24198.81</v>
      </c>
      <c r="F323" s="253">
        <f>SUM(F324:F348)</f>
        <v>276716.484</v>
      </c>
      <c r="G323" s="1180">
        <v>5250</v>
      </c>
      <c r="H323" s="252">
        <f>SUM(H324:H348)</f>
        <v>24528</v>
      </c>
      <c r="I323" s="1740"/>
      <c r="J323" s="1823"/>
      <c r="K323" s="1823"/>
    </row>
    <row r="324" spans="1:11" ht="12" hidden="1" customHeight="1" x14ac:dyDescent="0.2">
      <c r="A324" s="1760"/>
      <c r="B324" s="1645"/>
      <c r="C324" s="1645"/>
      <c r="D324" s="166"/>
      <c r="E324" s="166"/>
      <c r="F324" s="507">
        <v>9000</v>
      </c>
      <c r="G324" s="438"/>
      <c r="H324" s="428"/>
      <c r="I324" s="1740"/>
      <c r="J324" s="1824" t="s">
        <v>1033</v>
      </c>
      <c r="K324" s="1824"/>
    </row>
    <row r="325" spans="1:11" ht="14.25" hidden="1" customHeight="1" x14ac:dyDescent="0.2">
      <c r="A325" s="1760"/>
      <c r="B325" s="1645"/>
      <c r="C325" s="1645"/>
      <c r="D325" s="166"/>
      <c r="E325" s="166"/>
      <c r="F325" s="468">
        <v>2000</v>
      </c>
      <c r="G325" s="438"/>
      <c r="H325" s="428"/>
      <c r="I325" s="1740"/>
      <c r="J325" s="1824" t="s">
        <v>1034</v>
      </c>
      <c r="K325" s="1824"/>
    </row>
    <row r="326" spans="1:11" ht="12.75" hidden="1" customHeight="1" x14ac:dyDescent="0.2">
      <c r="A326" s="1760"/>
      <c r="B326" s="1645"/>
      <c r="C326" s="1645"/>
      <c r="D326" s="166"/>
      <c r="E326" s="166"/>
      <c r="F326" s="468"/>
      <c r="G326" s="438"/>
      <c r="H326" s="428"/>
      <c r="I326" s="1740"/>
      <c r="J326" s="1825" t="s">
        <v>1035</v>
      </c>
      <c r="K326" s="1825"/>
    </row>
    <row r="327" spans="1:11" ht="21" hidden="1" customHeight="1" x14ac:dyDescent="0.2">
      <c r="A327" s="1760"/>
      <c r="B327" s="1645"/>
      <c r="C327" s="1645"/>
      <c r="D327" s="166"/>
      <c r="E327" s="166"/>
      <c r="F327" s="468">
        <v>10079.299999999999</v>
      </c>
      <c r="G327" s="438"/>
      <c r="H327" s="428"/>
      <c r="I327" s="1740"/>
      <c r="J327" s="1776" t="s">
        <v>1036</v>
      </c>
      <c r="K327" s="1776"/>
    </row>
    <row r="328" spans="1:11" ht="21" hidden="1" customHeight="1" x14ac:dyDescent="0.2">
      <c r="A328" s="1760"/>
      <c r="B328" s="1645"/>
      <c r="C328" s="1645"/>
      <c r="D328" s="166"/>
      <c r="E328" s="166"/>
      <c r="F328" s="468">
        <v>6733.4080000000004</v>
      </c>
      <c r="G328" s="438"/>
      <c r="H328" s="428">
        <v>6734</v>
      </c>
      <c r="I328" s="1740"/>
      <c r="J328" s="1777" t="s">
        <v>1037</v>
      </c>
      <c r="K328" s="1777"/>
    </row>
    <row r="329" spans="1:11" ht="21" hidden="1" customHeight="1" x14ac:dyDescent="0.2">
      <c r="A329" s="1760"/>
      <c r="B329" s="1645"/>
      <c r="C329" s="1645"/>
      <c r="D329" s="166"/>
      <c r="E329" s="166"/>
      <c r="F329" s="468">
        <v>14163.776</v>
      </c>
      <c r="G329" s="438"/>
      <c r="H329" s="428">
        <v>14164</v>
      </c>
      <c r="I329" s="1740"/>
      <c r="J329" s="1776" t="s">
        <v>1038</v>
      </c>
      <c r="K329" s="1776"/>
    </row>
    <row r="330" spans="1:11" ht="21" hidden="1" customHeight="1" x14ac:dyDescent="0.2">
      <c r="A330" s="1760"/>
      <c r="B330" s="1645"/>
      <c r="C330" s="1645"/>
      <c r="D330" s="166"/>
      <c r="E330" s="166"/>
      <c r="F330" s="468">
        <v>9680</v>
      </c>
      <c r="G330" s="438"/>
      <c r="H330" s="428"/>
      <c r="I330" s="1740"/>
      <c r="J330" s="1776" t="s">
        <v>1039</v>
      </c>
      <c r="K330" s="1776"/>
    </row>
    <row r="331" spans="1:11" ht="21" hidden="1" customHeight="1" x14ac:dyDescent="0.2">
      <c r="A331" s="1760"/>
      <c r="B331" s="1645"/>
      <c r="C331" s="1645"/>
      <c r="D331" s="166"/>
      <c r="E331" s="166"/>
      <c r="F331" s="468">
        <v>19965</v>
      </c>
      <c r="G331" s="438"/>
      <c r="H331" s="428"/>
      <c r="I331" s="1740"/>
      <c r="J331" s="1777" t="s">
        <v>1040</v>
      </c>
      <c r="K331" s="1777"/>
    </row>
    <row r="332" spans="1:11" ht="15" hidden="1" customHeight="1" x14ac:dyDescent="0.2">
      <c r="A332" s="1760"/>
      <c r="B332" s="1645"/>
      <c r="C332" s="1645"/>
      <c r="D332" s="166"/>
      <c r="E332" s="166"/>
      <c r="F332" s="468">
        <v>3630</v>
      </c>
      <c r="G332" s="438"/>
      <c r="H332" s="428">
        <v>3630</v>
      </c>
      <c r="I332" s="1740"/>
      <c r="J332" s="1777" t="s">
        <v>1041</v>
      </c>
      <c r="K332" s="1777"/>
    </row>
    <row r="333" spans="1:11" ht="12.75" hidden="1" customHeight="1" x14ac:dyDescent="0.2">
      <c r="A333" s="1760"/>
      <c r="B333" s="1645"/>
      <c r="C333" s="1645"/>
      <c r="D333" s="166"/>
      <c r="E333" s="166"/>
      <c r="F333" s="468">
        <v>9680</v>
      </c>
      <c r="G333" s="438"/>
      <c r="H333" s="428"/>
      <c r="I333" s="1740"/>
      <c r="J333" s="1777" t="s">
        <v>1042</v>
      </c>
      <c r="K333" s="1777"/>
    </row>
    <row r="334" spans="1:11" ht="15" hidden="1" customHeight="1" x14ac:dyDescent="0.2">
      <c r="A334" s="1760"/>
      <c r="B334" s="1645"/>
      <c r="C334" s="1645"/>
      <c r="D334" s="166"/>
      <c r="E334" s="166"/>
      <c r="F334" s="468">
        <v>3630</v>
      </c>
      <c r="G334" s="438"/>
      <c r="H334" s="428"/>
      <c r="I334" s="1740"/>
      <c r="J334" s="1777" t="s">
        <v>1043</v>
      </c>
      <c r="K334" s="1777"/>
    </row>
    <row r="335" spans="1:11" ht="12" hidden="1" customHeight="1" x14ac:dyDescent="0.2">
      <c r="A335" s="1760"/>
      <c r="B335" s="1645"/>
      <c r="C335" s="1645"/>
      <c r="D335" s="166"/>
      <c r="E335" s="166"/>
      <c r="F335" s="468">
        <v>2420</v>
      </c>
      <c r="G335" s="438"/>
      <c r="H335" s="428"/>
      <c r="I335" s="1740"/>
      <c r="J335" s="1777" t="s">
        <v>1044</v>
      </c>
      <c r="K335" s="1777"/>
    </row>
    <row r="336" spans="1:11" ht="21" hidden="1" customHeight="1" x14ac:dyDescent="0.2">
      <c r="A336" s="1760"/>
      <c r="B336" s="1645"/>
      <c r="C336" s="1645"/>
      <c r="D336" s="166"/>
      <c r="E336" s="166"/>
      <c r="F336" s="468">
        <v>1815</v>
      </c>
      <c r="G336" s="438"/>
      <c r="H336" s="428"/>
      <c r="I336" s="1740"/>
      <c r="J336" s="1777" t="s">
        <v>1045</v>
      </c>
      <c r="K336" s="1777"/>
    </row>
    <row r="337" spans="1:13" ht="12" hidden="1" customHeight="1" x14ac:dyDescent="0.2">
      <c r="A337" s="1760"/>
      <c r="B337" s="1645"/>
      <c r="C337" s="1645"/>
      <c r="D337" s="166"/>
      <c r="E337" s="166"/>
      <c r="F337" s="468">
        <v>3630</v>
      </c>
      <c r="G337" s="438"/>
      <c r="H337" s="428"/>
      <c r="I337" s="1740"/>
      <c r="J337" s="1777" t="s">
        <v>1046</v>
      </c>
      <c r="K337" s="1777"/>
    </row>
    <row r="338" spans="1:13" ht="21" hidden="1" customHeight="1" x14ac:dyDescent="0.2">
      <c r="A338" s="1760"/>
      <c r="B338" s="1645"/>
      <c r="C338" s="1645"/>
      <c r="D338" s="166"/>
      <c r="E338" s="166"/>
      <c r="F338" s="468">
        <v>484</v>
      </c>
      <c r="G338" s="438"/>
      <c r="H338" s="428"/>
      <c r="I338" s="1740"/>
      <c r="J338" s="1777" t="s">
        <v>1047</v>
      </c>
      <c r="K338" s="1777"/>
    </row>
    <row r="339" spans="1:13" ht="12" hidden="1" customHeight="1" x14ac:dyDescent="0.2">
      <c r="A339" s="1760"/>
      <c r="B339" s="1645"/>
      <c r="C339" s="1645"/>
      <c r="D339" s="166"/>
      <c r="E339" s="166"/>
      <c r="F339" s="468">
        <v>9680</v>
      </c>
      <c r="G339" s="438"/>
      <c r="H339" s="428"/>
      <c r="I339" s="1740"/>
      <c r="J339" s="1777" t="s">
        <v>1048</v>
      </c>
      <c r="K339" s="1777"/>
    </row>
    <row r="340" spans="1:13" ht="12" hidden="1" customHeight="1" x14ac:dyDescent="0.2">
      <c r="A340" s="1760"/>
      <c r="B340" s="1645"/>
      <c r="C340" s="1645"/>
      <c r="D340" s="166"/>
      <c r="E340" s="166"/>
      <c r="F340" s="468">
        <v>363</v>
      </c>
      <c r="G340" s="438"/>
      <c r="H340" s="428"/>
      <c r="I340" s="1740"/>
      <c r="J340" s="1777" t="s">
        <v>1049</v>
      </c>
      <c r="K340" s="1777"/>
    </row>
    <row r="341" spans="1:13" ht="12" hidden="1" customHeight="1" x14ac:dyDescent="0.2">
      <c r="A341" s="1760"/>
      <c r="B341" s="1645"/>
      <c r="C341" s="1645"/>
      <c r="D341" s="166"/>
      <c r="E341" s="166"/>
      <c r="F341" s="468">
        <v>24200</v>
      </c>
      <c r="G341" s="438"/>
      <c r="H341" s="428"/>
      <c r="I341" s="1740"/>
      <c r="J341" s="1777" t="s">
        <v>1050</v>
      </c>
      <c r="K341" s="1777"/>
    </row>
    <row r="342" spans="1:13" ht="12" hidden="1" customHeight="1" x14ac:dyDescent="0.2">
      <c r="A342" s="1760"/>
      <c r="B342" s="1645"/>
      <c r="C342" s="1645"/>
      <c r="D342" s="166"/>
      <c r="E342" s="166"/>
      <c r="F342" s="468">
        <v>24200</v>
      </c>
      <c r="G342" s="438"/>
      <c r="H342" s="428"/>
      <c r="I342" s="1740"/>
      <c r="J342" s="1777" t="s">
        <v>1051</v>
      </c>
      <c r="K342" s="1777"/>
    </row>
    <row r="343" spans="1:13" ht="12" hidden="1" customHeight="1" x14ac:dyDescent="0.2">
      <c r="A343" s="1760"/>
      <c r="B343" s="1645"/>
      <c r="C343" s="1645"/>
      <c r="D343" s="166"/>
      <c r="E343" s="166"/>
      <c r="F343" s="468">
        <v>24200</v>
      </c>
      <c r="G343" s="438"/>
      <c r="H343" s="428"/>
      <c r="I343" s="1740"/>
      <c r="J343" s="1777" t="s">
        <v>1052</v>
      </c>
      <c r="K343" s="1777"/>
    </row>
    <row r="344" spans="1:13" ht="12" hidden="1" customHeight="1" x14ac:dyDescent="0.2">
      <c r="A344" s="1760"/>
      <c r="B344" s="1645"/>
      <c r="C344" s="1645"/>
      <c r="D344" s="166"/>
      <c r="E344" s="166"/>
      <c r="F344" s="468">
        <v>24200</v>
      </c>
      <c r="G344" s="438"/>
      <c r="H344" s="428"/>
      <c r="I344" s="1740"/>
      <c r="J344" s="1777" t="s">
        <v>1053</v>
      </c>
      <c r="K344" s="1777"/>
    </row>
    <row r="345" spans="1:13" ht="12" hidden="1" customHeight="1" x14ac:dyDescent="0.2">
      <c r="A345" s="1760"/>
      <c r="B345" s="1645"/>
      <c r="C345" s="1645"/>
      <c r="D345" s="166"/>
      <c r="E345" s="166"/>
      <c r="F345" s="468">
        <v>24200</v>
      </c>
      <c r="G345" s="438"/>
      <c r="H345" s="428"/>
      <c r="I345" s="1740"/>
      <c r="J345" s="1777" t="s">
        <v>1054</v>
      </c>
      <c r="K345" s="1777"/>
    </row>
    <row r="346" spans="1:13" ht="12" hidden="1" customHeight="1" x14ac:dyDescent="0.2">
      <c r="A346" s="1760"/>
      <c r="B346" s="1645"/>
      <c r="C346" s="1645"/>
      <c r="D346" s="166"/>
      <c r="E346" s="166"/>
      <c r="F346" s="468">
        <v>24200</v>
      </c>
      <c r="G346" s="438"/>
      <c r="H346" s="428"/>
      <c r="I346" s="1740"/>
      <c r="J346" s="1777" t="s">
        <v>1055</v>
      </c>
      <c r="K346" s="1777"/>
    </row>
    <row r="347" spans="1:13" ht="12" hidden="1" customHeight="1" x14ac:dyDescent="0.2">
      <c r="A347" s="1760"/>
      <c r="B347" s="1645"/>
      <c r="C347" s="1645"/>
      <c r="D347" s="166"/>
      <c r="E347" s="166"/>
      <c r="F347" s="468">
        <v>24200</v>
      </c>
      <c r="G347" s="438"/>
      <c r="H347" s="428"/>
      <c r="I347" s="1740"/>
      <c r="J347" s="1777" t="s">
        <v>1056</v>
      </c>
      <c r="K347" s="1777"/>
    </row>
    <row r="348" spans="1:13" ht="21" hidden="1" customHeight="1" x14ac:dyDescent="0.2">
      <c r="A348" s="1760"/>
      <c r="B348" s="1645"/>
      <c r="C348" s="1645"/>
      <c r="D348" s="166"/>
      <c r="E348" s="166"/>
      <c r="F348" s="468">
        <v>363</v>
      </c>
      <c r="G348" s="438"/>
      <c r="H348" s="428"/>
      <c r="I348" s="1741"/>
      <c r="J348" s="1777" t="s">
        <v>1057</v>
      </c>
      <c r="K348" s="1777"/>
    </row>
    <row r="349" spans="1:13" ht="7.5" customHeight="1" x14ac:dyDescent="0.2">
      <c r="A349" s="1508"/>
      <c r="B349" s="1509"/>
      <c r="C349" s="1509"/>
      <c r="D349" s="1505"/>
      <c r="E349" s="1505"/>
      <c r="F349" s="1505"/>
      <c r="G349" s="1510"/>
      <c r="H349" s="1505"/>
      <c r="I349" s="1511"/>
      <c r="J349" s="275"/>
      <c r="K349" s="275"/>
    </row>
    <row r="350" spans="1:13" x14ac:dyDescent="0.2">
      <c r="A350" s="1771" t="s">
        <v>129</v>
      </c>
      <c r="B350" s="1771"/>
      <c r="C350" s="447" t="s">
        <v>255</v>
      </c>
      <c r="D350" s="447"/>
      <c r="E350" s="447"/>
      <c r="F350" s="447"/>
      <c r="G350" s="448"/>
      <c r="H350" s="447"/>
      <c r="I350" s="275"/>
      <c r="J350" s="275"/>
      <c r="K350" s="275"/>
    </row>
    <row r="351" spans="1:13" x14ac:dyDescent="0.2">
      <c r="A351" s="1771" t="s">
        <v>131</v>
      </c>
      <c r="B351" s="1771"/>
      <c r="C351" s="450" t="s">
        <v>256</v>
      </c>
      <c r="D351" s="451"/>
      <c r="E351" s="451"/>
      <c r="F351" s="451"/>
      <c r="G351" s="452"/>
      <c r="H351" s="451"/>
      <c r="I351" s="275"/>
      <c r="J351" s="275"/>
      <c r="K351" s="275"/>
    </row>
    <row r="352" spans="1:13" ht="48" x14ac:dyDescent="0.2">
      <c r="A352" s="426" t="s">
        <v>4</v>
      </c>
      <c r="B352" s="1760" t="s">
        <v>133</v>
      </c>
      <c r="C352" s="1760"/>
      <c r="D352" s="426" t="s">
        <v>17</v>
      </c>
      <c r="E352" s="426" t="s">
        <v>15</v>
      </c>
      <c r="F352" s="426" t="s">
        <v>134</v>
      </c>
      <c r="G352" s="426" t="s">
        <v>135</v>
      </c>
      <c r="H352" s="1438" t="s">
        <v>3510</v>
      </c>
      <c r="I352" s="426" t="s">
        <v>14</v>
      </c>
      <c r="J352" s="1760" t="s">
        <v>137</v>
      </c>
      <c r="K352" s="1760"/>
      <c r="L352" s="504"/>
      <c r="M352" s="504"/>
    </row>
    <row r="353" spans="1:13" x14ac:dyDescent="0.2">
      <c r="A353" s="1761" t="s">
        <v>138</v>
      </c>
      <c r="B353" s="1761"/>
      <c r="C353" s="1761"/>
      <c r="D353" s="427">
        <f>SUM(D354:D502)</f>
        <v>465674</v>
      </c>
      <c r="E353" s="427">
        <f>SUM(E354:E502)</f>
        <v>321391.24</v>
      </c>
      <c r="F353" s="427">
        <f>F354+F357+F359+F375+F381+F394+F401+F415+F426+F438+F449+F457+F469+F478+F486+F502</f>
        <v>2561889.6569999997</v>
      </c>
      <c r="G353" s="454"/>
      <c r="H353" s="427">
        <f>SUM(H354,H357,H359,H375,H381,H394,H401,H415,H426,H438,H449,H457,H469,H478,H486,H502)</f>
        <v>859569</v>
      </c>
      <c r="I353" s="496"/>
      <c r="J353" s="1759"/>
      <c r="K353" s="1759"/>
      <c r="L353" s="486"/>
      <c r="M353" s="486"/>
    </row>
    <row r="354" spans="1:13" x14ac:dyDescent="0.2">
      <c r="A354" s="1762">
        <v>1</v>
      </c>
      <c r="B354" s="1764" t="s">
        <v>238</v>
      </c>
      <c r="C354" s="1765"/>
      <c r="D354" s="166">
        <v>101297</v>
      </c>
      <c r="E354" s="166">
        <v>39687.32</v>
      </c>
      <c r="F354" s="253">
        <f>SUM(F355:F356)</f>
        <v>208000</v>
      </c>
      <c r="G354" s="1180">
        <v>2241</v>
      </c>
      <c r="H354" s="166">
        <f>SUM(H355:H356)</f>
        <v>80000</v>
      </c>
      <c r="I354" s="1674" t="s">
        <v>257</v>
      </c>
      <c r="J354" s="1780"/>
      <c r="K354" s="1781"/>
    </row>
    <row r="355" spans="1:13" ht="12" hidden="1" customHeight="1" x14ac:dyDescent="0.2">
      <c r="A355" s="1763"/>
      <c r="B355" s="1766"/>
      <c r="C355" s="1767"/>
      <c r="D355" s="166"/>
      <c r="E355" s="166"/>
      <c r="F355" s="252">
        <v>108000</v>
      </c>
      <c r="G355" s="438"/>
      <c r="H355" s="166"/>
      <c r="I355" s="1774"/>
      <c r="J355" s="1759" t="s">
        <v>1058</v>
      </c>
      <c r="K355" s="1759"/>
    </row>
    <row r="356" spans="1:13" ht="21" hidden="1" customHeight="1" x14ac:dyDescent="0.2">
      <c r="A356" s="1779"/>
      <c r="B356" s="1820"/>
      <c r="C356" s="1821"/>
      <c r="D356" s="166"/>
      <c r="E356" s="166"/>
      <c r="F356" s="252">
        <v>100000</v>
      </c>
      <c r="G356" s="438"/>
      <c r="H356" s="166">
        <v>80000</v>
      </c>
      <c r="I356" s="1774"/>
      <c r="J356" s="1759" t="s">
        <v>1059</v>
      </c>
      <c r="K356" s="1759"/>
    </row>
    <row r="357" spans="1:13" ht="12" hidden="1" customHeight="1" x14ac:dyDescent="0.2">
      <c r="A357" s="1760">
        <v>2</v>
      </c>
      <c r="B357" s="1822" t="s">
        <v>258</v>
      </c>
      <c r="C357" s="1822"/>
      <c r="D357" s="166">
        <v>10360</v>
      </c>
      <c r="E357" s="166">
        <v>1028.5</v>
      </c>
      <c r="F357" s="253">
        <f>SUM(F358:F358)</f>
        <v>1028.5</v>
      </c>
      <c r="G357" s="1180">
        <v>5250</v>
      </c>
      <c r="H357" s="163">
        <f>SUM(H358:H358)</f>
        <v>0</v>
      </c>
      <c r="I357" s="1774"/>
      <c r="J357" s="1759"/>
      <c r="K357" s="1759"/>
    </row>
    <row r="358" spans="1:13" ht="25.5" hidden="1" customHeight="1" x14ac:dyDescent="0.2">
      <c r="A358" s="1760"/>
      <c r="B358" s="1822"/>
      <c r="C358" s="1822"/>
      <c r="D358" s="166"/>
      <c r="E358" s="166"/>
      <c r="F358" s="465">
        <v>1028.5</v>
      </c>
      <c r="G358" s="438"/>
      <c r="H358" s="163"/>
      <c r="I358" s="1774"/>
      <c r="J358" s="1754" t="s">
        <v>1060</v>
      </c>
      <c r="K358" s="1754"/>
    </row>
    <row r="359" spans="1:13" ht="12" customHeight="1" x14ac:dyDescent="0.2">
      <c r="A359" s="1773">
        <v>2</v>
      </c>
      <c r="B359" s="1645" t="s">
        <v>1061</v>
      </c>
      <c r="C359" s="1645"/>
      <c r="D359" s="166">
        <v>29883</v>
      </c>
      <c r="E359" s="166">
        <v>15561</v>
      </c>
      <c r="F359" s="253">
        <f>SUM(F360:F374)</f>
        <v>100828.54</v>
      </c>
      <c r="G359" s="1180">
        <v>5250</v>
      </c>
      <c r="H359" s="166">
        <f>SUM(H360:H374)</f>
        <v>69287</v>
      </c>
      <c r="I359" s="1774"/>
      <c r="J359" s="1817"/>
      <c r="K359" s="1817"/>
      <c r="L359" s="508"/>
    </row>
    <row r="360" spans="1:13" ht="30" hidden="1" customHeight="1" x14ac:dyDescent="0.2">
      <c r="A360" s="1773"/>
      <c r="B360" s="1645"/>
      <c r="C360" s="1645"/>
      <c r="D360" s="166"/>
      <c r="E360" s="166"/>
      <c r="F360" s="465">
        <v>14322.39</v>
      </c>
      <c r="G360" s="438"/>
      <c r="H360" s="166">
        <v>14322</v>
      </c>
      <c r="I360" s="1774"/>
      <c r="J360" s="1815" t="s">
        <v>1062</v>
      </c>
      <c r="K360" s="1815"/>
    </row>
    <row r="361" spans="1:13" ht="12" hidden="1" customHeight="1" x14ac:dyDescent="0.2">
      <c r="A361" s="1773"/>
      <c r="B361" s="1645"/>
      <c r="C361" s="1645"/>
      <c r="D361" s="166"/>
      <c r="E361" s="166"/>
      <c r="F361" s="468">
        <v>4065</v>
      </c>
      <c r="G361" s="438"/>
      <c r="H361" s="166">
        <v>4065</v>
      </c>
      <c r="I361" s="1774"/>
      <c r="J361" s="1819" t="s">
        <v>1063</v>
      </c>
      <c r="K361" s="1819"/>
    </row>
    <row r="362" spans="1:13" ht="12" hidden="1" customHeight="1" x14ac:dyDescent="0.2">
      <c r="A362" s="1773"/>
      <c r="B362" s="1645"/>
      <c r="C362" s="1645"/>
      <c r="D362" s="166"/>
      <c r="E362" s="166"/>
      <c r="F362" s="468">
        <v>4880</v>
      </c>
      <c r="G362" s="438"/>
      <c r="H362" s="166">
        <v>4880</v>
      </c>
      <c r="I362" s="1774"/>
      <c r="J362" s="1754" t="s">
        <v>1064</v>
      </c>
      <c r="K362" s="1754"/>
    </row>
    <row r="363" spans="1:13" ht="12" hidden="1" customHeight="1" x14ac:dyDescent="0.2">
      <c r="A363" s="1773"/>
      <c r="B363" s="1645"/>
      <c r="C363" s="1645"/>
      <c r="D363" s="166"/>
      <c r="E363" s="166"/>
      <c r="F363" s="468">
        <v>5377.39</v>
      </c>
      <c r="G363" s="438"/>
      <c r="H363" s="166"/>
      <c r="I363" s="1774"/>
      <c r="J363" s="1754" t="s">
        <v>1065</v>
      </c>
      <c r="K363" s="1754"/>
    </row>
    <row r="364" spans="1:13" ht="12" hidden="1" customHeight="1" x14ac:dyDescent="0.2">
      <c r="A364" s="1773"/>
      <c r="B364" s="1645"/>
      <c r="C364" s="1645"/>
      <c r="D364" s="166"/>
      <c r="E364" s="166"/>
      <c r="F364" s="468"/>
      <c r="G364" s="438"/>
      <c r="H364" s="166"/>
      <c r="I364" s="1774"/>
      <c r="J364" s="1801" t="s">
        <v>1066</v>
      </c>
      <c r="K364" s="1801"/>
    </row>
    <row r="365" spans="1:13" ht="90.75" hidden="1" customHeight="1" x14ac:dyDescent="0.2">
      <c r="A365" s="1773"/>
      <c r="B365" s="1645"/>
      <c r="C365" s="1645"/>
      <c r="D365" s="166"/>
      <c r="E365" s="166"/>
      <c r="F365" s="468">
        <v>5203</v>
      </c>
      <c r="G365" s="438"/>
      <c r="H365" s="166"/>
      <c r="I365" s="1774"/>
      <c r="J365" s="1816" t="s">
        <v>1067</v>
      </c>
      <c r="K365" s="1816"/>
    </row>
    <row r="366" spans="1:13" ht="12" hidden="1" customHeight="1" x14ac:dyDescent="0.2">
      <c r="A366" s="1773"/>
      <c r="B366" s="1645"/>
      <c r="C366" s="1645"/>
      <c r="D366" s="166"/>
      <c r="E366" s="166"/>
      <c r="F366" s="468">
        <v>2071.52</v>
      </c>
      <c r="G366" s="438"/>
      <c r="H366" s="166">
        <v>2072</v>
      </c>
      <c r="I366" s="1774"/>
      <c r="J366" s="1816" t="s">
        <v>1063</v>
      </c>
      <c r="K366" s="1816"/>
    </row>
    <row r="367" spans="1:13" ht="12" hidden="1" customHeight="1" x14ac:dyDescent="0.2">
      <c r="A367" s="1773"/>
      <c r="B367" s="1645"/>
      <c r="C367" s="1645"/>
      <c r="D367" s="166"/>
      <c r="E367" s="166"/>
      <c r="F367" s="468">
        <v>19747.2</v>
      </c>
      <c r="G367" s="438"/>
      <c r="H367" s="166">
        <v>19748</v>
      </c>
      <c r="I367" s="1774"/>
      <c r="J367" s="1796" t="s">
        <v>1068</v>
      </c>
      <c r="K367" s="1796"/>
    </row>
    <row r="368" spans="1:13" ht="22.5" hidden="1" customHeight="1" x14ac:dyDescent="0.2">
      <c r="A368" s="1773"/>
      <c r="B368" s="1645"/>
      <c r="C368" s="1645"/>
      <c r="D368" s="166"/>
      <c r="E368" s="166"/>
      <c r="F368" s="468">
        <v>6618.7</v>
      </c>
      <c r="G368" s="438"/>
      <c r="H368" s="166">
        <v>24200</v>
      </c>
      <c r="I368" s="1774"/>
      <c r="J368" s="1796" t="s">
        <v>1069</v>
      </c>
      <c r="K368" s="1796"/>
    </row>
    <row r="369" spans="1:11" ht="12" hidden="1" customHeight="1" x14ac:dyDescent="0.2">
      <c r="A369" s="1773"/>
      <c r="B369" s="1645"/>
      <c r="C369" s="1645"/>
      <c r="D369" s="166"/>
      <c r="E369" s="166"/>
      <c r="F369" s="468">
        <v>7961.8</v>
      </c>
      <c r="G369" s="438"/>
      <c r="H369" s="166"/>
      <c r="I369" s="1774"/>
      <c r="J369" s="1796" t="s">
        <v>1070</v>
      </c>
      <c r="K369" s="1796"/>
    </row>
    <row r="370" spans="1:11" ht="26.25" hidden="1" customHeight="1" x14ac:dyDescent="0.2">
      <c r="A370" s="1773"/>
      <c r="B370" s="1645"/>
      <c r="C370" s="1645"/>
      <c r="D370" s="166"/>
      <c r="E370" s="166"/>
      <c r="F370" s="468">
        <v>3146</v>
      </c>
      <c r="G370" s="438"/>
      <c r="H370" s="166"/>
      <c r="I370" s="1774"/>
      <c r="J370" s="1802" t="s">
        <v>1071</v>
      </c>
      <c r="K370" s="1802"/>
    </row>
    <row r="371" spans="1:11" ht="12" hidden="1" customHeight="1" x14ac:dyDescent="0.2">
      <c r="A371" s="1773"/>
      <c r="B371" s="1645"/>
      <c r="C371" s="1645"/>
      <c r="D371" s="166"/>
      <c r="E371" s="166"/>
      <c r="F371" s="468">
        <v>7712.54</v>
      </c>
      <c r="G371" s="438"/>
      <c r="H371" s="166"/>
      <c r="I371" s="1774"/>
      <c r="J371" s="1802" t="s">
        <v>1072</v>
      </c>
      <c r="K371" s="1802"/>
    </row>
    <row r="372" spans="1:11" ht="27.75" hidden="1" customHeight="1" x14ac:dyDescent="0.2">
      <c r="A372" s="1773"/>
      <c r="B372" s="1645"/>
      <c r="C372" s="1645"/>
      <c r="D372" s="166"/>
      <c r="E372" s="166"/>
      <c r="F372" s="468">
        <v>5203</v>
      </c>
      <c r="G372" s="438"/>
      <c r="H372" s="166"/>
      <c r="I372" s="1774"/>
      <c r="J372" s="1818" t="s">
        <v>1073</v>
      </c>
      <c r="K372" s="1818"/>
    </row>
    <row r="373" spans="1:11" ht="23.25" hidden="1" customHeight="1" x14ac:dyDescent="0.2">
      <c r="A373" s="1773"/>
      <c r="B373" s="1645"/>
      <c r="C373" s="1645"/>
      <c r="D373" s="166"/>
      <c r="E373" s="166"/>
      <c r="F373" s="468">
        <v>8954</v>
      </c>
      <c r="G373" s="438"/>
      <c r="H373" s="166"/>
      <c r="I373" s="1774"/>
      <c r="J373" s="1796" t="s">
        <v>1074</v>
      </c>
      <c r="K373" s="1796"/>
    </row>
    <row r="374" spans="1:11" ht="12" hidden="1" customHeight="1" x14ac:dyDescent="0.2">
      <c r="A374" s="1773"/>
      <c r="B374" s="1645"/>
      <c r="C374" s="1645"/>
      <c r="D374" s="166"/>
      <c r="E374" s="166"/>
      <c r="F374" s="468">
        <v>5566</v>
      </c>
      <c r="G374" s="438"/>
      <c r="H374" s="166"/>
      <c r="I374" s="1774"/>
      <c r="J374" s="1796" t="s">
        <v>1075</v>
      </c>
      <c r="K374" s="1796"/>
    </row>
    <row r="375" spans="1:11" x14ac:dyDescent="0.2">
      <c r="A375" s="1787">
        <v>3</v>
      </c>
      <c r="B375" s="1645" t="s">
        <v>1076</v>
      </c>
      <c r="C375" s="1645"/>
      <c r="D375" s="166">
        <v>48115</v>
      </c>
      <c r="E375" s="166">
        <v>24179.7</v>
      </c>
      <c r="F375" s="1381">
        <f>SUM(F376:F380)</f>
        <v>64936.9</v>
      </c>
      <c r="G375" s="1180">
        <v>5250</v>
      </c>
      <c r="H375" s="166">
        <f>SUM(H376:H380)</f>
        <v>9015</v>
      </c>
      <c r="I375" s="1774"/>
      <c r="J375" s="1780"/>
      <c r="K375" s="1781"/>
    </row>
    <row r="376" spans="1:11" ht="27" hidden="1" customHeight="1" x14ac:dyDescent="0.2">
      <c r="A376" s="1787"/>
      <c r="B376" s="1645"/>
      <c r="C376" s="1645"/>
      <c r="D376" s="166"/>
      <c r="E376" s="166"/>
      <c r="F376" s="465">
        <v>23934.84</v>
      </c>
      <c r="G376" s="438"/>
      <c r="H376" s="252"/>
      <c r="I376" s="1774"/>
      <c r="J376" s="1815" t="s">
        <v>1077</v>
      </c>
      <c r="K376" s="1754"/>
    </row>
    <row r="377" spans="1:11" ht="12.75" hidden="1" customHeight="1" x14ac:dyDescent="0.2">
      <c r="A377" s="1787"/>
      <c r="B377" s="1645"/>
      <c r="C377" s="1645"/>
      <c r="D377" s="166"/>
      <c r="E377" s="166"/>
      <c r="F377" s="465"/>
      <c r="G377" s="438"/>
      <c r="H377" s="252"/>
      <c r="I377" s="1774"/>
      <c r="J377" s="1801" t="s">
        <v>1078</v>
      </c>
      <c r="K377" s="1801"/>
    </row>
    <row r="378" spans="1:11" ht="47.25" hidden="1" customHeight="1" x14ac:dyDescent="0.2">
      <c r="A378" s="1787"/>
      <c r="B378" s="1645"/>
      <c r="C378" s="1645"/>
      <c r="D378" s="166"/>
      <c r="E378" s="166"/>
      <c r="F378" s="465">
        <v>9946.2000000000007</v>
      </c>
      <c r="G378" s="438"/>
      <c r="H378" s="252"/>
      <c r="I378" s="1774"/>
      <c r="J378" s="1816" t="s">
        <v>1079</v>
      </c>
      <c r="K378" s="1816"/>
    </row>
    <row r="379" spans="1:11" ht="42.75" hidden="1" customHeight="1" x14ac:dyDescent="0.2">
      <c r="A379" s="1787"/>
      <c r="B379" s="1645"/>
      <c r="C379" s="1645"/>
      <c r="D379" s="166"/>
      <c r="E379" s="166"/>
      <c r="F379" s="465">
        <v>22041.360000000001</v>
      </c>
      <c r="G379" s="438"/>
      <c r="H379" s="252"/>
      <c r="I379" s="1774"/>
      <c r="J379" s="1802" t="s">
        <v>1080</v>
      </c>
      <c r="K379" s="1802"/>
    </row>
    <row r="380" spans="1:11" ht="21" hidden="1" customHeight="1" x14ac:dyDescent="0.2">
      <c r="A380" s="1787"/>
      <c r="B380" s="1645"/>
      <c r="C380" s="1645"/>
      <c r="D380" s="166"/>
      <c r="E380" s="166"/>
      <c r="F380" s="465">
        <v>9014.5</v>
      </c>
      <c r="G380" s="438"/>
      <c r="H380" s="252">
        <v>9015</v>
      </c>
      <c r="I380" s="1774"/>
      <c r="J380" s="1802" t="s">
        <v>1081</v>
      </c>
      <c r="K380" s="1802"/>
    </row>
    <row r="381" spans="1:11" x14ac:dyDescent="0.2">
      <c r="A381" s="1787">
        <v>4</v>
      </c>
      <c r="B381" s="1645" t="s">
        <v>1082</v>
      </c>
      <c r="C381" s="1645"/>
      <c r="D381" s="166">
        <v>1070</v>
      </c>
      <c r="E381" s="166">
        <f>150+919.56</f>
        <v>1069.56</v>
      </c>
      <c r="F381" s="252">
        <f>SUM(F382:F393)</f>
        <v>92055.555999999997</v>
      </c>
      <c r="G381" s="1180">
        <v>5250</v>
      </c>
      <c r="H381" s="166">
        <f>SUM(H382:H393)</f>
        <v>71624</v>
      </c>
      <c r="I381" s="1774"/>
      <c r="J381" s="1780"/>
      <c r="K381" s="1781"/>
    </row>
    <row r="382" spans="1:11" ht="18.75" hidden="1" customHeight="1" x14ac:dyDescent="0.2">
      <c r="A382" s="1787"/>
      <c r="B382" s="1645"/>
      <c r="C382" s="1645"/>
      <c r="D382" s="166"/>
      <c r="E382" s="166"/>
      <c r="F382" s="465"/>
      <c r="G382" s="438"/>
      <c r="H382" s="166"/>
      <c r="I382" s="1774"/>
      <c r="J382" s="1814" t="s">
        <v>1083</v>
      </c>
      <c r="K382" s="1814"/>
    </row>
    <row r="383" spans="1:11" ht="18.75" hidden="1" customHeight="1" x14ac:dyDescent="0.2">
      <c r="A383" s="1787"/>
      <c r="B383" s="1645"/>
      <c r="C383" s="1645"/>
      <c r="D383" s="166"/>
      <c r="E383" s="166"/>
      <c r="F383" s="468">
        <v>9460</v>
      </c>
      <c r="G383" s="438"/>
      <c r="H383" s="166">
        <v>9460</v>
      </c>
      <c r="I383" s="1774"/>
      <c r="J383" s="1791" t="s">
        <v>1084</v>
      </c>
      <c r="K383" s="1791"/>
    </row>
    <row r="384" spans="1:11" ht="29.25" hidden="1" customHeight="1" x14ac:dyDescent="0.2">
      <c r="A384" s="1787"/>
      <c r="B384" s="1645"/>
      <c r="C384" s="1645"/>
      <c r="D384" s="166"/>
      <c r="E384" s="166"/>
      <c r="F384" s="468">
        <v>36800</v>
      </c>
      <c r="G384" s="438"/>
      <c r="H384" s="166">
        <v>36800</v>
      </c>
      <c r="I384" s="1774"/>
      <c r="J384" s="1791" t="s">
        <v>1085</v>
      </c>
      <c r="K384" s="1791"/>
    </row>
    <row r="385" spans="1:11" ht="15.75" hidden="1" customHeight="1" x14ac:dyDescent="0.2">
      <c r="A385" s="1787"/>
      <c r="B385" s="1645"/>
      <c r="C385" s="1645"/>
      <c r="D385" s="166"/>
      <c r="E385" s="166"/>
      <c r="F385" s="468">
        <v>1815</v>
      </c>
      <c r="G385" s="438"/>
      <c r="H385" s="166">
        <v>1815</v>
      </c>
      <c r="I385" s="1774"/>
      <c r="J385" s="1791" t="s">
        <v>1086</v>
      </c>
      <c r="K385" s="1791"/>
    </row>
    <row r="386" spans="1:11" ht="60.75" hidden="1" customHeight="1" x14ac:dyDescent="0.2">
      <c r="A386" s="1787"/>
      <c r="B386" s="1645"/>
      <c r="C386" s="1645"/>
      <c r="D386" s="166"/>
      <c r="E386" s="166"/>
      <c r="F386" s="468">
        <v>13224.816000000001</v>
      </c>
      <c r="G386" s="438"/>
      <c r="H386" s="166">
        <v>13225</v>
      </c>
      <c r="I386" s="1774"/>
      <c r="J386" s="1789" t="s">
        <v>1087</v>
      </c>
      <c r="K386" s="1789"/>
    </row>
    <row r="387" spans="1:11" ht="51" hidden="1" customHeight="1" x14ac:dyDescent="0.2">
      <c r="A387" s="1787"/>
      <c r="B387" s="1645"/>
      <c r="C387" s="1645"/>
      <c r="D387" s="166"/>
      <c r="E387" s="166"/>
      <c r="F387" s="468">
        <v>5488.56</v>
      </c>
      <c r="G387" s="438"/>
      <c r="H387" s="166"/>
      <c r="I387" s="1774"/>
      <c r="J387" s="1789" t="s">
        <v>1088</v>
      </c>
      <c r="K387" s="1789"/>
    </row>
    <row r="388" spans="1:11" ht="25.5" hidden="1" customHeight="1" x14ac:dyDescent="0.2">
      <c r="A388" s="1787"/>
      <c r="B388" s="1645"/>
      <c r="C388" s="1645"/>
      <c r="D388" s="166"/>
      <c r="E388" s="166"/>
      <c r="F388" s="468">
        <v>574.75</v>
      </c>
      <c r="G388" s="438"/>
      <c r="H388" s="166">
        <v>575</v>
      </c>
      <c r="I388" s="1774"/>
      <c r="J388" s="1777" t="s">
        <v>1089</v>
      </c>
      <c r="K388" s="1777"/>
    </row>
    <row r="389" spans="1:11" ht="15" hidden="1" customHeight="1" x14ac:dyDescent="0.2">
      <c r="A389" s="1787"/>
      <c r="B389" s="1645"/>
      <c r="C389" s="1645"/>
      <c r="D389" s="166"/>
      <c r="E389" s="166"/>
      <c r="F389" s="468">
        <v>7653.25</v>
      </c>
      <c r="G389" s="438"/>
      <c r="H389" s="166">
        <v>7653</v>
      </c>
      <c r="I389" s="1774"/>
      <c r="J389" s="1777" t="s">
        <v>1090</v>
      </c>
      <c r="K389" s="1777"/>
    </row>
    <row r="390" spans="1:11" ht="24" hidden="1" customHeight="1" x14ac:dyDescent="0.2">
      <c r="A390" s="1787"/>
      <c r="B390" s="1645"/>
      <c r="C390" s="1645"/>
      <c r="D390" s="166"/>
      <c r="E390" s="166"/>
      <c r="F390" s="468">
        <v>1176.1199999999999</v>
      </c>
      <c r="G390" s="438"/>
      <c r="H390" s="166">
        <v>1176</v>
      </c>
      <c r="I390" s="1774"/>
      <c r="J390" s="1789" t="s">
        <v>1091</v>
      </c>
      <c r="K390" s="1789"/>
    </row>
    <row r="391" spans="1:11" ht="24" hidden="1" customHeight="1" x14ac:dyDescent="0.2">
      <c r="A391" s="1787"/>
      <c r="B391" s="1645"/>
      <c r="C391" s="1645"/>
      <c r="D391" s="166"/>
      <c r="E391" s="166"/>
      <c r="F391" s="468">
        <v>919.56</v>
      </c>
      <c r="G391" s="438"/>
      <c r="H391" s="166">
        <v>920</v>
      </c>
      <c r="I391" s="1774"/>
      <c r="J391" s="1805" t="s">
        <v>1092</v>
      </c>
      <c r="K391" s="1806"/>
    </row>
    <row r="392" spans="1:11" ht="44.25" hidden="1" customHeight="1" x14ac:dyDescent="0.2">
      <c r="A392" s="1787"/>
      <c r="B392" s="1645"/>
      <c r="C392" s="1645"/>
      <c r="D392" s="166"/>
      <c r="E392" s="166"/>
      <c r="F392" s="468">
        <v>4658.5</v>
      </c>
      <c r="G392" s="438"/>
      <c r="H392" s="166"/>
      <c r="I392" s="1774"/>
      <c r="J392" s="1789" t="s">
        <v>1093</v>
      </c>
      <c r="K392" s="1789"/>
    </row>
    <row r="393" spans="1:11" ht="42.75" hidden="1" customHeight="1" x14ac:dyDescent="0.2">
      <c r="A393" s="1787"/>
      <c r="B393" s="1645"/>
      <c r="C393" s="1645"/>
      <c r="D393" s="166"/>
      <c r="E393" s="166"/>
      <c r="F393" s="468">
        <v>10285</v>
      </c>
      <c r="G393" s="438"/>
      <c r="H393" s="166"/>
      <c r="I393" s="1774"/>
      <c r="J393" s="1789" t="s">
        <v>1094</v>
      </c>
      <c r="K393" s="1789"/>
    </row>
    <row r="394" spans="1:11" x14ac:dyDescent="0.2">
      <c r="A394" s="1773">
        <v>5</v>
      </c>
      <c r="B394" s="1645" t="s">
        <v>1095</v>
      </c>
      <c r="C394" s="1645"/>
      <c r="D394" s="166">
        <v>2854</v>
      </c>
      <c r="E394" s="166">
        <v>0</v>
      </c>
      <c r="F394" s="252">
        <f>SUM(F395:F400)</f>
        <v>42294.608999999997</v>
      </c>
      <c r="G394" s="1180">
        <v>5250</v>
      </c>
      <c r="H394" s="166">
        <f>SUM(H395:H400)</f>
        <v>8000</v>
      </c>
      <c r="I394" s="1774"/>
      <c r="J394" s="437"/>
      <c r="K394" s="437"/>
    </row>
    <row r="395" spans="1:11" ht="12" hidden="1" customHeight="1" x14ac:dyDescent="0.2">
      <c r="A395" s="1773"/>
      <c r="B395" s="1645"/>
      <c r="C395" s="1645"/>
      <c r="D395" s="166"/>
      <c r="E395" s="166"/>
      <c r="F395" s="509">
        <v>2854</v>
      </c>
      <c r="G395" s="438"/>
      <c r="H395" s="166"/>
      <c r="I395" s="1774"/>
      <c r="J395" s="1769" t="s">
        <v>1096</v>
      </c>
      <c r="K395" s="1769"/>
    </row>
    <row r="396" spans="1:11" ht="12" hidden="1" customHeight="1" x14ac:dyDescent="0.2">
      <c r="A396" s="1773"/>
      <c r="B396" s="1645"/>
      <c r="C396" s="1645"/>
      <c r="D396" s="166"/>
      <c r="E396" s="166"/>
      <c r="F396" s="509">
        <v>4200</v>
      </c>
      <c r="G396" s="438"/>
      <c r="H396" s="166"/>
      <c r="I396" s="1774"/>
      <c r="J396" s="1769" t="s">
        <v>1097</v>
      </c>
      <c r="K396" s="1769"/>
    </row>
    <row r="397" spans="1:11" ht="12" hidden="1" customHeight="1" x14ac:dyDescent="0.2">
      <c r="A397" s="1773"/>
      <c r="B397" s="1645"/>
      <c r="C397" s="1645"/>
      <c r="D397" s="166"/>
      <c r="E397" s="166"/>
      <c r="F397" s="509"/>
      <c r="G397" s="438"/>
      <c r="H397" s="166"/>
      <c r="I397" s="1774"/>
      <c r="J397" s="1775" t="s">
        <v>1098</v>
      </c>
      <c r="K397" s="1775"/>
    </row>
    <row r="398" spans="1:11" ht="12" hidden="1" customHeight="1" x14ac:dyDescent="0.2">
      <c r="A398" s="1773"/>
      <c r="B398" s="1645"/>
      <c r="C398" s="1645"/>
      <c r="D398" s="166"/>
      <c r="E398" s="166"/>
      <c r="F398" s="509">
        <v>15624.609</v>
      </c>
      <c r="G398" s="438"/>
      <c r="H398" s="166"/>
      <c r="I398" s="1774"/>
      <c r="J398" s="1776" t="s">
        <v>1099</v>
      </c>
      <c r="K398" s="1776"/>
    </row>
    <row r="399" spans="1:11" ht="23.25" hidden="1" customHeight="1" x14ac:dyDescent="0.2">
      <c r="A399" s="1773"/>
      <c r="B399" s="1645"/>
      <c r="C399" s="1645"/>
      <c r="D399" s="166"/>
      <c r="E399" s="166"/>
      <c r="F399" s="509">
        <v>11616</v>
      </c>
      <c r="G399" s="438"/>
      <c r="H399" s="166"/>
      <c r="I399" s="1774"/>
      <c r="J399" s="1777" t="s">
        <v>1100</v>
      </c>
      <c r="K399" s="1777"/>
    </row>
    <row r="400" spans="1:11" ht="12" hidden="1" customHeight="1" x14ac:dyDescent="0.2">
      <c r="A400" s="1773"/>
      <c r="B400" s="1645"/>
      <c r="C400" s="1645"/>
      <c r="D400" s="166"/>
      <c r="E400" s="166"/>
      <c r="F400" s="509">
        <v>8000</v>
      </c>
      <c r="G400" s="438"/>
      <c r="H400" s="166">
        <v>8000</v>
      </c>
      <c r="I400" s="1774"/>
      <c r="J400" s="1754" t="s">
        <v>1101</v>
      </c>
      <c r="K400" s="1754"/>
    </row>
    <row r="401" spans="1:11" ht="19.5" hidden="1" customHeight="1" x14ac:dyDescent="0.2">
      <c r="A401" s="1773">
        <v>7</v>
      </c>
      <c r="B401" s="1645" t="s">
        <v>1102</v>
      </c>
      <c r="C401" s="1645"/>
      <c r="D401" s="166">
        <v>0</v>
      </c>
      <c r="E401" s="166">
        <v>0</v>
      </c>
      <c r="F401" s="252">
        <f>SUM(F402:F414)</f>
        <v>127382.024</v>
      </c>
      <c r="G401" s="1180">
        <v>5250</v>
      </c>
      <c r="H401" s="166">
        <f>SUM(H402:H414)</f>
        <v>0</v>
      </c>
      <c r="I401" s="1774"/>
      <c r="J401" s="1812" t="s">
        <v>1103</v>
      </c>
      <c r="K401" s="1812"/>
    </row>
    <row r="402" spans="1:11" ht="19.5" hidden="1" customHeight="1" x14ac:dyDescent="0.2">
      <c r="A402" s="1773"/>
      <c r="B402" s="1645"/>
      <c r="C402" s="1645"/>
      <c r="D402" s="166"/>
      <c r="E402" s="166"/>
      <c r="F402" s="509">
        <v>6335.56</v>
      </c>
      <c r="G402" s="438"/>
      <c r="H402" s="166"/>
      <c r="I402" s="1774"/>
      <c r="J402" s="1776" t="s">
        <v>1104</v>
      </c>
      <c r="K402" s="1776"/>
    </row>
    <row r="403" spans="1:11" ht="57.75" hidden="1" customHeight="1" x14ac:dyDescent="0.2">
      <c r="A403" s="1773"/>
      <c r="B403" s="1645"/>
      <c r="C403" s="1645"/>
      <c r="D403" s="166"/>
      <c r="E403" s="166"/>
      <c r="F403" s="509">
        <v>0</v>
      </c>
      <c r="G403" s="438"/>
      <c r="H403" s="166"/>
      <c r="I403" s="1774"/>
      <c r="J403" s="1813" t="s">
        <v>1105</v>
      </c>
      <c r="K403" s="1813"/>
    </row>
    <row r="404" spans="1:11" ht="27.75" hidden="1" customHeight="1" x14ac:dyDescent="0.2">
      <c r="A404" s="1773"/>
      <c r="B404" s="1645"/>
      <c r="C404" s="1645"/>
      <c r="D404" s="166"/>
      <c r="E404" s="166"/>
      <c r="F404" s="509">
        <v>19904.5</v>
      </c>
      <c r="G404" s="438"/>
      <c r="H404" s="166"/>
      <c r="I404" s="1774"/>
      <c r="J404" s="1813" t="s">
        <v>1106</v>
      </c>
      <c r="K404" s="1813"/>
    </row>
    <row r="405" spans="1:11" ht="22.5" hidden="1" customHeight="1" x14ac:dyDescent="0.2">
      <c r="A405" s="1773"/>
      <c r="B405" s="1645"/>
      <c r="C405" s="1645"/>
      <c r="D405" s="166"/>
      <c r="E405" s="166"/>
      <c r="F405" s="509">
        <v>21695.3</v>
      </c>
      <c r="G405" s="438"/>
      <c r="H405" s="166"/>
      <c r="I405" s="1774"/>
      <c r="J405" s="1813" t="s">
        <v>1107</v>
      </c>
      <c r="K405" s="1813"/>
    </row>
    <row r="406" spans="1:11" ht="24.75" hidden="1" customHeight="1" x14ac:dyDescent="0.2">
      <c r="A406" s="1773"/>
      <c r="B406" s="1645"/>
      <c r="C406" s="1645"/>
      <c r="D406" s="166"/>
      <c r="E406" s="166"/>
      <c r="F406" s="509">
        <v>9498.5</v>
      </c>
      <c r="G406" s="438"/>
      <c r="H406" s="166"/>
      <c r="I406" s="1774"/>
      <c r="J406" s="1777" t="s">
        <v>1108</v>
      </c>
      <c r="K406" s="1777"/>
    </row>
    <row r="407" spans="1:11" ht="23.25" hidden="1" customHeight="1" x14ac:dyDescent="0.2">
      <c r="A407" s="1773"/>
      <c r="B407" s="1645"/>
      <c r="C407" s="1645"/>
      <c r="D407" s="166"/>
      <c r="E407" s="166"/>
      <c r="F407" s="509">
        <v>5844.3</v>
      </c>
      <c r="G407" s="438"/>
      <c r="H407" s="166"/>
      <c r="I407" s="1774"/>
      <c r="J407" s="1776" t="s">
        <v>1109</v>
      </c>
      <c r="K407" s="1776"/>
    </row>
    <row r="408" spans="1:11" ht="12" hidden="1" customHeight="1" x14ac:dyDescent="0.2">
      <c r="A408" s="1773"/>
      <c r="B408" s="1645"/>
      <c r="C408" s="1645"/>
      <c r="D408" s="166"/>
      <c r="E408" s="166"/>
      <c r="F408" s="509">
        <v>12301.343999999999</v>
      </c>
      <c r="G408" s="438"/>
      <c r="H408" s="166"/>
      <c r="I408" s="1774"/>
      <c r="J408" s="1777" t="s">
        <v>1110</v>
      </c>
      <c r="K408" s="1777"/>
    </row>
    <row r="409" spans="1:11" ht="12" hidden="1" customHeight="1" x14ac:dyDescent="0.2">
      <c r="A409" s="1773"/>
      <c r="B409" s="1645"/>
      <c r="C409" s="1645"/>
      <c r="D409" s="166"/>
      <c r="E409" s="166"/>
      <c r="F409" s="509">
        <v>19061.856</v>
      </c>
      <c r="G409" s="438"/>
      <c r="H409" s="166"/>
      <c r="I409" s="1774"/>
      <c r="J409" s="1777" t="s">
        <v>1111</v>
      </c>
      <c r="K409" s="1777"/>
    </row>
    <row r="410" spans="1:11" ht="12" hidden="1" customHeight="1" x14ac:dyDescent="0.2">
      <c r="A410" s="1773"/>
      <c r="B410" s="1645"/>
      <c r="C410" s="1645"/>
      <c r="D410" s="166"/>
      <c r="E410" s="166"/>
      <c r="F410" s="509">
        <v>9051.0419999999995</v>
      </c>
      <c r="G410" s="438"/>
      <c r="H410" s="166"/>
      <c r="I410" s="1774"/>
      <c r="J410" s="1777" t="s">
        <v>1111</v>
      </c>
      <c r="K410" s="1777"/>
    </row>
    <row r="411" spans="1:11" ht="12" hidden="1" customHeight="1" x14ac:dyDescent="0.2">
      <c r="A411" s="1773"/>
      <c r="B411" s="1645"/>
      <c r="C411" s="1645"/>
      <c r="D411" s="166"/>
      <c r="E411" s="166"/>
      <c r="F411" s="509">
        <v>3547.4780000000001</v>
      </c>
      <c r="G411" s="438"/>
      <c r="H411" s="166"/>
      <c r="I411" s="1774"/>
      <c r="J411" s="1777" t="s">
        <v>1112</v>
      </c>
      <c r="K411" s="1777"/>
    </row>
    <row r="412" spans="1:11" ht="12" hidden="1" customHeight="1" x14ac:dyDescent="0.2">
      <c r="A412" s="1773"/>
      <c r="B412" s="1645"/>
      <c r="C412" s="1645"/>
      <c r="D412" s="166"/>
      <c r="E412" s="166"/>
      <c r="F412" s="509">
        <v>1184.8320000000001</v>
      </c>
      <c r="G412" s="438"/>
      <c r="H412" s="166"/>
      <c r="I412" s="1774"/>
      <c r="J412" s="1777" t="s">
        <v>1112</v>
      </c>
      <c r="K412" s="1777"/>
    </row>
    <row r="413" spans="1:11" ht="12" hidden="1" customHeight="1" x14ac:dyDescent="0.2">
      <c r="A413" s="1773"/>
      <c r="B413" s="1645"/>
      <c r="C413" s="1645"/>
      <c r="D413" s="166"/>
      <c r="E413" s="166"/>
      <c r="F413" s="509">
        <v>15402.816000000001</v>
      </c>
      <c r="G413" s="438"/>
      <c r="H413" s="166"/>
      <c r="I413" s="1774"/>
      <c r="J413" s="1777" t="s">
        <v>1113</v>
      </c>
      <c r="K413" s="1777"/>
    </row>
    <row r="414" spans="1:11" ht="73.5" hidden="1" customHeight="1" x14ac:dyDescent="0.2">
      <c r="A414" s="1773"/>
      <c r="B414" s="1645"/>
      <c r="C414" s="1645"/>
      <c r="D414" s="166"/>
      <c r="E414" s="166"/>
      <c r="F414" s="509">
        <v>3554.4960000000001</v>
      </c>
      <c r="G414" s="438"/>
      <c r="H414" s="166"/>
      <c r="I414" s="1774"/>
      <c r="J414" s="1777" t="s">
        <v>1113</v>
      </c>
      <c r="K414" s="1777"/>
    </row>
    <row r="415" spans="1:11" x14ac:dyDescent="0.2">
      <c r="A415" s="1773">
        <v>6</v>
      </c>
      <c r="B415" s="1645" t="s">
        <v>1114</v>
      </c>
      <c r="C415" s="1645"/>
      <c r="D415" s="166">
        <v>12721</v>
      </c>
      <c r="E415" s="166">
        <f>12679.47+3000</f>
        <v>15679.47</v>
      </c>
      <c r="F415" s="253">
        <f>SUM(F416:F425)</f>
        <v>510278.2</v>
      </c>
      <c r="G415" s="1180">
        <v>5250</v>
      </c>
      <c r="H415" s="166">
        <f>SUM(H416:H425)</f>
        <v>388920</v>
      </c>
      <c r="I415" s="1774"/>
      <c r="J415" s="1768"/>
      <c r="K415" s="1768"/>
    </row>
    <row r="416" spans="1:11" ht="12" hidden="1" customHeight="1" x14ac:dyDescent="0.2">
      <c r="A416" s="1773"/>
      <c r="B416" s="1645"/>
      <c r="C416" s="1645"/>
      <c r="D416" s="166"/>
      <c r="E416" s="166"/>
      <c r="F416" s="468"/>
      <c r="G416" s="438"/>
      <c r="H416" s="166"/>
      <c r="I416" s="1774"/>
      <c r="J416" s="1801" t="s">
        <v>1115</v>
      </c>
      <c r="K416" s="1801"/>
    </row>
    <row r="417" spans="1:11" ht="48" hidden="1" customHeight="1" x14ac:dyDescent="0.2">
      <c r="A417" s="1773"/>
      <c r="B417" s="1645"/>
      <c r="C417" s="1645"/>
      <c r="D417" s="166"/>
      <c r="E417" s="166"/>
      <c r="F417" s="510">
        <v>14520</v>
      </c>
      <c r="G417" s="438"/>
      <c r="H417" s="166">
        <v>14520</v>
      </c>
      <c r="I417" s="1774"/>
      <c r="J417" s="1809" t="s">
        <v>1116</v>
      </c>
      <c r="K417" s="1809"/>
    </row>
    <row r="418" spans="1:11" ht="12" hidden="1" customHeight="1" x14ac:dyDescent="0.2">
      <c r="A418" s="1773"/>
      <c r="B418" s="1645"/>
      <c r="C418" s="1645"/>
      <c r="D418" s="166"/>
      <c r="E418" s="166"/>
      <c r="F418" s="510">
        <v>54400</v>
      </c>
      <c r="G418" s="438"/>
      <c r="H418" s="166">
        <v>54400</v>
      </c>
      <c r="I418" s="1774"/>
      <c r="J418" s="1810" t="s">
        <v>1117</v>
      </c>
      <c r="K418" s="1811"/>
    </row>
    <row r="419" spans="1:11" ht="39.75" hidden="1" customHeight="1" x14ac:dyDescent="0.2">
      <c r="A419" s="1773"/>
      <c r="B419" s="1645"/>
      <c r="C419" s="1645"/>
      <c r="D419" s="166"/>
      <c r="E419" s="166"/>
      <c r="F419" s="510">
        <v>65340</v>
      </c>
      <c r="G419" s="438"/>
      <c r="H419" s="166"/>
      <c r="I419" s="1774"/>
      <c r="J419" s="1809" t="s">
        <v>1118</v>
      </c>
      <c r="K419" s="1809"/>
    </row>
    <row r="420" spans="1:11" ht="21" hidden="1" customHeight="1" x14ac:dyDescent="0.2">
      <c r="A420" s="1773"/>
      <c r="B420" s="1645"/>
      <c r="C420" s="1645"/>
      <c r="D420" s="166"/>
      <c r="E420" s="166"/>
      <c r="F420" s="510">
        <v>16160.8</v>
      </c>
      <c r="G420" s="438"/>
      <c r="H420" s="166"/>
      <c r="I420" s="1774"/>
      <c r="J420" s="1809" t="s">
        <v>1119</v>
      </c>
      <c r="K420" s="1809"/>
    </row>
    <row r="421" spans="1:11" ht="36" hidden="1" customHeight="1" x14ac:dyDescent="0.2">
      <c r="A421" s="1773"/>
      <c r="B421" s="1645"/>
      <c r="C421" s="1645"/>
      <c r="D421" s="166"/>
      <c r="E421" s="166"/>
      <c r="F421" s="510">
        <v>4235</v>
      </c>
      <c r="G421" s="438"/>
      <c r="H421" s="166"/>
      <c r="I421" s="1774"/>
      <c r="J421" s="1809" t="s">
        <v>1120</v>
      </c>
      <c r="K421" s="1809"/>
    </row>
    <row r="422" spans="1:11" ht="21" hidden="1" customHeight="1" x14ac:dyDescent="0.2">
      <c r="A422" s="1773"/>
      <c r="B422" s="1645"/>
      <c r="C422" s="1645"/>
      <c r="D422" s="166"/>
      <c r="E422" s="166"/>
      <c r="F422" s="510">
        <v>19989.2</v>
      </c>
      <c r="G422" s="438"/>
      <c r="H422" s="166"/>
      <c r="I422" s="1774"/>
      <c r="J422" s="1809" t="s">
        <v>1121</v>
      </c>
      <c r="K422" s="1809"/>
    </row>
    <row r="423" spans="1:11" ht="48.75" hidden="1" customHeight="1" x14ac:dyDescent="0.2">
      <c r="A423" s="1773"/>
      <c r="B423" s="1645"/>
      <c r="C423" s="1645"/>
      <c r="D423" s="166"/>
      <c r="E423" s="166"/>
      <c r="F423" s="510">
        <v>300000</v>
      </c>
      <c r="G423" s="438"/>
      <c r="H423" s="166">
        <v>300000</v>
      </c>
      <c r="I423" s="1774"/>
      <c r="J423" s="1809" t="s">
        <v>1122</v>
      </c>
      <c r="K423" s="1809"/>
    </row>
    <row r="424" spans="1:11" ht="12" hidden="1" customHeight="1" x14ac:dyDescent="0.2">
      <c r="A424" s="1773"/>
      <c r="B424" s="1645"/>
      <c r="C424" s="1645"/>
      <c r="D424" s="166"/>
      <c r="E424" s="166"/>
      <c r="F424" s="510">
        <v>20000</v>
      </c>
      <c r="G424" s="438"/>
      <c r="H424" s="166">
        <v>20000</v>
      </c>
      <c r="I424" s="1774"/>
      <c r="J424" s="1810" t="s">
        <v>1123</v>
      </c>
      <c r="K424" s="1811"/>
    </row>
    <row r="425" spans="1:11" ht="21" hidden="1" customHeight="1" x14ac:dyDescent="0.2">
      <c r="A425" s="1773"/>
      <c r="B425" s="1645"/>
      <c r="C425" s="1645"/>
      <c r="D425" s="166"/>
      <c r="E425" s="166"/>
      <c r="F425" s="510">
        <v>15633.2</v>
      </c>
      <c r="G425" s="438"/>
      <c r="H425" s="166"/>
      <c r="I425" s="1774"/>
      <c r="J425" s="1809" t="s">
        <v>1121</v>
      </c>
      <c r="K425" s="1809"/>
    </row>
    <row r="426" spans="1:11" x14ac:dyDescent="0.2">
      <c r="A426" s="1773">
        <v>7</v>
      </c>
      <c r="B426" s="1645" t="s">
        <v>1124</v>
      </c>
      <c r="C426" s="1645"/>
      <c r="D426" s="166">
        <v>34327</v>
      </c>
      <c r="E426" s="166">
        <v>34326.51</v>
      </c>
      <c r="F426" s="253">
        <f>SUM(F427:F437)</f>
        <v>273519.73199999996</v>
      </c>
      <c r="G426" s="1180">
        <v>5250</v>
      </c>
      <c r="H426" s="166">
        <f>SUM(H427:H437)</f>
        <v>138424</v>
      </c>
      <c r="I426" s="1774"/>
      <c r="J426" s="1801" t="s">
        <v>1125</v>
      </c>
      <c r="K426" s="1801"/>
    </row>
    <row r="427" spans="1:11" ht="39" hidden="1" customHeight="1" x14ac:dyDescent="0.2">
      <c r="A427" s="1773"/>
      <c r="B427" s="1645"/>
      <c r="C427" s="1645"/>
      <c r="D427" s="166"/>
      <c r="E427" s="166"/>
      <c r="F427" s="506">
        <v>48424.2</v>
      </c>
      <c r="G427" s="438"/>
      <c r="H427" s="166">
        <v>48424</v>
      </c>
      <c r="I427" s="1774"/>
      <c r="J427" s="1808" t="s">
        <v>1126</v>
      </c>
      <c r="K427" s="1808"/>
    </row>
    <row r="428" spans="1:11" ht="24.75" hidden="1" customHeight="1" x14ac:dyDescent="0.2">
      <c r="A428" s="1773"/>
      <c r="B428" s="1645"/>
      <c r="C428" s="1645"/>
      <c r="D428" s="166"/>
      <c r="E428" s="166"/>
      <c r="F428" s="506">
        <v>15874.716</v>
      </c>
      <c r="G428" s="438"/>
      <c r="H428" s="166"/>
      <c r="I428" s="1774"/>
      <c r="J428" s="1808" t="s">
        <v>1127</v>
      </c>
      <c r="K428" s="1808"/>
    </row>
    <row r="429" spans="1:11" ht="25.5" hidden="1" customHeight="1" x14ac:dyDescent="0.2">
      <c r="A429" s="1773"/>
      <c r="B429" s="1645"/>
      <c r="C429" s="1645"/>
      <c r="D429" s="166"/>
      <c r="E429" s="166"/>
      <c r="F429" s="506">
        <v>9137.4359999999997</v>
      </c>
      <c r="G429" s="438"/>
      <c r="H429" s="166"/>
      <c r="I429" s="1774"/>
      <c r="J429" s="1808" t="s">
        <v>1128</v>
      </c>
      <c r="K429" s="1808"/>
    </row>
    <row r="430" spans="1:11" ht="12" hidden="1" customHeight="1" x14ac:dyDescent="0.2">
      <c r="A430" s="1773"/>
      <c r="B430" s="1645"/>
      <c r="C430" s="1645"/>
      <c r="D430" s="166"/>
      <c r="E430" s="166"/>
      <c r="F430" s="506"/>
      <c r="G430" s="438"/>
      <c r="H430" s="252"/>
      <c r="I430" s="1774"/>
      <c r="J430" s="1801" t="s">
        <v>1129</v>
      </c>
      <c r="K430" s="1768"/>
    </row>
    <row r="431" spans="1:11" ht="12" hidden="1" customHeight="1" x14ac:dyDescent="0.2">
      <c r="A431" s="1773"/>
      <c r="B431" s="1645"/>
      <c r="C431" s="1645"/>
      <c r="D431" s="166"/>
      <c r="E431" s="166"/>
      <c r="F431" s="506">
        <v>22767.360000000001</v>
      </c>
      <c r="G431" s="438"/>
      <c r="H431" s="252"/>
      <c r="I431" s="1774"/>
      <c r="J431" s="1789" t="s">
        <v>1130</v>
      </c>
      <c r="K431" s="1789"/>
    </row>
    <row r="432" spans="1:11" ht="12" hidden="1" customHeight="1" x14ac:dyDescent="0.2">
      <c r="A432" s="1773"/>
      <c r="B432" s="1645"/>
      <c r="C432" s="1645"/>
      <c r="D432" s="166"/>
      <c r="E432" s="166"/>
      <c r="F432" s="506">
        <v>14316.72</v>
      </c>
      <c r="G432" s="438"/>
      <c r="H432" s="252"/>
      <c r="I432" s="1774"/>
      <c r="J432" s="1789" t="s">
        <v>1131</v>
      </c>
      <c r="K432" s="1789"/>
    </row>
    <row r="433" spans="1:12" ht="34.5" hidden="1" customHeight="1" x14ac:dyDescent="0.2">
      <c r="A433" s="1773"/>
      <c r="B433" s="1645"/>
      <c r="C433" s="1645"/>
      <c r="D433" s="166"/>
      <c r="E433" s="166"/>
      <c r="F433" s="506">
        <v>25860.12</v>
      </c>
      <c r="G433" s="438"/>
      <c r="H433" s="252"/>
      <c r="I433" s="1774"/>
      <c r="J433" s="1789" t="s">
        <v>1132</v>
      </c>
      <c r="K433" s="1789"/>
    </row>
    <row r="434" spans="1:12" ht="12" hidden="1" customHeight="1" x14ac:dyDescent="0.2">
      <c r="A434" s="1773"/>
      <c r="B434" s="1645"/>
      <c r="C434" s="1645"/>
      <c r="D434" s="166"/>
      <c r="E434" s="166"/>
      <c r="F434" s="506">
        <v>37897.199999999997</v>
      </c>
      <c r="G434" s="438"/>
      <c r="H434" s="252"/>
      <c r="I434" s="1774"/>
      <c r="J434" s="1789" t="s">
        <v>1029</v>
      </c>
      <c r="K434" s="1789"/>
    </row>
    <row r="435" spans="1:12" ht="24" hidden="1" customHeight="1" x14ac:dyDescent="0.2">
      <c r="A435" s="1773"/>
      <c r="B435" s="1645"/>
      <c r="C435" s="1645"/>
      <c r="D435" s="166"/>
      <c r="E435" s="166"/>
      <c r="F435" s="506">
        <v>3811.5</v>
      </c>
      <c r="G435" s="438"/>
      <c r="H435" s="252"/>
      <c r="I435" s="1774"/>
      <c r="J435" s="1789" t="s">
        <v>1133</v>
      </c>
      <c r="K435" s="1789"/>
    </row>
    <row r="436" spans="1:12" ht="23.25" hidden="1" customHeight="1" x14ac:dyDescent="0.2">
      <c r="A436" s="1773"/>
      <c r="B436" s="1645"/>
      <c r="C436" s="1645"/>
      <c r="D436" s="166"/>
      <c r="E436" s="166"/>
      <c r="F436" s="506">
        <v>90000</v>
      </c>
      <c r="G436" s="438"/>
      <c r="H436" s="252">
        <v>90000</v>
      </c>
      <c r="I436" s="1774"/>
      <c r="J436" s="1805" t="s">
        <v>1134</v>
      </c>
      <c r="K436" s="1806"/>
    </row>
    <row r="437" spans="1:12" ht="58.5" hidden="1" customHeight="1" x14ac:dyDescent="0.2">
      <c r="A437" s="1773"/>
      <c r="B437" s="1645"/>
      <c r="C437" s="1645"/>
      <c r="D437" s="166"/>
      <c r="E437" s="166"/>
      <c r="F437" s="506">
        <v>5430.48</v>
      </c>
      <c r="G437" s="438"/>
      <c r="H437" s="252"/>
      <c r="I437" s="1774"/>
      <c r="J437" s="1789" t="s">
        <v>1135</v>
      </c>
      <c r="K437" s="1789"/>
    </row>
    <row r="438" spans="1:12" x14ac:dyDescent="0.2">
      <c r="A438" s="1787">
        <v>8</v>
      </c>
      <c r="B438" s="1645" t="s">
        <v>1136</v>
      </c>
      <c r="C438" s="1645"/>
      <c r="D438" s="166">
        <v>53785</v>
      </c>
      <c r="E438" s="166">
        <v>50149</v>
      </c>
      <c r="F438" s="253">
        <f>SUM(F439:F448)</f>
        <v>73100.63</v>
      </c>
      <c r="G438" s="1180">
        <v>5250</v>
      </c>
      <c r="H438" s="166">
        <f>SUM(H439:H448)</f>
        <v>46740</v>
      </c>
      <c r="I438" s="1774"/>
      <c r="J438" s="1807"/>
      <c r="K438" s="1807"/>
      <c r="L438" s="430"/>
    </row>
    <row r="439" spans="1:12" ht="21" hidden="1" customHeight="1" x14ac:dyDescent="0.2">
      <c r="A439" s="1787"/>
      <c r="B439" s="1645"/>
      <c r="C439" s="1645"/>
      <c r="D439" s="166"/>
      <c r="E439" s="166"/>
      <c r="F439" s="431">
        <v>3636.5</v>
      </c>
      <c r="G439" s="438"/>
      <c r="H439" s="252">
        <v>3637</v>
      </c>
      <c r="I439" s="1774"/>
      <c r="J439" s="1754" t="s">
        <v>1137</v>
      </c>
      <c r="K439" s="1754"/>
    </row>
    <row r="440" spans="1:12" ht="12" hidden="1" customHeight="1" x14ac:dyDescent="0.2">
      <c r="A440" s="1787"/>
      <c r="B440" s="1645"/>
      <c r="C440" s="1645"/>
      <c r="D440" s="166"/>
      <c r="E440" s="166"/>
      <c r="F440" s="468">
        <v>4817.25</v>
      </c>
      <c r="G440" s="438"/>
      <c r="H440" s="252">
        <v>4818</v>
      </c>
      <c r="I440" s="1774"/>
      <c r="J440" s="511" t="s">
        <v>1138</v>
      </c>
      <c r="K440" s="512"/>
    </row>
    <row r="441" spans="1:12" ht="13.5" hidden="1" customHeight="1" x14ac:dyDescent="0.2">
      <c r="A441" s="1787"/>
      <c r="B441" s="1645"/>
      <c r="C441" s="1645"/>
      <c r="D441" s="166"/>
      <c r="E441" s="166"/>
      <c r="F441" s="468"/>
      <c r="G441" s="438"/>
      <c r="H441" s="252"/>
      <c r="I441" s="1774"/>
      <c r="J441" s="1801" t="s">
        <v>1139</v>
      </c>
      <c r="K441" s="1801"/>
    </row>
    <row r="442" spans="1:12" ht="57.75" hidden="1" customHeight="1" x14ac:dyDescent="0.2">
      <c r="A442" s="1787"/>
      <c r="B442" s="1645"/>
      <c r="C442" s="1645"/>
      <c r="D442" s="166"/>
      <c r="E442" s="166"/>
      <c r="F442" s="468">
        <v>4960</v>
      </c>
      <c r="G442" s="438"/>
      <c r="H442" s="252"/>
      <c r="I442" s="1774"/>
      <c r="J442" s="1802" t="s">
        <v>1140</v>
      </c>
      <c r="K442" s="1802"/>
    </row>
    <row r="443" spans="1:12" ht="72" hidden="1" customHeight="1" x14ac:dyDescent="0.2">
      <c r="A443" s="1787"/>
      <c r="B443" s="1645"/>
      <c r="C443" s="1645"/>
      <c r="D443" s="166"/>
      <c r="E443" s="166"/>
      <c r="F443" s="468">
        <v>14621.64</v>
      </c>
      <c r="G443" s="438"/>
      <c r="H443" s="252"/>
      <c r="I443" s="1774"/>
      <c r="J443" s="1802" t="s">
        <v>1141</v>
      </c>
      <c r="K443" s="1802"/>
    </row>
    <row r="444" spans="1:12" ht="12" hidden="1" customHeight="1" x14ac:dyDescent="0.2">
      <c r="A444" s="1787"/>
      <c r="B444" s="1645"/>
      <c r="C444" s="1645"/>
      <c r="D444" s="166"/>
      <c r="E444" s="166"/>
      <c r="F444" s="468">
        <v>34025.199999999997</v>
      </c>
      <c r="G444" s="438"/>
      <c r="H444" s="252">
        <v>34025</v>
      </c>
      <c r="I444" s="1774"/>
      <c r="J444" s="1796" t="s">
        <v>1142</v>
      </c>
      <c r="K444" s="1796"/>
    </row>
    <row r="445" spans="1:12" ht="27" hidden="1" customHeight="1" x14ac:dyDescent="0.2">
      <c r="A445" s="1787"/>
      <c r="B445" s="1645"/>
      <c r="C445" s="1645"/>
      <c r="D445" s="166"/>
      <c r="E445" s="166"/>
      <c r="F445" s="468">
        <v>4259.2</v>
      </c>
      <c r="G445" s="438"/>
      <c r="H445" s="252">
        <v>4260</v>
      </c>
      <c r="I445" s="1774"/>
      <c r="J445" s="1796" t="s">
        <v>1143</v>
      </c>
      <c r="K445" s="1796"/>
    </row>
    <row r="446" spans="1:12" ht="12" hidden="1" customHeight="1" x14ac:dyDescent="0.2">
      <c r="A446" s="1787"/>
      <c r="B446" s="1645"/>
      <c r="C446" s="1645"/>
      <c r="D446" s="166"/>
      <c r="E446" s="166"/>
      <c r="F446" s="468">
        <v>1510.08</v>
      </c>
      <c r="G446" s="438"/>
      <c r="H446" s="252"/>
      <c r="I446" s="1774"/>
      <c r="J446" s="1796" t="s">
        <v>1144</v>
      </c>
      <c r="K446" s="1796"/>
    </row>
    <row r="447" spans="1:12" ht="12" hidden="1" customHeight="1" x14ac:dyDescent="0.2">
      <c r="A447" s="1787"/>
      <c r="B447" s="1645"/>
      <c r="C447" s="1645"/>
      <c r="D447" s="166"/>
      <c r="E447" s="166"/>
      <c r="F447" s="468">
        <v>2112.66</v>
      </c>
      <c r="G447" s="438"/>
      <c r="H447" s="252"/>
      <c r="I447" s="1774"/>
      <c r="J447" s="1796" t="s">
        <v>1145</v>
      </c>
      <c r="K447" s="1796"/>
    </row>
    <row r="448" spans="1:12" ht="12" hidden="1" customHeight="1" x14ac:dyDescent="0.2">
      <c r="A448" s="1787"/>
      <c r="B448" s="1645"/>
      <c r="C448" s="1645"/>
      <c r="D448" s="166"/>
      <c r="E448" s="166"/>
      <c r="F448" s="468">
        <v>3158.1</v>
      </c>
      <c r="G448" s="438"/>
      <c r="H448" s="252"/>
      <c r="I448" s="1774"/>
      <c r="J448" s="1796" t="s">
        <v>1146</v>
      </c>
      <c r="K448" s="1796"/>
    </row>
    <row r="449" spans="1:11" ht="12" hidden="1" customHeight="1" x14ac:dyDescent="0.2">
      <c r="A449" s="1787">
        <v>11</v>
      </c>
      <c r="B449" s="1645" t="s">
        <v>1147</v>
      </c>
      <c r="C449" s="1645"/>
      <c r="D449" s="166">
        <v>25484</v>
      </c>
      <c r="E449" s="166">
        <v>23760.31</v>
      </c>
      <c r="F449" s="253">
        <f>SUM(F450:F456)</f>
        <v>329664</v>
      </c>
      <c r="G449" s="1180">
        <v>5250</v>
      </c>
      <c r="H449" s="166">
        <f>SUM(H450:H456)</f>
        <v>0</v>
      </c>
      <c r="I449" s="1774"/>
      <c r="J449" s="1801" t="s">
        <v>1148</v>
      </c>
      <c r="K449" s="1756"/>
    </row>
    <row r="450" spans="1:11" ht="47.25" hidden="1" customHeight="1" x14ac:dyDescent="0.2">
      <c r="A450" s="1787"/>
      <c r="B450" s="1645"/>
      <c r="C450" s="1645"/>
      <c r="D450" s="166"/>
      <c r="E450" s="166"/>
      <c r="F450" s="513">
        <v>60500</v>
      </c>
      <c r="G450" s="438"/>
      <c r="H450" s="166"/>
      <c r="I450" s="1774"/>
      <c r="J450" s="1803" t="s">
        <v>1149</v>
      </c>
      <c r="K450" s="1803"/>
    </row>
    <row r="451" spans="1:11" ht="20.25" hidden="1" customHeight="1" x14ac:dyDescent="0.2">
      <c r="A451" s="1787"/>
      <c r="B451" s="1645"/>
      <c r="C451" s="1645"/>
      <c r="D451" s="166"/>
      <c r="E451" s="166"/>
      <c r="F451" s="513">
        <v>36300</v>
      </c>
      <c r="G451" s="438"/>
      <c r="H451" s="166"/>
      <c r="I451" s="1774"/>
      <c r="J451" s="1803" t="s">
        <v>1150</v>
      </c>
      <c r="K451" s="1803"/>
    </row>
    <row r="452" spans="1:11" ht="29.25" hidden="1" customHeight="1" x14ac:dyDescent="0.2">
      <c r="A452" s="1787"/>
      <c r="B452" s="1645"/>
      <c r="C452" s="1645"/>
      <c r="D452" s="166"/>
      <c r="E452" s="166"/>
      <c r="F452" s="514">
        <v>32004</v>
      </c>
      <c r="G452" s="438"/>
      <c r="H452" s="166"/>
      <c r="I452" s="1774"/>
      <c r="J452" s="1804" t="s">
        <v>1151</v>
      </c>
      <c r="K452" s="1804"/>
    </row>
    <row r="453" spans="1:11" ht="38.25" hidden="1" customHeight="1" x14ac:dyDescent="0.2">
      <c r="A453" s="1787"/>
      <c r="B453" s="1645"/>
      <c r="C453" s="1645"/>
      <c r="D453" s="166"/>
      <c r="E453" s="166"/>
      <c r="F453" s="514">
        <v>26620</v>
      </c>
      <c r="G453" s="438"/>
      <c r="H453" s="166"/>
      <c r="I453" s="1774"/>
      <c r="J453" s="1797" t="s">
        <v>1152</v>
      </c>
      <c r="K453" s="1797"/>
    </row>
    <row r="454" spans="1:11" ht="30" hidden="1" customHeight="1" x14ac:dyDescent="0.2">
      <c r="A454" s="1787"/>
      <c r="B454" s="1645"/>
      <c r="C454" s="1645"/>
      <c r="D454" s="166"/>
      <c r="E454" s="166"/>
      <c r="F454" s="514">
        <v>55660</v>
      </c>
      <c r="G454" s="438"/>
      <c r="H454" s="166"/>
      <c r="I454" s="1774"/>
      <c r="J454" s="1797" t="s">
        <v>1153</v>
      </c>
      <c r="K454" s="1797"/>
    </row>
    <row r="455" spans="1:11" ht="45" hidden="1" customHeight="1" x14ac:dyDescent="0.2">
      <c r="A455" s="1787"/>
      <c r="B455" s="1645"/>
      <c r="C455" s="1645"/>
      <c r="D455" s="166"/>
      <c r="E455" s="166"/>
      <c r="F455" s="514">
        <v>33880</v>
      </c>
      <c r="G455" s="438"/>
      <c r="H455" s="166"/>
      <c r="I455" s="1774"/>
      <c r="J455" s="1797" t="s">
        <v>1154</v>
      </c>
      <c r="K455" s="1797"/>
    </row>
    <row r="456" spans="1:11" ht="42.75" hidden="1" customHeight="1" x14ac:dyDescent="0.2">
      <c r="A456" s="1787"/>
      <c r="B456" s="1645"/>
      <c r="C456" s="1645"/>
      <c r="D456" s="166"/>
      <c r="E456" s="166"/>
      <c r="F456" s="514">
        <v>84700</v>
      </c>
      <c r="G456" s="438"/>
      <c r="H456" s="166"/>
      <c r="I456" s="1774"/>
      <c r="J456" s="1798" t="s">
        <v>1155</v>
      </c>
      <c r="K456" s="1798"/>
    </row>
    <row r="457" spans="1:11" x14ac:dyDescent="0.2">
      <c r="A457" s="1773">
        <v>9</v>
      </c>
      <c r="B457" s="1645" t="s">
        <v>285</v>
      </c>
      <c r="C457" s="1645"/>
      <c r="D457" s="166">
        <v>24879</v>
      </c>
      <c r="E457" s="166">
        <f>19754+4443.09+680</f>
        <v>24877.09</v>
      </c>
      <c r="F457" s="253">
        <f>SUM(F458:F468)</f>
        <v>27463.34</v>
      </c>
      <c r="G457" s="1180">
        <v>5250</v>
      </c>
      <c r="H457" s="166">
        <f>SUM(H458:H468)</f>
        <v>7583</v>
      </c>
      <c r="I457" s="1774"/>
      <c r="J457" s="1799"/>
      <c r="K457" s="1800"/>
    </row>
    <row r="458" spans="1:11" ht="12" hidden="1" customHeight="1" x14ac:dyDescent="0.2">
      <c r="A458" s="1773"/>
      <c r="B458" s="1645"/>
      <c r="C458" s="1645"/>
      <c r="D458" s="166"/>
      <c r="E458" s="166"/>
      <c r="F458" s="465"/>
      <c r="G458" s="438"/>
      <c r="H458" s="252"/>
      <c r="I458" s="1774"/>
      <c r="J458" s="1801" t="s">
        <v>1156</v>
      </c>
      <c r="K458" s="1801"/>
    </row>
    <row r="459" spans="1:11" ht="21" hidden="1" customHeight="1" x14ac:dyDescent="0.2">
      <c r="A459" s="1773"/>
      <c r="B459" s="1645"/>
      <c r="C459" s="1645"/>
      <c r="D459" s="166"/>
      <c r="E459" s="166"/>
      <c r="F459" s="465">
        <v>8712</v>
      </c>
      <c r="G459" s="438"/>
      <c r="H459" s="252"/>
      <c r="I459" s="1774"/>
      <c r="J459" s="1802" t="s">
        <v>1157</v>
      </c>
      <c r="K459" s="1802"/>
    </row>
    <row r="460" spans="1:11" ht="21" hidden="1" customHeight="1" x14ac:dyDescent="0.2">
      <c r="A460" s="1773"/>
      <c r="B460" s="1645"/>
      <c r="C460" s="1645"/>
      <c r="D460" s="166"/>
      <c r="E460" s="166"/>
      <c r="F460" s="465">
        <v>2704.35</v>
      </c>
      <c r="G460" s="438"/>
      <c r="H460" s="252">
        <v>2704</v>
      </c>
      <c r="I460" s="1774"/>
      <c r="J460" s="1802" t="s">
        <v>1158</v>
      </c>
      <c r="K460" s="1802"/>
    </row>
    <row r="461" spans="1:11" ht="21" hidden="1" customHeight="1" x14ac:dyDescent="0.2">
      <c r="A461" s="1773"/>
      <c r="B461" s="1645"/>
      <c r="C461" s="1645"/>
      <c r="D461" s="166"/>
      <c r="E461" s="166"/>
      <c r="F461" s="465">
        <v>435.59999999999997</v>
      </c>
      <c r="G461" s="438"/>
      <c r="H461" s="252">
        <v>436</v>
      </c>
      <c r="I461" s="1774"/>
      <c r="J461" s="1796" t="s">
        <v>1159</v>
      </c>
      <c r="K461" s="1796"/>
    </row>
    <row r="462" spans="1:11" ht="12" hidden="1" customHeight="1" x14ac:dyDescent="0.2">
      <c r="A462" s="1773"/>
      <c r="B462" s="1645"/>
      <c r="C462" s="1645"/>
      <c r="D462" s="166"/>
      <c r="E462" s="166"/>
      <c r="F462" s="465">
        <v>4443.09</v>
      </c>
      <c r="G462" s="438"/>
      <c r="H462" s="252">
        <v>4443</v>
      </c>
      <c r="I462" s="1774"/>
      <c r="J462" s="1784" t="s">
        <v>1160</v>
      </c>
      <c r="K462" s="1785"/>
    </row>
    <row r="463" spans="1:11" ht="21" hidden="1" customHeight="1" x14ac:dyDescent="0.2">
      <c r="A463" s="1773"/>
      <c r="B463" s="1645"/>
      <c r="C463" s="1645"/>
      <c r="D463" s="166"/>
      <c r="E463" s="166"/>
      <c r="F463" s="465">
        <v>2105.4</v>
      </c>
      <c r="G463" s="438"/>
      <c r="H463" s="252"/>
      <c r="I463" s="1774"/>
      <c r="J463" s="1796" t="s">
        <v>1161</v>
      </c>
      <c r="K463" s="1796"/>
    </row>
    <row r="464" spans="1:11" ht="12" hidden="1" customHeight="1" x14ac:dyDescent="0.2">
      <c r="A464" s="1773"/>
      <c r="B464" s="1645"/>
      <c r="C464" s="1645"/>
      <c r="D464" s="166"/>
      <c r="E464" s="166"/>
      <c r="F464" s="465">
        <v>653.4</v>
      </c>
      <c r="G464" s="438"/>
      <c r="H464" s="252"/>
      <c r="I464" s="1774"/>
      <c r="J464" s="1796" t="s">
        <v>1162</v>
      </c>
      <c r="K464" s="1796"/>
    </row>
    <row r="465" spans="1:12" ht="21" hidden="1" customHeight="1" x14ac:dyDescent="0.2">
      <c r="A465" s="1773"/>
      <c r="B465" s="1645"/>
      <c r="C465" s="1645"/>
      <c r="D465" s="166"/>
      <c r="E465" s="166"/>
      <c r="F465" s="465">
        <v>1403.6</v>
      </c>
      <c r="G465" s="438"/>
      <c r="H465" s="252"/>
      <c r="I465" s="1774"/>
      <c r="J465" s="1796" t="s">
        <v>1163</v>
      </c>
      <c r="K465" s="1796"/>
    </row>
    <row r="466" spans="1:12" ht="21" hidden="1" customHeight="1" x14ac:dyDescent="0.2">
      <c r="A466" s="1773"/>
      <c r="B466" s="1645"/>
      <c r="C466" s="1645"/>
      <c r="D466" s="166"/>
      <c r="E466" s="166"/>
      <c r="F466" s="465">
        <v>1161.5999999999999</v>
      </c>
      <c r="G466" s="438"/>
      <c r="H466" s="252"/>
      <c r="I466" s="1774"/>
      <c r="J466" s="1796" t="s">
        <v>1164</v>
      </c>
      <c r="K466" s="1796"/>
    </row>
    <row r="467" spans="1:12" ht="21" hidden="1" customHeight="1" x14ac:dyDescent="0.2">
      <c r="A467" s="1773"/>
      <c r="B467" s="1645"/>
      <c r="C467" s="1645"/>
      <c r="D467" s="166"/>
      <c r="E467" s="166"/>
      <c r="F467" s="465">
        <v>1391.5</v>
      </c>
      <c r="G467" s="438"/>
      <c r="H467" s="252"/>
      <c r="I467" s="1774"/>
      <c r="J467" s="1796" t="s">
        <v>1165</v>
      </c>
      <c r="K467" s="1796"/>
    </row>
    <row r="468" spans="1:12" hidden="1" x14ac:dyDescent="0.2">
      <c r="A468" s="1773"/>
      <c r="B468" s="1645"/>
      <c r="C468" s="1645"/>
      <c r="D468" s="166"/>
      <c r="E468" s="166"/>
      <c r="F468" s="465">
        <v>4452.8</v>
      </c>
      <c r="G468" s="438"/>
      <c r="H468" s="252"/>
      <c r="I468" s="1774"/>
      <c r="J468" s="1796" t="s">
        <v>1166</v>
      </c>
      <c r="K468" s="1796"/>
    </row>
    <row r="469" spans="1:12" x14ac:dyDescent="0.2">
      <c r="A469" s="1773">
        <v>10</v>
      </c>
      <c r="B469" s="1645" t="s">
        <v>1167</v>
      </c>
      <c r="C469" s="1645"/>
      <c r="D469" s="166">
        <v>90772</v>
      </c>
      <c r="E469" s="166">
        <v>74240</v>
      </c>
      <c r="F469" s="253">
        <f>SUM(F470:F477)</f>
        <v>363055.84</v>
      </c>
      <c r="G469" s="1180">
        <v>5250</v>
      </c>
      <c r="H469" s="166">
        <f>SUM(H470:H477)</f>
        <v>16520</v>
      </c>
      <c r="I469" s="1774"/>
      <c r="J469" s="1754"/>
      <c r="K469" s="1754"/>
      <c r="L469" s="515"/>
    </row>
    <row r="470" spans="1:12" ht="12" hidden="1" customHeight="1" x14ac:dyDescent="0.2">
      <c r="A470" s="1773"/>
      <c r="B470" s="1645"/>
      <c r="C470" s="1645"/>
      <c r="D470" s="166"/>
      <c r="E470" s="166"/>
      <c r="F470" s="465">
        <v>16520</v>
      </c>
      <c r="G470" s="438"/>
      <c r="H470" s="252">
        <v>16520</v>
      </c>
      <c r="I470" s="1774"/>
      <c r="J470" s="516" t="s">
        <v>1168</v>
      </c>
      <c r="K470" s="437"/>
    </row>
    <row r="471" spans="1:12" ht="12" hidden="1" customHeight="1" x14ac:dyDescent="0.2">
      <c r="A471" s="1773"/>
      <c r="B471" s="1645"/>
      <c r="C471" s="1645"/>
      <c r="D471" s="166"/>
      <c r="E471" s="166"/>
      <c r="F471" s="468"/>
      <c r="G471" s="438"/>
      <c r="H471" s="252"/>
      <c r="I471" s="1774"/>
      <c r="J471" s="1775" t="s">
        <v>1169</v>
      </c>
      <c r="K471" s="1792"/>
    </row>
    <row r="472" spans="1:12" ht="12" hidden="1" customHeight="1" x14ac:dyDescent="0.2">
      <c r="A472" s="1773"/>
      <c r="B472" s="1645"/>
      <c r="C472" s="1645"/>
      <c r="D472" s="166"/>
      <c r="E472" s="166"/>
      <c r="F472" s="468">
        <v>92637.6</v>
      </c>
      <c r="G472" s="438"/>
      <c r="H472" s="252"/>
      <c r="I472" s="1774"/>
      <c r="J472" s="1793" t="s">
        <v>1170</v>
      </c>
      <c r="K472" s="1793"/>
    </row>
    <row r="473" spans="1:12" ht="12" hidden="1" customHeight="1" x14ac:dyDescent="0.2">
      <c r="A473" s="1773"/>
      <c r="B473" s="1645"/>
      <c r="C473" s="1645"/>
      <c r="D473" s="166"/>
      <c r="E473" s="166"/>
      <c r="F473" s="468">
        <v>14400.936</v>
      </c>
      <c r="G473" s="438"/>
      <c r="H473" s="252"/>
      <c r="I473" s="1774"/>
      <c r="J473" s="1793" t="s">
        <v>1171</v>
      </c>
      <c r="K473" s="1793"/>
    </row>
    <row r="474" spans="1:12" ht="12" hidden="1" customHeight="1" x14ac:dyDescent="0.2">
      <c r="A474" s="1773"/>
      <c r="B474" s="1645"/>
      <c r="C474" s="1645"/>
      <c r="D474" s="166"/>
      <c r="E474" s="166"/>
      <c r="F474" s="468">
        <v>11937.618</v>
      </c>
      <c r="G474" s="438"/>
      <c r="H474" s="252"/>
      <c r="I474" s="1774"/>
      <c r="J474" s="1793" t="s">
        <v>1172</v>
      </c>
      <c r="K474" s="1793"/>
    </row>
    <row r="475" spans="1:12" ht="12" hidden="1" customHeight="1" x14ac:dyDescent="0.2">
      <c r="A475" s="1773"/>
      <c r="B475" s="1645"/>
      <c r="C475" s="1645"/>
      <c r="D475" s="166"/>
      <c r="E475" s="166"/>
      <c r="F475" s="468">
        <v>8821.6260000000002</v>
      </c>
      <c r="G475" s="438"/>
      <c r="H475" s="252"/>
      <c r="I475" s="1774"/>
      <c r="J475" s="1793" t="s">
        <v>1173</v>
      </c>
      <c r="K475" s="1793"/>
    </row>
    <row r="476" spans="1:12" ht="12" hidden="1" customHeight="1" x14ac:dyDescent="0.2">
      <c r="A476" s="1773"/>
      <c r="B476" s="1645"/>
      <c r="C476" s="1645"/>
      <c r="D476" s="166"/>
      <c r="E476" s="166"/>
      <c r="F476" s="468">
        <v>200000</v>
      </c>
      <c r="G476" s="438"/>
      <c r="H476" s="252"/>
      <c r="I476" s="1774"/>
      <c r="J476" s="1794" t="s">
        <v>1174</v>
      </c>
      <c r="K476" s="1795"/>
    </row>
    <row r="477" spans="1:12" ht="25.5" hidden="1" customHeight="1" x14ac:dyDescent="0.2">
      <c r="A477" s="1773"/>
      <c r="B477" s="1645"/>
      <c r="C477" s="1645"/>
      <c r="D477" s="166"/>
      <c r="E477" s="166"/>
      <c r="F477" s="468">
        <v>18738.060000000001</v>
      </c>
      <c r="G477" s="438"/>
      <c r="H477" s="252"/>
      <c r="I477" s="1774"/>
      <c r="J477" s="1789" t="s">
        <v>1175</v>
      </c>
      <c r="K477" s="1789"/>
    </row>
    <row r="478" spans="1:12" x14ac:dyDescent="0.2">
      <c r="A478" s="1787">
        <v>11</v>
      </c>
      <c r="B478" s="1645" t="s">
        <v>1176</v>
      </c>
      <c r="C478" s="1645"/>
      <c r="D478" s="166">
        <v>16833</v>
      </c>
      <c r="E478" s="166">
        <v>16832.78</v>
      </c>
      <c r="F478" s="253">
        <f>SUM(F479:F485)</f>
        <v>114257.88</v>
      </c>
      <c r="G478" s="1180">
        <v>5250</v>
      </c>
      <c r="H478" s="166">
        <f>SUM(H479:H485)</f>
        <v>23456</v>
      </c>
      <c r="I478" s="1774"/>
      <c r="J478" s="1775" t="s">
        <v>1177</v>
      </c>
      <c r="K478" s="1775"/>
    </row>
    <row r="479" spans="1:12" ht="24" hidden="1" customHeight="1" x14ac:dyDescent="0.2">
      <c r="A479" s="1787"/>
      <c r="B479" s="1645"/>
      <c r="C479" s="1645"/>
      <c r="D479" s="166"/>
      <c r="E479" s="166"/>
      <c r="F479" s="507">
        <v>3968.8</v>
      </c>
      <c r="G479" s="438"/>
      <c r="H479" s="166">
        <v>3969</v>
      </c>
      <c r="I479" s="1774"/>
      <c r="J479" s="1790" t="s">
        <v>1178</v>
      </c>
      <c r="K479" s="1790"/>
    </row>
    <row r="480" spans="1:12" ht="43.5" hidden="1" customHeight="1" x14ac:dyDescent="0.2">
      <c r="A480" s="1787"/>
      <c r="B480" s="1645"/>
      <c r="C480" s="1645"/>
      <c r="D480" s="166"/>
      <c r="E480" s="166"/>
      <c r="F480" s="507">
        <v>2783</v>
      </c>
      <c r="G480" s="438"/>
      <c r="H480" s="166">
        <v>2783</v>
      </c>
      <c r="I480" s="1774"/>
      <c r="J480" s="1790" t="s">
        <v>1179</v>
      </c>
      <c r="K480" s="1790"/>
    </row>
    <row r="481" spans="1:14" ht="21.75" hidden="1" customHeight="1" x14ac:dyDescent="0.2">
      <c r="A481" s="1787"/>
      <c r="B481" s="1645"/>
      <c r="C481" s="1645"/>
      <c r="D481" s="166"/>
      <c r="E481" s="166"/>
      <c r="F481" s="507">
        <v>1119.25</v>
      </c>
      <c r="G481" s="438"/>
      <c r="H481" s="166">
        <v>1119</v>
      </c>
      <c r="I481" s="1774"/>
      <c r="J481" s="1791" t="s">
        <v>1180</v>
      </c>
      <c r="K481" s="1791"/>
    </row>
    <row r="482" spans="1:14" ht="18.75" hidden="1" customHeight="1" x14ac:dyDescent="0.2">
      <c r="A482" s="1787"/>
      <c r="B482" s="1645"/>
      <c r="C482" s="1645"/>
      <c r="D482" s="166"/>
      <c r="E482" s="166"/>
      <c r="F482" s="507">
        <v>5203</v>
      </c>
      <c r="G482" s="438"/>
      <c r="H482" s="166">
        <v>5203</v>
      </c>
      <c r="I482" s="1774"/>
      <c r="J482" s="1791" t="s">
        <v>1181</v>
      </c>
      <c r="K482" s="1791"/>
    </row>
    <row r="483" spans="1:14" ht="19.5" hidden="1" customHeight="1" x14ac:dyDescent="0.2">
      <c r="A483" s="1787"/>
      <c r="B483" s="1645"/>
      <c r="C483" s="1645"/>
      <c r="D483" s="166"/>
      <c r="E483" s="166"/>
      <c r="F483" s="507">
        <v>5783.8</v>
      </c>
      <c r="G483" s="438"/>
      <c r="H483" s="166">
        <v>5784</v>
      </c>
      <c r="I483" s="1774"/>
      <c r="J483" s="1791" t="s">
        <v>1182</v>
      </c>
      <c r="K483" s="1791"/>
    </row>
    <row r="484" spans="1:14" ht="41.25" hidden="1" customHeight="1" x14ac:dyDescent="0.2">
      <c r="A484" s="1787"/>
      <c r="B484" s="1645"/>
      <c r="C484" s="1645"/>
      <c r="D484" s="166"/>
      <c r="E484" s="166"/>
      <c r="F484" s="465">
        <v>4598</v>
      </c>
      <c r="G484" s="438"/>
      <c r="H484" s="252">
        <v>4598</v>
      </c>
      <c r="I484" s="1774"/>
      <c r="J484" s="1791" t="s">
        <v>1183</v>
      </c>
      <c r="K484" s="1791"/>
    </row>
    <row r="485" spans="1:14" ht="21.75" hidden="1" customHeight="1" x14ac:dyDescent="0.2">
      <c r="A485" s="1787"/>
      <c r="B485" s="1645"/>
      <c r="C485" s="1645"/>
      <c r="D485" s="166"/>
      <c r="E485" s="166"/>
      <c r="F485" s="465">
        <v>90802.03</v>
      </c>
      <c r="G485" s="438"/>
      <c r="H485" s="252"/>
      <c r="I485" s="1675"/>
      <c r="J485" s="1791" t="s">
        <v>1184</v>
      </c>
      <c r="K485" s="1791"/>
      <c r="L485" s="517"/>
      <c r="M485" s="518"/>
      <c r="N485" s="518"/>
    </row>
    <row r="486" spans="1:14" hidden="1" x14ac:dyDescent="0.2">
      <c r="A486" s="1773">
        <v>15</v>
      </c>
      <c r="B486" s="1645" t="s">
        <v>1185</v>
      </c>
      <c r="C486" s="1645"/>
      <c r="D486" s="166">
        <v>0</v>
      </c>
      <c r="E486" s="166">
        <v>0</v>
      </c>
      <c r="F486" s="253">
        <f>SUM(F487:F501)</f>
        <v>182390.07600000003</v>
      </c>
      <c r="G486" s="1180">
        <v>5250</v>
      </c>
      <c r="H486" s="166">
        <f>SUM(H487:H501)</f>
        <v>0</v>
      </c>
      <c r="I486" s="1648" t="s">
        <v>257</v>
      </c>
      <c r="J486" s="1780"/>
      <c r="K486" s="1781"/>
    </row>
    <row r="487" spans="1:14" ht="22.5" hidden="1" customHeight="1" x14ac:dyDescent="0.2">
      <c r="A487" s="1773"/>
      <c r="B487" s="1645"/>
      <c r="C487" s="1645"/>
      <c r="D487" s="166"/>
      <c r="E487" s="166"/>
      <c r="F487" s="465">
        <v>24200</v>
      </c>
      <c r="G487" s="438"/>
      <c r="H487" s="166"/>
      <c r="I487" s="1648"/>
      <c r="J487" s="1769" t="s">
        <v>1186</v>
      </c>
      <c r="K487" s="1769"/>
    </row>
    <row r="488" spans="1:14" ht="15" hidden="1" customHeight="1" x14ac:dyDescent="0.2">
      <c r="A488" s="1773"/>
      <c r="B488" s="1645"/>
      <c r="C488" s="1645"/>
      <c r="D488" s="166"/>
      <c r="E488" s="166"/>
      <c r="F488" s="468">
        <v>24200</v>
      </c>
      <c r="G488" s="438"/>
      <c r="H488" s="166"/>
      <c r="I488" s="1648"/>
      <c r="J488" s="1769" t="s">
        <v>1187</v>
      </c>
      <c r="K488" s="1769"/>
    </row>
    <row r="489" spans="1:14" hidden="1" x14ac:dyDescent="0.2">
      <c r="A489" s="1773"/>
      <c r="B489" s="1645"/>
      <c r="C489" s="1645"/>
      <c r="D489" s="166"/>
      <c r="E489" s="166"/>
      <c r="F489" s="468"/>
      <c r="G489" s="438"/>
      <c r="H489" s="166"/>
      <c r="I489" s="1648"/>
      <c r="J489" s="1775" t="s">
        <v>1188</v>
      </c>
      <c r="K489" s="1775"/>
    </row>
    <row r="490" spans="1:14" hidden="1" x14ac:dyDescent="0.2">
      <c r="A490" s="1773"/>
      <c r="B490" s="1645"/>
      <c r="C490" s="1645"/>
      <c r="D490" s="166"/>
      <c r="E490" s="166"/>
      <c r="F490" s="468">
        <v>61515.673999999999</v>
      </c>
      <c r="G490" s="438"/>
      <c r="H490" s="166"/>
      <c r="I490" s="1648"/>
      <c r="J490" s="1776" t="s">
        <v>1189</v>
      </c>
      <c r="K490" s="1776"/>
    </row>
    <row r="491" spans="1:14" ht="21" hidden="1" customHeight="1" x14ac:dyDescent="0.2">
      <c r="A491" s="1773"/>
      <c r="B491" s="1645"/>
      <c r="C491" s="1645"/>
      <c r="D491" s="166"/>
      <c r="E491" s="166"/>
      <c r="F491" s="468">
        <v>9842.14</v>
      </c>
      <c r="G491" s="438"/>
      <c r="H491" s="166"/>
      <c r="I491" s="1648"/>
      <c r="J491" s="1789" t="s">
        <v>1190</v>
      </c>
      <c r="K491" s="1789"/>
    </row>
    <row r="492" spans="1:14" hidden="1" x14ac:dyDescent="0.2">
      <c r="A492" s="1773"/>
      <c r="B492" s="1645"/>
      <c r="C492" s="1645"/>
      <c r="D492" s="166"/>
      <c r="E492" s="166"/>
      <c r="F492" s="468">
        <v>6413</v>
      </c>
      <c r="G492" s="438"/>
      <c r="H492" s="166"/>
      <c r="I492" s="1648"/>
      <c r="J492" s="1776" t="s">
        <v>1191</v>
      </c>
      <c r="K492" s="1776"/>
    </row>
    <row r="493" spans="1:14" ht="21" hidden="1" customHeight="1" x14ac:dyDescent="0.2">
      <c r="A493" s="1773"/>
      <c r="B493" s="1645"/>
      <c r="C493" s="1645"/>
      <c r="D493" s="166"/>
      <c r="E493" s="166"/>
      <c r="F493" s="468">
        <v>6097.674</v>
      </c>
      <c r="G493" s="438"/>
      <c r="H493" s="166"/>
      <c r="I493" s="1648"/>
      <c r="J493" s="1777" t="s">
        <v>1192</v>
      </c>
      <c r="K493" s="1777"/>
    </row>
    <row r="494" spans="1:14" ht="21" hidden="1" customHeight="1" x14ac:dyDescent="0.2">
      <c r="A494" s="1773"/>
      <c r="B494" s="1645"/>
      <c r="C494" s="1645"/>
      <c r="D494" s="166"/>
      <c r="E494" s="166"/>
      <c r="F494" s="468">
        <v>4803.8209999999999</v>
      </c>
      <c r="G494" s="438"/>
      <c r="H494" s="166"/>
      <c r="I494" s="1648"/>
      <c r="J494" s="1777" t="s">
        <v>1193</v>
      </c>
      <c r="K494" s="1777"/>
    </row>
    <row r="495" spans="1:14" ht="21" hidden="1" customHeight="1" x14ac:dyDescent="0.2">
      <c r="A495" s="1773"/>
      <c r="B495" s="1645"/>
      <c r="C495" s="1645"/>
      <c r="D495" s="166"/>
      <c r="E495" s="166"/>
      <c r="F495" s="468">
        <v>5752.9449999999997</v>
      </c>
      <c r="G495" s="438"/>
      <c r="H495" s="166"/>
      <c r="I495" s="1648"/>
      <c r="J495" s="1777" t="s">
        <v>1192</v>
      </c>
      <c r="K495" s="1777"/>
    </row>
    <row r="496" spans="1:14" ht="21" hidden="1" customHeight="1" x14ac:dyDescent="0.2">
      <c r="A496" s="1773"/>
      <c r="B496" s="1645"/>
      <c r="C496" s="1645"/>
      <c r="D496" s="166"/>
      <c r="E496" s="166"/>
      <c r="F496" s="468">
        <v>5927.5479999999998</v>
      </c>
      <c r="G496" s="438"/>
      <c r="H496" s="166"/>
      <c r="I496" s="1648"/>
      <c r="J496" s="1777" t="s">
        <v>1193</v>
      </c>
      <c r="K496" s="1777"/>
    </row>
    <row r="497" spans="1:11" hidden="1" x14ac:dyDescent="0.2">
      <c r="A497" s="1773"/>
      <c r="B497" s="1645"/>
      <c r="C497" s="1645"/>
      <c r="D497" s="166"/>
      <c r="E497" s="166"/>
      <c r="F497" s="468">
        <v>13957.834000000001</v>
      </c>
      <c r="G497" s="438"/>
      <c r="H497" s="166"/>
      <c r="I497" s="1648"/>
      <c r="J497" s="1777" t="s">
        <v>1194</v>
      </c>
      <c r="K497" s="1777"/>
    </row>
    <row r="498" spans="1:11" hidden="1" x14ac:dyDescent="0.2">
      <c r="A498" s="1773"/>
      <c r="B498" s="1645"/>
      <c r="C498" s="1645"/>
      <c r="D498" s="166"/>
      <c r="E498" s="166"/>
      <c r="F498" s="468">
        <v>3182.7840000000001</v>
      </c>
      <c r="G498" s="438"/>
      <c r="H498" s="166"/>
      <c r="I498" s="1648"/>
      <c r="J498" s="1777" t="s">
        <v>1195</v>
      </c>
      <c r="K498" s="1777"/>
    </row>
    <row r="499" spans="1:11" ht="21" hidden="1" customHeight="1" x14ac:dyDescent="0.2">
      <c r="A499" s="1773"/>
      <c r="B499" s="1645"/>
      <c r="C499" s="1645"/>
      <c r="D499" s="166"/>
      <c r="E499" s="166"/>
      <c r="F499" s="468">
        <v>6630.8</v>
      </c>
      <c r="G499" s="438"/>
      <c r="H499" s="166"/>
      <c r="I499" s="1648"/>
      <c r="J499" s="1777" t="s">
        <v>1196</v>
      </c>
      <c r="K499" s="1777"/>
    </row>
    <row r="500" spans="1:11" ht="21" hidden="1" customHeight="1" x14ac:dyDescent="0.2">
      <c r="A500" s="1773"/>
      <c r="B500" s="1645"/>
      <c r="C500" s="1645"/>
      <c r="D500" s="166"/>
      <c r="E500" s="166"/>
      <c r="F500" s="468">
        <v>4747.5559999999996</v>
      </c>
      <c r="G500" s="438"/>
      <c r="H500" s="166"/>
      <c r="I500" s="1648"/>
      <c r="J500" s="1777" t="s">
        <v>1197</v>
      </c>
      <c r="K500" s="1777"/>
    </row>
    <row r="501" spans="1:11" ht="54.75" hidden="1" customHeight="1" x14ac:dyDescent="0.2">
      <c r="A501" s="1773"/>
      <c r="B501" s="1645"/>
      <c r="C501" s="1645"/>
      <c r="D501" s="166"/>
      <c r="E501" s="166"/>
      <c r="F501" s="468">
        <v>5118.3</v>
      </c>
      <c r="G501" s="438"/>
      <c r="H501" s="166"/>
      <c r="I501" s="1648"/>
      <c r="J501" s="1777" t="s">
        <v>1198</v>
      </c>
      <c r="K501" s="1777"/>
    </row>
    <row r="502" spans="1:11" hidden="1" x14ac:dyDescent="0.2">
      <c r="A502" s="1787">
        <v>16</v>
      </c>
      <c r="B502" s="1645" t="s">
        <v>1199</v>
      </c>
      <c r="C502" s="1645"/>
      <c r="D502" s="166">
        <v>13294</v>
      </c>
      <c r="E502" s="166">
        <v>0</v>
      </c>
      <c r="F502" s="253">
        <f>SUM(F503:F509)</f>
        <v>51633.83</v>
      </c>
      <c r="G502" s="1180">
        <v>5250</v>
      </c>
      <c r="H502" s="166">
        <f>SUM(H503:H509)</f>
        <v>0</v>
      </c>
      <c r="I502" s="1674" t="s">
        <v>257</v>
      </c>
      <c r="J502" s="1780"/>
      <c r="K502" s="1781"/>
    </row>
    <row r="503" spans="1:11" ht="20.25" hidden="1" customHeight="1" x14ac:dyDescent="0.2">
      <c r="A503" s="1787"/>
      <c r="B503" s="1645"/>
      <c r="C503" s="1645"/>
      <c r="D503" s="166"/>
      <c r="E503" s="166"/>
      <c r="F503" s="507">
        <v>13293.73</v>
      </c>
      <c r="G503" s="438"/>
      <c r="H503" s="166"/>
      <c r="I503" s="1774"/>
      <c r="J503" s="1754" t="s">
        <v>1200</v>
      </c>
      <c r="K503" s="1754"/>
    </row>
    <row r="504" spans="1:11" ht="15" hidden="1" customHeight="1" x14ac:dyDescent="0.2">
      <c r="A504" s="1787"/>
      <c r="B504" s="1645"/>
      <c r="C504" s="1645"/>
      <c r="D504" s="166"/>
      <c r="E504" s="166"/>
      <c r="F504" s="507"/>
      <c r="G504" s="438"/>
      <c r="H504" s="166"/>
      <c r="I504" s="1774"/>
      <c r="J504" s="1775" t="s">
        <v>1201</v>
      </c>
      <c r="K504" s="1775"/>
    </row>
    <row r="505" spans="1:11" ht="36.75" hidden="1" customHeight="1" x14ac:dyDescent="0.2">
      <c r="A505" s="1787"/>
      <c r="B505" s="1645"/>
      <c r="C505" s="1645"/>
      <c r="D505" s="166"/>
      <c r="E505" s="166"/>
      <c r="F505" s="468">
        <v>2722.5</v>
      </c>
      <c r="G505" s="438"/>
      <c r="H505" s="166"/>
      <c r="I505" s="1774"/>
      <c r="J505" s="1788" t="s">
        <v>1202</v>
      </c>
      <c r="K505" s="1788"/>
    </row>
    <row r="506" spans="1:11" ht="52.5" hidden="1" customHeight="1" x14ac:dyDescent="0.2">
      <c r="A506" s="1787"/>
      <c r="B506" s="1645"/>
      <c r="C506" s="1645"/>
      <c r="D506" s="166"/>
      <c r="E506" s="166"/>
      <c r="F506" s="468">
        <v>786.5</v>
      </c>
      <c r="G506" s="438"/>
      <c r="H506" s="166"/>
      <c r="I506" s="1774"/>
      <c r="J506" s="1786" t="s">
        <v>1203</v>
      </c>
      <c r="K506" s="1786"/>
    </row>
    <row r="507" spans="1:11" ht="27" hidden="1" customHeight="1" x14ac:dyDescent="0.2">
      <c r="A507" s="1787"/>
      <c r="B507" s="1645"/>
      <c r="C507" s="1645"/>
      <c r="D507" s="166"/>
      <c r="E507" s="166"/>
      <c r="F507" s="468">
        <v>21279.1</v>
      </c>
      <c r="G507" s="438"/>
      <c r="H507" s="166"/>
      <c r="I507" s="1774"/>
      <c r="J507" s="1786" t="s">
        <v>1204</v>
      </c>
      <c r="K507" s="1786"/>
    </row>
    <row r="508" spans="1:11" ht="24.75" hidden="1" customHeight="1" x14ac:dyDescent="0.2">
      <c r="A508" s="1787"/>
      <c r="B508" s="1645"/>
      <c r="C508" s="1645"/>
      <c r="D508" s="166"/>
      <c r="E508" s="166"/>
      <c r="F508" s="468">
        <v>12100</v>
      </c>
      <c r="G508" s="438"/>
      <c r="H508" s="166"/>
      <c r="I508" s="1774"/>
      <c r="J508" s="1786" t="s">
        <v>1205</v>
      </c>
      <c r="K508" s="1786"/>
    </row>
    <row r="509" spans="1:11" ht="27" hidden="1" customHeight="1" x14ac:dyDescent="0.2">
      <c r="A509" s="1787"/>
      <c r="B509" s="1645"/>
      <c r="C509" s="1645"/>
      <c r="D509" s="166"/>
      <c r="E509" s="166"/>
      <c r="F509" s="468">
        <v>1452</v>
      </c>
      <c r="G509" s="438"/>
      <c r="H509" s="166"/>
      <c r="I509" s="1675"/>
      <c r="J509" s="1786" t="s">
        <v>1206</v>
      </c>
      <c r="K509" s="1786"/>
    </row>
    <row r="510" spans="1:11" ht="6.75" customHeight="1" x14ac:dyDescent="0.2">
      <c r="A510" s="227"/>
      <c r="B510" s="227"/>
      <c r="C510" s="227"/>
      <c r="D510" s="227"/>
      <c r="E510" s="227"/>
      <c r="F510" s="227"/>
      <c r="G510" s="226"/>
      <c r="H510" s="227"/>
      <c r="I510" s="227"/>
      <c r="J510" s="172"/>
      <c r="K510" s="172"/>
    </row>
    <row r="511" spans="1:11" x14ac:dyDescent="0.2">
      <c r="A511" s="1771" t="s">
        <v>129</v>
      </c>
      <c r="B511" s="1771"/>
      <c r="C511" s="447" t="s">
        <v>1207</v>
      </c>
      <c r="D511" s="447"/>
      <c r="E511" s="447"/>
      <c r="F511" s="447"/>
      <c r="G511" s="448"/>
      <c r="H511" s="447"/>
      <c r="I511" s="447"/>
      <c r="J511" s="447"/>
      <c r="K511" s="447"/>
    </row>
    <row r="512" spans="1:11" x14ac:dyDescent="0.2">
      <c r="A512" s="1771" t="s">
        <v>131</v>
      </c>
      <c r="B512" s="1771"/>
      <c r="C512" s="450" t="s">
        <v>1208</v>
      </c>
      <c r="D512" s="451"/>
      <c r="E512" s="451"/>
      <c r="F512" s="451"/>
      <c r="G512" s="452"/>
      <c r="H512" s="451"/>
      <c r="I512" s="451"/>
      <c r="J512" s="451"/>
      <c r="K512" s="451"/>
    </row>
    <row r="513" spans="1:11" ht="48" x14ac:dyDescent="0.2">
      <c r="A513" s="426" t="s">
        <v>4</v>
      </c>
      <c r="B513" s="1760" t="s">
        <v>133</v>
      </c>
      <c r="C513" s="1760"/>
      <c r="D513" s="426" t="s">
        <v>17</v>
      </c>
      <c r="E513" s="426" t="s">
        <v>15</v>
      </c>
      <c r="F513" s="426" t="s">
        <v>134</v>
      </c>
      <c r="G513" s="426" t="s">
        <v>135</v>
      </c>
      <c r="H513" s="1438" t="s">
        <v>3510</v>
      </c>
      <c r="I513" s="426" t="s">
        <v>14</v>
      </c>
      <c r="J513" s="1760" t="s">
        <v>137</v>
      </c>
      <c r="K513" s="1760"/>
    </row>
    <row r="514" spans="1:11" x14ac:dyDescent="0.2">
      <c r="A514" s="1761" t="s">
        <v>138</v>
      </c>
      <c r="B514" s="1761"/>
      <c r="C514" s="1761"/>
      <c r="D514" s="427">
        <f>SUM(D515:D525)</f>
        <v>24888</v>
      </c>
      <c r="E514" s="427">
        <f>SUM(E515:E525)</f>
        <v>24875.62</v>
      </c>
      <c r="F514" s="427">
        <f>F515+F519+F525+F518</f>
        <v>92587.081000000006</v>
      </c>
      <c r="G514" s="454"/>
      <c r="H514" s="427">
        <f>SUM(H515,H518,H519,H525)</f>
        <v>29206</v>
      </c>
      <c r="I514" s="437"/>
      <c r="J514" s="1754"/>
      <c r="K514" s="1754"/>
    </row>
    <row r="515" spans="1:11" x14ac:dyDescent="0.2">
      <c r="A515" s="1762">
        <v>1</v>
      </c>
      <c r="B515" s="1659" t="s">
        <v>1209</v>
      </c>
      <c r="C515" s="1660"/>
      <c r="D515" s="166">
        <v>19948</v>
      </c>
      <c r="E515" s="166">
        <v>19948</v>
      </c>
      <c r="F515" s="253">
        <f>SUM(F516:F517)</f>
        <v>40991.411999999997</v>
      </c>
      <c r="G515" s="1180">
        <v>5250</v>
      </c>
      <c r="H515" s="166">
        <f>SUM(H516:H517)</f>
        <v>5660</v>
      </c>
      <c r="I515" s="1674" t="s">
        <v>293</v>
      </c>
      <c r="J515" s="1780"/>
      <c r="K515" s="1781"/>
    </row>
    <row r="516" spans="1:11" hidden="1" x14ac:dyDescent="0.2">
      <c r="A516" s="1763"/>
      <c r="B516" s="1661"/>
      <c r="C516" s="1662"/>
      <c r="D516" s="166"/>
      <c r="E516" s="166"/>
      <c r="F516" s="431">
        <v>5659.4120000000003</v>
      </c>
      <c r="G516" s="438"/>
      <c r="H516" s="166">
        <v>5660</v>
      </c>
      <c r="I516" s="1774"/>
      <c r="J516" s="1782" t="s">
        <v>1210</v>
      </c>
      <c r="K516" s="1783"/>
    </row>
    <row r="517" spans="1:11" ht="21" hidden="1" customHeight="1" x14ac:dyDescent="0.2">
      <c r="A517" s="1763"/>
      <c r="B517" s="1661"/>
      <c r="C517" s="1662"/>
      <c r="D517" s="166"/>
      <c r="E517" s="166"/>
      <c r="F517" s="507">
        <v>35332</v>
      </c>
      <c r="G517" s="438"/>
      <c r="H517" s="166"/>
      <c r="I517" s="1774"/>
      <c r="J517" s="1784" t="s">
        <v>1211</v>
      </c>
      <c r="K517" s="1785"/>
    </row>
    <row r="518" spans="1:11" ht="21" hidden="1" customHeight="1" x14ac:dyDescent="0.2">
      <c r="A518" s="1779"/>
      <c r="B518" s="1663"/>
      <c r="C518" s="1664"/>
      <c r="D518" s="166">
        <v>436</v>
      </c>
      <c r="E518" s="166">
        <v>436</v>
      </c>
      <c r="F518" s="253">
        <v>0</v>
      </c>
      <c r="G518" s="1180">
        <v>2241</v>
      </c>
      <c r="H518" s="166"/>
      <c r="I518" s="1675"/>
      <c r="J518" s="1776" t="s">
        <v>1212</v>
      </c>
      <c r="K518" s="1776"/>
    </row>
    <row r="519" spans="1:11" x14ac:dyDescent="0.2">
      <c r="A519" s="1773">
        <v>2</v>
      </c>
      <c r="B519" s="1645" t="s">
        <v>1213</v>
      </c>
      <c r="C519" s="1645"/>
      <c r="D519" s="166">
        <v>4504</v>
      </c>
      <c r="E519" s="166">
        <v>4491.62</v>
      </c>
      <c r="F519" s="253">
        <f>SUM(F520:F524)</f>
        <v>49487.669000000002</v>
      </c>
      <c r="G519" s="1180">
        <v>5250</v>
      </c>
      <c r="H519" s="166">
        <f>SUM(H520:H524)</f>
        <v>22046</v>
      </c>
      <c r="I519" s="1674" t="s">
        <v>293</v>
      </c>
      <c r="J519" s="1775" t="s">
        <v>1214</v>
      </c>
      <c r="K519" s="1775"/>
    </row>
    <row r="520" spans="1:11" ht="36.75" hidden="1" customHeight="1" x14ac:dyDescent="0.2">
      <c r="A520" s="1773"/>
      <c r="B520" s="1645"/>
      <c r="C520" s="1645"/>
      <c r="D520" s="166"/>
      <c r="E520" s="166"/>
      <c r="F520" s="507">
        <v>6121.2690000000002</v>
      </c>
      <c r="G520" s="438"/>
      <c r="H520" s="166">
        <v>6122</v>
      </c>
      <c r="I520" s="1774"/>
      <c r="J520" s="1776" t="s">
        <v>1215</v>
      </c>
      <c r="K520" s="1776"/>
    </row>
    <row r="521" spans="1:11" ht="35.25" hidden="1" customHeight="1" x14ac:dyDescent="0.2">
      <c r="A521" s="1773"/>
      <c r="B521" s="1645"/>
      <c r="C521" s="1645"/>
      <c r="D521" s="166"/>
      <c r="E521" s="166"/>
      <c r="F521" s="507">
        <v>11979</v>
      </c>
      <c r="G521" s="438"/>
      <c r="H521" s="166" t="s">
        <v>1216</v>
      </c>
      <c r="I521" s="1774"/>
      <c r="J521" s="1777" t="s">
        <v>1217</v>
      </c>
      <c r="K521" s="1777"/>
    </row>
    <row r="522" spans="1:11" ht="34.5" hidden="1" customHeight="1" x14ac:dyDescent="0.2">
      <c r="A522" s="1773"/>
      <c r="B522" s="1645"/>
      <c r="C522" s="1645"/>
      <c r="D522" s="166"/>
      <c r="E522" s="166"/>
      <c r="F522" s="507">
        <v>15463.8</v>
      </c>
      <c r="G522" s="438"/>
      <c r="H522" s="166"/>
      <c r="I522" s="1774"/>
      <c r="J522" s="1778" t="s">
        <v>1218</v>
      </c>
      <c r="K522" s="1778"/>
    </row>
    <row r="523" spans="1:11" ht="27" hidden="1" customHeight="1" x14ac:dyDescent="0.2">
      <c r="A523" s="1773"/>
      <c r="B523" s="1645"/>
      <c r="C523" s="1645"/>
      <c r="D523" s="166"/>
      <c r="E523" s="166"/>
      <c r="F523" s="507">
        <v>5687</v>
      </c>
      <c r="G523" s="438"/>
      <c r="H523" s="166">
        <v>5687</v>
      </c>
      <c r="I523" s="1774"/>
      <c r="J523" s="1777" t="s">
        <v>1219</v>
      </c>
      <c r="K523" s="1777"/>
    </row>
    <row r="524" spans="1:11" ht="21.75" hidden="1" customHeight="1" x14ac:dyDescent="0.2">
      <c r="A524" s="1773"/>
      <c r="B524" s="1645"/>
      <c r="C524" s="1645"/>
      <c r="D524" s="166"/>
      <c r="E524" s="166"/>
      <c r="F524" s="507">
        <v>10236.6</v>
      </c>
      <c r="G524" s="438"/>
      <c r="H524" s="166">
        <v>10237</v>
      </c>
      <c r="I524" s="1675"/>
      <c r="J524" s="1777" t="s">
        <v>1220</v>
      </c>
      <c r="K524" s="1777"/>
    </row>
    <row r="525" spans="1:11" x14ac:dyDescent="0.2">
      <c r="A525" s="470">
        <v>3</v>
      </c>
      <c r="B525" s="1645" t="s">
        <v>238</v>
      </c>
      <c r="C525" s="1645"/>
      <c r="D525" s="166">
        <v>0</v>
      </c>
      <c r="E525" s="166">
        <v>0</v>
      </c>
      <c r="F525" s="253">
        <v>2108</v>
      </c>
      <c r="G525" s="1180">
        <v>2241</v>
      </c>
      <c r="H525" s="166">
        <v>1500</v>
      </c>
      <c r="I525" s="188" t="s">
        <v>907</v>
      </c>
      <c r="J525" s="1769" t="s">
        <v>1221</v>
      </c>
      <c r="K525" s="1769"/>
    </row>
    <row r="526" spans="1:11" ht="6.75" customHeight="1" x14ac:dyDescent="0.2">
      <c r="A526" s="487"/>
      <c r="B526" s="487"/>
      <c r="C526" s="487"/>
      <c r="D526" s="487"/>
      <c r="E526" s="487"/>
      <c r="F526" s="487"/>
      <c r="G526" s="489"/>
      <c r="H526" s="488"/>
      <c r="I526" s="488"/>
      <c r="J526" s="1770"/>
      <c r="K526" s="1770"/>
    </row>
    <row r="527" spans="1:11" x14ac:dyDescent="0.2">
      <c r="A527" s="1771" t="s">
        <v>129</v>
      </c>
      <c r="B527" s="1771"/>
      <c r="C527" s="447" t="s">
        <v>296</v>
      </c>
      <c r="D527" s="447"/>
      <c r="E527" s="447"/>
      <c r="F527" s="447"/>
      <c r="G527" s="448"/>
      <c r="H527" s="447"/>
      <c r="I527" s="447"/>
      <c r="J527" s="1772"/>
      <c r="K527" s="1772"/>
    </row>
    <row r="528" spans="1:11" x14ac:dyDescent="0.2">
      <c r="A528" s="1771" t="s">
        <v>131</v>
      </c>
      <c r="B528" s="1771"/>
      <c r="C528" s="450" t="s">
        <v>297</v>
      </c>
      <c r="D528" s="451"/>
      <c r="E528" s="451"/>
      <c r="F528" s="451"/>
      <c r="G528" s="452"/>
      <c r="H528" s="451"/>
      <c r="I528" s="451"/>
      <c r="J528" s="1772"/>
      <c r="K528" s="1772"/>
    </row>
    <row r="529" spans="1:11" ht="48" x14ac:dyDescent="0.2">
      <c r="A529" s="426" t="s">
        <v>4</v>
      </c>
      <c r="B529" s="1760" t="s">
        <v>133</v>
      </c>
      <c r="C529" s="1760"/>
      <c r="D529" s="426" t="s">
        <v>17</v>
      </c>
      <c r="E529" s="426" t="s">
        <v>15</v>
      </c>
      <c r="F529" s="426" t="s">
        <v>134</v>
      </c>
      <c r="G529" s="426" t="s">
        <v>135</v>
      </c>
      <c r="H529" s="1438" t="s">
        <v>3510</v>
      </c>
      <c r="I529" s="426" t="s">
        <v>14</v>
      </c>
      <c r="J529" s="1760" t="s">
        <v>137</v>
      </c>
      <c r="K529" s="1760"/>
    </row>
    <row r="530" spans="1:11" x14ac:dyDescent="0.2">
      <c r="A530" s="1761" t="s">
        <v>138</v>
      </c>
      <c r="B530" s="1761"/>
      <c r="C530" s="1761"/>
      <c r="D530" s="427">
        <f>SUM(D531:D539)</f>
        <v>22846</v>
      </c>
      <c r="E530" s="427">
        <f>SUM(E531:E539)</f>
        <v>4323.3600000000006</v>
      </c>
      <c r="F530" s="427">
        <f>F531+F539</f>
        <v>165339.76</v>
      </c>
      <c r="G530" s="499"/>
      <c r="H530" s="427">
        <f>SUM(H531,H539)</f>
        <v>7473</v>
      </c>
      <c r="I530" s="496"/>
      <c r="J530" s="1754"/>
      <c r="K530" s="1754"/>
    </row>
    <row r="531" spans="1:11" ht="12" hidden="1" customHeight="1" x14ac:dyDescent="0.2">
      <c r="A531" s="1762">
        <v>1</v>
      </c>
      <c r="B531" s="1764" t="s">
        <v>304</v>
      </c>
      <c r="C531" s="1765"/>
      <c r="D531" s="166">
        <v>20519</v>
      </c>
      <c r="E531" s="166">
        <v>1997.88</v>
      </c>
      <c r="F531" s="253">
        <f>SUM(F532:F538)</f>
        <v>157867.76</v>
      </c>
      <c r="G531" s="1180">
        <v>5250</v>
      </c>
      <c r="H531" s="166">
        <f>SUM(H532:H538)</f>
        <v>0</v>
      </c>
      <c r="I531" s="1512" t="s">
        <v>1222</v>
      </c>
      <c r="J531" s="1768"/>
      <c r="K531" s="1754"/>
    </row>
    <row r="532" spans="1:11" ht="21.75" hidden="1" customHeight="1" x14ac:dyDescent="0.2">
      <c r="A532" s="1763"/>
      <c r="B532" s="1766"/>
      <c r="C532" s="1767"/>
      <c r="D532" s="166"/>
      <c r="E532" s="166"/>
      <c r="F532" s="507">
        <v>117600</v>
      </c>
      <c r="G532" s="438"/>
      <c r="H532" s="166"/>
      <c r="I532" s="1513"/>
      <c r="J532" s="1754" t="s">
        <v>1223</v>
      </c>
      <c r="K532" s="1754"/>
    </row>
    <row r="533" spans="1:11" ht="15" hidden="1" customHeight="1" x14ac:dyDescent="0.2">
      <c r="A533" s="1763"/>
      <c r="B533" s="1766"/>
      <c r="C533" s="1767"/>
      <c r="D533" s="431"/>
      <c r="E533" s="431"/>
      <c r="F533" s="507">
        <v>5100</v>
      </c>
      <c r="G533" s="438"/>
      <c r="H533" s="166"/>
      <c r="I533" s="1513"/>
      <c r="J533" s="1754" t="s">
        <v>1086</v>
      </c>
      <c r="K533" s="1754"/>
    </row>
    <row r="534" spans="1:11" ht="16.5" hidden="1" customHeight="1" x14ac:dyDescent="0.2">
      <c r="A534" s="1763"/>
      <c r="B534" s="1766"/>
      <c r="C534" s="1767"/>
      <c r="D534" s="166"/>
      <c r="E534" s="166"/>
      <c r="F534" s="431">
        <v>7405</v>
      </c>
      <c r="G534" s="438"/>
      <c r="H534" s="166"/>
      <c r="I534" s="1513"/>
      <c r="J534" s="1754" t="s">
        <v>1224</v>
      </c>
      <c r="K534" s="1754"/>
    </row>
    <row r="535" spans="1:11" ht="24" hidden="1" customHeight="1" x14ac:dyDescent="0.2">
      <c r="A535" s="1763"/>
      <c r="B535" s="1766"/>
      <c r="C535" s="1767"/>
      <c r="D535" s="166"/>
      <c r="E535" s="166"/>
      <c r="F535" s="431">
        <v>7244.5</v>
      </c>
      <c r="G535" s="438"/>
      <c r="H535" s="166"/>
      <c r="I535" s="1513"/>
      <c r="J535" s="1754" t="s">
        <v>1225</v>
      </c>
      <c r="K535" s="1754"/>
    </row>
    <row r="536" spans="1:11" ht="39.75" hidden="1" customHeight="1" x14ac:dyDescent="0.2">
      <c r="A536" s="1763"/>
      <c r="B536" s="1766"/>
      <c r="C536" s="1767"/>
      <c r="D536" s="166"/>
      <c r="E536" s="166"/>
      <c r="F536" s="431">
        <v>20518.259999999998</v>
      </c>
      <c r="G536" s="438"/>
      <c r="H536" s="166"/>
      <c r="I536" s="1513"/>
      <c r="J536" s="1754" t="s">
        <v>1226</v>
      </c>
      <c r="K536" s="1754"/>
    </row>
    <row r="537" spans="1:11" ht="14.25" hidden="1" customHeight="1" x14ac:dyDescent="0.2">
      <c r="A537" s="1763"/>
      <c r="B537" s="1766"/>
      <c r="C537" s="1767"/>
      <c r="D537" s="166"/>
      <c r="E537" s="166"/>
      <c r="F537" s="431"/>
      <c r="G537" s="438"/>
      <c r="H537" s="166"/>
      <c r="I537" s="1513"/>
      <c r="J537" s="1755" t="s">
        <v>766</v>
      </c>
      <c r="K537" s="1755"/>
    </row>
    <row r="538" spans="1:11" ht="15" hidden="1" customHeight="1" x14ac:dyDescent="0.2">
      <c r="A538" s="1763"/>
      <c r="B538" s="1766"/>
      <c r="C538" s="1767"/>
      <c r="D538" s="166"/>
      <c r="E538" s="166"/>
      <c r="F538" s="431"/>
      <c r="G538" s="438"/>
      <c r="H538" s="166"/>
      <c r="I538" s="1513"/>
      <c r="J538" s="1756" t="s">
        <v>298</v>
      </c>
      <c r="K538" s="1756"/>
    </row>
    <row r="539" spans="1:11" x14ac:dyDescent="0.2">
      <c r="A539" s="470">
        <v>1</v>
      </c>
      <c r="B539" s="1757" t="s">
        <v>1227</v>
      </c>
      <c r="C539" s="1758"/>
      <c r="D539" s="166">
        <v>2327</v>
      </c>
      <c r="E539" s="166">
        <v>2325.48</v>
      </c>
      <c r="F539" s="253">
        <f>4000+604+2697+171</f>
        <v>7472</v>
      </c>
      <c r="G539" s="1180">
        <v>2241</v>
      </c>
      <c r="H539" s="166">
        <f>4000+605+2697+171</f>
        <v>7473</v>
      </c>
      <c r="I539" s="1429" t="s">
        <v>1222</v>
      </c>
      <c r="J539" s="1759" t="s">
        <v>1221</v>
      </c>
      <c r="K539" s="1759"/>
    </row>
    <row r="540" spans="1:11" s="156" customFormat="1" ht="5.25" customHeight="1" x14ac:dyDescent="0.2">
      <c r="A540" s="259"/>
      <c r="B540" s="259"/>
      <c r="C540" s="259"/>
      <c r="D540" s="259"/>
      <c r="E540" s="259"/>
      <c r="G540" s="259"/>
      <c r="H540" s="259"/>
      <c r="I540" s="1456"/>
      <c r="J540" s="304"/>
      <c r="K540" s="304"/>
    </row>
    <row r="541" spans="1:11" s="156" customFormat="1" x14ac:dyDescent="0.2">
      <c r="A541" s="283" t="s">
        <v>455</v>
      </c>
      <c r="B541" s="519"/>
      <c r="C541" s="519"/>
      <c r="D541" s="519"/>
      <c r="E541" s="519"/>
      <c r="F541" s="520"/>
      <c r="G541" s="519"/>
      <c r="H541" s="519"/>
      <c r="I541" s="519"/>
      <c r="J541" s="519"/>
      <c r="K541" s="519"/>
    </row>
    <row r="542" spans="1:11" s="156" customFormat="1" x14ac:dyDescent="0.2">
      <c r="A542" s="278" t="s">
        <v>326</v>
      </c>
      <c r="B542" s="259"/>
      <c r="C542" s="259"/>
      <c r="D542" s="259"/>
      <c r="E542" s="259"/>
      <c r="G542" s="259"/>
      <c r="H542" s="259"/>
      <c r="I542" s="271"/>
      <c r="J542" s="304"/>
      <c r="K542" s="304"/>
    </row>
    <row r="543" spans="1:11" x14ac:dyDescent="0.2">
      <c r="A543" s="277" t="s">
        <v>340</v>
      </c>
    </row>
    <row r="544" spans="1:11" x14ac:dyDescent="0.2">
      <c r="A544" s="156" t="s">
        <v>342</v>
      </c>
      <c r="B544" s="156"/>
    </row>
    <row r="545" spans="1:2" x14ac:dyDescent="0.2">
      <c r="A545" s="156" t="s">
        <v>3516</v>
      </c>
      <c r="B545" s="156"/>
    </row>
    <row r="546" spans="1:2" x14ac:dyDescent="0.2">
      <c r="A546" s="156" t="s">
        <v>347</v>
      </c>
      <c r="B546" s="156"/>
    </row>
    <row r="547" spans="1:2" x14ac:dyDescent="0.2">
      <c r="A547" s="156" t="s">
        <v>3512</v>
      </c>
      <c r="B547" s="156"/>
    </row>
    <row r="548" spans="1:2" x14ac:dyDescent="0.2">
      <c r="A548" s="156" t="s">
        <v>348</v>
      </c>
      <c r="B548" s="156"/>
    </row>
    <row r="549" spans="1:2" x14ac:dyDescent="0.2">
      <c r="A549" s="156" t="s">
        <v>3511</v>
      </c>
      <c r="B549" s="156"/>
    </row>
    <row r="550" spans="1:2" x14ac:dyDescent="0.2">
      <c r="A550" s="156" t="s">
        <v>349</v>
      </c>
      <c r="B550" s="156"/>
    </row>
    <row r="551" spans="1:2" x14ac:dyDescent="0.2">
      <c r="A551" s="156" t="s">
        <v>350</v>
      </c>
      <c r="B551" s="156"/>
    </row>
    <row r="552" spans="1:2" x14ac:dyDescent="0.2">
      <c r="A552" s="156" t="s">
        <v>351</v>
      </c>
      <c r="B552" s="156"/>
    </row>
    <row r="553" spans="1:2" x14ac:dyDescent="0.2">
      <c r="A553" s="156" t="s">
        <v>352</v>
      </c>
      <c r="B553" s="156"/>
    </row>
    <row r="554" spans="1:2" x14ac:dyDescent="0.2">
      <c r="A554" s="156" t="s">
        <v>353</v>
      </c>
      <c r="B554" s="156"/>
    </row>
    <row r="555" spans="1:2" x14ac:dyDescent="0.2">
      <c r="A555" s="156" t="s">
        <v>354</v>
      </c>
      <c r="B555" s="156"/>
    </row>
    <row r="556" spans="1:2" x14ac:dyDescent="0.2">
      <c r="A556" s="1460" t="s">
        <v>355</v>
      </c>
      <c r="B556" s="156"/>
    </row>
    <row r="557" spans="1:2" x14ac:dyDescent="0.2">
      <c r="A557" s="156" t="s">
        <v>358</v>
      </c>
      <c r="B557" s="156"/>
    </row>
    <row r="558" spans="1:2" x14ac:dyDescent="0.2">
      <c r="A558" s="156" t="s">
        <v>364</v>
      </c>
      <c r="B558" s="156"/>
    </row>
    <row r="559" spans="1:2" x14ac:dyDescent="0.2">
      <c r="A559" s="156" t="s">
        <v>365</v>
      </c>
      <c r="B559" s="156"/>
    </row>
    <row r="560" spans="1:2" x14ac:dyDescent="0.2">
      <c r="A560" s="156" t="s">
        <v>3514</v>
      </c>
      <c r="B560" s="156"/>
    </row>
    <row r="561" spans="1:2" x14ac:dyDescent="0.2">
      <c r="A561" s="156" t="s">
        <v>3513</v>
      </c>
      <c r="B561" s="156"/>
    </row>
    <row r="562" spans="1:2" x14ac:dyDescent="0.2">
      <c r="A562" s="156" t="s">
        <v>367</v>
      </c>
      <c r="B562" s="156"/>
    </row>
    <row r="563" spans="1:2" x14ac:dyDescent="0.2">
      <c r="A563" s="156" t="s">
        <v>368</v>
      </c>
      <c r="B563" s="156"/>
    </row>
    <row r="564" spans="1:2" x14ac:dyDescent="0.2">
      <c r="A564" s="156" t="s">
        <v>369</v>
      </c>
      <c r="B564" s="156"/>
    </row>
    <row r="565" spans="1:2" x14ac:dyDescent="0.2">
      <c r="A565" s="156" t="s">
        <v>370</v>
      </c>
      <c r="B565" s="156"/>
    </row>
    <row r="566" spans="1:2" x14ac:dyDescent="0.2">
      <c r="A566" s="156" t="s">
        <v>371</v>
      </c>
      <c r="B566" s="156"/>
    </row>
    <row r="567" spans="1:2" x14ac:dyDescent="0.2">
      <c r="A567" s="156" t="s">
        <v>372</v>
      </c>
      <c r="B567" s="156"/>
    </row>
    <row r="568" spans="1:2" x14ac:dyDescent="0.2">
      <c r="A568" s="156" t="s">
        <v>377</v>
      </c>
      <c r="B568" s="156"/>
    </row>
    <row r="569" spans="1:2" x14ac:dyDescent="0.2">
      <c r="A569" s="156" t="s">
        <v>3515</v>
      </c>
      <c r="B569" s="156"/>
    </row>
  </sheetData>
  <sheetProtection algorithmName="SHA-512" hashValue="/rD5KBsX6MC+I7txbaIiCnkttfeqWu57mkavWORCdGPFSdwOHQMYZK6rBoIKZfOC+2qEg5VXGEp2+0y/i1WT4Q==" saltValue="0r7iLsN8q3bkjoE3xCzBMw==" spinCount="100000" sheet="1" objects="1" scenarios="1"/>
  <mergeCells count="695">
    <mergeCell ref="A5:B5"/>
    <mergeCell ref="A6:B6"/>
    <mergeCell ref="A7:B7"/>
    <mergeCell ref="B8:C8"/>
    <mergeCell ref="J8:K8"/>
    <mergeCell ref="A9:C9"/>
    <mergeCell ref="J9:K9"/>
    <mergeCell ref="A1:B1"/>
    <mergeCell ref="C1:D1"/>
    <mergeCell ref="G1:K1"/>
    <mergeCell ref="A2:B2"/>
    <mergeCell ref="C2:J2"/>
    <mergeCell ref="A3:J3"/>
    <mergeCell ref="J25:K25"/>
    <mergeCell ref="J26:K26"/>
    <mergeCell ref="S14:T14"/>
    <mergeCell ref="J15:K15"/>
    <mergeCell ref="S15:T15"/>
    <mergeCell ref="J16:K16"/>
    <mergeCell ref="J17:K17"/>
    <mergeCell ref="J18:K18"/>
    <mergeCell ref="J14:K14"/>
    <mergeCell ref="J19:K19"/>
    <mergeCell ref="J20:K20"/>
    <mergeCell ref="J33:K33"/>
    <mergeCell ref="A35:B35"/>
    <mergeCell ref="A36:B36"/>
    <mergeCell ref="B37:C37"/>
    <mergeCell ref="J37:K37"/>
    <mergeCell ref="A38:C38"/>
    <mergeCell ref="J38:K38"/>
    <mergeCell ref="J27:K27"/>
    <mergeCell ref="J28:K28"/>
    <mergeCell ref="J29:K29"/>
    <mergeCell ref="J30:K30"/>
    <mergeCell ref="J31:K31"/>
    <mergeCell ref="J32:K32"/>
    <mergeCell ref="A10:A33"/>
    <mergeCell ref="B10:C33"/>
    <mergeCell ref="I10:I33"/>
    <mergeCell ref="J10:K10"/>
    <mergeCell ref="J11:K11"/>
    <mergeCell ref="J12:K12"/>
    <mergeCell ref="J13:K13"/>
    <mergeCell ref="J21:K21"/>
    <mergeCell ref="J22:K22"/>
    <mergeCell ref="J23:K23"/>
    <mergeCell ref="J24:K24"/>
    <mergeCell ref="A46:B46"/>
    <mergeCell ref="A47:B47"/>
    <mergeCell ref="B48:C48"/>
    <mergeCell ref="J48:K48"/>
    <mergeCell ref="A49:C49"/>
    <mergeCell ref="J49:K49"/>
    <mergeCell ref="I39:I44"/>
    <mergeCell ref="J39:K39"/>
    <mergeCell ref="J40:K40"/>
    <mergeCell ref="J41:K41"/>
    <mergeCell ref="J42:K42"/>
    <mergeCell ref="J43:K43"/>
    <mergeCell ref="J44:K44"/>
    <mergeCell ref="A39:A44"/>
    <mergeCell ref="B39:C44"/>
    <mergeCell ref="A54:B54"/>
    <mergeCell ref="A55:B55"/>
    <mergeCell ref="B56:C56"/>
    <mergeCell ref="J56:K56"/>
    <mergeCell ref="A57:C57"/>
    <mergeCell ref="J57:K57"/>
    <mergeCell ref="A50:A52"/>
    <mergeCell ref="B50:C52"/>
    <mergeCell ref="I50:I52"/>
    <mergeCell ref="J50:K50"/>
    <mergeCell ref="J51:K51"/>
    <mergeCell ref="J52:K52"/>
    <mergeCell ref="A58:A64"/>
    <mergeCell ref="B58:C64"/>
    <mergeCell ref="I58:I64"/>
    <mergeCell ref="J58:K58"/>
    <mergeCell ref="J59:K59"/>
    <mergeCell ref="J60:K60"/>
    <mergeCell ref="J61:K61"/>
    <mergeCell ref="J62:K62"/>
    <mergeCell ref="J63:K63"/>
    <mergeCell ref="J64:K64"/>
    <mergeCell ref="A65:A72"/>
    <mergeCell ref="B65:C72"/>
    <mergeCell ref="I65:I72"/>
    <mergeCell ref="J65:K65"/>
    <mergeCell ref="J66:K66"/>
    <mergeCell ref="J67:K67"/>
    <mergeCell ref="J68:K68"/>
    <mergeCell ref="J70:K70"/>
    <mergeCell ref="J71:K71"/>
    <mergeCell ref="J72:K72"/>
    <mergeCell ref="A73:A79"/>
    <mergeCell ref="B73:C79"/>
    <mergeCell ref="I73:I79"/>
    <mergeCell ref="J73:K73"/>
    <mergeCell ref="J74:K74"/>
    <mergeCell ref="J75:K75"/>
    <mergeCell ref="J76:K76"/>
    <mergeCell ref="J77:K77"/>
    <mergeCell ref="J78:K78"/>
    <mergeCell ref="J79:K79"/>
    <mergeCell ref="J85:K85"/>
    <mergeCell ref="A86:A89"/>
    <mergeCell ref="B86:C89"/>
    <mergeCell ref="I86:I89"/>
    <mergeCell ref="J86:K86"/>
    <mergeCell ref="J87:K87"/>
    <mergeCell ref="J88:K88"/>
    <mergeCell ref="J89:K89"/>
    <mergeCell ref="A80:A82"/>
    <mergeCell ref="B80:C82"/>
    <mergeCell ref="I80:I82"/>
    <mergeCell ref="J81:K81"/>
    <mergeCell ref="J82:K82"/>
    <mergeCell ref="A83:A85"/>
    <mergeCell ref="B83:C85"/>
    <mergeCell ref="I83:I85"/>
    <mergeCell ref="J83:K83"/>
    <mergeCell ref="J84:K84"/>
    <mergeCell ref="J97:K97"/>
    <mergeCell ref="J98:K98"/>
    <mergeCell ref="A99:A100"/>
    <mergeCell ref="B99:C100"/>
    <mergeCell ref="I99:I100"/>
    <mergeCell ref="J99:K99"/>
    <mergeCell ref="J100:K100"/>
    <mergeCell ref="A90:A98"/>
    <mergeCell ref="B90:C98"/>
    <mergeCell ref="J90:K90"/>
    <mergeCell ref="J91:K91"/>
    <mergeCell ref="J92:K92"/>
    <mergeCell ref="J93:K93"/>
    <mergeCell ref="J94:K94"/>
    <mergeCell ref="J95:K95"/>
    <mergeCell ref="J96:K96"/>
    <mergeCell ref="I90:I98"/>
    <mergeCell ref="A104:A105"/>
    <mergeCell ref="B104:C105"/>
    <mergeCell ref="I104:I105"/>
    <mergeCell ref="J104:K104"/>
    <mergeCell ref="J105:K105"/>
    <mergeCell ref="B106:C106"/>
    <mergeCell ref="J106:K106"/>
    <mergeCell ref="A101:A102"/>
    <mergeCell ref="B101:C102"/>
    <mergeCell ref="I101:I102"/>
    <mergeCell ref="J101:K101"/>
    <mergeCell ref="J102:K102"/>
    <mergeCell ref="J103:K103"/>
    <mergeCell ref="A112:C112"/>
    <mergeCell ref="J112:K112"/>
    <mergeCell ref="A113:A114"/>
    <mergeCell ref="B113:C114"/>
    <mergeCell ref="I113:I114"/>
    <mergeCell ref="J113:K113"/>
    <mergeCell ref="J114:K114"/>
    <mergeCell ref="B107:C107"/>
    <mergeCell ref="J107:K107"/>
    <mergeCell ref="A109:B109"/>
    <mergeCell ref="A110:B110"/>
    <mergeCell ref="B111:C111"/>
    <mergeCell ref="J111:K111"/>
    <mergeCell ref="A120:A122"/>
    <mergeCell ref="B120:C122"/>
    <mergeCell ref="I120:I122"/>
    <mergeCell ref="J120:K120"/>
    <mergeCell ref="J121:K121"/>
    <mergeCell ref="J122:K122"/>
    <mergeCell ref="A115:A119"/>
    <mergeCell ref="B115:C119"/>
    <mergeCell ref="I115:I119"/>
    <mergeCell ref="J115:K115"/>
    <mergeCell ref="J116:K116"/>
    <mergeCell ref="J117:K117"/>
    <mergeCell ref="J118:K118"/>
    <mergeCell ref="J119:K119"/>
    <mergeCell ref="A127:A129"/>
    <mergeCell ref="B127:C129"/>
    <mergeCell ref="I127:I129"/>
    <mergeCell ref="J127:K127"/>
    <mergeCell ref="J128:K128"/>
    <mergeCell ref="J129:K129"/>
    <mergeCell ref="A123:A126"/>
    <mergeCell ref="B123:C126"/>
    <mergeCell ref="I123:I126"/>
    <mergeCell ref="J123:K123"/>
    <mergeCell ref="J124:K124"/>
    <mergeCell ref="J125:K125"/>
    <mergeCell ref="J126:K126"/>
    <mergeCell ref="A134:B134"/>
    <mergeCell ref="B135:C135"/>
    <mergeCell ref="J135:K135"/>
    <mergeCell ref="A136:C136"/>
    <mergeCell ref="J136:K136"/>
    <mergeCell ref="B137:C137"/>
    <mergeCell ref="J137:K137"/>
    <mergeCell ref="B130:C130"/>
    <mergeCell ref="J130:K130"/>
    <mergeCell ref="B131:C131"/>
    <mergeCell ref="J131:K131"/>
    <mergeCell ref="J132:K132"/>
    <mergeCell ref="A133:B133"/>
    <mergeCell ref="J133:K133"/>
    <mergeCell ref="J148:K148"/>
    <mergeCell ref="J149:K149"/>
    <mergeCell ref="J150:K150"/>
    <mergeCell ref="J151:K151"/>
    <mergeCell ref="B138:C138"/>
    <mergeCell ref="J138:K138"/>
    <mergeCell ref="A139:B139"/>
    <mergeCell ref="J139:K139"/>
    <mergeCell ref="A140:B140"/>
    <mergeCell ref="J140:K140"/>
    <mergeCell ref="J158:K158"/>
    <mergeCell ref="J159:K159"/>
    <mergeCell ref="J160:K160"/>
    <mergeCell ref="J161:K161"/>
    <mergeCell ref="A162:B162"/>
    <mergeCell ref="A163:B163"/>
    <mergeCell ref="B141:C141"/>
    <mergeCell ref="J141:K141"/>
    <mergeCell ref="A142:C142"/>
    <mergeCell ref="J142:K142"/>
    <mergeCell ref="A143:A160"/>
    <mergeCell ref="B143:C160"/>
    <mergeCell ref="I143:I160"/>
    <mergeCell ref="J143:K143"/>
    <mergeCell ref="J144:K144"/>
    <mergeCell ref="J145:K145"/>
    <mergeCell ref="J152:K152"/>
    <mergeCell ref="J153:K153"/>
    <mergeCell ref="J154:K154"/>
    <mergeCell ref="J155:K155"/>
    <mergeCell ref="J156:K156"/>
    <mergeCell ref="J157:K157"/>
    <mergeCell ref="J146:K146"/>
    <mergeCell ref="J147:K147"/>
    <mergeCell ref="J176:K176"/>
    <mergeCell ref="J177:K177"/>
    <mergeCell ref="J178:K178"/>
    <mergeCell ref="J179:K179"/>
    <mergeCell ref="B164:C164"/>
    <mergeCell ref="J164:K164"/>
    <mergeCell ref="A165:C165"/>
    <mergeCell ref="J165:K165"/>
    <mergeCell ref="B166:C166"/>
    <mergeCell ref="J166:K166"/>
    <mergeCell ref="J186:K186"/>
    <mergeCell ref="J187:K187"/>
    <mergeCell ref="J188:K188"/>
    <mergeCell ref="J189:K189"/>
    <mergeCell ref="J190:K190"/>
    <mergeCell ref="J191:K191"/>
    <mergeCell ref="A167:A193"/>
    <mergeCell ref="B167:C193"/>
    <mergeCell ref="I167:I193"/>
    <mergeCell ref="J167:K167"/>
    <mergeCell ref="J168:K168"/>
    <mergeCell ref="J169:K169"/>
    <mergeCell ref="J170:K170"/>
    <mergeCell ref="J171:K171"/>
    <mergeCell ref="J172:K172"/>
    <mergeCell ref="J173:K173"/>
    <mergeCell ref="J180:K180"/>
    <mergeCell ref="J181:K181"/>
    <mergeCell ref="J182:K182"/>
    <mergeCell ref="J183:K183"/>
    <mergeCell ref="J184:K184"/>
    <mergeCell ref="J185:K185"/>
    <mergeCell ref="J174:K174"/>
    <mergeCell ref="J175:K175"/>
    <mergeCell ref="A198:C198"/>
    <mergeCell ref="J198:K198"/>
    <mergeCell ref="A199:A202"/>
    <mergeCell ref="B199:C202"/>
    <mergeCell ref="J199:K199"/>
    <mergeCell ref="J200:K200"/>
    <mergeCell ref="J201:K201"/>
    <mergeCell ref="J202:K202"/>
    <mergeCell ref="J192:K192"/>
    <mergeCell ref="J193:K193"/>
    <mergeCell ref="A195:B195"/>
    <mergeCell ref="A196:B196"/>
    <mergeCell ref="B197:C197"/>
    <mergeCell ref="J197:K197"/>
    <mergeCell ref="A206:A209"/>
    <mergeCell ref="B206:C209"/>
    <mergeCell ref="J207:K207"/>
    <mergeCell ref="J208:K208"/>
    <mergeCell ref="J209:K209"/>
    <mergeCell ref="A203:A204"/>
    <mergeCell ref="B203:C204"/>
    <mergeCell ref="J203:K203"/>
    <mergeCell ref="J204:K204"/>
    <mergeCell ref="B205:C205"/>
    <mergeCell ref="J205:K205"/>
    <mergeCell ref="J217:K217"/>
    <mergeCell ref="J218:K218"/>
    <mergeCell ref="J219:K219"/>
    <mergeCell ref="J220:K220"/>
    <mergeCell ref="J221:K221"/>
    <mergeCell ref="J222:K222"/>
    <mergeCell ref="A210:A226"/>
    <mergeCell ref="B210:C226"/>
    <mergeCell ref="J210:K210"/>
    <mergeCell ref="J211:K211"/>
    <mergeCell ref="J212:K212"/>
    <mergeCell ref="J213:K213"/>
    <mergeCell ref="J214:K214"/>
    <mergeCell ref="J215:K215"/>
    <mergeCell ref="J216:K216"/>
    <mergeCell ref="J247:K247"/>
    <mergeCell ref="J230:K230"/>
    <mergeCell ref="J231:K231"/>
    <mergeCell ref="J232:K232"/>
    <mergeCell ref="J233:K233"/>
    <mergeCell ref="J234:K234"/>
    <mergeCell ref="J235:K235"/>
    <mergeCell ref="J223:K223"/>
    <mergeCell ref="J224:K224"/>
    <mergeCell ref="J225:K225"/>
    <mergeCell ref="J226:K226"/>
    <mergeCell ref="J227:K227"/>
    <mergeCell ref="J228:K228"/>
    <mergeCell ref="J229:K229"/>
    <mergeCell ref="J274:K274"/>
    <mergeCell ref="J275:K275"/>
    <mergeCell ref="J276:K276"/>
    <mergeCell ref="J236:K236"/>
    <mergeCell ref="J237:K237"/>
    <mergeCell ref="J238:K238"/>
    <mergeCell ref="J239:K239"/>
    <mergeCell ref="J240:K240"/>
    <mergeCell ref="A241:A268"/>
    <mergeCell ref="B241:C268"/>
    <mergeCell ref="J241:K241"/>
    <mergeCell ref="J242:K242"/>
    <mergeCell ref="A227:A240"/>
    <mergeCell ref="B227:C240"/>
    <mergeCell ref="J249:K249"/>
    <mergeCell ref="J250:K250"/>
    <mergeCell ref="J251:K251"/>
    <mergeCell ref="J252:K252"/>
    <mergeCell ref="J253:K253"/>
    <mergeCell ref="J254:K254"/>
    <mergeCell ref="J243:K243"/>
    <mergeCell ref="J244:K244"/>
    <mergeCell ref="J245:K245"/>
    <mergeCell ref="J246:K246"/>
    <mergeCell ref="J269:K269"/>
    <mergeCell ref="J270:K270"/>
    <mergeCell ref="J271:K271"/>
    <mergeCell ref="J272:K272"/>
    <mergeCell ref="J273:K273"/>
    <mergeCell ref="J248:K248"/>
    <mergeCell ref="J261:K261"/>
    <mergeCell ref="J262:K262"/>
    <mergeCell ref="J263:K263"/>
    <mergeCell ref="J264:K264"/>
    <mergeCell ref="J265:K265"/>
    <mergeCell ref="J266:K266"/>
    <mergeCell ref="J255:K255"/>
    <mergeCell ref="J256:K256"/>
    <mergeCell ref="J257:K257"/>
    <mergeCell ref="J258:K258"/>
    <mergeCell ref="J259:K259"/>
    <mergeCell ref="J260:K260"/>
    <mergeCell ref="J277:K277"/>
    <mergeCell ref="J278:K278"/>
    <mergeCell ref="J279:K279"/>
    <mergeCell ref="J280:K280"/>
    <mergeCell ref="J267:K267"/>
    <mergeCell ref="J268:K268"/>
    <mergeCell ref="A293:A297"/>
    <mergeCell ref="B293:C297"/>
    <mergeCell ref="J293:K293"/>
    <mergeCell ref="J294:K294"/>
    <mergeCell ref="J295:K295"/>
    <mergeCell ref="J296:K296"/>
    <mergeCell ref="J297:K297"/>
    <mergeCell ref="J287:K287"/>
    <mergeCell ref="J288:K288"/>
    <mergeCell ref="J289:K289"/>
    <mergeCell ref="J290:K290"/>
    <mergeCell ref="J291:K291"/>
    <mergeCell ref="J292:K292"/>
    <mergeCell ref="A278:A292"/>
    <mergeCell ref="B278:C292"/>
    <mergeCell ref="J281:K281"/>
    <mergeCell ref="A269:A277"/>
    <mergeCell ref="B269:C277"/>
    <mergeCell ref="J282:K282"/>
    <mergeCell ref="J283:K283"/>
    <mergeCell ref="J284:K284"/>
    <mergeCell ref="J285:K285"/>
    <mergeCell ref="J286:K286"/>
    <mergeCell ref="J305:K305"/>
    <mergeCell ref="J306:K306"/>
    <mergeCell ref="J307:K307"/>
    <mergeCell ref="J308:K308"/>
    <mergeCell ref="J298:K298"/>
    <mergeCell ref="J299:K299"/>
    <mergeCell ref="J300:K300"/>
    <mergeCell ref="J301:K301"/>
    <mergeCell ref="J302:K302"/>
    <mergeCell ref="J303:K303"/>
    <mergeCell ref="J304:K304"/>
    <mergeCell ref="J319:K319"/>
    <mergeCell ref="J320:K320"/>
    <mergeCell ref="J321:K321"/>
    <mergeCell ref="J322:K322"/>
    <mergeCell ref="J311:K311"/>
    <mergeCell ref="J312:K312"/>
    <mergeCell ref="J313:K313"/>
    <mergeCell ref="J314:K314"/>
    <mergeCell ref="J315:K315"/>
    <mergeCell ref="J316:K316"/>
    <mergeCell ref="J317:K317"/>
    <mergeCell ref="J318:K318"/>
    <mergeCell ref="A357:A358"/>
    <mergeCell ref="B357:C358"/>
    <mergeCell ref="J357:K357"/>
    <mergeCell ref="J358:K358"/>
    <mergeCell ref="A323:A348"/>
    <mergeCell ref="B323:C348"/>
    <mergeCell ref="J323:K323"/>
    <mergeCell ref="J324:K324"/>
    <mergeCell ref="J325:K325"/>
    <mergeCell ref="J326:K326"/>
    <mergeCell ref="J327:K327"/>
    <mergeCell ref="J328:K328"/>
    <mergeCell ref="J329:K329"/>
    <mergeCell ref="J342:K342"/>
    <mergeCell ref="J343:K343"/>
    <mergeCell ref="J344:K344"/>
    <mergeCell ref="J345:K345"/>
    <mergeCell ref="J346:K346"/>
    <mergeCell ref="J347:K347"/>
    <mergeCell ref="J336:K336"/>
    <mergeCell ref="J337:K337"/>
    <mergeCell ref="J338:K338"/>
    <mergeCell ref="J339:K339"/>
    <mergeCell ref="J340:K340"/>
    <mergeCell ref="A354:A356"/>
    <mergeCell ref="B354:C356"/>
    <mergeCell ref="J354:K354"/>
    <mergeCell ref="J355:K355"/>
    <mergeCell ref="J356:K356"/>
    <mergeCell ref="J348:K348"/>
    <mergeCell ref="A350:B350"/>
    <mergeCell ref="A351:B351"/>
    <mergeCell ref="B352:C352"/>
    <mergeCell ref="J352:K352"/>
    <mergeCell ref="A353:C353"/>
    <mergeCell ref="J353:K353"/>
    <mergeCell ref="I199:I348"/>
    <mergeCell ref="J330:K330"/>
    <mergeCell ref="J331:K331"/>
    <mergeCell ref="J332:K332"/>
    <mergeCell ref="J333:K333"/>
    <mergeCell ref="J334:K334"/>
    <mergeCell ref="J335:K335"/>
    <mergeCell ref="J341:K341"/>
    <mergeCell ref="J309:K309"/>
    <mergeCell ref="J310:K310"/>
    <mergeCell ref="A298:A322"/>
    <mergeCell ref="B298:C322"/>
    <mergeCell ref="A359:A374"/>
    <mergeCell ref="B359:C374"/>
    <mergeCell ref="J359:K359"/>
    <mergeCell ref="J360:K360"/>
    <mergeCell ref="J367:K367"/>
    <mergeCell ref="J368:K368"/>
    <mergeCell ref="J369:K369"/>
    <mergeCell ref="J370:K370"/>
    <mergeCell ref="J371:K371"/>
    <mergeCell ref="J372:K372"/>
    <mergeCell ref="J361:K361"/>
    <mergeCell ref="J362:K362"/>
    <mergeCell ref="J363:K363"/>
    <mergeCell ref="J364:K364"/>
    <mergeCell ref="J365:K365"/>
    <mergeCell ref="J366:K366"/>
    <mergeCell ref="J373:K373"/>
    <mergeCell ref="J374:K374"/>
    <mergeCell ref="J380:K380"/>
    <mergeCell ref="A381:A393"/>
    <mergeCell ref="B381:C393"/>
    <mergeCell ref="J381:K381"/>
    <mergeCell ref="J382:K382"/>
    <mergeCell ref="J383:K383"/>
    <mergeCell ref="J384:K384"/>
    <mergeCell ref="J385:K385"/>
    <mergeCell ref="J386:K386"/>
    <mergeCell ref="J393:K393"/>
    <mergeCell ref="A375:A380"/>
    <mergeCell ref="B375:C380"/>
    <mergeCell ref="J375:K375"/>
    <mergeCell ref="J376:K376"/>
    <mergeCell ref="J377:K377"/>
    <mergeCell ref="J378:K378"/>
    <mergeCell ref="J379:K379"/>
    <mergeCell ref="J387:K387"/>
    <mergeCell ref="A394:A400"/>
    <mergeCell ref="B394:C400"/>
    <mergeCell ref="J395:K395"/>
    <mergeCell ref="J396:K396"/>
    <mergeCell ref="J397:K397"/>
    <mergeCell ref="J398:K398"/>
    <mergeCell ref="J399:K399"/>
    <mergeCell ref="J400:K400"/>
    <mergeCell ref="J388:K388"/>
    <mergeCell ref="J389:K389"/>
    <mergeCell ref="J390:K390"/>
    <mergeCell ref="J391:K391"/>
    <mergeCell ref="J392:K392"/>
    <mergeCell ref="J408:K408"/>
    <mergeCell ref="J409:K409"/>
    <mergeCell ref="J410:K410"/>
    <mergeCell ref="J411:K411"/>
    <mergeCell ref="J412:K412"/>
    <mergeCell ref="J413:K413"/>
    <mergeCell ref="A401:A414"/>
    <mergeCell ref="B401:C414"/>
    <mergeCell ref="J401:K401"/>
    <mergeCell ref="J402:K402"/>
    <mergeCell ref="J403:K403"/>
    <mergeCell ref="J404:K404"/>
    <mergeCell ref="J405:K405"/>
    <mergeCell ref="J406:K406"/>
    <mergeCell ref="J407:K407"/>
    <mergeCell ref="J414:K414"/>
    <mergeCell ref="A415:A425"/>
    <mergeCell ref="B415:C425"/>
    <mergeCell ref="J415:K415"/>
    <mergeCell ref="J416:K416"/>
    <mergeCell ref="J417:K417"/>
    <mergeCell ref="J418:K418"/>
    <mergeCell ref="J419:K419"/>
    <mergeCell ref="J420:K420"/>
    <mergeCell ref="J421:K421"/>
    <mergeCell ref="J422:K422"/>
    <mergeCell ref="J423:K423"/>
    <mergeCell ref="J424:K424"/>
    <mergeCell ref="J425:K425"/>
    <mergeCell ref="J434:K434"/>
    <mergeCell ref="J435:K435"/>
    <mergeCell ref="J436:K436"/>
    <mergeCell ref="J437:K437"/>
    <mergeCell ref="J438:K438"/>
    <mergeCell ref="J439:K439"/>
    <mergeCell ref="J441:K441"/>
    <mergeCell ref="A426:A437"/>
    <mergeCell ref="B426:C437"/>
    <mergeCell ref="J426:K426"/>
    <mergeCell ref="J427:K427"/>
    <mergeCell ref="J428:K428"/>
    <mergeCell ref="J429:K429"/>
    <mergeCell ref="J430:K430"/>
    <mergeCell ref="J431:K431"/>
    <mergeCell ref="J432:K432"/>
    <mergeCell ref="J433:K433"/>
    <mergeCell ref="J448:K448"/>
    <mergeCell ref="A449:A456"/>
    <mergeCell ref="B449:C456"/>
    <mergeCell ref="J449:K449"/>
    <mergeCell ref="J450:K450"/>
    <mergeCell ref="J451:K451"/>
    <mergeCell ref="J452:K452"/>
    <mergeCell ref="J453:K453"/>
    <mergeCell ref="J454:K454"/>
    <mergeCell ref="A438:A448"/>
    <mergeCell ref="B438:C448"/>
    <mergeCell ref="J442:K442"/>
    <mergeCell ref="J443:K443"/>
    <mergeCell ref="J444:K444"/>
    <mergeCell ref="J445:K445"/>
    <mergeCell ref="J446:K446"/>
    <mergeCell ref="J447:K447"/>
    <mergeCell ref="J465:K465"/>
    <mergeCell ref="J466:K466"/>
    <mergeCell ref="J467:K467"/>
    <mergeCell ref="J455:K455"/>
    <mergeCell ref="J456:K456"/>
    <mergeCell ref="A457:A468"/>
    <mergeCell ref="B457:C468"/>
    <mergeCell ref="J457:K457"/>
    <mergeCell ref="J458:K458"/>
    <mergeCell ref="J459:K459"/>
    <mergeCell ref="J460:K460"/>
    <mergeCell ref="J461:K461"/>
    <mergeCell ref="J468:K468"/>
    <mergeCell ref="A478:A485"/>
    <mergeCell ref="B478:C485"/>
    <mergeCell ref="J478:K478"/>
    <mergeCell ref="J479:K479"/>
    <mergeCell ref="J480:K480"/>
    <mergeCell ref="J481:K481"/>
    <mergeCell ref="J482:K482"/>
    <mergeCell ref="J483:K483"/>
    <mergeCell ref="J484:K484"/>
    <mergeCell ref="J485:K485"/>
    <mergeCell ref="I354:I485"/>
    <mergeCell ref="A469:A477"/>
    <mergeCell ref="B469:C477"/>
    <mergeCell ref="J469:K469"/>
    <mergeCell ref="J471:K471"/>
    <mergeCell ref="J472:K472"/>
    <mergeCell ref="J473:K473"/>
    <mergeCell ref="J474:K474"/>
    <mergeCell ref="J475:K475"/>
    <mergeCell ref="J476:K476"/>
    <mergeCell ref="J477:K477"/>
    <mergeCell ref="J462:K462"/>
    <mergeCell ref="J463:K463"/>
    <mergeCell ref="J464:K464"/>
    <mergeCell ref="A486:A501"/>
    <mergeCell ref="B486:C501"/>
    <mergeCell ref="I486:I501"/>
    <mergeCell ref="J486:K486"/>
    <mergeCell ref="J487:K487"/>
    <mergeCell ref="J488:K488"/>
    <mergeCell ref="J489:K489"/>
    <mergeCell ref="J496:K496"/>
    <mergeCell ref="J497:K497"/>
    <mergeCell ref="J498:K498"/>
    <mergeCell ref="J499:K499"/>
    <mergeCell ref="J500:K500"/>
    <mergeCell ref="J501:K501"/>
    <mergeCell ref="J490:K490"/>
    <mergeCell ref="J491:K491"/>
    <mergeCell ref="J492:K492"/>
    <mergeCell ref="J493:K493"/>
    <mergeCell ref="J494:K494"/>
    <mergeCell ref="J495:K495"/>
    <mergeCell ref="A515:A518"/>
    <mergeCell ref="B515:C518"/>
    <mergeCell ref="I515:I518"/>
    <mergeCell ref="J515:K515"/>
    <mergeCell ref="J516:K516"/>
    <mergeCell ref="J517:K517"/>
    <mergeCell ref="J518:K518"/>
    <mergeCell ref="J509:K509"/>
    <mergeCell ref="A511:B511"/>
    <mergeCell ref="A512:B512"/>
    <mergeCell ref="B513:C513"/>
    <mergeCell ref="J513:K513"/>
    <mergeCell ref="A514:C514"/>
    <mergeCell ref="J514:K514"/>
    <mergeCell ref="A502:A509"/>
    <mergeCell ref="B502:C509"/>
    <mergeCell ref="I502:I509"/>
    <mergeCell ref="J502:K502"/>
    <mergeCell ref="J503:K503"/>
    <mergeCell ref="J504:K504"/>
    <mergeCell ref="J505:K505"/>
    <mergeCell ref="J506:K506"/>
    <mergeCell ref="J507:K507"/>
    <mergeCell ref="J508:K508"/>
    <mergeCell ref="B525:C525"/>
    <mergeCell ref="J525:K525"/>
    <mergeCell ref="J526:K526"/>
    <mergeCell ref="A527:B527"/>
    <mergeCell ref="J527:K527"/>
    <mergeCell ref="A528:B528"/>
    <mergeCell ref="J528:K528"/>
    <mergeCell ref="A519:A524"/>
    <mergeCell ref="B519:C524"/>
    <mergeCell ref="I519:I524"/>
    <mergeCell ref="J519:K519"/>
    <mergeCell ref="J520:K520"/>
    <mergeCell ref="J521:K521"/>
    <mergeCell ref="J522:K522"/>
    <mergeCell ref="J523:K523"/>
    <mergeCell ref="J524:K524"/>
    <mergeCell ref="J534:K534"/>
    <mergeCell ref="J535:K535"/>
    <mergeCell ref="J536:K536"/>
    <mergeCell ref="J537:K537"/>
    <mergeCell ref="J538:K538"/>
    <mergeCell ref="B539:C539"/>
    <mergeCell ref="J539:K539"/>
    <mergeCell ref="B529:C529"/>
    <mergeCell ref="J529:K529"/>
    <mergeCell ref="A530:C530"/>
    <mergeCell ref="J530:K530"/>
    <mergeCell ref="A531:A538"/>
    <mergeCell ref="B531:C538"/>
    <mergeCell ref="J531:K531"/>
    <mergeCell ref="J532:K532"/>
    <mergeCell ref="J533:K533"/>
  </mergeCells>
  <pageMargins left="0.78740157480314965" right="0.19685039370078741" top="0.78740157480314965" bottom="0.43307086614173229" header="0.51181102362204722" footer="0.15748031496062992"/>
  <pageSetup paperSize="9" scale="76" fitToHeight="0" orientation="portrait" horizontalDpi="200" verticalDpi="200" r:id="rId1"/>
  <headerFooter>
    <oddHeader>&amp;R&amp;"Times New Roman,Regular"&amp;10 10.pielikums Jūrmalas pilsētas domes
2018.gada 18.decembra saistošajiem noteikumiem Nr.44
(protokols Nr.17, 2.punkts)</oddHeader>
    <oddFooter xml:space="preserve">&amp;R&amp;"Times New Roman,Regular"&amp;8&amp;P (&amp;N)
</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9"/>
  <sheetViews>
    <sheetView view="pageLayout" zoomScaleNormal="100" workbookViewId="0">
      <selection activeCell="O8" sqref="O8"/>
    </sheetView>
  </sheetViews>
  <sheetFormatPr defaultRowHeight="12" x14ac:dyDescent="0.2"/>
  <cols>
    <col min="1" max="1" width="6.140625" style="306" customWidth="1"/>
    <col min="2" max="2" width="34.7109375" style="306" customWidth="1"/>
    <col min="3" max="3" width="11.85546875" style="306" hidden="1" customWidth="1"/>
    <col min="4" max="4" width="11.140625" style="306" hidden="1" customWidth="1"/>
    <col min="5" max="5" width="10.28515625" style="306" hidden="1" customWidth="1"/>
    <col min="6" max="6" width="10.85546875" style="306" customWidth="1"/>
    <col min="7" max="7" width="8.5703125" style="306" customWidth="1"/>
    <col min="8" max="8" width="18.42578125" style="538" customWidth="1"/>
    <col min="9" max="9" width="26.7109375" style="306" hidden="1" customWidth="1"/>
    <col min="10" max="10" width="0" style="306" hidden="1" customWidth="1"/>
    <col min="11" max="16384" width="9.140625" style="306"/>
  </cols>
  <sheetData>
    <row r="1" spans="1:13" x14ac:dyDescent="0.2">
      <c r="A1" s="1692" t="s">
        <v>1228</v>
      </c>
      <c r="B1" s="1692"/>
      <c r="C1" s="1692" t="s">
        <v>125</v>
      </c>
      <c r="D1" s="1692"/>
      <c r="E1" s="1692"/>
      <c r="F1" s="1692"/>
      <c r="G1" s="1692"/>
      <c r="H1" s="1692"/>
      <c r="I1" s="1692"/>
    </row>
    <row r="2" spans="1:13" x14ac:dyDescent="0.2">
      <c r="A2" s="1692" t="s">
        <v>524</v>
      </c>
      <c r="B2" s="1692"/>
      <c r="C2" s="1692">
        <v>90000056357</v>
      </c>
      <c r="D2" s="1692"/>
      <c r="E2" s="1692"/>
      <c r="F2" s="1692"/>
      <c r="G2" s="1692"/>
      <c r="H2" s="1692"/>
      <c r="I2" s="1692"/>
    </row>
    <row r="3" spans="1:13" ht="15.75" x14ac:dyDescent="0.25">
      <c r="A3" s="1693" t="s">
        <v>3639</v>
      </c>
      <c r="B3" s="1693"/>
      <c r="C3" s="1693"/>
      <c r="D3" s="1693"/>
      <c r="E3" s="1693"/>
      <c r="F3" s="1693"/>
      <c r="G3" s="1693"/>
      <c r="H3" s="1693"/>
      <c r="I3" s="1693"/>
    </row>
    <row r="4" spans="1:13" ht="15.75" x14ac:dyDescent="0.25">
      <c r="A4" s="307"/>
      <c r="B4" s="307"/>
      <c r="C4" s="307"/>
      <c r="D4" s="307"/>
      <c r="E4" s="307"/>
      <c r="F4" s="307"/>
      <c r="G4" s="307"/>
      <c r="H4" s="521"/>
      <c r="I4" s="307"/>
    </row>
    <row r="5" spans="1:13" ht="15.75" x14ac:dyDescent="0.2">
      <c r="A5" s="309" t="s">
        <v>440</v>
      </c>
      <c r="B5" s="309"/>
      <c r="C5" s="1910" t="s">
        <v>1229</v>
      </c>
      <c r="D5" s="1910"/>
      <c r="E5" s="1910"/>
      <c r="F5" s="1910"/>
      <c r="G5" s="1910"/>
      <c r="H5" s="1910"/>
      <c r="I5" s="1910"/>
      <c r="J5" s="1910"/>
      <c r="K5" s="1910"/>
      <c r="L5" s="1910"/>
      <c r="M5" s="1910"/>
    </row>
    <row r="6" spans="1:13" x14ac:dyDescent="0.2">
      <c r="A6" s="309" t="s">
        <v>129</v>
      </c>
      <c r="B6" s="309"/>
      <c r="C6" s="1692" t="s">
        <v>1230</v>
      </c>
      <c r="D6" s="1692"/>
      <c r="E6" s="1692"/>
      <c r="F6" s="1692"/>
      <c r="G6" s="1692"/>
      <c r="H6" s="1692"/>
      <c r="I6" s="1692"/>
      <c r="J6" s="1692"/>
      <c r="K6" s="1692"/>
      <c r="L6" s="1692"/>
    </row>
    <row r="7" spans="1:13" x14ac:dyDescent="0.2">
      <c r="A7" s="309" t="s">
        <v>131</v>
      </c>
      <c r="B7" s="309"/>
      <c r="C7" s="1908" t="s">
        <v>1231</v>
      </c>
      <c r="D7" s="1908"/>
      <c r="E7" s="1908"/>
      <c r="F7" s="1908"/>
      <c r="G7" s="1908"/>
      <c r="H7" s="1908"/>
      <c r="I7" s="1908"/>
    </row>
    <row r="8" spans="1:13" ht="48" x14ac:dyDescent="0.2">
      <c r="A8" s="312" t="s">
        <v>4</v>
      </c>
      <c r="B8" s="312" t="s">
        <v>133</v>
      </c>
      <c r="C8" s="312" t="s">
        <v>17</v>
      </c>
      <c r="D8" s="312" t="s">
        <v>15</v>
      </c>
      <c r="E8" s="312" t="s">
        <v>134</v>
      </c>
      <c r="F8" s="312" t="s">
        <v>135</v>
      </c>
      <c r="G8" s="312" t="s">
        <v>3465</v>
      </c>
      <c r="H8" s="312" t="s">
        <v>14</v>
      </c>
      <c r="I8" s="312" t="s">
        <v>137</v>
      </c>
    </row>
    <row r="9" spans="1:13" ht="12.75" customHeight="1" x14ac:dyDescent="0.2">
      <c r="A9" s="1700" t="s">
        <v>138</v>
      </c>
      <c r="B9" s="1700"/>
      <c r="C9" s="313">
        <f>SUM(C10:C30)</f>
        <v>2420148</v>
      </c>
      <c r="D9" s="313">
        <f>SUM(D10:D30)</f>
        <v>2418668</v>
      </c>
      <c r="E9" s="313">
        <f>SUM(E10:E30)</f>
        <v>2643168</v>
      </c>
      <c r="F9" s="313"/>
      <c r="G9" s="313">
        <f>SUM(G10:G30)</f>
        <v>2642168</v>
      </c>
      <c r="H9" s="522"/>
      <c r="I9" s="315"/>
    </row>
    <row r="10" spans="1:13" ht="28.5" customHeight="1" x14ac:dyDescent="0.2">
      <c r="A10" s="320">
        <v>1</v>
      </c>
      <c r="B10" s="321" t="s">
        <v>1232</v>
      </c>
      <c r="C10" s="342">
        <v>615700</v>
      </c>
      <c r="D10" s="342">
        <v>615700</v>
      </c>
      <c r="E10" s="342">
        <f>671113+15265</f>
        <v>686378</v>
      </c>
      <c r="F10" s="323">
        <v>2244</v>
      </c>
      <c r="G10" s="322">
        <v>686378</v>
      </c>
      <c r="H10" s="188" t="s">
        <v>3519</v>
      </c>
      <c r="I10" s="523" t="s">
        <v>1233</v>
      </c>
    </row>
    <row r="11" spans="1:13" ht="13.5" customHeight="1" x14ac:dyDescent="0.2">
      <c r="A11" s="320">
        <v>2</v>
      </c>
      <c r="B11" s="321" t="s">
        <v>1234</v>
      </c>
      <c r="C11" s="342">
        <v>280000</v>
      </c>
      <c r="D11" s="342">
        <v>280000</v>
      </c>
      <c r="E11" s="342">
        <v>327819</v>
      </c>
      <c r="F11" s="323">
        <v>2244</v>
      </c>
      <c r="G11" s="322">
        <v>327819</v>
      </c>
      <c r="H11" s="188" t="s">
        <v>183</v>
      </c>
      <c r="I11" s="523" t="s">
        <v>1235</v>
      </c>
    </row>
    <row r="12" spans="1:13" ht="16.5" customHeight="1" x14ac:dyDescent="0.2">
      <c r="A12" s="320">
        <v>3</v>
      </c>
      <c r="B12" s="321" t="s">
        <v>1236</v>
      </c>
      <c r="C12" s="342">
        <v>23000</v>
      </c>
      <c r="D12" s="342">
        <v>23000</v>
      </c>
      <c r="E12" s="342">
        <v>25070</v>
      </c>
      <c r="F12" s="323">
        <v>2244</v>
      </c>
      <c r="G12" s="322">
        <v>25070</v>
      </c>
      <c r="H12" s="188" t="s">
        <v>183</v>
      </c>
      <c r="I12" s="523" t="s">
        <v>1235</v>
      </c>
    </row>
    <row r="13" spans="1:13" x14ac:dyDescent="0.2">
      <c r="A13" s="320">
        <v>4</v>
      </c>
      <c r="B13" s="321" t="s">
        <v>1237</v>
      </c>
      <c r="C13" s="342"/>
      <c r="D13" s="342"/>
      <c r="E13" s="342"/>
      <c r="F13" s="323"/>
      <c r="G13" s="322"/>
      <c r="H13" s="188"/>
      <c r="I13" s="315"/>
    </row>
    <row r="14" spans="1:13" ht="14.25" customHeight="1" x14ac:dyDescent="0.2">
      <c r="A14" s="524" t="s">
        <v>2356</v>
      </c>
      <c r="B14" s="321" t="s">
        <v>1239</v>
      </c>
      <c r="C14" s="342">
        <v>12742</v>
      </c>
      <c r="D14" s="342">
        <v>12742</v>
      </c>
      <c r="E14" s="342">
        <v>13214</v>
      </c>
      <c r="F14" s="323">
        <v>5239</v>
      </c>
      <c r="G14" s="344">
        <v>13214</v>
      </c>
      <c r="H14" s="188" t="s">
        <v>183</v>
      </c>
      <c r="I14" s="523" t="s">
        <v>1240</v>
      </c>
      <c r="J14" s="525" t="s">
        <v>1241</v>
      </c>
    </row>
    <row r="15" spans="1:13" ht="15.75" customHeight="1" x14ac:dyDescent="0.2">
      <c r="A15" s="320" t="s">
        <v>2360</v>
      </c>
      <c r="B15" s="321" t="s">
        <v>1243</v>
      </c>
      <c r="C15" s="342">
        <v>10297</v>
      </c>
      <c r="D15" s="342">
        <v>10297</v>
      </c>
      <c r="E15" s="342">
        <v>12421</v>
      </c>
      <c r="F15" s="323">
        <v>2244</v>
      </c>
      <c r="G15" s="344">
        <v>12421</v>
      </c>
      <c r="H15" s="188" t="s">
        <v>183</v>
      </c>
      <c r="I15" s="1909" t="s">
        <v>1235</v>
      </c>
      <c r="J15" s="525" t="s">
        <v>1241</v>
      </c>
    </row>
    <row r="16" spans="1:13" ht="17.25" customHeight="1" x14ac:dyDescent="0.2">
      <c r="A16" s="320">
        <v>5</v>
      </c>
      <c r="B16" s="321" t="s">
        <v>1244</v>
      </c>
      <c r="C16" s="342">
        <v>8564</v>
      </c>
      <c r="D16" s="342">
        <v>8564</v>
      </c>
      <c r="E16" s="342">
        <v>9179</v>
      </c>
      <c r="F16" s="323">
        <v>2244</v>
      </c>
      <c r="G16" s="322">
        <v>9179</v>
      </c>
      <c r="H16" s="188" t="s">
        <v>183</v>
      </c>
      <c r="I16" s="1909"/>
    </row>
    <row r="17" spans="1:10" ht="15" customHeight="1" x14ac:dyDescent="0.2">
      <c r="A17" s="1708">
        <v>6</v>
      </c>
      <c r="B17" s="1695" t="s">
        <v>1245</v>
      </c>
      <c r="C17" s="342">
        <v>182041</v>
      </c>
      <c r="D17" s="342">
        <v>182041</v>
      </c>
      <c r="E17" s="342">
        <v>195868</v>
      </c>
      <c r="F17" s="323">
        <v>2244</v>
      </c>
      <c r="G17" s="322">
        <v>195868</v>
      </c>
      <c r="H17" s="1674" t="s">
        <v>1246</v>
      </c>
      <c r="I17" s="523" t="s">
        <v>1235</v>
      </c>
    </row>
    <row r="18" spans="1:10" ht="15" customHeight="1" x14ac:dyDescent="0.2">
      <c r="A18" s="1708"/>
      <c r="B18" s="1695"/>
      <c r="C18" s="361">
        <v>0</v>
      </c>
      <c r="D18" s="361">
        <v>0</v>
      </c>
      <c r="E18" s="361">
        <v>26000</v>
      </c>
      <c r="F18" s="414">
        <v>5239</v>
      </c>
      <c r="G18" s="344">
        <v>26000</v>
      </c>
      <c r="H18" s="1675"/>
      <c r="I18" s="321" t="s">
        <v>1247</v>
      </c>
      <c r="J18" s="525" t="s">
        <v>1241</v>
      </c>
    </row>
    <row r="19" spans="1:10" ht="12" customHeight="1" x14ac:dyDescent="0.2">
      <c r="A19" s="320">
        <v>7</v>
      </c>
      <c r="B19" s="321" t="s">
        <v>1248</v>
      </c>
      <c r="C19" s="342">
        <v>120000</v>
      </c>
      <c r="D19" s="342">
        <v>118520</v>
      </c>
      <c r="E19" s="342">
        <v>0</v>
      </c>
      <c r="F19" s="323">
        <v>5239</v>
      </c>
      <c r="G19" s="322"/>
      <c r="H19" s="188" t="s">
        <v>183</v>
      </c>
      <c r="I19" s="315"/>
    </row>
    <row r="20" spans="1:10" ht="36" x14ac:dyDescent="0.2">
      <c r="A20" s="320">
        <v>8</v>
      </c>
      <c r="B20" s="321" t="s">
        <v>1249</v>
      </c>
      <c r="C20" s="342">
        <v>145326</v>
      </c>
      <c r="D20" s="342">
        <v>145326</v>
      </c>
      <c r="E20" s="342">
        <v>271456</v>
      </c>
      <c r="F20" s="323">
        <v>2244</v>
      </c>
      <c r="G20" s="322">
        <v>271456</v>
      </c>
      <c r="H20" s="188" t="s">
        <v>1250</v>
      </c>
      <c r="I20" s="523" t="s">
        <v>1251</v>
      </c>
    </row>
    <row r="21" spans="1:10" ht="36" x14ac:dyDescent="0.2">
      <c r="A21" s="320">
        <v>9</v>
      </c>
      <c r="B21" s="321" t="s">
        <v>1252</v>
      </c>
      <c r="C21" s="342">
        <v>130000</v>
      </c>
      <c r="D21" s="342">
        <v>130000</v>
      </c>
      <c r="E21" s="342">
        <v>143288</v>
      </c>
      <c r="F21" s="323">
        <v>2244</v>
      </c>
      <c r="G21" s="322">
        <v>143288</v>
      </c>
      <c r="H21" s="188" t="s">
        <v>1253</v>
      </c>
      <c r="I21" s="315" t="s">
        <v>1254</v>
      </c>
    </row>
    <row r="22" spans="1:10" ht="27" customHeight="1" x14ac:dyDescent="0.2">
      <c r="A22" s="320">
        <v>10</v>
      </c>
      <c r="B22" s="321" t="s">
        <v>1255</v>
      </c>
      <c r="C22" s="342">
        <v>512255</v>
      </c>
      <c r="D22" s="342">
        <v>512255</v>
      </c>
      <c r="E22" s="342">
        <v>514759</v>
      </c>
      <c r="F22" s="323">
        <v>2244</v>
      </c>
      <c r="G22" s="322">
        <v>514759</v>
      </c>
      <c r="H22" s="188" t="s">
        <v>1256</v>
      </c>
      <c r="I22" s="315" t="s">
        <v>1257</v>
      </c>
    </row>
    <row r="23" spans="1:10" ht="17.25" customHeight="1" x14ac:dyDescent="0.2">
      <c r="A23" s="320">
        <v>11</v>
      </c>
      <c r="B23" s="321" t="s">
        <v>1258</v>
      </c>
      <c r="C23" s="342">
        <v>210000</v>
      </c>
      <c r="D23" s="342">
        <v>210000</v>
      </c>
      <c r="E23" s="342">
        <v>232366</v>
      </c>
      <c r="F23" s="323">
        <v>2244</v>
      </c>
      <c r="G23" s="322">
        <v>232366</v>
      </c>
      <c r="H23" s="188" t="s">
        <v>1259</v>
      </c>
      <c r="I23" s="315" t="s">
        <v>1254</v>
      </c>
    </row>
    <row r="24" spans="1:10" ht="17.25" customHeight="1" x14ac:dyDescent="0.2">
      <c r="A24" s="320">
        <v>12</v>
      </c>
      <c r="B24" s="321" t="s">
        <v>1260</v>
      </c>
      <c r="C24" s="342">
        <v>78528</v>
      </c>
      <c r="D24" s="342">
        <v>78528</v>
      </c>
      <c r="E24" s="342">
        <v>90000</v>
      </c>
      <c r="F24" s="323">
        <v>2244</v>
      </c>
      <c r="G24" s="322">
        <v>90000</v>
      </c>
      <c r="H24" s="188" t="s">
        <v>1261</v>
      </c>
      <c r="I24" s="1695" t="s">
        <v>1262</v>
      </c>
    </row>
    <row r="25" spans="1:10" ht="17.25" customHeight="1" x14ac:dyDescent="0.2">
      <c r="A25" s="320">
        <v>13</v>
      </c>
      <c r="B25" s="321" t="s">
        <v>1263</v>
      </c>
      <c r="C25" s="342">
        <v>7000</v>
      </c>
      <c r="D25" s="342">
        <v>7000</v>
      </c>
      <c r="E25" s="342">
        <v>9000</v>
      </c>
      <c r="F25" s="323">
        <v>2244</v>
      </c>
      <c r="G25" s="344">
        <v>8000</v>
      </c>
      <c r="H25" s="188" t="s">
        <v>1261</v>
      </c>
      <c r="I25" s="1695"/>
      <c r="J25" s="525" t="s">
        <v>1241</v>
      </c>
    </row>
    <row r="26" spans="1:10" ht="24" x14ac:dyDescent="0.2">
      <c r="A26" s="320">
        <v>14</v>
      </c>
      <c r="B26" s="321" t="s">
        <v>1264</v>
      </c>
      <c r="C26" s="342">
        <v>25704</v>
      </c>
      <c r="D26" s="342">
        <v>25704</v>
      </c>
      <c r="E26" s="342">
        <v>30000</v>
      </c>
      <c r="F26" s="323">
        <v>2279</v>
      </c>
      <c r="G26" s="322">
        <v>30000</v>
      </c>
      <c r="H26" s="188" t="s">
        <v>1261</v>
      </c>
      <c r="I26" s="1695"/>
    </row>
    <row r="27" spans="1:10" ht="24" x14ac:dyDescent="0.2">
      <c r="A27" s="320">
        <v>15</v>
      </c>
      <c r="B27" s="321" t="s">
        <v>1265</v>
      </c>
      <c r="C27" s="342">
        <v>15984</v>
      </c>
      <c r="D27" s="342">
        <v>15984</v>
      </c>
      <c r="E27" s="342">
        <v>15984</v>
      </c>
      <c r="F27" s="323">
        <v>2244</v>
      </c>
      <c r="G27" s="344">
        <v>15984</v>
      </c>
      <c r="H27" s="188" t="s">
        <v>1246</v>
      </c>
      <c r="I27" s="315"/>
      <c r="J27" s="525" t="s">
        <v>1241</v>
      </c>
    </row>
    <row r="28" spans="1:10" ht="27.75" customHeight="1" x14ac:dyDescent="0.2">
      <c r="A28" s="320">
        <v>16</v>
      </c>
      <c r="B28" s="321" t="s">
        <v>1266</v>
      </c>
      <c r="C28" s="342">
        <v>29702</v>
      </c>
      <c r="D28" s="342">
        <v>29702</v>
      </c>
      <c r="E28" s="342">
        <v>30769</v>
      </c>
      <c r="F28" s="323">
        <v>2244</v>
      </c>
      <c r="G28" s="322">
        <v>30769</v>
      </c>
      <c r="H28" s="188" t="s">
        <v>1246</v>
      </c>
      <c r="I28" s="321" t="s">
        <v>1235</v>
      </c>
    </row>
    <row r="29" spans="1:10" ht="24" hidden="1" x14ac:dyDescent="0.2">
      <c r="A29" s="320">
        <v>18</v>
      </c>
      <c r="B29" s="321" t="s">
        <v>1267</v>
      </c>
      <c r="C29" s="342">
        <v>4500</v>
      </c>
      <c r="D29" s="342">
        <v>4500</v>
      </c>
      <c r="E29" s="342">
        <v>0</v>
      </c>
      <c r="F29" s="323">
        <v>2244</v>
      </c>
      <c r="G29" s="322"/>
      <c r="H29" s="188" t="s">
        <v>1246</v>
      </c>
      <c r="I29" s="315"/>
    </row>
    <row r="30" spans="1:10" ht="26.25" customHeight="1" x14ac:dyDescent="0.2">
      <c r="A30" s="390">
        <v>17</v>
      </c>
      <c r="B30" s="321" t="s">
        <v>1268</v>
      </c>
      <c r="C30" s="342">
        <v>8805</v>
      </c>
      <c r="D30" s="361">
        <v>8805</v>
      </c>
      <c r="E30" s="361">
        <v>9597</v>
      </c>
      <c r="F30" s="414">
        <v>2244</v>
      </c>
      <c r="G30" s="322">
        <v>9597</v>
      </c>
      <c r="H30" s="188" t="s">
        <v>1246</v>
      </c>
      <c r="I30" s="321" t="s">
        <v>1235</v>
      </c>
    </row>
    <row r="31" spans="1:10" x14ac:dyDescent="0.2">
      <c r="A31" s="395"/>
      <c r="B31" s="395"/>
      <c r="C31" s="395"/>
      <c r="D31" s="395"/>
      <c r="E31" s="395"/>
      <c r="F31" s="395"/>
      <c r="G31" s="395"/>
      <c r="H31" s="526"/>
      <c r="I31" s="395"/>
    </row>
    <row r="32" spans="1:10" x14ac:dyDescent="0.2">
      <c r="A32" s="349" t="s">
        <v>129</v>
      </c>
      <c r="B32" s="349"/>
      <c r="C32" s="1750" t="s">
        <v>1269</v>
      </c>
      <c r="D32" s="1750"/>
      <c r="E32" s="1750"/>
      <c r="F32" s="1750"/>
      <c r="G32" s="1750"/>
      <c r="H32" s="1750"/>
      <c r="I32" s="1750"/>
    </row>
    <row r="33" spans="1:10" x14ac:dyDescent="0.2">
      <c r="A33" s="349" t="s">
        <v>131</v>
      </c>
      <c r="B33" s="349"/>
      <c r="C33" s="1907" t="s">
        <v>154</v>
      </c>
      <c r="D33" s="1907"/>
      <c r="E33" s="1907"/>
      <c r="F33" s="1907"/>
      <c r="G33" s="1907"/>
      <c r="H33" s="1907"/>
      <c r="I33" s="1907"/>
    </row>
    <row r="34" spans="1:10" ht="48" x14ac:dyDescent="0.2">
      <c r="A34" s="312" t="s">
        <v>4</v>
      </c>
      <c r="B34" s="312" t="s">
        <v>133</v>
      </c>
      <c r="C34" s="312" t="s">
        <v>17</v>
      </c>
      <c r="D34" s="312" t="s">
        <v>15</v>
      </c>
      <c r="E34" s="312" t="s">
        <v>134</v>
      </c>
      <c r="F34" s="312" t="s">
        <v>135</v>
      </c>
      <c r="G34" s="1435" t="s">
        <v>3465</v>
      </c>
      <c r="H34" s="312" t="s">
        <v>14</v>
      </c>
      <c r="I34" s="312" t="s">
        <v>137</v>
      </c>
    </row>
    <row r="35" spans="1:10" x14ac:dyDescent="0.2">
      <c r="A35" s="1700" t="s">
        <v>138</v>
      </c>
      <c r="B35" s="1700"/>
      <c r="C35" s="313">
        <f>SUM(C36:C53)</f>
        <v>440807</v>
      </c>
      <c r="D35" s="313">
        <f>SUM(D36:D53)</f>
        <v>438583</v>
      </c>
      <c r="E35" s="313">
        <f>SUM(E36:E53)</f>
        <v>571044</v>
      </c>
      <c r="F35" s="313"/>
      <c r="G35" s="313">
        <f>SUM(G36:G53)</f>
        <v>557044</v>
      </c>
      <c r="H35" s="313"/>
      <c r="I35" s="315"/>
    </row>
    <row r="36" spans="1:10" ht="24" x14ac:dyDescent="0.2">
      <c r="A36" s="320">
        <v>1</v>
      </c>
      <c r="B36" s="321" t="s">
        <v>1270</v>
      </c>
      <c r="C36" s="342"/>
      <c r="D36" s="342"/>
      <c r="E36" s="342"/>
      <c r="F36" s="527"/>
      <c r="G36" s="322"/>
      <c r="H36" s="166"/>
      <c r="I36" s="315"/>
    </row>
    <row r="37" spans="1:10" ht="15.75" customHeight="1" x14ac:dyDescent="0.2">
      <c r="A37" s="390" t="s">
        <v>1271</v>
      </c>
      <c r="B37" s="321" t="s">
        <v>1272</v>
      </c>
      <c r="C37" s="342">
        <v>4833</v>
      </c>
      <c r="D37" s="342">
        <v>4833</v>
      </c>
      <c r="E37" s="342">
        <v>5731</v>
      </c>
      <c r="F37" s="323">
        <v>2243</v>
      </c>
      <c r="G37" s="322">
        <v>5731</v>
      </c>
      <c r="H37" s="188" t="s">
        <v>183</v>
      </c>
      <c r="I37" s="1695" t="s">
        <v>1273</v>
      </c>
    </row>
    <row r="38" spans="1:10" ht="15.75" customHeight="1" x14ac:dyDescent="0.2">
      <c r="A38" s="390" t="s">
        <v>1274</v>
      </c>
      <c r="B38" s="321" t="s">
        <v>1275</v>
      </c>
      <c r="C38" s="342">
        <v>4835</v>
      </c>
      <c r="D38" s="342">
        <v>4823</v>
      </c>
      <c r="E38" s="342">
        <v>38937</v>
      </c>
      <c r="F38" s="323">
        <v>2312</v>
      </c>
      <c r="G38" s="322">
        <v>38937</v>
      </c>
      <c r="H38" s="188" t="s">
        <v>183</v>
      </c>
      <c r="I38" s="1695"/>
    </row>
    <row r="39" spans="1:10" ht="18.75" customHeight="1" x14ac:dyDescent="0.2">
      <c r="A39" s="320">
        <v>2</v>
      </c>
      <c r="B39" s="321" t="s">
        <v>1276</v>
      </c>
      <c r="C39" s="342">
        <v>12505</v>
      </c>
      <c r="D39" s="342">
        <v>12492</v>
      </c>
      <c r="E39" s="342">
        <v>24000</v>
      </c>
      <c r="F39" s="323">
        <v>5239</v>
      </c>
      <c r="G39" s="322">
        <v>10000</v>
      </c>
      <c r="H39" s="188" t="s">
        <v>183</v>
      </c>
      <c r="I39" s="315" t="s">
        <v>1277</v>
      </c>
    </row>
    <row r="40" spans="1:10" ht="22.5" customHeight="1" x14ac:dyDescent="0.2">
      <c r="A40" s="320">
        <v>3</v>
      </c>
      <c r="B40" s="321" t="s">
        <v>1278</v>
      </c>
      <c r="C40" s="342"/>
      <c r="D40" s="342"/>
      <c r="E40" s="342"/>
      <c r="F40" s="323"/>
      <c r="G40" s="322"/>
      <c r="H40" s="188"/>
      <c r="I40" s="315"/>
    </row>
    <row r="41" spans="1:10" ht="24.75" customHeight="1" x14ac:dyDescent="0.2">
      <c r="A41" s="320" t="s">
        <v>1279</v>
      </c>
      <c r="B41" s="321" t="s">
        <v>1280</v>
      </c>
      <c r="C41" s="342">
        <v>330000</v>
      </c>
      <c r="D41" s="342">
        <v>329956</v>
      </c>
      <c r="E41" s="342">
        <v>400000</v>
      </c>
      <c r="F41" s="323">
        <v>5240</v>
      </c>
      <c r="G41" s="344">
        <v>400000</v>
      </c>
      <c r="H41" s="188" t="s">
        <v>1281</v>
      </c>
      <c r="I41" s="315" t="s">
        <v>1282</v>
      </c>
      <c r="J41" s="528" t="s">
        <v>1283</v>
      </c>
    </row>
    <row r="42" spans="1:10" ht="29.25" customHeight="1" x14ac:dyDescent="0.2">
      <c r="A42" s="320" t="s">
        <v>1284</v>
      </c>
      <c r="B42" s="321" t="s">
        <v>1285</v>
      </c>
      <c r="C42" s="342">
        <v>50820</v>
      </c>
      <c r="D42" s="342">
        <v>50820</v>
      </c>
      <c r="E42" s="342">
        <v>50820</v>
      </c>
      <c r="F42" s="323">
        <v>2243</v>
      </c>
      <c r="G42" s="344">
        <v>50820</v>
      </c>
      <c r="H42" s="188" t="s">
        <v>1286</v>
      </c>
      <c r="I42" s="315" t="s">
        <v>1287</v>
      </c>
      <c r="J42" s="331" t="s">
        <v>1283</v>
      </c>
    </row>
    <row r="43" spans="1:10" ht="16.5" customHeight="1" x14ac:dyDescent="0.2">
      <c r="A43" s="320" t="s">
        <v>1288</v>
      </c>
      <c r="B43" s="321" t="s">
        <v>1289</v>
      </c>
      <c r="C43" s="342">
        <v>1000</v>
      </c>
      <c r="D43" s="342">
        <v>984</v>
      </c>
      <c r="E43" s="342">
        <v>1000</v>
      </c>
      <c r="F43" s="323">
        <v>2244</v>
      </c>
      <c r="G43" s="344">
        <v>1000</v>
      </c>
      <c r="H43" s="188" t="s">
        <v>1290</v>
      </c>
      <c r="I43" s="315"/>
      <c r="J43" s="331" t="s">
        <v>1283</v>
      </c>
    </row>
    <row r="44" spans="1:10" ht="26.25" customHeight="1" x14ac:dyDescent="0.2">
      <c r="A44" s="320">
        <v>4</v>
      </c>
      <c r="B44" s="321" t="s">
        <v>1291</v>
      </c>
      <c r="C44" s="342">
        <v>7000</v>
      </c>
      <c r="D44" s="342">
        <v>6868</v>
      </c>
      <c r="E44" s="342">
        <v>12099</v>
      </c>
      <c r="F44" s="323">
        <v>5239</v>
      </c>
      <c r="G44" s="322">
        <v>12099</v>
      </c>
      <c r="H44" s="188" t="s">
        <v>183</v>
      </c>
      <c r="I44" s="315" t="s">
        <v>1292</v>
      </c>
    </row>
    <row r="45" spans="1:10" ht="12" customHeight="1" x14ac:dyDescent="0.2">
      <c r="A45" s="1708">
        <v>5</v>
      </c>
      <c r="B45" s="1695" t="s">
        <v>1293</v>
      </c>
      <c r="C45" s="342">
        <v>2000</v>
      </c>
      <c r="D45" s="342">
        <v>1976</v>
      </c>
      <c r="E45" s="342">
        <v>2000</v>
      </c>
      <c r="F45" s="323">
        <v>2244</v>
      </c>
      <c r="G45" s="322">
        <v>2000</v>
      </c>
      <c r="H45" s="1648" t="s">
        <v>183</v>
      </c>
      <c r="I45" s="315"/>
    </row>
    <row r="46" spans="1:10" ht="12.75" customHeight="1" x14ac:dyDescent="0.2">
      <c r="A46" s="1708"/>
      <c r="B46" s="1695"/>
      <c r="C46" s="342">
        <v>900</v>
      </c>
      <c r="D46" s="342">
        <v>0</v>
      </c>
      <c r="E46" s="342">
        <v>900</v>
      </c>
      <c r="F46" s="323">
        <v>2390</v>
      </c>
      <c r="G46" s="322">
        <v>900</v>
      </c>
      <c r="H46" s="1648"/>
      <c r="I46" s="315"/>
    </row>
    <row r="47" spans="1:10" ht="12.75" customHeight="1" x14ac:dyDescent="0.2">
      <c r="A47" s="1708"/>
      <c r="B47" s="1695"/>
      <c r="C47" s="342">
        <v>1000</v>
      </c>
      <c r="D47" s="342">
        <v>917</v>
      </c>
      <c r="E47" s="342">
        <v>1000</v>
      </c>
      <c r="F47" s="323">
        <v>2312</v>
      </c>
      <c r="G47" s="322">
        <v>1000</v>
      </c>
      <c r="H47" s="1648"/>
      <c r="I47" s="315"/>
    </row>
    <row r="48" spans="1:10" ht="12.75" customHeight="1" x14ac:dyDescent="0.2">
      <c r="A48" s="1708"/>
      <c r="B48" s="1695"/>
      <c r="C48" s="342">
        <v>1000</v>
      </c>
      <c r="D48" s="342">
        <v>0</v>
      </c>
      <c r="E48" s="342">
        <v>1000</v>
      </c>
      <c r="F48" s="323">
        <v>5239</v>
      </c>
      <c r="G48" s="322">
        <v>1000</v>
      </c>
      <c r="H48" s="1648"/>
      <c r="I48" s="315"/>
    </row>
    <row r="49" spans="1:12" ht="14.25" customHeight="1" x14ac:dyDescent="0.2">
      <c r="A49" s="1708">
        <v>6</v>
      </c>
      <c r="B49" s="1695" t="s">
        <v>1294</v>
      </c>
      <c r="C49" s="342">
        <v>13928</v>
      </c>
      <c r="D49" s="342">
        <v>13928</v>
      </c>
      <c r="E49" s="342">
        <v>15249</v>
      </c>
      <c r="F49" s="323">
        <v>2244</v>
      </c>
      <c r="G49" s="322">
        <v>15249</v>
      </c>
      <c r="H49" s="1648" t="s">
        <v>183</v>
      </c>
      <c r="I49" s="529" t="s">
        <v>1295</v>
      </c>
    </row>
    <row r="50" spans="1:12" ht="14.25" customHeight="1" x14ac:dyDescent="0.2">
      <c r="A50" s="1708"/>
      <c r="B50" s="1695"/>
      <c r="C50" s="342">
        <v>5372</v>
      </c>
      <c r="D50" s="342">
        <v>5372</v>
      </c>
      <c r="E50" s="342">
        <v>5703</v>
      </c>
      <c r="F50" s="323">
        <v>2223</v>
      </c>
      <c r="G50" s="322">
        <v>5703</v>
      </c>
      <c r="H50" s="1648"/>
      <c r="I50" s="529" t="s">
        <v>1296</v>
      </c>
    </row>
    <row r="51" spans="1:12" ht="14.25" customHeight="1" x14ac:dyDescent="0.2">
      <c r="A51" s="1708"/>
      <c r="B51" s="1695"/>
      <c r="C51" s="342">
        <v>5614</v>
      </c>
      <c r="D51" s="342">
        <v>5614</v>
      </c>
      <c r="E51" s="342">
        <v>3605</v>
      </c>
      <c r="F51" s="323">
        <v>2243</v>
      </c>
      <c r="G51" s="322">
        <v>3605</v>
      </c>
      <c r="H51" s="1648"/>
      <c r="I51" s="315" t="s">
        <v>1297</v>
      </c>
    </row>
    <row r="52" spans="1:12" ht="38.25" customHeight="1" x14ac:dyDescent="0.2">
      <c r="A52" s="390">
        <v>7</v>
      </c>
      <c r="B52" s="321" t="s">
        <v>1298</v>
      </c>
      <c r="C52" s="361">
        <v>0</v>
      </c>
      <c r="D52" s="361">
        <v>0</v>
      </c>
      <c r="E52" s="361">
        <v>6000</v>
      </c>
      <c r="F52" s="414">
        <v>5239</v>
      </c>
      <c r="G52" s="322">
        <v>6000</v>
      </c>
      <c r="H52" s="1436" t="s">
        <v>183</v>
      </c>
      <c r="I52" s="530" t="s">
        <v>1299</v>
      </c>
    </row>
    <row r="53" spans="1:12" ht="14.25" customHeight="1" x14ac:dyDescent="0.2">
      <c r="A53" s="390">
        <v>8</v>
      </c>
      <c r="B53" s="321" t="s">
        <v>1300</v>
      </c>
      <c r="C53" s="361">
        <v>0</v>
      </c>
      <c r="D53" s="361">
        <v>0</v>
      </c>
      <c r="E53" s="361">
        <v>3000</v>
      </c>
      <c r="F53" s="414">
        <v>2314</v>
      </c>
      <c r="G53" s="322">
        <v>3000</v>
      </c>
      <c r="H53" s="1437" t="s">
        <v>1301</v>
      </c>
      <c r="I53" s="530" t="s">
        <v>1302</v>
      </c>
    </row>
    <row r="54" spans="1:12" x14ac:dyDescent="0.2">
      <c r="A54" s="395"/>
      <c r="B54" s="395"/>
      <c r="C54" s="395"/>
      <c r="D54" s="395"/>
      <c r="E54" s="395"/>
      <c r="F54" s="395"/>
      <c r="G54" s="416"/>
      <c r="H54" s="416"/>
      <c r="I54" s="395"/>
    </row>
    <row r="55" spans="1:12" x14ac:dyDescent="0.2">
      <c r="A55" s="349" t="s">
        <v>129</v>
      </c>
      <c r="B55" s="349"/>
      <c r="C55" s="1906" t="s">
        <v>184</v>
      </c>
      <c r="D55" s="1906"/>
      <c r="E55" s="1906"/>
      <c r="F55" s="1906"/>
      <c r="G55" s="1906"/>
      <c r="H55" s="1906"/>
      <c r="I55" s="1906"/>
      <c r="J55" s="1906"/>
      <c r="K55" s="1906"/>
      <c r="L55" s="1906"/>
    </row>
    <row r="56" spans="1:12" x14ac:dyDescent="0.2">
      <c r="A56" s="349" t="s">
        <v>131</v>
      </c>
      <c r="B56" s="349"/>
      <c r="C56" s="1907" t="s">
        <v>185</v>
      </c>
      <c r="D56" s="1907"/>
      <c r="E56" s="1907"/>
      <c r="F56" s="1907"/>
      <c r="G56" s="1907"/>
      <c r="H56" s="1907"/>
      <c r="I56" s="1907"/>
    </row>
    <row r="57" spans="1:12" ht="48" x14ac:dyDescent="0.2">
      <c r="A57" s="312" t="s">
        <v>4</v>
      </c>
      <c r="B57" s="312" t="s">
        <v>133</v>
      </c>
      <c r="C57" s="312" t="s">
        <v>17</v>
      </c>
      <c r="D57" s="312" t="s">
        <v>15</v>
      </c>
      <c r="E57" s="312" t="s">
        <v>134</v>
      </c>
      <c r="F57" s="312" t="s">
        <v>135</v>
      </c>
      <c r="G57" s="1435" t="s">
        <v>3465</v>
      </c>
      <c r="H57" s="312" t="s">
        <v>14</v>
      </c>
      <c r="I57" s="312" t="s">
        <v>137</v>
      </c>
    </row>
    <row r="58" spans="1:12" x14ac:dyDescent="0.2">
      <c r="A58" s="1700" t="s">
        <v>138</v>
      </c>
      <c r="B58" s="1700"/>
      <c r="C58" s="313">
        <f>SUM(C59:C73)</f>
        <v>86900</v>
      </c>
      <c r="D58" s="313">
        <f>SUM(D59:D73)</f>
        <v>79840</v>
      </c>
      <c r="E58" s="313">
        <f>SUM(E59:E73)</f>
        <v>117262.5</v>
      </c>
      <c r="F58" s="313"/>
      <c r="G58" s="313">
        <f>SUM(G59:G73)</f>
        <v>211222</v>
      </c>
      <c r="H58" s="313"/>
      <c r="I58" s="315"/>
    </row>
    <row r="59" spans="1:12" ht="13.5" customHeight="1" x14ac:dyDescent="0.2">
      <c r="A59" s="1708">
        <v>1</v>
      </c>
      <c r="B59" s="1695" t="s">
        <v>1303</v>
      </c>
      <c r="C59" s="291">
        <v>9000</v>
      </c>
      <c r="D59" s="342">
        <v>8664</v>
      </c>
      <c r="E59" s="342">
        <v>15000</v>
      </c>
      <c r="F59" s="323">
        <v>2244</v>
      </c>
      <c r="G59" s="322">
        <v>15000</v>
      </c>
      <c r="H59" s="1648" t="s">
        <v>1304</v>
      </c>
      <c r="I59" s="315" t="s">
        <v>1305</v>
      </c>
    </row>
    <row r="60" spans="1:12" ht="13.5" customHeight="1" x14ac:dyDescent="0.2">
      <c r="A60" s="1708"/>
      <c r="B60" s="1695"/>
      <c r="C60" s="291">
        <v>4143</v>
      </c>
      <c r="D60" s="342">
        <v>4069</v>
      </c>
      <c r="E60" s="342">
        <v>4100</v>
      </c>
      <c r="F60" s="323">
        <v>2312</v>
      </c>
      <c r="G60" s="322">
        <v>4100</v>
      </c>
      <c r="H60" s="1648"/>
      <c r="I60" s="315"/>
    </row>
    <row r="61" spans="1:12" ht="13.5" customHeight="1" x14ac:dyDescent="0.2">
      <c r="A61" s="1708"/>
      <c r="B61" s="1695"/>
      <c r="C61" s="291">
        <v>600</v>
      </c>
      <c r="D61" s="342">
        <v>160</v>
      </c>
      <c r="E61" s="342">
        <v>200</v>
      </c>
      <c r="F61" s="323">
        <v>2390</v>
      </c>
      <c r="G61" s="322">
        <v>200</v>
      </c>
      <c r="H61" s="1648"/>
      <c r="I61" s="315" t="s">
        <v>1306</v>
      </c>
    </row>
    <row r="62" spans="1:12" ht="13.5" customHeight="1" x14ac:dyDescent="0.2">
      <c r="A62" s="1708"/>
      <c r="B62" s="1695"/>
      <c r="C62" s="291">
        <v>2320</v>
      </c>
      <c r="D62" s="342">
        <v>2167</v>
      </c>
      <c r="E62" s="342">
        <v>2000</v>
      </c>
      <c r="F62" s="323">
        <v>5250</v>
      </c>
      <c r="G62" s="322">
        <v>2000</v>
      </c>
      <c r="H62" s="1648"/>
      <c r="I62" s="315"/>
    </row>
    <row r="63" spans="1:12" ht="14.25" customHeight="1" x14ac:dyDescent="0.2">
      <c r="A63" s="320">
        <v>2</v>
      </c>
      <c r="B63" s="321" t="s">
        <v>1307</v>
      </c>
      <c r="C63" s="291">
        <v>2203</v>
      </c>
      <c r="D63" s="342">
        <v>2179</v>
      </c>
      <c r="E63" s="342">
        <v>1633.5</v>
      </c>
      <c r="F63" s="323">
        <v>2279</v>
      </c>
      <c r="G63" s="322">
        <v>1634</v>
      </c>
      <c r="H63" s="188" t="s">
        <v>1308</v>
      </c>
      <c r="I63" s="315" t="s">
        <v>1309</v>
      </c>
    </row>
    <row r="64" spans="1:12" ht="13.5" customHeight="1" x14ac:dyDescent="0.2">
      <c r="A64" s="1708">
        <v>3</v>
      </c>
      <c r="B64" s="1695" t="s">
        <v>1310</v>
      </c>
      <c r="C64" s="291">
        <v>15559</v>
      </c>
      <c r="D64" s="342">
        <v>15559</v>
      </c>
      <c r="E64" s="342">
        <v>10000</v>
      </c>
      <c r="F64" s="323">
        <v>2244</v>
      </c>
      <c r="G64" s="322">
        <v>10000</v>
      </c>
      <c r="H64" s="1674" t="s">
        <v>3520</v>
      </c>
      <c r="I64" s="315" t="s">
        <v>1312</v>
      </c>
    </row>
    <row r="65" spans="1:10" ht="13.5" hidden="1" customHeight="1" x14ac:dyDescent="0.2">
      <c r="A65" s="1708"/>
      <c r="B65" s="1695"/>
      <c r="C65" s="291">
        <v>3550</v>
      </c>
      <c r="D65" s="342">
        <v>3545</v>
      </c>
      <c r="E65" s="342">
        <v>0</v>
      </c>
      <c r="F65" s="323">
        <v>2244</v>
      </c>
      <c r="G65" s="322"/>
      <c r="H65" s="1774"/>
      <c r="I65" s="530"/>
    </row>
    <row r="66" spans="1:10" ht="13.5" customHeight="1" x14ac:dyDescent="0.2">
      <c r="A66" s="1708"/>
      <c r="B66" s="1695"/>
      <c r="C66" s="291">
        <v>1800</v>
      </c>
      <c r="D66" s="361">
        <v>1473</v>
      </c>
      <c r="E66" s="342">
        <v>1500</v>
      </c>
      <c r="F66" s="323">
        <v>5240</v>
      </c>
      <c r="G66" s="322">
        <v>1500</v>
      </c>
      <c r="H66" s="1774"/>
      <c r="I66" s="530"/>
    </row>
    <row r="67" spans="1:10" ht="13.5" customHeight="1" x14ac:dyDescent="0.2">
      <c r="A67" s="1708"/>
      <c r="B67" s="1695"/>
      <c r="C67" s="361">
        <v>0</v>
      </c>
      <c r="D67" s="361">
        <v>0</v>
      </c>
      <c r="E67" s="361">
        <v>35000</v>
      </c>
      <c r="F67" s="414">
        <v>2312</v>
      </c>
      <c r="G67" s="344">
        <v>35000</v>
      </c>
      <c r="H67" s="1774"/>
      <c r="I67" s="321" t="s">
        <v>1313</v>
      </c>
      <c r="J67" s="528" t="s">
        <v>1283</v>
      </c>
    </row>
    <row r="68" spans="1:10" ht="13.5" customHeight="1" x14ac:dyDescent="0.2">
      <c r="A68" s="1708"/>
      <c r="B68" s="1695"/>
      <c r="C68" s="361">
        <v>0</v>
      </c>
      <c r="D68" s="361">
        <v>0</v>
      </c>
      <c r="E68" s="361">
        <f>20528+1313</f>
        <v>21841</v>
      </c>
      <c r="F68" s="414">
        <v>5250</v>
      </c>
      <c r="G68" s="344">
        <v>115800</v>
      </c>
      <c r="H68" s="1675"/>
      <c r="I68" s="321" t="s">
        <v>1314</v>
      </c>
      <c r="J68" s="528" t="s">
        <v>1283</v>
      </c>
    </row>
    <row r="69" spans="1:10" ht="19.5" customHeight="1" x14ac:dyDescent="0.2">
      <c r="A69" s="1694">
        <v>4</v>
      </c>
      <c r="B69" s="1695" t="s">
        <v>1315</v>
      </c>
      <c r="C69" s="342">
        <v>11078</v>
      </c>
      <c r="D69" s="342">
        <v>9821</v>
      </c>
      <c r="E69" s="342">
        <v>10396</v>
      </c>
      <c r="F69" s="323">
        <v>2243</v>
      </c>
      <c r="G69" s="322">
        <v>10396</v>
      </c>
      <c r="H69" s="1674" t="s">
        <v>1311</v>
      </c>
      <c r="I69" s="321" t="s">
        <v>1316</v>
      </c>
    </row>
    <row r="70" spans="1:10" ht="17.25" customHeight="1" x14ac:dyDescent="0.2">
      <c r="A70" s="1694"/>
      <c r="B70" s="1695"/>
      <c r="C70" s="342">
        <v>0</v>
      </c>
      <c r="D70" s="342">
        <v>0</v>
      </c>
      <c r="E70" s="342">
        <v>8380</v>
      </c>
      <c r="F70" s="323">
        <v>5239</v>
      </c>
      <c r="G70" s="322">
        <v>8380</v>
      </c>
      <c r="H70" s="1675"/>
      <c r="I70" s="321" t="s">
        <v>1317</v>
      </c>
    </row>
    <row r="71" spans="1:10" ht="24" x14ac:dyDescent="0.2">
      <c r="A71" s="320">
        <v>5</v>
      </c>
      <c r="B71" s="321" t="s">
        <v>1318</v>
      </c>
      <c r="C71" s="342">
        <v>36647</v>
      </c>
      <c r="D71" s="342">
        <v>32203</v>
      </c>
      <c r="E71" s="342">
        <v>4212</v>
      </c>
      <c r="F71" s="323">
        <v>5239</v>
      </c>
      <c r="G71" s="322">
        <v>4212</v>
      </c>
      <c r="H71" s="188" t="s">
        <v>1304</v>
      </c>
      <c r="I71" s="321" t="s">
        <v>1319</v>
      </c>
    </row>
    <row r="72" spans="1:10" ht="24" hidden="1" x14ac:dyDescent="0.2">
      <c r="A72" s="320">
        <v>6</v>
      </c>
      <c r="B72" s="321" t="s">
        <v>1320</v>
      </c>
      <c r="C72" s="342"/>
      <c r="D72" s="342"/>
      <c r="E72" s="344"/>
      <c r="F72" s="207"/>
      <c r="G72" s="208"/>
      <c r="H72" s="188"/>
      <c r="I72" s="321" t="s">
        <v>1321</v>
      </c>
    </row>
    <row r="73" spans="1:10" ht="25.5" customHeight="1" x14ac:dyDescent="0.2">
      <c r="A73" s="320">
        <v>6</v>
      </c>
      <c r="B73" s="321" t="s">
        <v>1322</v>
      </c>
      <c r="C73" s="342">
        <v>0</v>
      </c>
      <c r="D73" s="342">
        <v>0</v>
      </c>
      <c r="E73" s="342">
        <v>3000</v>
      </c>
      <c r="F73" s="323">
        <v>5250</v>
      </c>
      <c r="G73" s="322">
        <v>3000</v>
      </c>
      <c r="H73" s="188" t="s">
        <v>1311</v>
      </c>
      <c r="I73" s="523" t="s">
        <v>1323</v>
      </c>
    </row>
    <row r="74" spans="1:10" x14ac:dyDescent="0.2">
      <c r="A74" s="531"/>
      <c r="B74" s="368"/>
      <c r="C74" s="380"/>
      <c r="D74" s="380"/>
      <c r="E74" s="380"/>
      <c r="F74" s="380"/>
      <c r="G74" s="380"/>
      <c r="H74" s="380"/>
      <c r="I74" s="531"/>
    </row>
    <row r="75" spans="1:10" x14ac:dyDescent="0.2">
      <c r="A75" s="349" t="s">
        <v>129</v>
      </c>
      <c r="B75" s="349"/>
      <c r="C75" s="1906" t="s">
        <v>1324</v>
      </c>
      <c r="D75" s="1906"/>
      <c r="E75" s="1906"/>
      <c r="F75" s="1906"/>
      <c r="G75" s="1906"/>
      <c r="H75" s="1906"/>
      <c r="I75" s="1906"/>
    </row>
    <row r="76" spans="1:10" x14ac:dyDescent="0.2">
      <c r="A76" s="349" t="s">
        <v>131</v>
      </c>
      <c r="B76" s="349"/>
      <c r="C76" s="1907" t="s">
        <v>237</v>
      </c>
      <c r="D76" s="1907"/>
      <c r="E76" s="1907"/>
      <c r="F76" s="1907"/>
      <c r="G76" s="1907"/>
      <c r="H76" s="1907"/>
      <c r="I76" s="1907"/>
    </row>
    <row r="77" spans="1:10" ht="48" x14ac:dyDescent="0.2">
      <c r="A77" s="312" t="s">
        <v>4</v>
      </c>
      <c r="B77" s="312" t="s">
        <v>133</v>
      </c>
      <c r="C77" s="312" t="s">
        <v>17</v>
      </c>
      <c r="D77" s="312" t="s">
        <v>15</v>
      </c>
      <c r="E77" s="312" t="s">
        <v>134</v>
      </c>
      <c r="F77" s="312" t="s">
        <v>135</v>
      </c>
      <c r="G77" s="1435" t="s">
        <v>3465</v>
      </c>
      <c r="H77" s="312" t="s">
        <v>14</v>
      </c>
      <c r="I77" s="312" t="s">
        <v>137</v>
      </c>
    </row>
    <row r="78" spans="1:10" x14ac:dyDescent="0.2">
      <c r="A78" s="1700" t="s">
        <v>138</v>
      </c>
      <c r="B78" s="1700"/>
      <c r="C78" s="313">
        <f>SUM(C79)</f>
        <v>50000</v>
      </c>
      <c r="D78" s="313">
        <f>SUM(D79)</f>
        <v>49887</v>
      </c>
      <c r="E78" s="313">
        <f>SUM(E79)</f>
        <v>250000</v>
      </c>
      <c r="F78" s="313"/>
      <c r="G78" s="313">
        <f>SUM(G79)</f>
        <v>250000</v>
      </c>
      <c r="H78" s="313"/>
      <c r="I78" s="315"/>
    </row>
    <row r="79" spans="1:10" ht="27" customHeight="1" x14ac:dyDescent="0.2">
      <c r="A79" s="320">
        <v>1</v>
      </c>
      <c r="B79" s="315" t="s">
        <v>1325</v>
      </c>
      <c r="C79" s="342">
        <v>50000</v>
      </c>
      <c r="D79" s="342">
        <v>49887</v>
      </c>
      <c r="E79" s="342">
        <v>250000</v>
      </c>
      <c r="F79" s="323">
        <v>5240</v>
      </c>
      <c r="G79" s="344">
        <v>250000</v>
      </c>
      <c r="H79" s="162" t="s">
        <v>1326</v>
      </c>
      <c r="I79" s="315" t="s">
        <v>1327</v>
      </c>
      <c r="J79" s="528" t="s">
        <v>1283</v>
      </c>
    </row>
    <row r="80" spans="1:10" ht="12" customHeight="1" x14ac:dyDescent="0.2">
      <c r="A80" s="531"/>
      <c r="B80" s="368"/>
      <c r="C80" s="380"/>
      <c r="D80" s="380"/>
      <c r="E80" s="380"/>
      <c r="F80" s="380"/>
      <c r="G80" s="380"/>
      <c r="H80" s="380"/>
      <c r="I80" s="531"/>
    </row>
    <row r="81" spans="1:9" x14ac:dyDescent="0.2">
      <c r="A81" s="349" t="s">
        <v>455</v>
      </c>
      <c r="B81" s="349"/>
      <c r="C81" s="349"/>
      <c r="D81" s="349"/>
      <c r="E81" s="349"/>
      <c r="F81" s="349"/>
      <c r="G81" s="349"/>
      <c r="H81" s="532"/>
      <c r="I81" s="349"/>
    </row>
    <row r="82" spans="1:9" x14ac:dyDescent="0.2">
      <c r="A82" s="403" t="s">
        <v>1328</v>
      </c>
      <c r="B82" s="403"/>
      <c r="C82" s="403"/>
      <c r="D82" s="403"/>
      <c r="E82" s="403"/>
      <c r="F82" s="403"/>
      <c r="G82" s="403"/>
      <c r="H82" s="533"/>
      <c r="I82" s="403"/>
    </row>
    <row r="83" spans="1:9" x14ac:dyDescent="0.2">
      <c r="A83" s="403"/>
      <c r="B83" s="418" t="s">
        <v>1329</v>
      </c>
      <c r="D83" s="403"/>
      <c r="E83" s="403"/>
      <c r="F83" s="403"/>
      <c r="G83" s="403"/>
      <c r="H83" s="533"/>
      <c r="I83" s="403"/>
    </row>
    <row r="84" spans="1:9" x14ac:dyDescent="0.2">
      <c r="A84" s="403"/>
      <c r="B84" s="418" t="s">
        <v>1330</v>
      </c>
      <c r="D84" s="403"/>
      <c r="E84" s="403"/>
      <c r="F84" s="403"/>
      <c r="G84" s="403"/>
      <c r="H84" s="533"/>
      <c r="I84" s="403"/>
    </row>
    <row r="85" spans="1:9" x14ac:dyDescent="0.2">
      <c r="A85" s="534"/>
      <c r="B85" s="1514"/>
      <c r="C85" s="534"/>
      <c r="D85" s="403"/>
      <c r="E85" s="403"/>
      <c r="F85" s="403"/>
      <c r="G85" s="403"/>
      <c r="H85" s="533"/>
      <c r="I85" s="403"/>
    </row>
    <row r="86" spans="1:9" x14ac:dyDescent="0.2">
      <c r="A86" s="403" t="s">
        <v>1331</v>
      </c>
      <c r="B86" s="418"/>
      <c r="C86" s="403"/>
      <c r="D86" s="403"/>
      <c r="E86" s="403"/>
      <c r="F86" s="403"/>
      <c r="G86" s="403"/>
      <c r="H86" s="533"/>
      <c r="I86" s="403"/>
    </row>
    <row r="87" spans="1:9" x14ac:dyDescent="0.2">
      <c r="A87" s="403"/>
      <c r="B87" s="418" t="s">
        <v>1332</v>
      </c>
      <c r="C87" s="403"/>
      <c r="D87" s="403"/>
      <c r="E87" s="403"/>
      <c r="F87" s="403"/>
      <c r="G87" s="403"/>
      <c r="H87" s="533"/>
      <c r="I87" s="403"/>
    </row>
    <row r="88" spans="1:9" x14ac:dyDescent="0.2">
      <c r="A88" s="535"/>
      <c r="B88" s="418" t="s">
        <v>1333</v>
      </c>
      <c r="C88" s="536"/>
      <c r="D88" s="536"/>
      <c r="E88" s="536"/>
      <c r="F88" s="536"/>
      <c r="G88" s="536"/>
      <c r="H88" s="537"/>
      <c r="I88" s="536"/>
    </row>
    <row r="89" spans="1:9" x14ac:dyDescent="0.2">
      <c r="A89" s="403"/>
      <c r="B89" s="418" t="s">
        <v>1334</v>
      </c>
      <c r="C89" s="403"/>
      <c r="D89" s="403"/>
      <c r="E89" s="403"/>
      <c r="F89" s="403"/>
      <c r="G89" s="533"/>
      <c r="H89" s="403"/>
    </row>
    <row r="90" spans="1:9" x14ac:dyDescent="0.2">
      <c r="A90" s="403"/>
      <c r="B90" s="418" t="s">
        <v>1335</v>
      </c>
      <c r="C90" s="403"/>
      <c r="D90" s="403"/>
      <c r="E90" s="403"/>
      <c r="F90" s="403"/>
      <c r="G90" s="533"/>
      <c r="H90" s="403"/>
    </row>
    <row r="91" spans="1:9" x14ac:dyDescent="0.2">
      <c r="A91" s="403"/>
      <c r="B91" s="418" t="s">
        <v>1336</v>
      </c>
      <c r="C91" s="403"/>
      <c r="D91" s="403"/>
      <c r="E91" s="403"/>
      <c r="F91" s="403"/>
      <c r="G91" s="403"/>
      <c r="H91" s="533"/>
      <c r="I91" s="403"/>
    </row>
    <row r="92" spans="1:9" x14ac:dyDescent="0.2">
      <c r="A92" s="403"/>
      <c r="B92" s="418" t="s">
        <v>1337</v>
      </c>
      <c r="C92" s="403"/>
      <c r="D92" s="403"/>
      <c r="E92" s="403"/>
      <c r="F92" s="403"/>
      <c r="G92" s="403"/>
      <c r="H92" s="533"/>
      <c r="I92" s="403"/>
    </row>
    <row r="93" spans="1:9" x14ac:dyDescent="0.2">
      <c r="A93" s="403"/>
      <c r="B93" s="418" t="s">
        <v>1338</v>
      </c>
      <c r="D93" s="403"/>
      <c r="E93" s="403"/>
      <c r="F93" s="403"/>
      <c r="G93" s="403"/>
      <c r="H93" s="533"/>
      <c r="I93" s="403"/>
    </row>
    <row r="94" spans="1:9" x14ac:dyDescent="0.2">
      <c r="A94" s="403"/>
      <c r="B94" s="418" t="s">
        <v>1339</v>
      </c>
      <c r="C94" s="403"/>
      <c r="D94" s="403"/>
      <c r="E94" s="403"/>
      <c r="F94" s="403"/>
      <c r="G94" s="403"/>
      <c r="H94" s="533"/>
      <c r="I94" s="403"/>
    </row>
    <row r="95" spans="1:9" x14ac:dyDescent="0.2">
      <c r="A95" s="403"/>
      <c r="B95" s="418" t="s">
        <v>1340</v>
      </c>
      <c r="C95" s="403"/>
      <c r="D95" s="403"/>
      <c r="E95" s="403"/>
      <c r="F95" s="403"/>
      <c r="G95" s="403"/>
      <c r="H95" s="533"/>
      <c r="I95" s="403"/>
    </row>
    <row r="96" spans="1:9" x14ac:dyDescent="0.2">
      <c r="A96" s="403"/>
      <c r="B96" s="418" t="s">
        <v>1341</v>
      </c>
      <c r="D96" s="403"/>
      <c r="E96" s="403"/>
      <c r="F96" s="403"/>
      <c r="G96" s="403"/>
      <c r="H96" s="533"/>
      <c r="I96" s="403"/>
    </row>
    <row r="97" spans="1:9" x14ac:dyDescent="0.2">
      <c r="A97" s="403"/>
      <c r="B97" s="418" t="s">
        <v>1342</v>
      </c>
      <c r="D97" s="403"/>
      <c r="E97" s="403"/>
      <c r="F97" s="403"/>
      <c r="G97" s="403"/>
      <c r="H97" s="533"/>
      <c r="I97" s="403"/>
    </row>
    <row r="98" spans="1:9" x14ac:dyDescent="0.2">
      <c r="A98" s="403"/>
      <c r="B98" s="418" t="s">
        <v>1343</v>
      </c>
      <c r="D98" s="403"/>
      <c r="E98" s="403"/>
      <c r="F98" s="403"/>
      <c r="G98" s="403"/>
      <c r="H98" s="533"/>
      <c r="I98" s="403"/>
    </row>
    <row r="99" spans="1:9" x14ac:dyDescent="0.2">
      <c r="A99" s="403"/>
      <c r="B99" s="418" t="s">
        <v>1344</v>
      </c>
      <c r="D99" s="403"/>
      <c r="E99" s="403"/>
      <c r="F99" s="403"/>
      <c r="G99" s="403"/>
      <c r="H99" s="533"/>
      <c r="I99" s="403"/>
    </row>
    <row r="100" spans="1:9" x14ac:dyDescent="0.2">
      <c r="A100" s="403"/>
      <c r="B100" s="418" t="s">
        <v>1345</v>
      </c>
      <c r="C100" s="403"/>
      <c r="D100" s="403"/>
      <c r="E100" s="403"/>
      <c r="F100" s="403"/>
      <c r="G100" s="403"/>
      <c r="H100" s="533"/>
      <c r="I100" s="403"/>
    </row>
    <row r="101" spans="1:9" x14ac:dyDescent="0.2">
      <c r="A101" s="403"/>
      <c r="B101" s="418" t="s">
        <v>1346</v>
      </c>
      <c r="C101" s="403"/>
      <c r="D101" s="403"/>
      <c r="E101" s="403"/>
      <c r="F101" s="403"/>
      <c r="G101" s="403"/>
      <c r="H101" s="533"/>
      <c r="I101" s="403"/>
    </row>
    <row r="102" spans="1:9" x14ac:dyDescent="0.2">
      <c r="A102" s="403"/>
      <c r="B102" s="418" t="s">
        <v>1347</v>
      </c>
      <c r="D102" s="403"/>
      <c r="E102" s="403"/>
      <c r="F102" s="403"/>
      <c r="G102" s="403"/>
      <c r="H102" s="533"/>
      <c r="I102" s="403"/>
    </row>
    <row r="103" spans="1:9" x14ac:dyDescent="0.2">
      <c r="A103" s="403"/>
      <c r="B103" s="418" t="s">
        <v>1348</v>
      </c>
      <c r="C103" s="403"/>
      <c r="D103" s="403"/>
      <c r="E103" s="403"/>
      <c r="F103" s="403"/>
      <c r="G103" s="403"/>
      <c r="H103" s="533"/>
      <c r="I103" s="403"/>
    </row>
    <row r="104" spans="1:9" x14ac:dyDescent="0.2">
      <c r="A104" s="403"/>
      <c r="B104" s="418" t="s">
        <v>1349</v>
      </c>
      <c r="C104" s="403"/>
      <c r="D104" s="403"/>
      <c r="E104" s="403"/>
      <c r="F104" s="403"/>
      <c r="G104" s="403"/>
      <c r="H104" s="533"/>
      <c r="I104" s="403"/>
    </row>
    <row r="105" spans="1:9" ht="12" customHeight="1" x14ac:dyDescent="0.2">
      <c r="A105" s="403"/>
      <c r="B105" s="418" t="s">
        <v>1350</v>
      </c>
      <c r="D105" s="403"/>
      <c r="E105" s="403"/>
      <c r="F105" s="403"/>
      <c r="G105" s="403"/>
      <c r="H105" s="533"/>
      <c r="I105" s="403"/>
    </row>
    <row r="106" spans="1:9" x14ac:dyDescent="0.2">
      <c r="A106" s="403"/>
      <c r="B106" s="418" t="s">
        <v>1351</v>
      </c>
      <c r="C106" s="403"/>
      <c r="D106" s="403"/>
      <c r="E106" s="403"/>
      <c r="F106" s="403"/>
      <c r="G106" s="403"/>
      <c r="H106" s="533"/>
      <c r="I106" s="403"/>
    </row>
    <row r="107" spans="1:9" x14ac:dyDescent="0.2">
      <c r="A107" s="403"/>
      <c r="B107" s="418" t="s">
        <v>1352</v>
      </c>
      <c r="D107" s="403"/>
      <c r="E107" s="403"/>
      <c r="F107" s="403"/>
      <c r="G107" s="403"/>
      <c r="H107" s="533"/>
      <c r="I107" s="403"/>
    </row>
    <row r="108" spans="1:9" x14ac:dyDescent="0.2">
      <c r="A108" s="403" t="s">
        <v>1353</v>
      </c>
      <c r="B108" s="418"/>
      <c r="C108" s="403"/>
      <c r="D108" s="403"/>
      <c r="E108" s="403"/>
      <c r="F108" s="403"/>
      <c r="G108" s="403"/>
      <c r="H108" s="533"/>
      <c r="I108" s="403"/>
    </row>
    <row r="109" spans="1:9" x14ac:dyDescent="0.2">
      <c r="A109" s="403"/>
      <c r="B109" s="418" t="s">
        <v>1354</v>
      </c>
      <c r="C109" s="403"/>
      <c r="D109" s="403"/>
      <c r="E109" s="403"/>
      <c r="F109" s="403"/>
      <c r="G109" s="403"/>
      <c r="H109" s="533"/>
      <c r="I109" s="403"/>
    </row>
    <row r="110" spans="1:9" x14ac:dyDescent="0.2">
      <c r="A110" s="403"/>
      <c r="B110" s="418" t="s">
        <v>1355</v>
      </c>
      <c r="D110" s="403"/>
      <c r="E110" s="403"/>
      <c r="F110" s="403"/>
      <c r="G110" s="403"/>
      <c r="H110" s="533"/>
      <c r="I110" s="403"/>
    </row>
    <row r="111" spans="1:9" x14ac:dyDescent="0.2">
      <c r="A111" s="403"/>
      <c r="B111" s="418" t="s">
        <v>1356</v>
      </c>
      <c r="D111" s="403"/>
      <c r="E111" s="403"/>
      <c r="F111" s="403"/>
      <c r="G111" s="403"/>
      <c r="H111" s="533"/>
      <c r="I111" s="403"/>
    </row>
    <row r="112" spans="1:9" x14ac:dyDescent="0.2">
      <c r="A112" s="349"/>
      <c r="B112" s="330"/>
      <c r="C112" s="349"/>
      <c r="D112" s="349"/>
      <c r="E112" s="349"/>
      <c r="F112" s="349"/>
      <c r="G112" s="349"/>
      <c r="H112" s="532"/>
      <c r="I112" s="349"/>
    </row>
    <row r="113" spans="1:9" x14ac:dyDescent="0.2">
      <c r="A113" s="349"/>
      <c r="B113" s="349"/>
      <c r="C113" s="349"/>
      <c r="D113" s="349"/>
      <c r="E113" s="349"/>
      <c r="F113" s="349"/>
      <c r="G113" s="349"/>
      <c r="H113" s="532"/>
      <c r="I113" s="349"/>
    </row>
    <row r="114" spans="1:9" x14ac:dyDescent="0.2">
      <c r="A114" s="349"/>
      <c r="B114" s="349"/>
      <c r="C114" s="349"/>
      <c r="D114" s="349"/>
      <c r="E114" s="349"/>
      <c r="F114" s="349"/>
      <c r="G114" s="349"/>
      <c r="H114" s="532"/>
      <c r="I114" s="349"/>
    </row>
    <row r="115" spans="1:9" x14ac:dyDescent="0.2">
      <c r="A115" s="349"/>
      <c r="B115" s="349"/>
      <c r="C115" s="349"/>
      <c r="D115" s="349"/>
      <c r="E115" s="349"/>
      <c r="F115" s="349"/>
      <c r="G115" s="349"/>
      <c r="H115" s="532"/>
      <c r="I115" s="349"/>
    </row>
    <row r="116" spans="1:9" x14ac:dyDescent="0.2">
      <c r="A116" s="349"/>
      <c r="B116" s="349"/>
      <c r="C116" s="349"/>
      <c r="D116" s="349"/>
      <c r="E116" s="349"/>
      <c r="F116" s="349"/>
      <c r="G116" s="349"/>
      <c r="H116" s="532"/>
      <c r="I116" s="349"/>
    </row>
    <row r="117" spans="1:9" x14ac:dyDescent="0.2">
      <c r="A117" s="349"/>
      <c r="B117" s="349"/>
      <c r="C117" s="349"/>
      <c r="D117" s="349"/>
      <c r="E117" s="349"/>
      <c r="F117" s="349"/>
      <c r="G117" s="349"/>
      <c r="H117" s="532"/>
      <c r="I117" s="349"/>
    </row>
    <row r="118" spans="1:9" x14ac:dyDescent="0.2">
      <c r="A118" s="349"/>
      <c r="B118" s="349"/>
      <c r="C118" s="349"/>
      <c r="D118" s="349"/>
      <c r="E118" s="349"/>
      <c r="F118" s="349"/>
      <c r="G118" s="349"/>
      <c r="H118" s="532"/>
      <c r="I118" s="349"/>
    </row>
    <row r="119" spans="1:9" x14ac:dyDescent="0.2">
      <c r="A119" s="349"/>
      <c r="B119" s="349"/>
      <c r="C119" s="349"/>
      <c r="D119" s="349"/>
      <c r="E119" s="349"/>
      <c r="F119" s="349"/>
      <c r="G119" s="349"/>
      <c r="H119" s="532"/>
      <c r="I119" s="349"/>
    </row>
  </sheetData>
  <sheetProtection algorithmName="SHA-512" hashValue="uFpafFLIJ0sanC5uoEiJ8SNdSRjSvLbi+A1Kp28ayDy6W58l6wmuwkTPNkTsowfR05/Qvw/hDvLj6aaSIIKWFA==" saltValue="PUDdpUiPfFz/cvYw3mn+JQ==" spinCount="100000" sheet="1" objects="1" scenarios="1"/>
  <mergeCells count="39">
    <mergeCell ref="C6:L6"/>
    <mergeCell ref="H17:H18"/>
    <mergeCell ref="A1:B1"/>
    <mergeCell ref="C1:I1"/>
    <mergeCell ref="A2:B2"/>
    <mergeCell ref="C2:I2"/>
    <mergeCell ref="A3:I3"/>
    <mergeCell ref="C5:M5"/>
    <mergeCell ref="A45:A48"/>
    <mergeCell ref="B45:B48"/>
    <mergeCell ref="H45:H48"/>
    <mergeCell ref="C7:I7"/>
    <mergeCell ref="A9:B9"/>
    <mergeCell ref="I15:I16"/>
    <mergeCell ref="A17:A18"/>
    <mergeCell ref="B17:B18"/>
    <mergeCell ref="I24:I26"/>
    <mergeCell ref="C32:I32"/>
    <mergeCell ref="C33:I33"/>
    <mergeCell ref="A35:B35"/>
    <mergeCell ref="I37:I38"/>
    <mergeCell ref="A59:A62"/>
    <mergeCell ref="B59:B62"/>
    <mergeCell ref="H59:H62"/>
    <mergeCell ref="A64:A68"/>
    <mergeCell ref="B64:B68"/>
    <mergeCell ref="H64:H68"/>
    <mergeCell ref="A49:A51"/>
    <mergeCell ref="B49:B51"/>
    <mergeCell ref="H49:H51"/>
    <mergeCell ref="C56:I56"/>
    <mergeCell ref="A58:B58"/>
    <mergeCell ref="C55:L55"/>
    <mergeCell ref="C75:I75"/>
    <mergeCell ref="C76:I76"/>
    <mergeCell ref="A78:B78"/>
    <mergeCell ref="A69:A70"/>
    <mergeCell ref="B69:B70"/>
    <mergeCell ref="H69:H70"/>
  </mergeCells>
  <pageMargins left="0.78740157480314965" right="0.39370078740157483" top="0.59055118110236227" bottom="0.39370078740157483" header="0.23622047244094491" footer="0.23622047244094491"/>
  <pageSetup paperSize="9" scale="65" fitToHeight="0" orientation="portrait" horizontalDpi="200" verticalDpi="200" r:id="rId1"/>
  <headerFooter>
    <oddHeader>&amp;R&amp;"Times New Roman,Regular"&amp;10 11.pielikums Jūrmalas pilsētas domes
2018.gada 18.decembra saistošajiem noteikumiem Nr.44
(protokols Nr.17, 2.punkts)</oddHeader>
    <oddFooter xml:space="preserve">&amp;R&amp;"Times New Roman,Regular"&amp;8&amp;P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'34'!Print_Area</vt:lpstr>
      <vt:lpstr>'35'!Print_Area</vt:lpstr>
      <vt:lpstr>'35'!Print_Titles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Markaine</dc:creator>
  <cp:lastModifiedBy>Elina Markaine</cp:lastModifiedBy>
  <cp:lastPrinted>2018-12-27T08:30:06Z</cp:lastPrinted>
  <dcterms:created xsi:type="dcterms:W3CDTF">2018-12-14T08:04:38Z</dcterms:created>
  <dcterms:modified xsi:type="dcterms:W3CDTF">2018-12-27T08:30:10Z</dcterms:modified>
</cp:coreProperties>
</file>