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Ienemumi!$A$7:$AF$160</definedName>
    <definedName name="_xlnm._FilterDatabase" localSheetId="0" hidden="1">Izdevumi!$A$9:$BV$321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Ienemumi!$A$4:$AE$160</definedName>
    <definedName name="Z_C32C0FCD_AE7D_41A3_975E_D7367DDEA994_.wvu.PrintArea" localSheetId="0" hidden="1">Izdevumi!$B$4:$BV$318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Ienemumi!#REF!,Ienemumi!#REF!,Ienemumi!$149:$158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W33" i="1" l="1"/>
  <c r="W265" i="1"/>
  <c r="F312" i="1" l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C312" i="1"/>
  <c r="AD312" i="1"/>
  <c r="AE312" i="1"/>
  <c r="AF312" i="1"/>
  <c r="AG312" i="1"/>
  <c r="AH312" i="1"/>
  <c r="AI312" i="1"/>
  <c r="AJ312" i="1"/>
  <c r="AK312" i="1"/>
  <c r="AL312" i="1"/>
  <c r="AM312" i="1"/>
  <c r="AP312" i="1"/>
  <c r="AQ312" i="1"/>
  <c r="AR312" i="1"/>
  <c r="AS312" i="1"/>
  <c r="AT312" i="1"/>
  <c r="AU312" i="1"/>
  <c r="AV312" i="1"/>
  <c r="AW312" i="1"/>
  <c r="AX312" i="1"/>
  <c r="AY312" i="1"/>
  <c r="AZ312" i="1"/>
  <c r="BC312" i="1"/>
  <c r="BD312" i="1"/>
  <c r="BE312" i="1"/>
  <c r="BF312" i="1"/>
  <c r="BG312" i="1"/>
  <c r="BH312" i="1"/>
  <c r="BK312" i="1"/>
  <c r="BL312" i="1"/>
  <c r="BM312" i="1"/>
  <c r="BN312" i="1"/>
  <c r="BO312" i="1"/>
  <c r="BP312" i="1"/>
  <c r="BQ312" i="1"/>
  <c r="BR312" i="1"/>
  <c r="BS312" i="1"/>
  <c r="BT312" i="1"/>
  <c r="BJ314" i="1"/>
  <c r="BI314" i="1" s="1"/>
  <c r="BB314" i="1"/>
  <c r="BA314" i="1"/>
  <c r="AO314" i="1"/>
  <c r="AN314" i="1" s="1"/>
  <c r="AB314" i="1"/>
  <c r="AA314" i="1" s="1"/>
  <c r="H314" i="1"/>
  <c r="G314" i="1" s="1"/>
  <c r="D314" i="1"/>
  <c r="E314" i="1" l="1"/>
  <c r="W269" i="1" l="1"/>
  <c r="W42" i="1"/>
  <c r="AV39" i="1"/>
  <c r="P80" i="4"/>
  <c r="W39" i="1"/>
  <c r="W95" i="1" l="1"/>
  <c r="W77" i="1"/>
  <c r="W68" i="1"/>
  <c r="W270" i="1" l="1"/>
  <c r="W90" i="1" l="1"/>
  <c r="P67" i="4" l="1"/>
  <c r="P135" i="4" l="1"/>
  <c r="W166" i="1" l="1"/>
  <c r="W116" i="1"/>
  <c r="V265" i="1" l="1"/>
  <c r="P87" i="4" l="1"/>
  <c r="AE135" i="4"/>
  <c r="G135" i="4"/>
  <c r="F135" i="4" s="1"/>
  <c r="AF135" i="4" s="1"/>
  <c r="P66" i="4" l="1"/>
  <c r="H276" i="1" l="1"/>
  <c r="U265" i="1"/>
  <c r="AH179" i="1" l="1"/>
  <c r="P91" i="4" l="1"/>
  <c r="AB91" i="4" l="1"/>
  <c r="P82" i="4" l="1"/>
  <c r="P85" i="4" l="1"/>
  <c r="O66" i="4" l="1"/>
  <c r="U142" i="1"/>
  <c r="U95" i="1" l="1"/>
  <c r="U270" i="1" l="1"/>
  <c r="BJ157" i="1"/>
  <c r="BI157" i="1" s="1"/>
  <c r="BB157" i="1"/>
  <c r="BA157" i="1" s="1"/>
  <c r="AO157" i="1"/>
  <c r="AN157" i="1" s="1"/>
  <c r="AB157" i="1"/>
  <c r="AA157" i="1" s="1"/>
  <c r="H157" i="1"/>
  <c r="G157" i="1" s="1"/>
  <c r="D157" i="1"/>
  <c r="E157" i="1" l="1"/>
  <c r="AA70" i="4" l="1"/>
  <c r="O70" i="4"/>
  <c r="U57" i="1"/>
  <c r="O67" i="4"/>
  <c r="U42" i="1" l="1"/>
  <c r="AE145" i="4" l="1"/>
  <c r="T145" i="4"/>
  <c r="S145" i="4" s="1"/>
  <c r="G145" i="4"/>
  <c r="F145" i="4" s="1"/>
  <c r="AB108" i="1"/>
  <c r="AA108" i="1" s="1"/>
  <c r="AO108" i="1"/>
  <c r="AN108" i="1" s="1"/>
  <c r="BB108" i="1"/>
  <c r="BA108" i="1" s="1"/>
  <c r="BJ108" i="1"/>
  <c r="BI108" i="1" s="1"/>
  <c r="H108" i="1"/>
  <c r="G108" i="1" s="1"/>
  <c r="D108" i="1"/>
  <c r="AF145" i="4" l="1"/>
  <c r="E108" i="1"/>
  <c r="AG276" i="1" l="1"/>
  <c r="BQ266" i="1"/>
  <c r="AG266" i="1"/>
  <c r="AG161" i="1"/>
  <c r="AG158" i="1"/>
  <c r="AG179" i="1"/>
  <c r="U271" i="1" l="1"/>
  <c r="BJ216" i="1" l="1"/>
  <c r="BI216" i="1" s="1"/>
  <c r="BB216" i="1"/>
  <c r="BA216" i="1" s="1"/>
  <c r="AO216" i="1"/>
  <c r="AN216" i="1" s="1"/>
  <c r="AB216" i="1"/>
  <c r="AA216" i="1" s="1"/>
  <c r="H216" i="1"/>
  <c r="G216" i="1" s="1"/>
  <c r="D216" i="1"/>
  <c r="E216" i="1" l="1"/>
  <c r="AG227" i="1" l="1"/>
  <c r="BJ276" i="1" l="1"/>
  <c r="BI276" i="1" s="1"/>
  <c r="AB276" i="1"/>
  <c r="AA276" i="1" s="1"/>
  <c r="G276" i="1"/>
  <c r="D276" i="1"/>
  <c r="E276" i="1" l="1"/>
  <c r="O144" i="4" l="1"/>
  <c r="O137" i="4" s="1"/>
  <c r="S265" i="1" l="1"/>
  <c r="S142" i="1" l="1"/>
  <c r="N67" i="4" l="1"/>
  <c r="BJ156" i="1"/>
  <c r="BI156" i="1" s="1"/>
  <c r="BB156" i="1"/>
  <c r="BA156" i="1" s="1"/>
  <c r="AO156" i="1"/>
  <c r="AN156" i="1" s="1"/>
  <c r="AB156" i="1"/>
  <c r="AA156" i="1" s="1"/>
  <c r="H156" i="1"/>
  <c r="G156" i="1" s="1"/>
  <c r="D156" i="1"/>
  <c r="E156" i="1" l="1"/>
  <c r="S80" i="1" l="1"/>
  <c r="S44" i="1" l="1"/>
  <c r="N140" i="4" l="1"/>
  <c r="S57" i="1" l="1"/>
  <c r="AF287" i="1" l="1"/>
  <c r="AF44" i="1"/>
  <c r="S269" i="1" l="1"/>
  <c r="S270" i="1" l="1"/>
  <c r="N142" i="4"/>
  <c r="N143" i="4" l="1"/>
  <c r="BJ269" i="1" l="1"/>
  <c r="BI269" i="1" s="1"/>
  <c r="BB269" i="1"/>
  <c r="BA269" i="1" s="1"/>
  <c r="AO269" i="1"/>
  <c r="AN269" i="1" s="1"/>
  <c r="AB269" i="1"/>
  <c r="AA269" i="1" s="1"/>
  <c r="H269" i="1"/>
  <c r="G269" i="1" s="1"/>
  <c r="D269" i="1"/>
  <c r="E269" i="1" l="1"/>
  <c r="N66" i="4"/>
  <c r="BJ118" i="1"/>
  <c r="BI118" i="1" s="1"/>
  <c r="BB118" i="1"/>
  <c r="BA118" i="1" s="1"/>
  <c r="AO118" i="1"/>
  <c r="AN118" i="1" s="1"/>
  <c r="AB118" i="1"/>
  <c r="AA118" i="1" s="1"/>
  <c r="H118" i="1"/>
  <c r="G118" i="1" s="1"/>
  <c r="D118" i="1"/>
  <c r="E118" i="1" l="1"/>
  <c r="N91" i="4" l="1"/>
  <c r="BJ160" i="1" l="1"/>
  <c r="BI160" i="1" s="1"/>
  <c r="BB160" i="1"/>
  <c r="BA160" i="1" s="1"/>
  <c r="AO160" i="1"/>
  <c r="AN160" i="1" s="1"/>
  <c r="AB160" i="1"/>
  <c r="AA160" i="1" s="1"/>
  <c r="H160" i="1"/>
  <c r="G160" i="1" s="1"/>
  <c r="D160" i="1"/>
  <c r="E160" i="1" l="1"/>
  <c r="L265" i="1" l="1"/>
  <c r="K284" i="1" l="1"/>
  <c r="H284" i="1" s="1"/>
  <c r="G284" i="1" s="1"/>
  <c r="E284" i="1" s="1"/>
  <c r="D284" i="1"/>
  <c r="K265" i="1" l="1"/>
  <c r="Q265" i="1"/>
  <c r="BK267" i="1" l="1"/>
  <c r="BN267" i="1"/>
  <c r="BL268" i="1"/>
  <c r="BL267" i="1"/>
  <c r="M265" i="1"/>
  <c r="M267" i="1"/>
  <c r="K271" i="1"/>
  <c r="K270" i="1"/>
  <c r="K268" i="1"/>
  <c r="K267" i="1"/>
  <c r="I270" i="1"/>
  <c r="I267" i="1"/>
  <c r="R265" i="1" l="1"/>
  <c r="U319" i="1" l="1"/>
  <c r="W319" i="1"/>
  <c r="X319" i="1"/>
  <c r="U308" i="1"/>
  <c r="W308" i="1"/>
  <c r="X308" i="1"/>
  <c r="U304" i="1"/>
  <c r="W304" i="1"/>
  <c r="X304" i="1"/>
  <c r="U300" i="1"/>
  <c r="W300" i="1"/>
  <c r="X300" i="1"/>
  <c r="U295" i="1"/>
  <c r="W295" i="1"/>
  <c r="X295" i="1"/>
  <c r="U293" i="1"/>
  <c r="W293" i="1"/>
  <c r="X293" i="1"/>
  <c r="U263" i="1"/>
  <c r="W263" i="1"/>
  <c r="X263" i="1"/>
  <c r="U239" i="1"/>
  <c r="W239" i="1"/>
  <c r="X239" i="1"/>
  <c r="U133" i="1"/>
  <c r="W133" i="1"/>
  <c r="X133" i="1"/>
  <c r="U86" i="1"/>
  <c r="W86" i="1"/>
  <c r="X86" i="1"/>
  <c r="U93" i="1"/>
  <c r="W93" i="1"/>
  <c r="X93" i="1"/>
  <c r="U74" i="1"/>
  <c r="W74" i="1"/>
  <c r="X74" i="1"/>
  <c r="Y74" i="1"/>
  <c r="U64" i="1"/>
  <c r="W64" i="1"/>
  <c r="X64" i="1"/>
  <c r="U36" i="1"/>
  <c r="W36" i="1"/>
  <c r="X36" i="1"/>
  <c r="U28" i="1"/>
  <c r="W28" i="1"/>
  <c r="X28" i="1"/>
  <c r="U11" i="1"/>
  <c r="W11" i="1"/>
  <c r="X11" i="1"/>
  <c r="S319" i="1"/>
  <c r="S308" i="1"/>
  <c r="S304" i="1"/>
  <c r="S300" i="1"/>
  <c r="S295" i="1"/>
  <c r="S293" i="1"/>
  <c r="S263" i="1"/>
  <c r="S239" i="1"/>
  <c r="S133" i="1"/>
  <c r="S93" i="1"/>
  <c r="S86" i="1"/>
  <c r="S74" i="1"/>
  <c r="S64" i="1"/>
  <c r="S36" i="1"/>
  <c r="S28" i="1"/>
  <c r="S11" i="1"/>
  <c r="X262" i="1" l="1"/>
  <c r="X292" i="1"/>
  <c r="X320" i="1" s="1"/>
  <c r="W262" i="1"/>
  <c r="U262" i="1"/>
  <c r="U292" i="1"/>
  <c r="U320" i="1" s="1"/>
  <c r="W292" i="1"/>
  <c r="W320" i="1" s="1"/>
  <c r="S262" i="1"/>
  <c r="S292" i="1"/>
  <c r="S320" i="1" s="1"/>
  <c r="Q270" i="1"/>
  <c r="M67" i="4"/>
  <c r="X318" i="1" l="1"/>
  <c r="U318" i="1"/>
  <c r="W318" i="1"/>
  <c r="S318" i="1"/>
  <c r="M66" i="4"/>
  <c r="BJ62" i="1"/>
  <c r="BI62" i="1" s="1"/>
  <c r="BB62" i="1"/>
  <c r="BA62" i="1" s="1"/>
  <c r="AO62" i="1"/>
  <c r="AN62" i="1" s="1"/>
  <c r="AB62" i="1"/>
  <c r="AA62" i="1" s="1"/>
  <c r="H62" i="1"/>
  <c r="G62" i="1" s="1"/>
  <c r="D62" i="1"/>
  <c r="E62" i="1" l="1"/>
  <c r="Q240" i="1"/>
  <c r="P265" i="1" l="1"/>
  <c r="N265" i="1" l="1"/>
  <c r="M266" i="1" l="1"/>
  <c r="K70" i="4"/>
  <c r="X70" i="4"/>
  <c r="K132" i="4"/>
  <c r="I117" i="4"/>
  <c r="I96" i="4"/>
  <c r="K266" i="1" l="1"/>
  <c r="K129" i="4" l="1"/>
  <c r="AE130" i="4"/>
  <c r="T130" i="4"/>
  <c r="S130" i="4" s="1"/>
  <c r="G130" i="4"/>
  <c r="F130" i="4" s="1"/>
  <c r="AF130" i="4" l="1"/>
  <c r="M57" i="1"/>
  <c r="M141" i="1" l="1"/>
  <c r="K67" i="4" l="1"/>
  <c r="K66" i="4" l="1"/>
  <c r="BJ26" i="1"/>
  <c r="BI26" i="1" s="1"/>
  <c r="BB26" i="1"/>
  <c r="BA26" i="1" s="1"/>
  <c r="AO26" i="1"/>
  <c r="AN26" i="1" s="1"/>
  <c r="AB26" i="1"/>
  <c r="AA26" i="1" s="1"/>
  <c r="H26" i="1"/>
  <c r="G26" i="1" s="1"/>
  <c r="D26" i="1"/>
  <c r="E26" i="1" l="1"/>
  <c r="M240" i="1" l="1"/>
  <c r="M17" i="1"/>
  <c r="BJ130" i="1" l="1"/>
  <c r="BI130" i="1" s="1"/>
  <c r="BB130" i="1"/>
  <c r="BA130" i="1" s="1"/>
  <c r="AO130" i="1"/>
  <c r="AN130" i="1" s="1"/>
  <c r="AB130" i="1"/>
  <c r="AA130" i="1" s="1"/>
  <c r="H130" i="1"/>
  <c r="G130" i="1" s="1"/>
  <c r="D130" i="1"/>
  <c r="E130" i="1" l="1"/>
  <c r="BJ129" i="1" l="1"/>
  <c r="BI129" i="1" s="1"/>
  <c r="BB129" i="1"/>
  <c r="BA129" i="1" s="1"/>
  <c r="AO129" i="1"/>
  <c r="AN129" i="1" s="1"/>
  <c r="AB129" i="1"/>
  <c r="AA129" i="1" s="1"/>
  <c r="H129" i="1"/>
  <c r="G129" i="1" s="1"/>
  <c r="D129" i="1"/>
  <c r="E129" i="1" l="1"/>
  <c r="BJ107" i="1" l="1"/>
  <c r="BI107" i="1" s="1"/>
  <c r="BB107" i="1"/>
  <c r="BA107" i="1" s="1"/>
  <c r="AO107" i="1"/>
  <c r="AN107" i="1" s="1"/>
  <c r="AB107" i="1"/>
  <c r="AA107" i="1" s="1"/>
  <c r="H107" i="1"/>
  <c r="G107" i="1" s="1"/>
  <c r="D107" i="1"/>
  <c r="E107" i="1" l="1"/>
  <c r="AD137" i="4" l="1"/>
  <c r="AC137" i="4"/>
  <c r="AB137" i="4"/>
  <c r="AA137" i="4"/>
  <c r="Z137" i="4"/>
  <c r="Y137" i="4"/>
  <c r="X137" i="4"/>
  <c r="W137" i="4"/>
  <c r="V137" i="4"/>
  <c r="U137" i="4"/>
  <c r="R137" i="4"/>
  <c r="Q137" i="4"/>
  <c r="P137" i="4"/>
  <c r="N137" i="4"/>
  <c r="M137" i="4"/>
  <c r="L137" i="4"/>
  <c r="K137" i="4"/>
  <c r="J137" i="4"/>
  <c r="I137" i="4"/>
  <c r="H137" i="4"/>
  <c r="E137" i="4"/>
  <c r="AD127" i="4"/>
  <c r="AC127" i="4"/>
  <c r="AB127" i="4"/>
  <c r="AA127" i="4"/>
  <c r="Z127" i="4"/>
  <c r="Y127" i="4"/>
  <c r="X127" i="4"/>
  <c r="W127" i="4"/>
  <c r="V127" i="4"/>
  <c r="U127" i="4"/>
  <c r="R127" i="4"/>
  <c r="Q127" i="4"/>
  <c r="P127" i="4"/>
  <c r="O127" i="4"/>
  <c r="N127" i="4"/>
  <c r="M127" i="4"/>
  <c r="L127" i="4"/>
  <c r="K127" i="4"/>
  <c r="J127" i="4"/>
  <c r="I127" i="4"/>
  <c r="H127" i="4"/>
  <c r="E127" i="4"/>
  <c r="J126" i="4" l="1"/>
  <c r="J125" i="4" s="1"/>
  <c r="N126" i="4"/>
  <c r="N125" i="4" s="1"/>
  <c r="R126" i="4"/>
  <c r="R125" i="4" s="1"/>
  <c r="X126" i="4"/>
  <c r="X125" i="4" s="1"/>
  <c r="AB126" i="4"/>
  <c r="AB125" i="4" s="1"/>
  <c r="E126" i="4"/>
  <c r="E125" i="4" s="1"/>
  <c r="K126" i="4"/>
  <c r="K125" i="4" s="1"/>
  <c r="O126" i="4"/>
  <c r="O125" i="4" s="1"/>
  <c r="U126" i="4"/>
  <c r="U125" i="4" s="1"/>
  <c r="Y126" i="4"/>
  <c r="Y125" i="4" s="1"/>
  <c r="AC126" i="4"/>
  <c r="AC125" i="4" s="1"/>
  <c r="L126" i="4"/>
  <c r="L125" i="4" s="1"/>
  <c r="V126" i="4"/>
  <c r="V125" i="4" s="1"/>
  <c r="AD126" i="4"/>
  <c r="AD125" i="4" s="1"/>
  <c r="H126" i="4"/>
  <c r="H125" i="4" s="1"/>
  <c r="P126" i="4"/>
  <c r="P125" i="4" s="1"/>
  <c r="Z126" i="4"/>
  <c r="Z125" i="4" s="1"/>
  <c r="I126" i="4"/>
  <c r="I125" i="4" s="1"/>
  <c r="M126" i="4"/>
  <c r="M125" i="4" s="1"/>
  <c r="Q126" i="4"/>
  <c r="Q125" i="4" s="1"/>
  <c r="W126" i="4"/>
  <c r="W125" i="4" s="1"/>
  <c r="AA126" i="4"/>
  <c r="AA125" i="4" s="1"/>
  <c r="L158" i="1"/>
  <c r="AE134" i="4" l="1"/>
  <c r="T134" i="4"/>
  <c r="S134" i="4" s="1"/>
  <c r="G134" i="4"/>
  <c r="F134" i="4" s="1"/>
  <c r="AF134" i="4" l="1"/>
  <c r="BJ55" i="1"/>
  <c r="BI55" i="1" s="1"/>
  <c r="BB55" i="1"/>
  <c r="BA55" i="1" s="1"/>
  <c r="AO55" i="1"/>
  <c r="AN55" i="1" s="1"/>
  <c r="AB55" i="1"/>
  <c r="AA55" i="1" s="1"/>
  <c r="H55" i="1"/>
  <c r="G55" i="1" s="1"/>
  <c r="D55" i="1"/>
  <c r="E55" i="1" l="1"/>
  <c r="J66" i="4" l="1"/>
  <c r="L57" i="1"/>
  <c r="BJ106" i="1"/>
  <c r="BI106" i="1" s="1"/>
  <c r="BB106" i="1"/>
  <c r="BA106" i="1" s="1"/>
  <c r="AO106" i="1"/>
  <c r="AN106" i="1" s="1"/>
  <c r="AB106" i="1"/>
  <c r="AA106" i="1" s="1"/>
  <c r="H106" i="1"/>
  <c r="G106" i="1" s="1"/>
  <c r="D106" i="1"/>
  <c r="E106" i="1" l="1"/>
  <c r="BJ184" i="1"/>
  <c r="BI184" i="1" s="1"/>
  <c r="BB184" i="1"/>
  <c r="BA184" i="1" s="1"/>
  <c r="AO184" i="1"/>
  <c r="AN184" i="1" s="1"/>
  <c r="AB184" i="1"/>
  <c r="AA184" i="1" s="1"/>
  <c r="H184" i="1"/>
  <c r="G184" i="1" s="1"/>
  <c r="D184" i="1"/>
  <c r="BJ191" i="1"/>
  <c r="BI191" i="1" s="1"/>
  <c r="BB191" i="1"/>
  <c r="BA191" i="1" s="1"/>
  <c r="AO191" i="1"/>
  <c r="AN191" i="1" s="1"/>
  <c r="AB191" i="1"/>
  <c r="AA191" i="1" s="1"/>
  <c r="H191" i="1"/>
  <c r="G191" i="1" s="1"/>
  <c r="D191" i="1"/>
  <c r="E184" i="1" l="1"/>
  <c r="E191" i="1"/>
  <c r="BJ234" i="1" l="1"/>
  <c r="BI234" i="1" s="1"/>
  <c r="BB234" i="1"/>
  <c r="BA234" i="1" s="1"/>
  <c r="AO234" i="1"/>
  <c r="AN234" i="1" s="1"/>
  <c r="AB234" i="1"/>
  <c r="AA234" i="1" s="1"/>
  <c r="H234" i="1"/>
  <c r="G234" i="1" s="1"/>
  <c r="D234" i="1"/>
  <c r="E234" i="1" l="1"/>
  <c r="AE143" i="4" l="1"/>
  <c r="T143" i="4"/>
  <c r="S143" i="4" s="1"/>
  <c r="G143" i="4"/>
  <c r="F143" i="4" s="1"/>
  <c r="I67" i="4"/>
  <c r="K142" i="1"/>
  <c r="AF143" i="4" l="1"/>
  <c r="K57" i="1"/>
  <c r="I70" i="4"/>
  <c r="BJ155" i="1"/>
  <c r="BI155" i="1" s="1"/>
  <c r="AO155" i="1"/>
  <c r="AN155" i="1" s="1"/>
  <c r="BB155" i="1"/>
  <c r="BA155" i="1" s="1"/>
  <c r="AO154" i="1"/>
  <c r="AN154" i="1" s="1"/>
  <c r="AB155" i="1"/>
  <c r="AA155" i="1" s="1"/>
  <c r="H155" i="1"/>
  <c r="G155" i="1" s="1"/>
  <c r="D155" i="1"/>
  <c r="AD278" i="1"/>
  <c r="AD277" i="1"/>
  <c r="I102" i="4"/>
  <c r="I103" i="4"/>
  <c r="E155" i="1" l="1"/>
  <c r="I100" i="4" l="1"/>
  <c r="I98" i="4"/>
  <c r="I82" i="4" l="1"/>
  <c r="I14" i="4" l="1"/>
  <c r="I13" i="4"/>
  <c r="I87" i="4" l="1"/>
  <c r="BL20" i="1"/>
  <c r="K20" i="1"/>
  <c r="I97" i="4" l="1"/>
  <c r="K80" i="1" l="1"/>
  <c r="K68" i="1" l="1"/>
  <c r="AE144" i="4"/>
  <c r="T144" i="4"/>
  <c r="S144" i="4" s="1"/>
  <c r="G144" i="4"/>
  <c r="F144" i="4" s="1"/>
  <c r="H154" i="1"/>
  <c r="G154" i="1" s="1"/>
  <c r="BJ154" i="1"/>
  <c r="BI154" i="1" s="1"/>
  <c r="BB154" i="1"/>
  <c r="BA154" i="1" s="1"/>
  <c r="AB154" i="1"/>
  <c r="AA154" i="1" s="1"/>
  <c r="D154" i="1"/>
  <c r="V70" i="4"/>
  <c r="AF144" i="4" l="1"/>
  <c r="E154" i="1"/>
  <c r="BJ70" i="1" l="1"/>
  <c r="BI70" i="1" s="1"/>
  <c r="BB70" i="1"/>
  <c r="BA70" i="1" s="1"/>
  <c r="AO70" i="1"/>
  <c r="AN70" i="1" s="1"/>
  <c r="AB70" i="1"/>
  <c r="AA70" i="1" s="1"/>
  <c r="H70" i="1"/>
  <c r="G70" i="1" s="1"/>
  <c r="D70" i="1"/>
  <c r="E70" i="1" l="1"/>
  <c r="I99" i="4" l="1"/>
  <c r="I66" i="4" l="1"/>
  <c r="I110" i="4"/>
  <c r="V91" i="4"/>
  <c r="I91" i="4"/>
  <c r="BJ105" i="1" l="1"/>
  <c r="BI105" i="1" s="1"/>
  <c r="BB105" i="1"/>
  <c r="BA105" i="1" s="1"/>
  <c r="AO105" i="1"/>
  <c r="AN105" i="1" s="1"/>
  <c r="AB105" i="1"/>
  <c r="AA105" i="1" s="1"/>
  <c r="H105" i="1"/>
  <c r="G105" i="1" s="1"/>
  <c r="D105" i="1"/>
  <c r="E105" i="1" l="1"/>
  <c r="BJ153" i="1" l="1"/>
  <c r="BI153" i="1" s="1"/>
  <c r="BB153" i="1"/>
  <c r="BA153" i="1" s="1"/>
  <c r="AO153" i="1"/>
  <c r="AN153" i="1" s="1"/>
  <c r="AB153" i="1"/>
  <c r="AA153" i="1" s="1"/>
  <c r="H153" i="1"/>
  <c r="G153" i="1" s="1"/>
  <c r="D153" i="1"/>
  <c r="E153" i="1" l="1"/>
  <c r="BJ167" i="1" l="1"/>
  <c r="BI167" i="1" s="1"/>
  <c r="BB167" i="1"/>
  <c r="BA167" i="1" s="1"/>
  <c r="AO167" i="1"/>
  <c r="AN167" i="1" s="1"/>
  <c r="AB167" i="1"/>
  <c r="AA167" i="1" s="1"/>
  <c r="H167" i="1"/>
  <c r="G167" i="1" s="1"/>
  <c r="D167" i="1"/>
  <c r="E167" i="1" l="1"/>
  <c r="I74" i="4" l="1"/>
  <c r="AE133" i="4" l="1"/>
  <c r="T133" i="4"/>
  <c r="S133" i="4" s="1"/>
  <c r="G133" i="4"/>
  <c r="F133" i="4" s="1"/>
  <c r="BJ54" i="1"/>
  <c r="BI54" i="1" s="1"/>
  <c r="BB54" i="1"/>
  <c r="BA54" i="1" s="1"/>
  <c r="AO54" i="1"/>
  <c r="AN54" i="1" s="1"/>
  <c r="AB54" i="1"/>
  <c r="AA54" i="1" s="1"/>
  <c r="H54" i="1"/>
  <c r="G54" i="1" s="1"/>
  <c r="D54" i="1"/>
  <c r="AF133" i="4" l="1"/>
  <c r="E54" i="1"/>
  <c r="BJ251" i="1" l="1"/>
  <c r="BI251" i="1" s="1"/>
  <c r="BB251" i="1"/>
  <c r="BA251" i="1" s="1"/>
  <c r="AO251" i="1"/>
  <c r="AN251" i="1" s="1"/>
  <c r="AB251" i="1"/>
  <c r="AA251" i="1" s="1"/>
  <c r="H251" i="1"/>
  <c r="G251" i="1" s="1"/>
  <c r="D251" i="1"/>
  <c r="E251" i="1" l="1"/>
  <c r="I113" i="4" l="1"/>
  <c r="I112" i="4" l="1"/>
  <c r="AD230" i="1"/>
  <c r="I104" i="4" l="1"/>
  <c r="AD228" i="1"/>
  <c r="AD212" i="1"/>
  <c r="I107" i="4"/>
  <c r="AD224" i="1"/>
  <c r="AD206" i="1"/>
  <c r="I111" i="4"/>
  <c r="AD190" i="1"/>
  <c r="AE109" i="4"/>
  <c r="T109" i="4"/>
  <c r="S109" i="4" s="1"/>
  <c r="G109" i="4"/>
  <c r="F109" i="4" s="1"/>
  <c r="AD25" i="1"/>
  <c r="AD235" i="1"/>
  <c r="AD174" i="1"/>
  <c r="AF109" i="4" l="1"/>
  <c r="AE115" i="4"/>
  <c r="T115" i="4"/>
  <c r="S115" i="4" s="1"/>
  <c r="G115" i="4"/>
  <c r="F115" i="4" s="1"/>
  <c r="AF115" i="4" l="1"/>
  <c r="BJ32" i="1" l="1"/>
  <c r="BI32" i="1" s="1"/>
  <c r="BB32" i="1"/>
  <c r="BA32" i="1" s="1"/>
  <c r="AB32" i="1"/>
  <c r="AA32" i="1" s="1"/>
  <c r="H32" i="1"/>
  <c r="G32" i="1" s="1"/>
  <c r="D32" i="1"/>
  <c r="E32" i="1" l="1"/>
  <c r="AD182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J20" i="1"/>
  <c r="BI20" i="1" s="1"/>
  <c r="BB20" i="1"/>
  <c r="BA20" i="1" s="1"/>
  <c r="AO20" i="1"/>
  <c r="AN20" i="1" s="1"/>
  <c r="AB20" i="1"/>
  <c r="AA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6" i="4" l="1"/>
  <c r="I95" i="4" l="1"/>
  <c r="F265" i="1" l="1"/>
  <c r="BJ267" i="1"/>
  <c r="BI267" i="1" s="1"/>
  <c r="BJ268" i="1"/>
  <c r="BI268" i="1" s="1"/>
  <c r="BB267" i="1"/>
  <c r="BA267" i="1" s="1"/>
  <c r="BB268" i="1"/>
  <c r="BA268" i="1" s="1"/>
  <c r="AO267" i="1"/>
  <c r="AN267" i="1" s="1"/>
  <c r="AO268" i="1"/>
  <c r="AN268" i="1" s="1"/>
  <c r="AB267" i="1"/>
  <c r="AA267" i="1" s="1"/>
  <c r="AB268" i="1"/>
  <c r="AA268" i="1" s="1"/>
  <c r="H267" i="1"/>
  <c r="G267" i="1" s="1"/>
  <c r="H268" i="1"/>
  <c r="G268" i="1" s="1"/>
  <c r="D267" i="1"/>
  <c r="D268" i="1"/>
  <c r="E268" i="1" l="1"/>
  <c r="E267" i="1"/>
  <c r="J23" i="1" l="1"/>
  <c r="J319" i="1" l="1"/>
  <c r="J315" i="1"/>
  <c r="J308" i="1"/>
  <c r="J304" i="1"/>
  <c r="J300" i="1"/>
  <c r="J295" i="1"/>
  <c r="J293" i="1"/>
  <c r="J263" i="1"/>
  <c r="J239" i="1"/>
  <c r="J133" i="1"/>
  <c r="J93" i="1"/>
  <c r="J86" i="1"/>
  <c r="J74" i="1"/>
  <c r="J64" i="1"/>
  <c r="J36" i="1"/>
  <c r="J28" i="1"/>
  <c r="J11" i="1"/>
  <c r="J292" i="1" l="1"/>
  <c r="J320" i="1" s="1"/>
  <c r="J262" i="1"/>
  <c r="J318" i="1" l="1"/>
  <c r="AE121" i="4"/>
  <c r="T121" i="4"/>
  <c r="S121" i="4" s="1"/>
  <c r="G121" i="4"/>
  <c r="F121" i="4" s="1"/>
  <c r="AF121" i="4" l="1"/>
  <c r="AB53" i="1" l="1"/>
  <c r="AA53" i="1" s="1"/>
  <c r="AO53" i="1"/>
  <c r="AN53" i="1" s="1"/>
  <c r="BB53" i="1"/>
  <c r="BA53" i="1" s="1"/>
  <c r="BJ53" i="1"/>
  <c r="BI53" i="1" s="1"/>
  <c r="H53" i="1"/>
  <c r="G53" i="1" s="1"/>
  <c r="D53" i="1"/>
  <c r="E53" i="1" l="1"/>
  <c r="I57" i="1" l="1"/>
  <c r="BJ82" i="1"/>
  <c r="BI82" i="1" s="1"/>
  <c r="BB82" i="1"/>
  <c r="BA82" i="1" s="1"/>
  <c r="AO82" i="1"/>
  <c r="AN82" i="1" s="1"/>
  <c r="AB82" i="1"/>
  <c r="AA82" i="1" s="1"/>
  <c r="H82" i="1"/>
  <c r="G82" i="1" s="1"/>
  <c r="D82" i="1"/>
  <c r="E82" i="1" l="1"/>
  <c r="U70" i="4" l="1"/>
  <c r="H70" i="4"/>
  <c r="I266" i="1"/>
  <c r="BJ152" i="1"/>
  <c r="BI152" i="1" s="1"/>
  <c r="BB152" i="1"/>
  <c r="BA152" i="1" s="1"/>
  <c r="AO152" i="1"/>
  <c r="AN152" i="1" s="1"/>
  <c r="AB152" i="1"/>
  <c r="AA152" i="1" s="1"/>
  <c r="H152" i="1"/>
  <c r="G152" i="1" s="1"/>
  <c r="D152" i="1"/>
  <c r="H67" i="4"/>
  <c r="E152" i="1" l="1"/>
  <c r="H66" i="4"/>
  <c r="AC174" i="1" l="1"/>
  <c r="AC212" i="1" l="1"/>
  <c r="AC185" i="1"/>
  <c r="I265" i="1" l="1"/>
  <c r="H99" i="4"/>
  <c r="H96" i="4" l="1"/>
  <c r="H95" i="4" s="1"/>
  <c r="AE108" i="4"/>
  <c r="AE122" i="4"/>
  <c r="T122" i="4"/>
  <c r="S122" i="4" s="1"/>
  <c r="G122" i="4"/>
  <c r="F122" i="4" s="1"/>
  <c r="AF122" i="4" l="1"/>
  <c r="BJ233" i="1"/>
  <c r="BI233" i="1" s="1"/>
  <c r="BB233" i="1"/>
  <c r="BA233" i="1" s="1"/>
  <c r="AO233" i="1"/>
  <c r="AN233" i="1" s="1"/>
  <c r="AB233" i="1"/>
  <c r="AA233" i="1" s="1"/>
  <c r="H233" i="1"/>
  <c r="G233" i="1" s="1"/>
  <c r="D233" i="1"/>
  <c r="E233" i="1" l="1"/>
  <c r="BJ265" i="1" l="1"/>
  <c r="BI265" i="1" s="1"/>
  <c r="BJ266" i="1"/>
  <c r="BI266" i="1" s="1"/>
  <c r="BB265" i="1"/>
  <c r="BA265" i="1" s="1"/>
  <c r="BB266" i="1"/>
  <c r="BA266" i="1" s="1"/>
  <c r="BB270" i="1"/>
  <c r="BA270" i="1" s="1"/>
  <c r="BB271" i="1"/>
  <c r="BB272" i="1"/>
  <c r="BB273" i="1"/>
  <c r="BB274" i="1"/>
  <c r="BB275" i="1"/>
  <c r="BB277" i="1"/>
  <c r="BB278" i="1"/>
  <c r="BB279" i="1"/>
  <c r="BB280" i="1"/>
  <c r="BB281" i="1"/>
  <c r="BB282" i="1"/>
  <c r="BB283" i="1"/>
  <c r="BB285" i="1"/>
  <c r="BB286" i="1"/>
  <c r="BB287" i="1"/>
  <c r="BB288" i="1"/>
  <c r="BB289" i="1"/>
  <c r="BB290" i="1"/>
  <c r="BB264" i="1"/>
  <c r="AO266" i="1"/>
  <c r="AN266" i="1" s="1"/>
  <c r="AB266" i="1"/>
  <c r="AA266" i="1" s="1"/>
  <c r="H266" i="1"/>
  <c r="G266" i="1" s="1"/>
  <c r="D266" i="1"/>
  <c r="E266" i="1" l="1"/>
  <c r="BJ52" i="1" l="1"/>
  <c r="BI52" i="1" s="1"/>
  <c r="BB52" i="1"/>
  <c r="BA52" i="1" s="1"/>
  <c r="AO52" i="1"/>
  <c r="AN52" i="1" s="1"/>
  <c r="AB52" i="1"/>
  <c r="AA52" i="1" s="1"/>
  <c r="H52" i="1"/>
  <c r="G52" i="1" s="1"/>
  <c r="D52" i="1"/>
  <c r="E52" i="1" l="1"/>
  <c r="BJ19" i="1" l="1"/>
  <c r="BI19" i="1" s="1"/>
  <c r="BB19" i="1"/>
  <c r="BA19" i="1" s="1"/>
  <c r="AO19" i="1"/>
  <c r="AN19" i="1" s="1"/>
  <c r="AB19" i="1"/>
  <c r="AA19" i="1" s="1"/>
  <c r="H19" i="1"/>
  <c r="G19" i="1" s="1"/>
  <c r="D19" i="1"/>
  <c r="E19" i="1" l="1"/>
  <c r="D316" i="1"/>
  <c r="D313" i="1"/>
  <c r="D312" i="1" s="1"/>
  <c r="D310" i="1"/>
  <c r="D309" i="1"/>
  <c r="D307" i="1"/>
  <c r="D306" i="1"/>
  <c r="D305" i="1"/>
  <c r="D303" i="1"/>
  <c r="D302" i="1"/>
  <c r="D301" i="1"/>
  <c r="D299" i="1"/>
  <c r="D298" i="1"/>
  <c r="D297" i="1"/>
  <c r="D296" i="1"/>
  <c r="D294" i="1"/>
  <c r="D290" i="1"/>
  <c r="D289" i="1"/>
  <c r="D288" i="1"/>
  <c r="D287" i="1"/>
  <c r="D286" i="1"/>
  <c r="D285" i="1"/>
  <c r="D283" i="1"/>
  <c r="D282" i="1"/>
  <c r="D281" i="1"/>
  <c r="D280" i="1"/>
  <c r="D279" i="1"/>
  <c r="D278" i="1"/>
  <c r="D277" i="1"/>
  <c r="D275" i="1"/>
  <c r="D274" i="1"/>
  <c r="D273" i="1"/>
  <c r="D272" i="1"/>
  <c r="D271" i="1"/>
  <c r="D270" i="1"/>
  <c r="D264" i="1"/>
  <c r="D260" i="1"/>
  <c r="D259" i="1"/>
  <c r="D258" i="1"/>
  <c r="D257" i="1"/>
  <c r="D256" i="1"/>
  <c r="D255" i="1"/>
  <c r="D254" i="1"/>
  <c r="D253" i="1"/>
  <c r="D252" i="1"/>
  <c r="D250" i="1"/>
  <c r="D249" i="1"/>
  <c r="D248" i="1"/>
  <c r="D247" i="1"/>
  <c r="D246" i="1"/>
  <c r="D245" i="1"/>
  <c r="D244" i="1"/>
  <c r="D243" i="1"/>
  <c r="D242" i="1"/>
  <c r="D241" i="1"/>
  <c r="D240" i="1"/>
  <c r="D237" i="1"/>
  <c r="D236" i="1"/>
  <c r="D235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0" i="1"/>
  <c r="D189" i="1"/>
  <c r="D188" i="1"/>
  <c r="D187" i="1"/>
  <c r="D186" i="1"/>
  <c r="D185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6" i="1"/>
  <c r="D165" i="1"/>
  <c r="D164" i="1"/>
  <c r="D163" i="1"/>
  <c r="D162" i="1"/>
  <c r="D161" i="1"/>
  <c r="D159" i="1"/>
  <c r="D158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1" i="1"/>
  <c r="D128" i="1"/>
  <c r="D127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4" i="1"/>
  <c r="D103" i="1"/>
  <c r="D102" i="1"/>
  <c r="D101" i="1"/>
  <c r="D100" i="1"/>
  <c r="D99" i="1"/>
  <c r="D98" i="1"/>
  <c r="D97" i="1"/>
  <c r="D96" i="1"/>
  <c r="D95" i="1"/>
  <c r="D94" i="1"/>
  <c r="D91" i="1"/>
  <c r="D90" i="1"/>
  <c r="D89" i="1"/>
  <c r="D88" i="1"/>
  <c r="D87" i="1"/>
  <c r="D84" i="1"/>
  <c r="D83" i="1"/>
  <c r="D81" i="1"/>
  <c r="D80" i="1"/>
  <c r="D79" i="1"/>
  <c r="D78" i="1"/>
  <c r="D77" i="1"/>
  <c r="D76" i="1"/>
  <c r="D75" i="1"/>
  <c r="D72" i="1"/>
  <c r="D71" i="1"/>
  <c r="D69" i="1"/>
  <c r="D68" i="1"/>
  <c r="D67" i="1"/>
  <c r="D66" i="1"/>
  <c r="D65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J14" i="1"/>
  <c r="BI14" i="1" s="1"/>
  <c r="BJ316" i="1"/>
  <c r="BI316" i="1" s="1"/>
  <c r="BI315" i="1" s="1"/>
  <c r="BJ313" i="1"/>
  <c r="BJ311" i="1"/>
  <c r="BI311" i="1" s="1"/>
  <c r="BJ310" i="1"/>
  <c r="BI310" i="1" s="1"/>
  <c r="BJ309" i="1"/>
  <c r="BI309" i="1" s="1"/>
  <c r="BJ307" i="1"/>
  <c r="BI307" i="1" s="1"/>
  <c r="BJ306" i="1"/>
  <c r="BI306" i="1" s="1"/>
  <c r="BJ305" i="1"/>
  <c r="BI305" i="1" s="1"/>
  <c r="BJ303" i="1"/>
  <c r="BI303" i="1" s="1"/>
  <c r="BJ302" i="1"/>
  <c r="BI302" i="1" s="1"/>
  <c r="BJ301" i="1"/>
  <c r="BI301" i="1" s="1"/>
  <c r="BJ299" i="1"/>
  <c r="BI299" i="1" s="1"/>
  <c r="BJ298" i="1"/>
  <c r="BI298" i="1" s="1"/>
  <c r="BJ297" i="1"/>
  <c r="BI297" i="1" s="1"/>
  <c r="BJ296" i="1"/>
  <c r="BI296" i="1" s="1"/>
  <c r="BJ294" i="1"/>
  <c r="BI294" i="1" s="1"/>
  <c r="BI293" i="1" s="1"/>
  <c r="BJ290" i="1"/>
  <c r="BI290" i="1" s="1"/>
  <c r="BJ289" i="1"/>
  <c r="BI289" i="1" s="1"/>
  <c r="BJ288" i="1"/>
  <c r="BI288" i="1" s="1"/>
  <c r="BJ287" i="1"/>
  <c r="BI287" i="1" s="1"/>
  <c r="BJ286" i="1"/>
  <c r="BI286" i="1" s="1"/>
  <c r="BJ285" i="1"/>
  <c r="BI285" i="1" s="1"/>
  <c r="BJ283" i="1"/>
  <c r="BI283" i="1" s="1"/>
  <c r="BJ282" i="1"/>
  <c r="BI282" i="1" s="1"/>
  <c r="BJ281" i="1"/>
  <c r="BI281" i="1" s="1"/>
  <c r="BJ280" i="1"/>
  <c r="BI280" i="1" s="1"/>
  <c r="BJ279" i="1"/>
  <c r="BI279" i="1" s="1"/>
  <c r="BJ278" i="1"/>
  <c r="BI278" i="1" s="1"/>
  <c r="BJ277" i="1"/>
  <c r="BI277" i="1" s="1"/>
  <c r="BJ275" i="1"/>
  <c r="BI275" i="1" s="1"/>
  <c r="BJ274" i="1"/>
  <c r="BI274" i="1" s="1"/>
  <c r="BJ273" i="1"/>
  <c r="BI273" i="1" s="1"/>
  <c r="BJ272" i="1"/>
  <c r="BI272" i="1" s="1"/>
  <c r="BJ271" i="1"/>
  <c r="BI271" i="1" s="1"/>
  <c r="BJ270" i="1"/>
  <c r="BI270" i="1" s="1"/>
  <c r="BJ264" i="1"/>
  <c r="BI264" i="1" s="1"/>
  <c r="BJ260" i="1"/>
  <c r="BI260" i="1" s="1"/>
  <c r="BJ259" i="1"/>
  <c r="BI259" i="1" s="1"/>
  <c r="BJ258" i="1"/>
  <c r="BI258" i="1" s="1"/>
  <c r="BJ257" i="1"/>
  <c r="BI257" i="1" s="1"/>
  <c r="BJ256" i="1"/>
  <c r="BI256" i="1" s="1"/>
  <c r="BJ255" i="1"/>
  <c r="BI255" i="1" s="1"/>
  <c r="BJ254" i="1"/>
  <c r="BI254" i="1" s="1"/>
  <c r="BJ253" i="1"/>
  <c r="BI253" i="1" s="1"/>
  <c r="BJ252" i="1"/>
  <c r="BI252" i="1" s="1"/>
  <c r="BJ250" i="1"/>
  <c r="BI250" i="1" s="1"/>
  <c r="BJ249" i="1"/>
  <c r="BI249" i="1" s="1"/>
  <c r="BJ248" i="1"/>
  <c r="BI248" i="1" s="1"/>
  <c r="BJ247" i="1"/>
  <c r="BI247" i="1" s="1"/>
  <c r="BJ246" i="1"/>
  <c r="BI246" i="1" s="1"/>
  <c r="BJ245" i="1"/>
  <c r="BI245" i="1" s="1"/>
  <c r="BJ244" i="1"/>
  <c r="BI244" i="1" s="1"/>
  <c r="BJ243" i="1"/>
  <c r="BI243" i="1" s="1"/>
  <c r="BJ242" i="1"/>
  <c r="BI242" i="1" s="1"/>
  <c r="BJ241" i="1"/>
  <c r="BI241" i="1" s="1"/>
  <c r="BJ240" i="1"/>
  <c r="BI240" i="1" s="1"/>
  <c r="BJ237" i="1"/>
  <c r="BI237" i="1" s="1"/>
  <c r="BJ236" i="1"/>
  <c r="BI236" i="1" s="1"/>
  <c r="BJ235" i="1"/>
  <c r="BI235" i="1" s="1"/>
  <c r="BJ232" i="1"/>
  <c r="BI232" i="1" s="1"/>
  <c r="BJ231" i="1"/>
  <c r="BI231" i="1" s="1"/>
  <c r="BJ230" i="1"/>
  <c r="BI230" i="1" s="1"/>
  <c r="BJ229" i="1"/>
  <c r="BI229" i="1" s="1"/>
  <c r="BJ228" i="1"/>
  <c r="BI228" i="1" s="1"/>
  <c r="BJ227" i="1"/>
  <c r="BI227" i="1" s="1"/>
  <c r="BJ226" i="1"/>
  <c r="BI226" i="1" s="1"/>
  <c r="BJ225" i="1"/>
  <c r="BI225" i="1" s="1"/>
  <c r="BJ224" i="1"/>
  <c r="BI224" i="1" s="1"/>
  <c r="BJ223" i="1"/>
  <c r="BI223" i="1" s="1"/>
  <c r="BJ222" i="1"/>
  <c r="BI222" i="1" s="1"/>
  <c r="BJ221" i="1"/>
  <c r="BI221" i="1" s="1"/>
  <c r="BJ220" i="1"/>
  <c r="BI220" i="1" s="1"/>
  <c r="BJ219" i="1"/>
  <c r="BI219" i="1" s="1"/>
  <c r="BJ218" i="1"/>
  <c r="BI218" i="1" s="1"/>
  <c r="BJ217" i="1"/>
  <c r="BI217" i="1" s="1"/>
  <c r="BJ215" i="1"/>
  <c r="BI215" i="1" s="1"/>
  <c r="BJ214" i="1"/>
  <c r="BI214" i="1" s="1"/>
  <c r="BJ213" i="1"/>
  <c r="BI213" i="1" s="1"/>
  <c r="BJ212" i="1"/>
  <c r="BI212" i="1" s="1"/>
  <c r="BJ211" i="1"/>
  <c r="BI211" i="1" s="1"/>
  <c r="BJ210" i="1"/>
  <c r="BI210" i="1" s="1"/>
  <c r="BJ209" i="1"/>
  <c r="BI209" i="1" s="1"/>
  <c r="BJ208" i="1"/>
  <c r="BI208" i="1" s="1"/>
  <c r="BJ207" i="1"/>
  <c r="BI207" i="1" s="1"/>
  <c r="BJ206" i="1"/>
  <c r="BI206" i="1" s="1"/>
  <c r="BJ205" i="1"/>
  <c r="BI205" i="1" s="1"/>
  <c r="BJ204" i="1"/>
  <c r="BI204" i="1" s="1"/>
  <c r="BJ203" i="1"/>
  <c r="BI203" i="1" s="1"/>
  <c r="BJ202" i="1"/>
  <c r="BI202" i="1" s="1"/>
  <c r="BJ201" i="1"/>
  <c r="BI201" i="1" s="1"/>
  <c r="BJ200" i="1"/>
  <c r="BI200" i="1" s="1"/>
  <c r="BJ199" i="1"/>
  <c r="BI199" i="1" s="1"/>
  <c r="BJ198" i="1"/>
  <c r="BI198" i="1" s="1"/>
  <c r="BJ197" i="1"/>
  <c r="BI197" i="1" s="1"/>
  <c r="BJ196" i="1"/>
  <c r="BI196" i="1" s="1"/>
  <c r="BJ195" i="1"/>
  <c r="BI195" i="1" s="1"/>
  <c r="BJ194" i="1"/>
  <c r="BI194" i="1" s="1"/>
  <c r="BJ193" i="1"/>
  <c r="BI193" i="1" s="1"/>
  <c r="BJ192" i="1"/>
  <c r="BI192" i="1" s="1"/>
  <c r="BJ190" i="1"/>
  <c r="BI190" i="1" s="1"/>
  <c r="BJ189" i="1"/>
  <c r="BI189" i="1" s="1"/>
  <c r="BJ188" i="1"/>
  <c r="BI188" i="1" s="1"/>
  <c r="BJ187" i="1"/>
  <c r="BI187" i="1" s="1"/>
  <c r="BJ186" i="1"/>
  <c r="BI186" i="1" s="1"/>
  <c r="BJ185" i="1"/>
  <c r="BI185" i="1" s="1"/>
  <c r="BJ183" i="1"/>
  <c r="BI183" i="1" s="1"/>
  <c r="BJ182" i="1"/>
  <c r="BI182" i="1" s="1"/>
  <c r="BJ181" i="1"/>
  <c r="BI181" i="1" s="1"/>
  <c r="BJ180" i="1"/>
  <c r="BI180" i="1" s="1"/>
  <c r="BJ179" i="1"/>
  <c r="BI179" i="1" s="1"/>
  <c r="BJ178" i="1"/>
  <c r="BI178" i="1" s="1"/>
  <c r="BJ177" i="1"/>
  <c r="BI177" i="1" s="1"/>
  <c r="BJ176" i="1"/>
  <c r="BI176" i="1" s="1"/>
  <c r="BJ175" i="1"/>
  <c r="BI175" i="1" s="1"/>
  <c r="BJ174" i="1"/>
  <c r="BI174" i="1" s="1"/>
  <c r="BJ173" i="1"/>
  <c r="BI173" i="1" s="1"/>
  <c r="BJ172" i="1"/>
  <c r="BI172" i="1" s="1"/>
  <c r="BJ171" i="1"/>
  <c r="BI171" i="1" s="1"/>
  <c r="BJ170" i="1"/>
  <c r="BI170" i="1" s="1"/>
  <c r="BJ169" i="1"/>
  <c r="BI169" i="1" s="1"/>
  <c r="BJ168" i="1"/>
  <c r="BI168" i="1" s="1"/>
  <c r="BJ166" i="1"/>
  <c r="BI166" i="1" s="1"/>
  <c r="BJ165" i="1"/>
  <c r="BI165" i="1" s="1"/>
  <c r="BJ164" i="1"/>
  <c r="BI164" i="1" s="1"/>
  <c r="BJ163" i="1"/>
  <c r="BI163" i="1" s="1"/>
  <c r="BJ162" i="1"/>
  <c r="BI162" i="1" s="1"/>
  <c r="BJ161" i="1"/>
  <c r="BI161" i="1" s="1"/>
  <c r="BJ159" i="1"/>
  <c r="BI159" i="1" s="1"/>
  <c r="BJ158" i="1"/>
  <c r="BI158" i="1" s="1"/>
  <c r="BJ151" i="1"/>
  <c r="BI151" i="1" s="1"/>
  <c r="BJ150" i="1"/>
  <c r="BI150" i="1" s="1"/>
  <c r="BJ149" i="1"/>
  <c r="BI149" i="1" s="1"/>
  <c r="BJ148" i="1"/>
  <c r="BI148" i="1" s="1"/>
  <c r="BJ147" i="1"/>
  <c r="BI147" i="1" s="1"/>
  <c r="BJ146" i="1"/>
  <c r="BI146" i="1" s="1"/>
  <c r="BJ145" i="1"/>
  <c r="BI145" i="1" s="1"/>
  <c r="BJ144" i="1"/>
  <c r="BI144" i="1" s="1"/>
  <c r="BJ143" i="1"/>
  <c r="BI143" i="1" s="1"/>
  <c r="BJ142" i="1"/>
  <c r="BI142" i="1" s="1"/>
  <c r="BJ141" i="1"/>
  <c r="BI141" i="1" s="1"/>
  <c r="BJ140" i="1"/>
  <c r="BI140" i="1" s="1"/>
  <c r="BJ139" i="1"/>
  <c r="BI139" i="1" s="1"/>
  <c r="BJ138" i="1"/>
  <c r="BI138" i="1" s="1"/>
  <c r="BJ137" i="1"/>
  <c r="BI137" i="1" s="1"/>
  <c r="BJ136" i="1"/>
  <c r="BI136" i="1" s="1"/>
  <c r="BJ135" i="1"/>
  <c r="BI135" i="1" s="1"/>
  <c r="BJ134" i="1"/>
  <c r="BI134" i="1" s="1"/>
  <c r="BJ131" i="1"/>
  <c r="BI131" i="1" s="1"/>
  <c r="BJ128" i="1"/>
  <c r="BI128" i="1" s="1"/>
  <c r="BJ127" i="1"/>
  <c r="BI127" i="1" s="1"/>
  <c r="BJ126" i="1"/>
  <c r="BI126" i="1" s="1"/>
  <c r="BJ125" i="1"/>
  <c r="BI125" i="1" s="1"/>
  <c r="BJ124" i="1"/>
  <c r="BI124" i="1" s="1"/>
  <c r="BJ123" i="1"/>
  <c r="BI123" i="1" s="1"/>
  <c r="BJ122" i="1"/>
  <c r="BI122" i="1" s="1"/>
  <c r="BJ121" i="1"/>
  <c r="BI121" i="1" s="1"/>
  <c r="BJ120" i="1"/>
  <c r="BI120" i="1" s="1"/>
  <c r="BJ119" i="1"/>
  <c r="BI119" i="1" s="1"/>
  <c r="BJ117" i="1"/>
  <c r="BI117" i="1" s="1"/>
  <c r="BJ116" i="1"/>
  <c r="BI116" i="1" s="1"/>
  <c r="BJ115" i="1"/>
  <c r="BI115" i="1" s="1"/>
  <c r="BJ114" i="1"/>
  <c r="BI114" i="1" s="1"/>
  <c r="BJ113" i="1"/>
  <c r="BI113" i="1" s="1"/>
  <c r="BJ112" i="1"/>
  <c r="BI112" i="1" s="1"/>
  <c r="BJ111" i="1"/>
  <c r="BI111" i="1" s="1"/>
  <c r="BJ110" i="1"/>
  <c r="BI110" i="1" s="1"/>
  <c r="BJ109" i="1"/>
  <c r="BI109" i="1" s="1"/>
  <c r="BJ104" i="1"/>
  <c r="BI104" i="1" s="1"/>
  <c r="BJ103" i="1"/>
  <c r="BI103" i="1" s="1"/>
  <c r="BJ102" i="1"/>
  <c r="BI102" i="1" s="1"/>
  <c r="BJ101" i="1"/>
  <c r="BI101" i="1" s="1"/>
  <c r="BJ100" i="1"/>
  <c r="BI100" i="1" s="1"/>
  <c r="BJ99" i="1"/>
  <c r="BI99" i="1" s="1"/>
  <c r="BJ98" i="1"/>
  <c r="BI98" i="1" s="1"/>
  <c r="BJ97" i="1"/>
  <c r="BI97" i="1" s="1"/>
  <c r="BJ96" i="1"/>
  <c r="BI96" i="1" s="1"/>
  <c r="BJ95" i="1"/>
  <c r="BI95" i="1" s="1"/>
  <c r="BJ94" i="1"/>
  <c r="BI94" i="1" s="1"/>
  <c r="BJ91" i="1"/>
  <c r="BI91" i="1" s="1"/>
  <c r="BJ90" i="1"/>
  <c r="BI90" i="1" s="1"/>
  <c r="BJ89" i="1"/>
  <c r="BI89" i="1" s="1"/>
  <c r="BJ88" i="1"/>
  <c r="BI88" i="1" s="1"/>
  <c r="BJ87" i="1"/>
  <c r="BI87" i="1" s="1"/>
  <c r="BJ84" i="1"/>
  <c r="BI84" i="1" s="1"/>
  <c r="BJ83" i="1"/>
  <c r="BI83" i="1" s="1"/>
  <c r="BJ81" i="1"/>
  <c r="BI81" i="1" s="1"/>
  <c r="BJ80" i="1"/>
  <c r="BI80" i="1" s="1"/>
  <c r="BJ79" i="1"/>
  <c r="BI79" i="1" s="1"/>
  <c r="BJ78" i="1"/>
  <c r="BI78" i="1" s="1"/>
  <c r="BJ77" i="1"/>
  <c r="BI77" i="1" s="1"/>
  <c r="BJ76" i="1"/>
  <c r="BI76" i="1" s="1"/>
  <c r="BJ75" i="1"/>
  <c r="BI75" i="1" s="1"/>
  <c r="BJ72" i="1"/>
  <c r="BI72" i="1" s="1"/>
  <c r="BJ71" i="1"/>
  <c r="BI71" i="1" s="1"/>
  <c r="BJ69" i="1"/>
  <c r="BI69" i="1" s="1"/>
  <c r="BJ68" i="1"/>
  <c r="BI68" i="1" s="1"/>
  <c r="BJ67" i="1"/>
  <c r="BI67" i="1" s="1"/>
  <c r="BJ66" i="1"/>
  <c r="BI66" i="1" s="1"/>
  <c r="BJ65" i="1"/>
  <c r="BI65" i="1" s="1"/>
  <c r="BJ61" i="1"/>
  <c r="BI61" i="1" s="1"/>
  <c r="BJ60" i="1"/>
  <c r="BI60" i="1" s="1"/>
  <c r="BJ59" i="1"/>
  <c r="BI59" i="1" s="1"/>
  <c r="BJ58" i="1"/>
  <c r="BI58" i="1" s="1"/>
  <c r="BJ57" i="1"/>
  <c r="BI57" i="1" s="1"/>
  <c r="BJ56" i="1"/>
  <c r="BI56" i="1" s="1"/>
  <c r="BJ51" i="1"/>
  <c r="BI51" i="1" s="1"/>
  <c r="BJ50" i="1"/>
  <c r="BI50" i="1" s="1"/>
  <c r="BJ49" i="1"/>
  <c r="BI49" i="1" s="1"/>
  <c r="BJ48" i="1"/>
  <c r="BI48" i="1" s="1"/>
  <c r="BJ47" i="1"/>
  <c r="BI47" i="1" s="1"/>
  <c r="BJ46" i="1"/>
  <c r="BI46" i="1" s="1"/>
  <c r="BJ45" i="1"/>
  <c r="BI45" i="1" s="1"/>
  <c r="BJ44" i="1"/>
  <c r="BI44" i="1" s="1"/>
  <c r="BJ43" i="1"/>
  <c r="BI43" i="1" s="1"/>
  <c r="BJ42" i="1"/>
  <c r="BI42" i="1" s="1"/>
  <c r="BJ41" i="1"/>
  <c r="BI41" i="1" s="1"/>
  <c r="BJ40" i="1"/>
  <c r="BI40" i="1" s="1"/>
  <c r="BJ39" i="1"/>
  <c r="BI39" i="1" s="1"/>
  <c r="BJ38" i="1"/>
  <c r="BI38" i="1" s="1"/>
  <c r="BJ37" i="1"/>
  <c r="BI37" i="1" s="1"/>
  <c r="BJ34" i="1"/>
  <c r="BI34" i="1" s="1"/>
  <c r="BJ33" i="1"/>
  <c r="BI33" i="1" s="1"/>
  <c r="BJ31" i="1"/>
  <c r="BI31" i="1" s="1"/>
  <c r="BJ30" i="1"/>
  <c r="BI30" i="1" s="1"/>
  <c r="BJ29" i="1"/>
  <c r="BI29" i="1" s="1"/>
  <c r="BJ25" i="1"/>
  <c r="BI25" i="1" s="1"/>
  <c r="BJ24" i="1"/>
  <c r="BI24" i="1" s="1"/>
  <c r="BJ23" i="1"/>
  <c r="BI23" i="1" s="1"/>
  <c r="BJ22" i="1"/>
  <c r="BI22" i="1" s="1"/>
  <c r="BJ21" i="1"/>
  <c r="BI21" i="1" s="1"/>
  <c r="BJ18" i="1"/>
  <c r="BI18" i="1" s="1"/>
  <c r="BJ17" i="1"/>
  <c r="BI17" i="1" s="1"/>
  <c r="BJ16" i="1"/>
  <c r="BI16" i="1" s="1"/>
  <c r="BJ15" i="1"/>
  <c r="BI15" i="1" s="1"/>
  <c r="BJ13" i="1"/>
  <c r="BI13" i="1" s="1"/>
  <c r="BB316" i="1"/>
  <c r="BA316" i="1" s="1"/>
  <c r="BA315" i="1" s="1"/>
  <c r="BB313" i="1"/>
  <c r="BB311" i="1"/>
  <c r="BA311" i="1" s="1"/>
  <c r="BB310" i="1"/>
  <c r="BA310" i="1" s="1"/>
  <c r="BB309" i="1"/>
  <c r="BA309" i="1" s="1"/>
  <c r="BB307" i="1"/>
  <c r="BA307" i="1" s="1"/>
  <c r="BB306" i="1"/>
  <c r="BA306" i="1" s="1"/>
  <c r="BB305" i="1"/>
  <c r="BA305" i="1" s="1"/>
  <c r="BB303" i="1"/>
  <c r="BA303" i="1" s="1"/>
  <c r="BB302" i="1"/>
  <c r="BA302" i="1" s="1"/>
  <c r="BB301" i="1"/>
  <c r="BA301" i="1" s="1"/>
  <c r="BB299" i="1"/>
  <c r="BA299" i="1" s="1"/>
  <c r="BB298" i="1"/>
  <c r="BA298" i="1" s="1"/>
  <c r="BB297" i="1"/>
  <c r="BA297" i="1" s="1"/>
  <c r="BB296" i="1"/>
  <c r="BA296" i="1" s="1"/>
  <c r="BB294" i="1"/>
  <c r="BA294" i="1" s="1"/>
  <c r="BA293" i="1" s="1"/>
  <c r="BA290" i="1"/>
  <c r="BA289" i="1"/>
  <c r="BA288" i="1"/>
  <c r="BA287" i="1"/>
  <c r="BA286" i="1"/>
  <c r="BA285" i="1"/>
  <c r="BA283" i="1"/>
  <c r="BA282" i="1"/>
  <c r="BA281" i="1"/>
  <c r="BA280" i="1"/>
  <c r="BA279" i="1"/>
  <c r="BA278" i="1"/>
  <c r="BA277" i="1"/>
  <c r="BA275" i="1"/>
  <c r="BA274" i="1"/>
  <c r="BA273" i="1"/>
  <c r="BA272" i="1"/>
  <c r="BA271" i="1"/>
  <c r="BA264" i="1"/>
  <c r="BB260" i="1"/>
  <c r="BA260" i="1" s="1"/>
  <c r="BB259" i="1"/>
  <c r="BA259" i="1" s="1"/>
  <c r="BB258" i="1"/>
  <c r="BA258" i="1" s="1"/>
  <c r="BB257" i="1"/>
  <c r="BA257" i="1" s="1"/>
  <c r="BB256" i="1"/>
  <c r="BA256" i="1" s="1"/>
  <c r="BB255" i="1"/>
  <c r="BA255" i="1" s="1"/>
  <c r="BB254" i="1"/>
  <c r="BA254" i="1" s="1"/>
  <c r="BB253" i="1"/>
  <c r="BA253" i="1" s="1"/>
  <c r="BB252" i="1"/>
  <c r="BA252" i="1" s="1"/>
  <c r="BB250" i="1"/>
  <c r="BA250" i="1" s="1"/>
  <c r="BB249" i="1"/>
  <c r="BA249" i="1" s="1"/>
  <c r="BB248" i="1"/>
  <c r="BA248" i="1" s="1"/>
  <c r="BB247" i="1"/>
  <c r="BA247" i="1" s="1"/>
  <c r="BB246" i="1"/>
  <c r="BA246" i="1" s="1"/>
  <c r="BB245" i="1"/>
  <c r="BA245" i="1" s="1"/>
  <c r="BB244" i="1"/>
  <c r="BA244" i="1" s="1"/>
  <c r="BB243" i="1"/>
  <c r="BA243" i="1" s="1"/>
  <c r="BB242" i="1"/>
  <c r="BA242" i="1" s="1"/>
  <c r="BB241" i="1"/>
  <c r="BA241" i="1" s="1"/>
  <c r="BB240" i="1"/>
  <c r="BA240" i="1" s="1"/>
  <c r="BB237" i="1"/>
  <c r="BA237" i="1" s="1"/>
  <c r="BB236" i="1"/>
  <c r="BA236" i="1" s="1"/>
  <c r="BB235" i="1"/>
  <c r="BA235" i="1" s="1"/>
  <c r="BB232" i="1"/>
  <c r="BA232" i="1" s="1"/>
  <c r="BB231" i="1"/>
  <c r="BA231" i="1" s="1"/>
  <c r="BB230" i="1"/>
  <c r="BA230" i="1" s="1"/>
  <c r="BB229" i="1"/>
  <c r="BA229" i="1" s="1"/>
  <c r="BB228" i="1"/>
  <c r="BA228" i="1" s="1"/>
  <c r="BB227" i="1"/>
  <c r="BA227" i="1" s="1"/>
  <c r="BB226" i="1"/>
  <c r="BA226" i="1" s="1"/>
  <c r="BB225" i="1"/>
  <c r="BA225" i="1" s="1"/>
  <c r="BB224" i="1"/>
  <c r="BA224" i="1" s="1"/>
  <c r="BB223" i="1"/>
  <c r="BA223" i="1" s="1"/>
  <c r="BB222" i="1"/>
  <c r="BA222" i="1" s="1"/>
  <c r="BB221" i="1"/>
  <c r="BA221" i="1" s="1"/>
  <c r="BB220" i="1"/>
  <c r="BA220" i="1" s="1"/>
  <c r="BB219" i="1"/>
  <c r="BA219" i="1" s="1"/>
  <c r="BB218" i="1"/>
  <c r="BA218" i="1" s="1"/>
  <c r="BB217" i="1"/>
  <c r="BA217" i="1" s="1"/>
  <c r="BB215" i="1"/>
  <c r="BA215" i="1" s="1"/>
  <c r="BB214" i="1"/>
  <c r="BA214" i="1" s="1"/>
  <c r="BB213" i="1"/>
  <c r="BA213" i="1" s="1"/>
  <c r="BB212" i="1"/>
  <c r="BA212" i="1" s="1"/>
  <c r="BB211" i="1"/>
  <c r="BA211" i="1" s="1"/>
  <c r="BB210" i="1"/>
  <c r="BA210" i="1" s="1"/>
  <c r="BB209" i="1"/>
  <c r="BA209" i="1" s="1"/>
  <c r="BB208" i="1"/>
  <c r="BA208" i="1" s="1"/>
  <c r="BB207" i="1"/>
  <c r="BA207" i="1" s="1"/>
  <c r="BB206" i="1"/>
  <c r="BA206" i="1" s="1"/>
  <c r="BB205" i="1"/>
  <c r="BA205" i="1" s="1"/>
  <c r="BB204" i="1"/>
  <c r="BA204" i="1" s="1"/>
  <c r="BB203" i="1"/>
  <c r="BA203" i="1" s="1"/>
  <c r="BB202" i="1"/>
  <c r="BA202" i="1" s="1"/>
  <c r="BB201" i="1"/>
  <c r="BA201" i="1" s="1"/>
  <c r="BB200" i="1"/>
  <c r="BA200" i="1" s="1"/>
  <c r="BB199" i="1"/>
  <c r="BA199" i="1" s="1"/>
  <c r="BB198" i="1"/>
  <c r="BA198" i="1" s="1"/>
  <c r="BB197" i="1"/>
  <c r="BA197" i="1" s="1"/>
  <c r="BB196" i="1"/>
  <c r="BA196" i="1" s="1"/>
  <c r="BB195" i="1"/>
  <c r="BA195" i="1" s="1"/>
  <c r="BB194" i="1"/>
  <c r="BA194" i="1" s="1"/>
  <c r="BB193" i="1"/>
  <c r="BA193" i="1" s="1"/>
  <c r="BB192" i="1"/>
  <c r="BA192" i="1" s="1"/>
  <c r="BB190" i="1"/>
  <c r="BA190" i="1" s="1"/>
  <c r="BB189" i="1"/>
  <c r="BA189" i="1" s="1"/>
  <c r="BB188" i="1"/>
  <c r="BA188" i="1" s="1"/>
  <c r="BB187" i="1"/>
  <c r="BA187" i="1" s="1"/>
  <c r="BB186" i="1"/>
  <c r="BA186" i="1" s="1"/>
  <c r="BB185" i="1"/>
  <c r="BA185" i="1" s="1"/>
  <c r="BB183" i="1"/>
  <c r="BA183" i="1" s="1"/>
  <c r="BB182" i="1"/>
  <c r="BA182" i="1" s="1"/>
  <c r="BB181" i="1"/>
  <c r="BA181" i="1" s="1"/>
  <c r="BB180" i="1"/>
  <c r="BA180" i="1" s="1"/>
  <c r="BB179" i="1"/>
  <c r="BA179" i="1" s="1"/>
  <c r="BB178" i="1"/>
  <c r="BA178" i="1" s="1"/>
  <c r="BB177" i="1"/>
  <c r="BA177" i="1" s="1"/>
  <c r="BB176" i="1"/>
  <c r="BA176" i="1" s="1"/>
  <c r="BB175" i="1"/>
  <c r="BA175" i="1" s="1"/>
  <c r="BB174" i="1"/>
  <c r="BA174" i="1" s="1"/>
  <c r="BB173" i="1"/>
  <c r="BA173" i="1" s="1"/>
  <c r="BB172" i="1"/>
  <c r="BA172" i="1" s="1"/>
  <c r="BB171" i="1"/>
  <c r="BA171" i="1" s="1"/>
  <c r="BB170" i="1"/>
  <c r="BA170" i="1" s="1"/>
  <c r="BB169" i="1"/>
  <c r="BA169" i="1" s="1"/>
  <c r="BB168" i="1"/>
  <c r="BA168" i="1" s="1"/>
  <c r="BB166" i="1"/>
  <c r="BA166" i="1" s="1"/>
  <c r="BB165" i="1"/>
  <c r="BA165" i="1" s="1"/>
  <c r="BB164" i="1"/>
  <c r="BA164" i="1" s="1"/>
  <c r="BB163" i="1"/>
  <c r="BA163" i="1" s="1"/>
  <c r="BB162" i="1"/>
  <c r="BA162" i="1" s="1"/>
  <c r="BB161" i="1"/>
  <c r="BA161" i="1" s="1"/>
  <c r="BB159" i="1"/>
  <c r="BA159" i="1" s="1"/>
  <c r="BB158" i="1"/>
  <c r="BA158" i="1" s="1"/>
  <c r="BB151" i="1"/>
  <c r="BA151" i="1" s="1"/>
  <c r="BB150" i="1"/>
  <c r="BA150" i="1" s="1"/>
  <c r="BB149" i="1"/>
  <c r="BA149" i="1" s="1"/>
  <c r="BB148" i="1"/>
  <c r="BA148" i="1" s="1"/>
  <c r="BB147" i="1"/>
  <c r="BA147" i="1" s="1"/>
  <c r="BB146" i="1"/>
  <c r="BA146" i="1" s="1"/>
  <c r="BB145" i="1"/>
  <c r="BA145" i="1" s="1"/>
  <c r="BB144" i="1"/>
  <c r="BA144" i="1" s="1"/>
  <c r="BB143" i="1"/>
  <c r="BA143" i="1" s="1"/>
  <c r="BB142" i="1"/>
  <c r="BA142" i="1" s="1"/>
  <c r="BB141" i="1"/>
  <c r="BA141" i="1" s="1"/>
  <c r="BB140" i="1"/>
  <c r="BA140" i="1" s="1"/>
  <c r="BB139" i="1"/>
  <c r="BA139" i="1" s="1"/>
  <c r="BB138" i="1"/>
  <c r="BA138" i="1" s="1"/>
  <c r="BB137" i="1"/>
  <c r="BA137" i="1" s="1"/>
  <c r="BB136" i="1"/>
  <c r="BA136" i="1" s="1"/>
  <c r="BB135" i="1"/>
  <c r="BA135" i="1" s="1"/>
  <c r="BB134" i="1"/>
  <c r="BA134" i="1" s="1"/>
  <c r="BB131" i="1"/>
  <c r="BA131" i="1" s="1"/>
  <c r="BB128" i="1"/>
  <c r="BA128" i="1" s="1"/>
  <c r="BB127" i="1"/>
  <c r="BA127" i="1" s="1"/>
  <c r="BB126" i="1"/>
  <c r="BA126" i="1" s="1"/>
  <c r="BB125" i="1"/>
  <c r="BA125" i="1" s="1"/>
  <c r="BB124" i="1"/>
  <c r="BA124" i="1" s="1"/>
  <c r="BB123" i="1"/>
  <c r="BA123" i="1" s="1"/>
  <c r="BB122" i="1"/>
  <c r="BA122" i="1" s="1"/>
  <c r="BB121" i="1"/>
  <c r="BA121" i="1" s="1"/>
  <c r="BB120" i="1"/>
  <c r="BA120" i="1" s="1"/>
  <c r="BB119" i="1"/>
  <c r="BA119" i="1" s="1"/>
  <c r="BB117" i="1"/>
  <c r="BA117" i="1" s="1"/>
  <c r="BB116" i="1"/>
  <c r="BA116" i="1" s="1"/>
  <c r="BB115" i="1"/>
  <c r="BA115" i="1" s="1"/>
  <c r="BB114" i="1"/>
  <c r="BA114" i="1" s="1"/>
  <c r="BB113" i="1"/>
  <c r="BA113" i="1" s="1"/>
  <c r="BB112" i="1"/>
  <c r="BA112" i="1" s="1"/>
  <c r="BB111" i="1"/>
  <c r="BA111" i="1" s="1"/>
  <c r="BB110" i="1"/>
  <c r="BA110" i="1" s="1"/>
  <c r="BB109" i="1"/>
  <c r="BA109" i="1" s="1"/>
  <c r="BB104" i="1"/>
  <c r="BA104" i="1" s="1"/>
  <c r="BB103" i="1"/>
  <c r="BA103" i="1" s="1"/>
  <c r="BB102" i="1"/>
  <c r="BA102" i="1" s="1"/>
  <c r="BB101" i="1"/>
  <c r="BA101" i="1" s="1"/>
  <c r="BB100" i="1"/>
  <c r="BA100" i="1" s="1"/>
  <c r="BB99" i="1"/>
  <c r="BA99" i="1" s="1"/>
  <c r="BB98" i="1"/>
  <c r="BA98" i="1" s="1"/>
  <c r="BB97" i="1"/>
  <c r="BA97" i="1" s="1"/>
  <c r="BB96" i="1"/>
  <c r="BA96" i="1" s="1"/>
  <c r="BB95" i="1"/>
  <c r="BA95" i="1" s="1"/>
  <c r="BB94" i="1"/>
  <c r="BA94" i="1" s="1"/>
  <c r="BB91" i="1"/>
  <c r="BA91" i="1" s="1"/>
  <c r="BB90" i="1"/>
  <c r="BA90" i="1" s="1"/>
  <c r="BB89" i="1"/>
  <c r="BA89" i="1" s="1"/>
  <c r="BB88" i="1"/>
  <c r="BA88" i="1" s="1"/>
  <c r="BB87" i="1"/>
  <c r="BA87" i="1" s="1"/>
  <c r="BB84" i="1"/>
  <c r="BA84" i="1" s="1"/>
  <c r="BB83" i="1"/>
  <c r="BA83" i="1" s="1"/>
  <c r="BB81" i="1"/>
  <c r="BA81" i="1" s="1"/>
  <c r="BB80" i="1"/>
  <c r="BA80" i="1" s="1"/>
  <c r="BB79" i="1"/>
  <c r="BA79" i="1" s="1"/>
  <c r="BB78" i="1"/>
  <c r="BA78" i="1" s="1"/>
  <c r="BB77" i="1"/>
  <c r="BA77" i="1" s="1"/>
  <c r="BB76" i="1"/>
  <c r="BA76" i="1" s="1"/>
  <c r="BB75" i="1"/>
  <c r="BA75" i="1" s="1"/>
  <c r="BB72" i="1"/>
  <c r="BA72" i="1" s="1"/>
  <c r="BB71" i="1"/>
  <c r="BA71" i="1" s="1"/>
  <c r="BB69" i="1"/>
  <c r="BA69" i="1" s="1"/>
  <c r="BB68" i="1"/>
  <c r="BA68" i="1" s="1"/>
  <c r="BB67" i="1"/>
  <c r="BA67" i="1" s="1"/>
  <c r="BB66" i="1"/>
  <c r="BA66" i="1" s="1"/>
  <c r="BB65" i="1"/>
  <c r="BA65" i="1" s="1"/>
  <c r="BB61" i="1"/>
  <c r="BA61" i="1" s="1"/>
  <c r="BB60" i="1"/>
  <c r="BA60" i="1" s="1"/>
  <c r="BB59" i="1"/>
  <c r="BA59" i="1" s="1"/>
  <c r="BB58" i="1"/>
  <c r="BA58" i="1" s="1"/>
  <c r="BB57" i="1"/>
  <c r="BA57" i="1" s="1"/>
  <c r="BB56" i="1"/>
  <c r="BA56" i="1" s="1"/>
  <c r="BB51" i="1"/>
  <c r="BA51" i="1" s="1"/>
  <c r="BB50" i="1"/>
  <c r="BA50" i="1" s="1"/>
  <c r="BB49" i="1"/>
  <c r="BA49" i="1" s="1"/>
  <c r="BB48" i="1"/>
  <c r="BA48" i="1" s="1"/>
  <c r="BB47" i="1"/>
  <c r="BA47" i="1" s="1"/>
  <c r="BB46" i="1"/>
  <c r="BA46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4" i="1"/>
  <c r="BA34" i="1" s="1"/>
  <c r="BB33" i="1"/>
  <c r="BA33" i="1" s="1"/>
  <c r="BB31" i="1"/>
  <c r="BA31" i="1" s="1"/>
  <c r="BB30" i="1"/>
  <c r="BA30" i="1" s="1"/>
  <c r="BB29" i="1"/>
  <c r="BA29" i="1" s="1"/>
  <c r="BB25" i="1"/>
  <c r="BA25" i="1" s="1"/>
  <c r="BB24" i="1"/>
  <c r="BA24" i="1" s="1"/>
  <c r="BB23" i="1"/>
  <c r="BA23" i="1" s="1"/>
  <c r="BB22" i="1"/>
  <c r="BA22" i="1" s="1"/>
  <c r="BB21" i="1"/>
  <c r="BA21" i="1" s="1"/>
  <c r="BB18" i="1"/>
  <c r="BA18" i="1" s="1"/>
  <c r="BB17" i="1"/>
  <c r="BA17" i="1" s="1"/>
  <c r="BB16" i="1"/>
  <c r="BA16" i="1" s="1"/>
  <c r="BB15" i="1"/>
  <c r="BA15" i="1" s="1"/>
  <c r="BB14" i="1"/>
  <c r="BA14" i="1" s="1"/>
  <c r="BB13" i="1"/>
  <c r="BA13" i="1" s="1"/>
  <c r="AO316" i="1"/>
  <c r="AN316" i="1" s="1"/>
  <c r="AN315" i="1" s="1"/>
  <c r="AO313" i="1"/>
  <c r="AO311" i="1"/>
  <c r="AN311" i="1" s="1"/>
  <c r="AO310" i="1"/>
  <c r="AN310" i="1" s="1"/>
  <c r="AO309" i="1"/>
  <c r="AN309" i="1" s="1"/>
  <c r="AO307" i="1"/>
  <c r="AN307" i="1" s="1"/>
  <c r="AO306" i="1"/>
  <c r="AN306" i="1" s="1"/>
  <c r="AO305" i="1"/>
  <c r="AN305" i="1" s="1"/>
  <c r="AO303" i="1"/>
  <c r="AN303" i="1" s="1"/>
  <c r="AO302" i="1"/>
  <c r="AN302" i="1" s="1"/>
  <c r="AO301" i="1"/>
  <c r="AN301" i="1" s="1"/>
  <c r="AO299" i="1"/>
  <c r="AN299" i="1" s="1"/>
  <c r="AO298" i="1"/>
  <c r="AN298" i="1" s="1"/>
  <c r="AO297" i="1"/>
  <c r="AN297" i="1" s="1"/>
  <c r="AO296" i="1"/>
  <c r="AN296" i="1" s="1"/>
  <c r="AO294" i="1"/>
  <c r="AN294" i="1" s="1"/>
  <c r="AN293" i="1" s="1"/>
  <c r="AO291" i="1"/>
  <c r="AN291" i="1" s="1"/>
  <c r="AO290" i="1"/>
  <c r="AN290" i="1" s="1"/>
  <c r="AO289" i="1"/>
  <c r="AN289" i="1" s="1"/>
  <c r="AO288" i="1"/>
  <c r="AN288" i="1" s="1"/>
  <c r="AO287" i="1"/>
  <c r="AN287" i="1" s="1"/>
  <c r="AO286" i="1"/>
  <c r="AN286" i="1" s="1"/>
  <c r="AO285" i="1"/>
  <c r="AN285" i="1" s="1"/>
  <c r="AO283" i="1"/>
  <c r="AN283" i="1" s="1"/>
  <c r="AO282" i="1"/>
  <c r="AN282" i="1" s="1"/>
  <c r="AO281" i="1"/>
  <c r="AN281" i="1" s="1"/>
  <c r="AO280" i="1"/>
  <c r="AN280" i="1" s="1"/>
  <c r="AO279" i="1"/>
  <c r="AN279" i="1" s="1"/>
  <c r="AO278" i="1"/>
  <c r="AN278" i="1" s="1"/>
  <c r="AO277" i="1"/>
  <c r="AN277" i="1" s="1"/>
  <c r="AO275" i="1"/>
  <c r="AN275" i="1" s="1"/>
  <c r="AO274" i="1"/>
  <c r="AN274" i="1" s="1"/>
  <c r="AO273" i="1"/>
  <c r="AN273" i="1" s="1"/>
  <c r="AO272" i="1"/>
  <c r="AN272" i="1" s="1"/>
  <c r="AO271" i="1"/>
  <c r="AN271" i="1" s="1"/>
  <c r="AO270" i="1"/>
  <c r="AN270" i="1" s="1"/>
  <c r="AO265" i="1"/>
  <c r="AN265" i="1" s="1"/>
  <c r="AO264" i="1"/>
  <c r="AN264" i="1" s="1"/>
  <c r="AO260" i="1"/>
  <c r="AN260" i="1" s="1"/>
  <c r="AO259" i="1"/>
  <c r="AN259" i="1" s="1"/>
  <c r="AO258" i="1"/>
  <c r="AN258" i="1" s="1"/>
  <c r="AO257" i="1"/>
  <c r="AN257" i="1" s="1"/>
  <c r="AO256" i="1"/>
  <c r="AN256" i="1" s="1"/>
  <c r="AO255" i="1"/>
  <c r="AN255" i="1" s="1"/>
  <c r="AO254" i="1"/>
  <c r="AN254" i="1" s="1"/>
  <c r="AO253" i="1"/>
  <c r="AN253" i="1" s="1"/>
  <c r="AO252" i="1"/>
  <c r="AN252" i="1" s="1"/>
  <c r="AO250" i="1"/>
  <c r="AN250" i="1" s="1"/>
  <c r="AO249" i="1"/>
  <c r="AN249" i="1" s="1"/>
  <c r="AO248" i="1"/>
  <c r="AN248" i="1" s="1"/>
  <c r="AO247" i="1"/>
  <c r="AN247" i="1" s="1"/>
  <c r="AO246" i="1"/>
  <c r="AN246" i="1" s="1"/>
  <c r="AO245" i="1"/>
  <c r="AN245" i="1" s="1"/>
  <c r="AO244" i="1"/>
  <c r="AN244" i="1" s="1"/>
  <c r="AO243" i="1"/>
  <c r="AN243" i="1" s="1"/>
  <c r="AO242" i="1"/>
  <c r="AN242" i="1" s="1"/>
  <c r="AO241" i="1"/>
  <c r="AN241" i="1" s="1"/>
  <c r="AO240" i="1"/>
  <c r="AN240" i="1" s="1"/>
  <c r="AO237" i="1"/>
  <c r="AN237" i="1" s="1"/>
  <c r="AO236" i="1"/>
  <c r="AN236" i="1" s="1"/>
  <c r="AO235" i="1"/>
  <c r="AN235" i="1" s="1"/>
  <c r="AO232" i="1"/>
  <c r="AN232" i="1" s="1"/>
  <c r="AO231" i="1"/>
  <c r="AN231" i="1" s="1"/>
  <c r="AO230" i="1"/>
  <c r="AN230" i="1" s="1"/>
  <c r="AO229" i="1"/>
  <c r="AN229" i="1" s="1"/>
  <c r="AO228" i="1"/>
  <c r="AN228" i="1" s="1"/>
  <c r="AO227" i="1"/>
  <c r="AN227" i="1" s="1"/>
  <c r="AO226" i="1"/>
  <c r="AN226" i="1" s="1"/>
  <c r="AO225" i="1"/>
  <c r="AN225" i="1" s="1"/>
  <c r="AO224" i="1"/>
  <c r="AN224" i="1" s="1"/>
  <c r="AO223" i="1"/>
  <c r="AN223" i="1" s="1"/>
  <c r="AO222" i="1"/>
  <c r="AN222" i="1" s="1"/>
  <c r="AO221" i="1"/>
  <c r="AN221" i="1" s="1"/>
  <c r="AO220" i="1"/>
  <c r="AN220" i="1" s="1"/>
  <c r="AO219" i="1"/>
  <c r="AN219" i="1" s="1"/>
  <c r="AO218" i="1"/>
  <c r="AN218" i="1" s="1"/>
  <c r="AO217" i="1"/>
  <c r="AN217" i="1" s="1"/>
  <c r="AO215" i="1"/>
  <c r="AN215" i="1" s="1"/>
  <c r="AO214" i="1"/>
  <c r="AN214" i="1" s="1"/>
  <c r="AO213" i="1"/>
  <c r="AN213" i="1" s="1"/>
  <c r="AO212" i="1"/>
  <c r="AN212" i="1" s="1"/>
  <c r="AO211" i="1"/>
  <c r="AN211" i="1" s="1"/>
  <c r="AO210" i="1"/>
  <c r="AN210" i="1" s="1"/>
  <c r="AO209" i="1"/>
  <c r="AN209" i="1" s="1"/>
  <c r="AO208" i="1"/>
  <c r="AN208" i="1" s="1"/>
  <c r="AO207" i="1"/>
  <c r="AN207" i="1" s="1"/>
  <c r="AO206" i="1"/>
  <c r="AN206" i="1" s="1"/>
  <c r="AO205" i="1"/>
  <c r="AN205" i="1" s="1"/>
  <c r="AO204" i="1"/>
  <c r="AN204" i="1" s="1"/>
  <c r="AO203" i="1"/>
  <c r="AN203" i="1" s="1"/>
  <c r="AO202" i="1"/>
  <c r="AN202" i="1" s="1"/>
  <c r="AO201" i="1"/>
  <c r="AN201" i="1" s="1"/>
  <c r="AO200" i="1"/>
  <c r="AN200" i="1" s="1"/>
  <c r="AO199" i="1"/>
  <c r="AN199" i="1" s="1"/>
  <c r="AO198" i="1"/>
  <c r="AN198" i="1" s="1"/>
  <c r="AO197" i="1"/>
  <c r="AN197" i="1" s="1"/>
  <c r="AO196" i="1"/>
  <c r="AN196" i="1" s="1"/>
  <c r="AO195" i="1"/>
  <c r="AN195" i="1" s="1"/>
  <c r="AO194" i="1"/>
  <c r="AN194" i="1" s="1"/>
  <c r="AO193" i="1"/>
  <c r="AN193" i="1" s="1"/>
  <c r="AO192" i="1"/>
  <c r="AN192" i="1" s="1"/>
  <c r="AO190" i="1"/>
  <c r="AN190" i="1" s="1"/>
  <c r="AO189" i="1"/>
  <c r="AN189" i="1" s="1"/>
  <c r="AO188" i="1"/>
  <c r="AN188" i="1" s="1"/>
  <c r="AO187" i="1"/>
  <c r="AN187" i="1" s="1"/>
  <c r="AO186" i="1"/>
  <c r="AN186" i="1" s="1"/>
  <c r="AO185" i="1"/>
  <c r="AN185" i="1" s="1"/>
  <c r="AO183" i="1"/>
  <c r="AN183" i="1" s="1"/>
  <c r="AO182" i="1"/>
  <c r="AN182" i="1" s="1"/>
  <c r="AO181" i="1"/>
  <c r="AN181" i="1" s="1"/>
  <c r="AO180" i="1"/>
  <c r="AN180" i="1" s="1"/>
  <c r="AO179" i="1"/>
  <c r="AN179" i="1" s="1"/>
  <c r="AO178" i="1"/>
  <c r="AN178" i="1" s="1"/>
  <c r="AO177" i="1"/>
  <c r="AN177" i="1" s="1"/>
  <c r="AO176" i="1"/>
  <c r="AN176" i="1" s="1"/>
  <c r="AO175" i="1"/>
  <c r="AN175" i="1" s="1"/>
  <c r="AO174" i="1"/>
  <c r="AN174" i="1" s="1"/>
  <c r="AO173" i="1"/>
  <c r="AN173" i="1" s="1"/>
  <c r="AO172" i="1"/>
  <c r="AN172" i="1" s="1"/>
  <c r="AO171" i="1"/>
  <c r="AN171" i="1" s="1"/>
  <c r="AO170" i="1"/>
  <c r="AN170" i="1" s="1"/>
  <c r="AO169" i="1"/>
  <c r="AN169" i="1" s="1"/>
  <c r="AO168" i="1"/>
  <c r="AN168" i="1" s="1"/>
  <c r="AO166" i="1"/>
  <c r="AN166" i="1" s="1"/>
  <c r="AO165" i="1"/>
  <c r="AN165" i="1" s="1"/>
  <c r="AO164" i="1"/>
  <c r="AN164" i="1" s="1"/>
  <c r="AO163" i="1"/>
  <c r="AN163" i="1" s="1"/>
  <c r="AO162" i="1"/>
  <c r="AN162" i="1" s="1"/>
  <c r="AO161" i="1"/>
  <c r="AN161" i="1" s="1"/>
  <c r="AO159" i="1"/>
  <c r="AN159" i="1" s="1"/>
  <c r="AO158" i="1"/>
  <c r="AN158" i="1" s="1"/>
  <c r="AO151" i="1"/>
  <c r="AN151" i="1" s="1"/>
  <c r="AO150" i="1"/>
  <c r="AN150" i="1" s="1"/>
  <c r="AO149" i="1"/>
  <c r="AN149" i="1" s="1"/>
  <c r="AO148" i="1"/>
  <c r="AN148" i="1" s="1"/>
  <c r="AO147" i="1"/>
  <c r="AN147" i="1" s="1"/>
  <c r="AO146" i="1"/>
  <c r="AN146" i="1" s="1"/>
  <c r="AO145" i="1"/>
  <c r="AN145" i="1" s="1"/>
  <c r="AO144" i="1"/>
  <c r="AN144" i="1" s="1"/>
  <c r="AO143" i="1"/>
  <c r="AN143" i="1" s="1"/>
  <c r="AO142" i="1"/>
  <c r="AN142" i="1" s="1"/>
  <c r="AO141" i="1"/>
  <c r="AN141" i="1" s="1"/>
  <c r="AO140" i="1"/>
  <c r="AN140" i="1" s="1"/>
  <c r="AO139" i="1"/>
  <c r="AN139" i="1" s="1"/>
  <c r="AO138" i="1"/>
  <c r="AN138" i="1" s="1"/>
  <c r="AO137" i="1"/>
  <c r="AN137" i="1" s="1"/>
  <c r="AO136" i="1"/>
  <c r="AN136" i="1" s="1"/>
  <c r="AO135" i="1"/>
  <c r="AN135" i="1" s="1"/>
  <c r="AO134" i="1"/>
  <c r="AN134" i="1" s="1"/>
  <c r="AO131" i="1"/>
  <c r="AN131" i="1" s="1"/>
  <c r="AO128" i="1"/>
  <c r="AN128" i="1" s="1"/>
  <c r="AO127" i="1"/>
  <c r="AN127" i="1" s="1"/>
  <c r="AO126" i="1"/>
  <c r="AN126" i="1" s="1"/>
  <c r="AO125" i="1"/>
  <c r="AN125" i="1" s="1"/>
  <c r="AO124" i="1"/>
  <c r="AN124" i="1" s="1"/>
  <c r="AO123" i="1"/>
  <c r="AN123" i="1" s="1"/>
  <c r="AO122" i="1"/>
  <c r="AN122" i="1" s="1"/>
  <c r="AO121" i="1"/>
  <c r="AN121" i="1" s="1"/>
  <c r="AO120" i="1"/>
  <c r="AN120" i="1" s="1"/>
  <c r="AO119" i="1"/>
  <c r="AN119" i="1" s="1"/>
  <c r="AO117" i="1"/>
  <c r="AN117" i="1" s="1"/>
  <c r="AO116" i="1"/>
  <c r="AN116" i="1" s="1"/>
  <c r="AO115" i="1"/>
  <c r="AN115" i="1" s="1"/>
  <c r="AO114" i="1"/>
  <c r="AN114" i="1" s="1"/>
  <c r="AO113" i="1"/>
  <c r="AN113" i="1" s="1"/>
  <c r="AO112" i="1"/>
  <c r="AN112" i="1" s="1"/>
  <c r="AO111" i="1"/>
  <c r="AN111" i="1" s="1"/>
  <c r="AO110" i="1"/>
  <c r="AN110" i="1" s="1"/>
  <c r="AO109" i="1"/>
  <c r="AN109" i="1" s="1"/>
  <c r="AO104" i="1"/>
  <c r="AN104" i="1" s="1"/>
  <c r="AO103" i="1"/>
  <c r="AN103" i="1" s="1"/>
  <c r="AO102" i="1"/>
  <c r="AN102" i="1" s="1"/>
  <c r="AO101" i="1"/>
  <c r="AN101" i="1" s="1"/>
  <c r="AO100" i="1"/>
  <c r="AN100" i="1" s="1"/>
  <c r="AO99" i="1"/>
  <c r="AN99" i="1" s="1"/>
  <c r="AO98" i="1"/>
  <c r="AN98" i="1" s="1"/>
  <c r="AO97" i="1"/>
  <c r="AN97" i="1" s="1"/>
  <c r="AO96" i="1"/>
  <c r="AN96" i="1" s="1"/>
  <c r="AO95" i="1"/>
  <c r="AN95" i="1" s="1"/>
  <c r="AO94" i="1"/>
  <c r="AN94" i="1" s="1"/>
  <c r="AO91" i="1"/>
  <c r="AN91" i="1" s="1"/>
  <c r="AO90" i="1"/>
  <c r="AN90" i="1" s="1"/>
  <c r="AO89" i="1"/>
  <c r="AN89" i="1" s="1"/>
  <c r="AO88" i="1"/>
  <c r="AN88" i="1" s="1"/>
  <c r="AO87" i="1"/>
  <c r="AN87" i="1" s="1"/>
  <c r="AO84" i="1"/>
  <c r="AN84" i="1" s="1"/>
  <c r="AO83" i="1"/>
  <c r="AN83" i="1" s="1"/>
  <c r="AO81" i="1"/>
  <c r="AN81" i="1" s="1"/>
  <c r="AO80" i="1"/>
  <c r="AN80" i="1" s="1"/>
  <c r="AO79" i="1"/>
  <c r="AN79" i="1" s="1"/>
  <c r="AO78" i="1"/>
  <c r="AN78" i="1" s="1"/>
  <c r="AO77" i="1"/>
  <c r="AN77" i="1" s="1"/>
  <c r="AO76" i="1"/>
  <c r="AN76" i="1" s="1"/>
  <c r="AO75" i="1"/>
  <c r="AN75" i="1" s="1"/>
  <c r="AO72" i="1"/>
  <c r="AN72" i="1" s="1"/>
  <c r="AO71" i="1"/>
  <c r="AN71" i="1" s="1"/>
  <c r="AO69" i="1"/>
  <c r="AN69" i="1" s="1"/>
  <c r="AO68" i="1"/>
  <c r="AN68" i="1" s="1"/>
  <c r="AO67" i="1"/>
  <c r="AN67" i="1" s="1"/>
  <c r="AO66" i="1"/>
  <c r="AN66" i="1" s="1"/>
  <c r="AO65" i="1"/>
  <c r="AN65" i="1" s="1"/>
  <c r="AO61" i="1"/>
  <c r="AN61" i="1" s="1"/>
  <c r="AO60" i="1"/>
  <c r="AN60" i="1" s="1"/>
  <c r="AO59" i="1"/>
  <c r="AN59" i="1" s="1"/>
  <c r="AO58" i="1"/>
  <c r="AN58" i="1" s="1"/>
  <c r="AO57" i="1"/>
  <c r="AN57" i="1" s="1"/>
  <c r="AO56" i="1"/>
  <c r="AN56" i="1" s="1"/>
  <c r="AO51" i="1"/>
  <c r="AN51" i="1" s="1"/>
  <c r="AO50" i="1"/>
  <c r="AN50" i="1" s="1"/>
  <c r="AO49" i="1"/>
  <c r="AN49" i="1" s="1"/>
  <c r="AO48" i="1"/>
  <c r="AN48" i="1" s="1"/>
  <c r="AO47" i="1"/>
  <c r="AN47" i="1" s="1"/>
  <c r="AO46" i="1"/>
  <c r="AN46" i="1" s="1"/>
  <c r="AO45" i="1"/>
  <c r="AN45" i="1" s="1"/>
  <c r="AO44" i="1"/>
  <c r="AN44" i="1" s="1"/>
  <c r="AO43" i="1"/>
  <c r="AN43" i="1" s="1"/>
  <c r="AO42" i="1"/>
  <c r="AN42" i="1" s="1"/>
  <c r="AO41" i="1"/>
  <c r="AN41" i="1" s="1"/>
  <c r="AO40" i="1"/>
  <c r="AN40" i="1" s="1"/>
  <c r="AO39" i="1"/>
  <c r="AN39" i="1" s="1"/>
  <c r="AO38" i="1"/>
  <c r="AN38" i="1" s="1"/>
  <c r="AO37" i="1"/>
  <c r="AN37" i="1" s="1"/>
  <c r="AO34" i="1"/>
  <c r="AN34" i="1" s="1"/>
  <c r="AO33" i="1"/>
  <c r="AN33" i="1" s="1"/>
  <c r="AO31" i="1"/>
  <c r="AN31" i="1" s="1"/>
  <c r="AO30" i="1"/>
  <c r="AN30" i="1" s="1"/>
  <c r="AO29" i="1"/>
  <c r="AN29" i="1" s="1"/>
  <c r="AO25" i="1"/>
  <c r="AN25" i="1" s="1"/>
  <c r="AO24" i="1"/>
  <c r="AN24" i="1" s="1"/>
  <c r="AO23" i="1"/>
  <c r="AN23" i="1" s="1"/>
  <c r="AO22" i="1"/>
  <c r="AN22" i="1" s="1"/>
  <c r="AO21" i="1"/>
  <c r="AN21" i="1" s="1"/>
  <c r="AO18" i="1"/>
  <c r="AN18" i="1" s="1"/>
  <c r="AO17" i="1"/>
  <c r="AN17" i="1" s="1"/>
  <c r="AO16" i="1"/>
  <c r="AN16" i="1" s="1"/>
  <c r="AO15" i="1"/>
  <c r="AN15" i="1" s="1"/>
  <c r="AO14" i="1"/>
  <c r="AN14" i="1" s="1"/>
  <c r="AO13" i="1"/>
  <c r="AN13" i="1" s="1"/>
  <c r="AB316" i="1"/>
  <c r="AA316" i="1" s="1"/>
  <c r="AA315" i="1" s="1"/>
  <c r="AB313" i="1"/>
  <c r="AB310" i="1"/>
  <c r="AA310" i="1" s="1"/>
  <c r="AB309" i="1"/>
  <c r="AA309" i="1" s="1"/>
  <c r="AB307" i="1"/>
  <c r="AA307" i="1" s="1"/>
  <c r="AB306" i="1"/>
  <c r="AA306" i="1" s="1"/>
  <c r="AB305" i="1"/>
  <c r="AA305" i="1" s="1"/>
  <c r="AB303" i="1"/>
  <c r="AA303" i="1" s="1"/>
  <c r="AB302" i="1"/>
  <c r="AA302" i="1" s="1"/>
  <c r="AB301" i="1"/>
  <c r="AA301" i="1" s="1"/>
  <c r="AB299" i="1"/>
  <c r="AA299" i="1" s="1"/>
  <c r="AB298" i="1"/>
  <c r="AA298" i="1" s="1"/>
  <c r="AB297" i="1"/>
  <c r="AA297" i="1" s="1"/>
  <c r="AB296" i="1"/>
  <c r="AA296" i="1" s="1"/>
  <c r="AB294" i="1"/>
  <c r="AA294" i="1" s="1"/>
  <c r="AA293" i="1" s="1"/>
  <c r="AB290" i="1"/>
  <c r="AA290" i="1" s="1"/>
  <c r="AB289" i="1"/>
  <c r="AA289" i="1" s="1"/>
  <c r="AB288" i="1"/>
  <c r="AA288" i="1" s="1"/>
  <c r="AB287" i="1"/>
  <c r="AA287" i="1" s="1"/>
  <c r="AB286" i="1"/>
  <c r="AA286" i="1" s="1"/>
  <c r="AB285" i="1"/>
  <c r="AA285" i="1" s="1"/>
  <c r="AB283" i="1"/>
  <c r="AA283" i="1" s="1"/>
  <c r="AB282" i="1"/>
  <c r="AA282" i="1" s="1"/>
  <c r="AB281" i="1"/>
  <c r="AA281" i="1" s="1"/>
  <c r="AB280" i="1"/>
  <c r="AA280" i="1" s="1"/>
  <c r="AB279" i="1"/>
  <c r="AA279" i="1" s="1"/>
  <c r="AB278" i="1"/>
  <c r="AA278" i="1" s="1"/>
  <c r="AB277" i="1"/>
  <c r="AA277" i="1" s="1"/>
  <c r="AB275" i="1"/>
  <c r="AA275" i="1" s="1"/>
  <c r="AB274" i="1"/>
  <c r="AA274" i="1" s="1"/>
  <c r="AB273" i="1"/>
  <c r="AA273" i="1" s="1"/>
  <c r="AB272" i="1"/>
  <c r="AA272" i="1" s="1"/>
  <c r="AB271" i="1"/>
  <c r="AA271" i="1" s="1"/>
  <c r="AB270" i="1"/>
  <c r="AA270" i="1" s="1"/>
  <c r="AB265" i="1"/>
  <c r="AA265" i="1" s="1"/>
  <c r="AB264" i="1"/>
  <c r="AA264" i="1" s="1"/>
  <c r="AB260" i="1"/>
  <c r="AA260" i="1" s="1"/>
  <c r="AB259" i="1"/>
  <c r="AA259" i="1" s="1"/>
  <c r="AB258" i="1"/>
  <c r="AA258" i="1" s="1"/>
  <c r="AB257" i="1"/>
  <c r="AA257" i="1" s="1"/>
  <c r="AB256" i="1"/>
  <c r="AA256" i="1" s="1"/>
  <c r="AB255" i="1"/>
  <c r="AA255" i="1" s="1"/>
  <c r="AB254" i="1"/>
  <c r="AA254" i="1" s="1"/>
  <c r="AB253" i="1"/>
  <c r="AA253" i="1" s="1"/>
  <c r="AB252" i="1"/>
  <c r="AA252" i="1" s="1"/>
  <c r="AB250" i="1"/>
  <c r="AA250" i="1" s="1"/>
  <c r="AB249" i="1"/>
  <c r="AA249" i="1" s="1"/>
  <c r="AB248" i="1"/>
  <c r="AA248" i="1" s="1"/>
  <c r="AB247" i="1"/>
  <c r="AA247" i="1" s="1"/>
  <c r="AB246" i="1"/>
  <c r="AA246" i="1" s="1"/>
  <c r="AB245" i="1"/>
  <c r="AA245" i="1" s="1"/>
  <c r="AB244" i="1"/>
  <c r="AA244" i="1" s="1"/>
  <c r="AB243" i="1"/>
  <c r="AA243" i="1" s="1"/>
  <c r="AB242" i="1"/>
  <c r="AA242" i="1" s="1"/>
  <c r="AB241" i="1"/>
  <c r="AA241" i="1" s="1"/>
  <c r="AB240" i="1"/>
  <c r="AA240" i="1" s="1"/>
  <c r="AB237" i="1"/>
  <c r="AA237" i="1" s="1"/>
  <c r="AB236" i="1"/>
  <c r="AA236" i="1" s="1"/>
  <c r="AB235" i="1"/>
  <c r="AA235" i="1" s="1"/>
  <c r="AB232" i="1"/>
  <c r="AA232" i="1" s="1"/>
  <c r="AB231" i="1"/>
  <c r="AA231" i="1" s="1"/>
  <c r="AB230" i="1"/>
  <c r="AA230" i="1" s="1"/>
  <c r="AB229" i="1"/>
  <c r="AA229" i="1" s="1"/>
  <c r="AB228" i="1"/>
  <c r="AA228" i="1" s="1"/>
  <c r="AB227" i="1"/>
  <c r="AA227" i="1" s="1"/>
  <c r="AB226" i="1"/>
  <c r="AA226" i="1" s="1"/>
  <c r="AB225" i="1"/>
  <c r="AA225" i="1" s="1"/>
  <c r="AB224" i="1"/>
  <c r="AA224" i="1" s="1"/>
  <c r="AB223" i="1"/>
  <c r="AA223" i="1" s="1"/>
  <c r="AB222" i="1"/>
  <c r="AA222" i="1" s="1"/>
  <c r="AB221" i="1"/>
  <c r="AA221" i="1" s="1"/>
  <c r="AB220" i="1"/>
  <c r="AA220" i="1" s="1"/>
  <c r="AB219" i="1"/>
  <c r="AA219" i="1" s="1"/>
  <c r="AB218" i="1"/>
  <c r="AA218" i="1" s="1"/>
  <c r="AB217" i="1"/>
  <c r="AA217" i="1" s="1"/>
  <c r="AB215" i="1"/>
  <c r="AA215" i="1" s="1"/>
  <c r="AB214" i="1"/>
  <c r="AA214" i="1" s="1"/>
  <c r="AB213" i="1"/>
  <c r="AA213" i="1" s="1"/>
  <c r="AB212" i="1"/>
  <c r="AA212" i="1" s="1"/>
  <c r="AB211" i="1"/>
  <c r="AA211" i="1" s="1"/>
  <c r="AB210" i="1"/>
  <c r="AA210" i="1" s="1"/>
  <c r="AB209" i="1"/>
  <c r="AA209" i="1" s="1"/>
  <c r="AB208" i="1"/>
  <c r="AA208" i="1" s="1"/>
  <c r="AB207" i="1"/>
  <c r="AA207" i="1" s="1"/>
  <c r="AB206" i="1"/>
  <c r="AA206" i="1" s="1"/>
  <c r="AB205" i="1"/>
  <c r="AA205" i="1" s="1"/>
  <c r="AB204" i="1"/>
  <c r="AA204" i="1" s="1"/>
  <c r="AB203" i="1"/>
  <c r="AA203" i="1" s="1"/>
  <c r="AB202" i="1"/>
  <c r="AA202" i="1" s="1"/>
  <c r="AB201" i="1"/>
  <c r="AA201" i="1" s="1"/>
  <c r="AB200" i="1"/>
  <c r="AA200" i="1" s="1"/>
  <c r="AB199" i="1"/>
  <c r="AA199" i="1" s="1"/>
  <c r="AB198" i="1"/>
  <c r="AA198" i="1" s="1"/>
  <c r="AB197" i="1"/>
  <c r="AA197" i="1" s="1"/>
  <c r="AB196" i="1"/>
  <c r="AA196" i="1" s="1"/>
  <c r="AB195" i="1"/>
  <c r="AA195" i="1" s="1"/>
  <c r="AB194" i="1"/>
  <c r="AA194" i="1" s="1"/>
  <c r="AB193" i="1"/>
  <c r="AA193" i="1" s="1"/>
  <c r="AB192" i="1"/>
  <c r="AA192" i="1" s="1"/>
  <c r="AB190" i="1"/>
  <c r="AA190" i="1" s="1"/>
  <c r="AB189" i="1"/>
  <c r="AA189" i="1" s="1"/>
  <c r="AB188" i="1"/>
  <c r="AA188" i="1" s="1"/>
  <c r="AB187" i="1"/>
  <c r="AA187" i="1" s="1"/>
  <c r="AB186" i="1"/>
  <c r="AA186" i="1" s="1"/>
  <c r="AB185" i="1"/>
  <c r="AA185" i="1" s="1"/>
  <c r="AB183" i="1"/>
  <c r="AA183" i="1" s="1"/>
  <c r="AB182" i="1"/>
  <c r="AA182" i="1" s="1"/>
  <c r="AB181" i="1"/>
  <c r="AA181" i="1" s="1"/>
  <c r="AB180" i="1"/>
  <c r="AA180" i="1" s="1"/>
  <c r="AB179" i="1"/>
  <c r="AA179" i="1" s="1"/>
  <c r="AB178" i="1"/>
  <c r="AA178" i="1" s="1"/>
  <c r="AB177" i="1"/>
  <c r="AA177" i="1" s="1"/>
  <c r="AB176" i="1"/>
  <c r="AA176" i="1" s="1"/>
  <c r="AB175" i="1"/>
  <c r="AA175" i="1" s="1"/>
  <c r="AB174" i="1"/>
  <c r="AA174" i="1" s="1"/>
  <c r="AB173" i="1"/>
  <c r="AA173" i="1" s="1"/>
  <c r="AB172" i="1"/>
  <c r="AA172" i="1" s="1"/>
  <c r="AB171" i="1"/>
  <c r="AA171" i="1" s="1"/>
  <c r="AB170" i="1"/>
  <c r="AA170" i="1" s="1"/>
  <c r="AB169" i="1"/>
  <c r="AA169" i="1" s="1"/>
  <c r="AB168" i="1"/>
  <c r="AA168" i="1" s="1"/>
  <c r="AB166" i="1"/>
  <c r="AA166" i="1" s="1"/>
  <c r="AB165" i="1"/>
  <c r="AA165" i="1" s="1"/>
  <c r="AB164" i="1"/>
  <c r="AA164" i="1" s="1"/>
  <c r="AB163" i="1"/>
  <c r="AA163" i="1" s="1"/>
  <c r="AB162" i="1"/>
  <c r="AA162" i="1" s="1"/>
  <c r="AB161" i="1"/>
  <c r="AA161" i="1" s="1"/>
  <c r="AB159" i="1"/>
  <c r="AA159" i="1" s="1"/>
  <c r="AB158" i="1"/>
  <c r="AA158" i="1" s="1"/>
  <c r="AB151" i="1"/>
  <c r="AA151" i="1" s="1"/>
  <c r="AB150" i="1"/>
  <c r="AA150" i="1" s="1"/>
  <c r="AB149" i="1"/>
  <c r="AA149" i="1" s="1"/>
  <c r="AB148" i="1"/>
  <c r="AA148" i="1" s="1"/>
  <c r="AB147" i="1"/>
  <c r="AA147" i="1" s="1"/>
  <c r="AB146" i="1"/>
  <c r="AA146" i="1" s="1"/>
  <c r="AB145" i="1"/>
  <c r="AA145" i="1" s="1"/>
  <c r="AB144" i="1"/>
  <c r="AA144" i="1" s="1"/>
  <c r="AB143" i="1"/>
  <c r="AA143" i="1" s="1"/>
  <c r="AB142" i="1"/>
  <c r="AA142" i="1" s="1"/>
  <c r="AB141" i="1"/>
  <c r="AA141" i="1" s="1"/>
  <c r="AB140" i="1"/>
  <c r="AA140" i="1" s="1"/>
  <c r="AB139" i="1"/>
  <c r="AA139" i="1" s="1"/>
  <c r="AB138" i="1"/>
  <c r="AA138" i="1" s="1"/>
  <c r="AB137" i="1"/>
  <c r="AA137" i="1" s="1"/>
  <c r="AB136" i="1"/>
  <c r="AA136" i="1" s="1"/>
  <c r="AB135" i="1"/>
  <c r="AA135" i="1" s="1"/>
  <c r="AB134" i="1"/>
  <c r="AA134" i="1" s="1"/>
  <c r="AB131" i="1"/>
  <c r="AA131" i="1" s="1"/>
  <c r="AB128" i="1"/>
  <c r="AA128" i="1" s="1"/>
  <c r="AB127" i="1"/>
  <c r="AA127" i="1" s="1"/>
  <c r="AB126" i="1"/>
  <c r="AA126" i="1" s="1"/>
  <c r="AB125" i="1"/>
  <c r="AA125" i="1" s="1"/>
  <c r="AB124" i="1"/>
  <c r="AA124" i="1" s="1"/>
  <c r="AB123" i="1"/>
  <c r="AA123" i="1" s="1"/>
  <c r="AB122" i="1"/>
  <c r="AA122" i="1" s="1"/>
  <c r="AB121" i="1"/>
  <c r="AA121" i="1" s="1"/>
  <c r="AB120" i="1"/>
  <c r="AA120" i="1" s="1"/>
  <c r="AB119" i="1"/>
  <c r="AA119" i="1" s="1"/>
  <c r="AB117" i="1"/>
  <c r="AA117" i="1" s="1"/>
  <c r="AB116" i="1"/>
  <c r="AA116" i="1" s="1"/>
  <c r="AB115" i="1"/>
  <c r="AA115" i="1" s="1"/>
  <c r="AB114" i="1"/>
  <c r="AA114" i="1" s="1"/>
  <c r="AB113" i="1"/>
  <c r="AA113" i="1" s="1"/>
  <c r="AB112" i="1"/>
  <c r="AA112" i="1" s="1"/>
  <c r="AB111" i="1"/>
  <c r="AA111" i="1" s="1"/>
  <c r="AB110" i="1"/>
  <c r="AA110" i="1" s="1"/>
  <c r="AB109" i="1"/>
  <c r="AA109" i="1" s="1"/>
  <c r="AB104" i="1"/>
  <c r="AA104" i="1" s="1"/>
  <c r="AB103" i="1"/>
  <c r="AA103" i="1" s="1"/>
  <c r="AB102" i="1"/>
  <c r="AA102" i="1" s="1"/>
  <c r="AB101" i="1"/>
  <c r="AA101" i="1" s="1"/>
  <c r="AB100" i="1"/>
  <c r="AA100" i="1" s="1"/>
  <c r="AB99" i="1"/>
  <c r="AA99" i="1" s="1"/>
  <c r="AB98" i="1"/>
  <c r="AA98" i="1" s="1"/>
  <c r="AB97" i="1"/>
  <c r="AA97" i="1" s="1"/>
  <c r="AB96" i="1"/>
  <c r="AA96" i="1" s="1"/>
  <c r="AB95" i="1"/>
  <c r="AA95" i="1" s="1"/>
  <c r="AB94" i="1"/>
  <c r="AA94" i="1" s="1"/>
  <c r="AB91" i="1"/>
  <c r="AA91" i="1" s="1"/>
  <c r="AB90" i="1"/>
  <c r="AA90" i="1" s="1"/>
  <c r="AB89" i="1"/>
  <c r="AA89" i="1" s="1"/>
  <c r="AB88" i="1"/>
  <c r="AA88" i="1" s="1"/>
  <c r="AB87" i="1"/>
  <c r="AA87" i="1" s="1"/>
  <c r="AB84" i="1"/>
  <c r="AA84" i="1" s="1"/>
  <c r="AB83" i="1"/>
  <c r="AA83" i="1" s="1"/>
  <c r="AB81" i="1"/>
  <c r="AA81" i="1" s="1"/>
  <c r="AB80" i="1"/>
  <c r="AA80" i="1" s="1"/>
  <c r="AB79" i="1"/>
  <c r="AA79" i="1" s="1"/>
  <c r="AB78" i="1"/>
  <c r="AA78" i="1" s="1"/>
  <c r="AB77" i="1"/>
  <c r="AA77" i="1" s="1"/>
  <c r="AB76" i="1"/>
  <c r="AA76" i="1" s="1"/>
  <c r="AB75" i="1"/>
  <c r="AA75" i="1" s="1"/>
  <c r="AB72" i="1"/>
  <c r="AA72" i="1" s="1"/>
  <c r="AB71" i="1"/>
  <c r="AA71" i="1" s="1"/>
  <c r="AB69" i="1"/>
  <c r="AA69" i="1" s="1"/>
  <c r="AB68" i="1"/>
  <c r="AA68" i="1" s="1"/>
  <c r="AB67" i="1"/>
  <c r="AA67" i="1" s="1"/>
  <c r="AB66" i="1"/>
  <c r="AA66" i="1" s="1"/>
  <c r="AB65" i="1"/>
  <c r="AA65" i="1" s="1"/>
  <c r="AB61" i="1"/>
  <c r="AA61" i="1" s="1"/>
  <c r="AB60" i="1"/>
  <c r="AA60" i="1" s="1"/>
  <c r="AB59" i="1"/>
  <c r="AA59" i="1" s="1"/>
  <c r="AB58" i="1"/>
  <c r="AA58" i="1" s="1"/>
  <c r="AB57" i="1"/>
  <c r="AA57" i="1" s="1"/>
  <c r="AB56" i="1"/>
  <c r="AA56" i="1" s="1"/>
  <c r="AB51" i="1"/>
  <c r="AA51" i="1" s="1"/>
  <c r="AB50" i="1"/>
  <c r="AA50" i="1" s="1"/>
  <c r="AB49" i="1"/>
  <c r="AA49" i="1" s="1"/>
  <c r="AB48" i="1"/>
  <c r="AA48" i="1" s="1"/>
  <c r="AB47" i="1"/>
  <c r="AA47" i="1" s="1"/>
  <c r="AB46" i="1"/>
  <c r="AA46" i="1" s="1"/>
  <c r="AB45" i="1"/>
  <c r="AA45" i="1" s="1"/>
  <c r="AB44" i="1"/>
  <c r="AA44" i="1" s="1"/>
  <c r="AB43" i="1"/>
  <c r="AA43" i="1" s="1"/>
  <c r="AB42" i="1"/>
  <c r="AA42" i="1" s="1"/>
  <c r="AB41" i="1"/>
  <c r="AA41" i="1" s="1"/>
  <c r="AB40" i="1"/>
  <c r="AA40" i="1" s="1"/>
  <c r="AB39" i="1"/>
  <c r="AA39" i="1" s="1"/>
  <c r="AB38" i="1"/>
  <c r="AA38" i="1" s="1"/>
  <c r="AB37" i="1"/>
  <c r="AA37" i="1" s="1"/>
  <c r="AB34" i="1"/>
  <c r="AA34" i="1" s="1"/>
  <c r="AB33" i="1"/>
  <c r="AA33" i="1" s="1"/>
  <c r="AB31" i="1"/>
  <c r="AA31" i="1" s="1"/>
  <c r="AB30" i="1"/>
  <c r="AA30" i="1" s="1"/>
  <c r="AB29" i="1"/>
  <c r="AA29" i="1" s="1"/>
  <c r="AB25" i="1"/>
  <c r="AA25" i="1" s="1"/>
  <c r="AB24" i="1"/>
  <c r="AA24" i="1" s="1"/>
  <c r="AB23" i="1"/>
  <c r="AA23" i="1" s="1"/>
  <c r="AB22" i="1"/>
  <c r="AA22" i="1" s="1"/>
  <c r="AB21" i="1"/>
  <c r="AA21" i="1" s="1"/>
  <c r="AB18" i="1"/>
  <c r="AA18" i="1" s="1"/>
  <c r="AB17" i="1"/>
  <c r="AA17" i="1" s="1"/>
  <c r="AB16" i="1"/>
  <c r="AA16" i="1" s="1"/>
  <c r="AB15" i="1"/>
  <c r="AA15" i="1" s="1"/>
  <c r="AB14" i="1"/>
  <c r="AA14" i="1" s="1"/>
  <c r="AB13" i="1"/>
  <c r="AA13" i="1" s="1"/>
  <c r="H316" i="1"/>
  <c r="G316" i="1" s="1"/>
  <c r="H313" i="1"/>
  <c r="H310" i="1"/>
  <c r="G310" i="1" s="1"/>
  <c r="H309" i="1"/>
  <c r="G309" i="1" s="1"/>
  <c r="H307" i="1"/>
  <c r="G307" i="1" s="1"/>
  <c r="H306" i="1"/>
  <c r="G306" i="1" s="1"/>
  <c r="H305" i="1"/>
  <c r="G305" i="1" s="1"/>
  <c r="H303" i="1"/>
  <c r="G303" i="1" s="1"/>
  <c r="H302" i="1"/>
  <c r="G302" i="1" s="1"/>
  <c r="H301" i="1"/>
  <c r="G301" i="1" s="1"/>
  <c r="H299" i="1"/>
  <c r="G299" i="1" s="1"/>
  <c r="H298" i="1"/>
  <c r="G298" i="1" s="1"/>
  <c r="H297" i="1"/>
  <c r="G297" i="1" s="1"/>
  <c r="H296" i="1"/>
  <c r="G296" i="1" s="1"/>
  <c r="H294" i="1"/>
  <c r="G294" i="1" s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3" i="1"/>
  <c r="G283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5" i="1"/>
  <c r="H264" i="1"/>
  <c r="G264" i="1" s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7" i="1"/>
  <c r="G237" i="1" s="1"/>
  <c r="H236" i="1"/>
  <c r="G236" i="1" s="1"/>
  <c r="H235" i="1"/>
  <c r="G235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59" i="1"/>
  <c r="G159" i="1" s="1"/>
  <c r="H158" i="1"/>
  <c r="G158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1" i="1"/>
  <c r="G131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1" i="1"/>
  <c r="G91" i="1" s="1"/>
  <c r="H90" i="1"/>
  <c r="G90" i="1" s="1"/>
  <c r="H89" i="1"/>
  <c r="G89" i="1" s="1"/>
  <c r="H88" i="1"/>
  <c r="G88" i="1" s="1"/>
  <c r="H87" i="1"/>
  <c r="G87" i="1" s="1"/>
  <c r="H84" i="1"/>
  <c r="G84" i="1" s="1"/>
  <c r="H83" i="1"/>
  <c r="G83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2" i="1"/>
  <c r="G72" i="1" s="1"/>
  <c r="H71" i="1"/>
  <c r="G71" i="1" s="1"/>
  <c r="H69" i="1"/>
  <c r="G69" i="1" s="1"/>
  <c r="H68" i="1"/>
  <c r="G68" i="1" s="1"/>
  <c r="H67" i="1"/>
  <c r="G67" i="1" s="1"/>
  <c r="H66" i="1"/>
  <c r="G66" i="1" s="1"/>
  <c r="H65" i="1"/>
  <c r="G65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J12" i="1"/>
  <c r="BT319" i="1"/>
  <c r="BS319" i="1"/>
  <c r="BR319" i="1"/>
  <c r="BQ319" i="1"/>
  <c r="BP319" i="1"/>
  <c r="BO319" i="1"/>
  <c r="BN319" i="1"/>
  <c r="BM319" i="1"/>
  <c r="BL319" i="1"/>
  <c r="BK319" i="1"/>
  <c r="BT315" i="1"/>
  <c r="BS315" i="1"/>
  <c r="BR315" i="1"/>
  <c r="BQ315" i="1"/>
  <c r="BP315" i="1"/>
  <c r="BO315" i="1"/>
  <c r="BN315" i="1"/>
  <c r="BM315" i="1"/>
  <c r="BL315" i="1"/>
  <c r="BK315" i="1"/>
  <c r="BT308" i="1"/>
  <c r="BS308" i="1"/>
  <c r="BR308" i="1"/>
  <c r="BQ308" i="1"/>
  <c r="BP308" i="1"/>
  <c r="BO308" i="1"/>
  <c r="BN308" i="1"/>
  <c r="BM308" i="1"/>
  <c r="BL308" i="1"/>
  <c r="BK308" i="1"/>
  <c r="BT304" i="1"/>
  <c r="BS304" i="1"/>
  <c r="BR304" i="1"/>
  <c r="BQ304" i="1"/>
  <c r="BP304" i="1"/>
  <c r="BO304" i="1"/>
  <c r="BN304" i="1"/>
  <c r="BM304" i="1"/>
  <c r="BL304" i="1"/>
  <c r="BK304" i="1"/>
  <c r="BT300" i="1"/>
  <c r="BS300" i="1"/>
  <c r="BR300" i="1"/>
  <c r="BQ300" i="1"/>
  <c r="BP300" i="1"/>
  <c r="BO300" i="1"/>
  <c r="BN300" i="1"/>
  <c r="BM300" i="1"/>
  <c r="BL300" i="1"/>
  <c r="BK300" i="1"/>
  <c r="BT295" i="1"/>
  <c r="BS295" i="1"/>
  <c r="BR295" i="1"/>
  <c r="BQ295" i="1"/>
  <c r="BP295" i="1"/>
  <c r="BO295" i="1"/>
  <c r="BN295" i="1"/>
  <c r="BM295" i="1"/>
  <c r="BL295" i="1"/>
  <c r="BK295" i="1"/>
  <c r="BT293" i="1"/>
  <c r="BS293" i="1"/>
  <c r="BR293" i="1"/>
  <c r="BQ293" i="1"/>
  <c r="BP293" i="1"/>
  <c r="BO293" i="1"/>
  <c r="BN293" i="1"/>
  <c r="BM293" i="1"/>
  <c r="BL293" i="1"/>
  <c r="BK293" i="1"/>
  <c r="BJ293" i="1"/>
  <c r="BT263" i="1"/>
  <c r="BS263" i="1"/>
  <c r="BR263" i="1"/>
  <c r="BQ263" i="1"/>
  <c r="BP263" i="1"/>
  <c r="BO263" i="1"/>
  <c r="BN263" i="1"/>
  <c r="BM263" i="1"/>
  <c r="BL263" i="1"/>
  <c r="BK263" i="1"/>
  <c r="BT239" i="1"/>
  <c r="BS239" i="1"/>
  <c r="BR239" i="1"/>
  <c r="BQ239" i="1"/>
  <c r="BP239" i="1"/>
  <c r="BO239" i="1"/>
  <c r="BN239" i="1"/>
  <c r="BM239" i="1"/>
  <c r="BL239" i="1"/>
  <c r="BK239" i="1"/>
  <c r="BT133" i="1"/>
  <c r="BS133" i="1"/>
  <c r="BR133" i="1"/>
  <c r="BQ133" i="1"/>
  <c r="BP133" i="1"/>
  <c r="BO133" i="1"/>
  <c r="BN133" i="1"/>
  <c r="BM133" i="1"/>
  <c r="BL133" i="1"/>
  <c r="BK133" i="1"/>
  <c r="BT93" i="1"/>
  <c r="BS93" i="1"/>
  <c r="BR93" i="1"/>
  <c r="BQ93" i="1"/>
  <c r="BP93" i="1"/>
  <c r="BO93" i="1"/>
  <c r="BN93" i="1"/>
  <c r="BM93" i="1"/>
  <c r="BL93" i="1"/>
  <c r="BK93" i="1"/>
  <c r="BT86" i="1"/>
  <c r="BS86" i="1"/>
  <c r="BR86" i="1"/>
  <c r="BQ86" i="1"/>
  <c r="BP86" i="1"/>
  <c r="BO86" i="1"/>
  <c r="BN86" i="1"/>
  <c r="BM86" i="1"/>
  <c r="BL86" i="1"/>
  <c r="BK86" i="1"/>
  <c r="BT74" i="1"/>
  <c r="BS74" i="1"/>
  <c r="BR74" i="1"/>
  <c r="BQ74" i="1"/>
  <c r="BP74" i="1"/>
  <c r="BO74" i="1"/>
  <c r="BN74" i="1"/>
  <c r="BM74" i="1"/>
  <c r="BL74" i="1"/>
  <c r="BK74" i="1"/>
  <c r="BT64" i="1"/>
  <c r="BS64" i="1"/>
  <c r="BR64" i="1"/>
  <c r="BQ64" i="1"/>
  <c r="BP64" i="1"/>
  <c r="BO64" i="1"/>
  <c r="BN64" i="1"/>
  <c r="BM64" i="1"/>
  <c r="BL64" i="1"/>
  <c r="BK64" i="1"/>
  <c r="BT36" i="1"/>
  <c r="BS36" i="1"/>
  <c r="BR36" i="1"/>
  <c r="BQ36" i="1"/>
  <c r="BP36" i="1"/>
  <c r="BO36" i="1"/>
  <c r="BN36" i="1"/>
  <c r="BM36" i="1"/>
  <c r="BL36" i="1"/>
  <c r="BK36" i="1"/>
  <c r="BT28" i="1"/>
  <c r="BS28" i="1"/>
  <c r="BR28" i="1"/>
  <c r="BQ28" i="1"/>
  <c r="BP28" i="1"/>
  <c r="BO28" i="1"/>
  <c r="BN28" i="1"/>
  <c r="BM28" i="1"/>
  <c r="BL28" i="1"/>
  <c r="BK28" i="1"/>
  <c r="BT11" i="1"/>
  <c r="BS11" i="1"/>
  <c r="BR11" i="1"/>
  <c r="BQ11" i="1"/>
  <c r="BP11" i="1"/>
  <c r="BO11" i="1"/>
  <c r="BN11" i="1"/>
  <c r="BM11" i="1"/>
  <c r="BL11" i="1"/>
  <c r="BK11" i="1"/>
  <c r="BB12" i="1"/>
  <c r="BA12" i="1" s="1"/>
  <c r="BG319" i="1"/>
  <c r="BF319" i="1"/>
  <c r="BE319" i="1"/>
  <c r="BD319" i="1"/>
  <c r="BC319" i="1"/>
  <c r="BG315" i="1"/>
  <c r="BF315" i="1"/>
  <c r="BE315" i="1"/>
  <c r="BD315" i="1"/>
  <c r="BC315" i="1"/>
  <c r="BG308" i="1"/>
  <c r="BF308" i="1"/>
  <c r="BE308" i="1"/>
  <c r="BD308" i="1"/>
  <c r="BC308" i="1"/>
  <c r="BG304" i="1"/>
  <c r="BF304" i="1"/>
  <c r="BE304" i="1"/>
  <c r="BD304" i="1"/>
  <c r="BC304" i="1"/>
  <c r="BG300" i="1"/>
  <c r="BF300" i="1"/>
  <c r="BE300" i="1"/>
  <c r="BD300" i="1"/>
  <c r="BC300" i="1"/>
  <c r="BG295" i="1"/>
  <c r="BF295" i="1"/>
  <c r="BE295" i="1"/>
  <c r="BD295" i="1"/>
  <c r="BC295" i="1"/>
  <c r="BG293" i="1"/>
  <c r="BF293" i="1"/>
  <c r="BE293" i="1"/>
  <c r="BD293" i="1"/>
  <c r="BC293" i="1"/>
  <c r="BG263" i="1"/>
  <c r="BF263" i="1"/>
  <c r="BE263" i="1"/>
  <c r="BD263" i="1"/>
  <c r="BC263" i="1"/>
  <c r="BG239" i="1"/>
  <c r="BF239" i="1"/>
  <c r="BE239" i="1"/>
  <c r="BD239" i="1"/>
  <c r="BC239" i="1"/>
  <c r="BG133" i="1"/>
  <c r="BF133" i="1"/>
  <c r="BE133" i="1"/>
  <c r="BD133" i="1"/>
  <c r="BC133" i="1"/>
  <c r="BG93" i="1"/>
  <c r="BF93" i="1"/>
  <c r="BE93" i="1"/>
  <c r="BD93" i="1"/>
  <c r="BC93" i="1"/>
  <c r="BG86" i="1"/>
  <c r="BF86" i="1"/>
  <c r="BE86" i="1"/>
  <c r="BD86" i="1"/>
  <c r="BC86" i="1"/>
  <c r="BG74" i="1"/>
  <c r="BF74" i="1"/>
  <c r="BE74" i="1"/>
  <c r="BD74" i="1"/>
  <c r="BC74" i="1"/>
  <c r="BG64" i="1"/>
  <c r="BF64" i="1"/>
  <c r="BE64" i="1"/>
  <c r="BD64" i="1"/>
  <c r="BC64" i="1"/>
  <c r="BG36" i="1"/>
  <c r="BF36" i="1"/>
  <c r="BE36" i="1"/>
  <c r="BD36" i="1"/>
  <c r="BC36" i="1"/>
  <c r="BG28" i="1"/>
  <c r="BF28" i="1"/>
  <c r="BE28" i="1"/>
  <c r="BD28" i="1"/>
  <c r="BC28" i="1"/>
  <c r="BG11" i="1"/>
  <c r="BF11" i="1"/>
  <c r="BE11" i="1"/>
  <c r="BD11" i="1"/>
  <c r="BC11" i="1"/>
  <c r="AO12" i="1"/>
  <c r="AN12" i="1" s="1"/>
  <c r="AY319" i="1"/>
  <c r="AX319" i="1"/>
  <c r="AW319" i="1"/>
  <c r="AV319" i="1"/>
  <c r="AU319" i="1"/>
  <c r="AT319" i="1"/>
  <c r="AS319" i="1"/>
  <c r="AR319" i="1"/>
  <c r="AQ319" i="1"/>
  <c r="AP319" i="1"/>
  <c r="AY315" i="1"/>
  <c r="AX315" i="1"/>
  <c r="AW315" i="1"/>
  <c r="AV315" i="1"/>
  <c r="AU315" i="1"/>
  <c r="AT315" i="1"/>
  <c r="AS315" i="1"/>
  <c r="AR315" i="1"/>
  <c r="AQ315" i="1"/>
  <c r="AP315" i="1"/>
  <c r="AY308" i="1"/>
  <c r="AX308" i="1"/>
  <c r="AW308" i="1"/>
  <c r="AV308" i="1"/>
  <c r="AU308" i="1"/>
  <c r="AT308" i="1"/>
  <c r="AS308" i="1"/>
  <c r="AR308" i="1"/>
  <c r="AQ308" i="1"/>
  <c r="AP308" i="1"/>
  <c r="AY304" i="1"/>
  <c r="AX304" i="1"/>
  <c r="AW304" i="1"/>
  <c r="AV304" i="1"/>
  <c r="AU304" i="1"/>
  <c r="AT304" i="1"/>
  <c r="AS304" i="1"/>
  <c r="AR304" i="1"/>
  <c r="AQ304" i="1"/>
  <c r="AP304" i="1"/>
  <c r="AY300" i="1"/>
  <c r="AX300" i="1"/>
  <c r="AW300" i="1"/>
  <c r="AV300" i="1"/>
  <c r="AU300" i="1"/>
  <c r="AT300" i="1"/>
  <c r="AS300" i="1"/>
  <c r="AR300" i="1"/>
  <c r="AQ300" i="1"/>
  <c r="AP300" i="1"/>
  <c r="AY295" i="1"/>
  <c r="AX295" i="1"/>
  <c r="AW295" i="1"/>
  <c r="AV295" i="1"/>
  <c r="AU295" i="1"/>
  <c r="AT295" i="1"/>
  <c r="AS295" i="1"/>
  <c r="AR295" i="1"/>
  <c r="AQ295" i="1"/>
  <c r="AP295" i="1"/>
  <c r="AY293" i="1"/>
  <c r="AX293" i="1"/>
  <c r="AW293" i="1"/>
  <c r="AV293" i="1"/>
  <c r="AU293" i="1"/>
  <c r="AT293" i="1"/>
  <c r="AS293" i="1"/>
  <c r="AR293" i="1"/>
  <c r="AQ293" i="1"/>
  <c r="AP293" i="1"/>
  <c r="AY263" i="1"/>
  <c r="AX263" i="1"/>
  <c r="AW263" i="1"/>
  <c r="AV263" i="1"/>
  <c r="AU263" i="1"/>
  <c r="AT263" i="1"/>
  <c r="AS263" i="1"/>
  <c r="AR263" i="1"/>
  <c r="AQ263" i="1"/>
  <c r="AP263" i="1"/>
  <c r="AY239" i="1"/>
  <c r="AX239" i="1"/>
  <c r="AW239" i="1"/>
  <c r="AV239" i="1"/>
  <c r="AU239" i="1"/>
  <c r="AT239" i="1"/>
  <c r="AS239" i="1"/>
  <c r="AR239" i="1"/>
  <c r="AQ239" i="1"/>
  <c r="AP239" i="1"/>
  <c r="AY133" i="1"/>
  <c r="AX133" i="1"/>
  <c r="AW133" i="1"/>
  <c r="AV133" i="1"/>
  <c r="AU133" i="1"/>
  <c r="AT133" i="1"/>
  <c r="AS133" i="1"/>
  <c r="AR133" i="1"/>
  <c r="AQ133" i="1"/>
  <c r="AP133" i="1"/>
  <c r="AY93" i="1"/>
  <c r="AX93" i="1"/>
  <c r="AW93" i="1"/>
  <c r="AV93" i="1"/>
  <c r="AU93" i="1"/>
  <c r="AT93" i="1"/>
  <c r="AS93" i="1"/>
  <c r="AR93" i="1"/>
  <c r="AQ93" i="1"/>
  <c r="AP93" i="1"/>
  <c r="AY86" i="1"/>
  <c r="AX86" i="1"/>
  <c r="AW86" i="1"/>
  <c r="AV86" i="1"/>
  <c r="AU86" i="1"/>
  <c r="AT86" i="1"/>
  <c r="AS86" i="1"/>
  <c r="AR86" i="1"/>
  <c r="AQ86" i="1"/>
  <c r="AP86" i="1"/>
  <c r="AY74" i="1"/>
  <c r="AX74" i="1"/>
  <c r="AW74" i="1"/>
  <c r="AV74" i="1"/>
  <c r="AU74" i="1"/>
  <c r="AT74" i="1"/>
  <c r="AS74" i="1"/>
  <c r="AR74" i="1"/>
  <c r="AQ74" i="1"/>
  <c r="AP74" i="1"/>
  <c r="AY64" i="1"/>
  <c r="AX64" i="1"/>
  <c r="AW64" i="1"/>
  <c r="AV64" i="1"/>
  <c r="AU64" i="1"/>
  <c r="AT64" i="1"/>
  <c r="AS64" i="1"/>
  <c r="AR64" i="1"/>
  <c r="AQ64" i="1"/>
  <c r="AP64" i="1"/>
  <c r="AY36" i="1"/>
  <c r="AX36" i="1"/>
  <c r="AW36" i="1"/>
  <c r="AV36" i="1"/>
  <c r="AU36" i="1"/>
  <c r="AT36" i="1"/>
  <c r="AS36" i="1"/>
  <c r="AR36" i="1"/>
  <c r="AQ36" i="1"/>
  <c r="AP36" i="1"/>
  <c r="AY28" i="1"/>
  <c r="AX28" i="1"/>
  <c r="AW28" i="1"/>
  <c r="AV28" i="1"/>
  <c r="AU28" i="1"/>
  <c r="AT28" i="1"/>
  <c r="AS28" i="1"/>
  <c r="AR28" i="1"/>
  <c r="AQ28" i="1"/>
  <c r="AP28" i="1"/>
  <c r="AY11" i="1"/>
  <c r="AX11" i="1"/>
  <c r="AW11" i="1"/>
  <c r="AV11" i="1"/>
  <c r="AU11" i="1"/>
  <c r="AT11" i="1"/>
  <c r="AS11" i="1"/>
  <c r="AR11" i="1"/>
  <c r="AQ11" i="1"/>
  <c r="AP11" i="1"/>
  <c r="AB12" i="1"/>
  <c r="AA12" i="1" s="1"/>
  <c r="AL319" i="1"/>
  <c r="AK319" i="1"/>
  <c r="AJ319" i="1"/>
  <c r="AI319" i="1"/>
  <c r="AH319" i="1"/>
  <c r="AG319" i="1"/>
  <c r="AF319" i="1"/>
  <c r="AE319" i="1"/>
  <c r="AD319" i="1"/>
  <c r="AC319" i="1"/>
  <c r="AL315" i="1"/>
  <c r="AK315" i="1"/>
  <c r="AJ315" i="1"/>
  <c r="AI315" i="1"/>
  <c r="AH315" i="1"/>
  <c r="AG315" i="1"/>
  <c r="AF315" i="1"/>
  <c r="AE315" i="1"/>
  <c r="AD315" i="1"/>
  <c r="AC315" i="1"/>
  <c r="AL308" i="1"/>
  <c r="AK308" i="1"/>
  <c r="AJ308" i="1"/>
  <c r="AI308" i="1"/>
  <c r="AH308" i="1"/>
  <c r="AG308" i="1"/>
  <c r="AF308" i="1"/>
  <c r="AE308" i="1"/>
  <c r="AD308" i="1"/>
  <c r="AC308" i="1"/>
  <c r="AL304" i="1"/>
  <c r="AK304" i="1"/>
  <c r="AJ304" i="1"/>
  <c r="AI304" i="1"/>
  <c r="AH304" i="1"/>
  <c r="AG304" i="1"/>
  <c r="AF304" i="1"/>
  <c r="AE304" i="1"/>
  <c r="AD304" i="1"/>
  <c r="AC304" i="1"/>
  <c r="AL300" i="1"/>
  <c r="AK300" i="1"/>
  <c r="AJ300" i="1"/>
  <c r="AI300" i="1"/>
  <c r="AH300" i="1"/>
  <c r="AG300" i="1"/>
  <c r="AF300" i="1"/>
  <c r="AE300" i="1"/>
  <c r="AD300" i="1"/>
  <c r="AC300" i="1"/>
  <c r="AL295" i="1"/>
  <c r="AK295" i="1"/>
  <c r="AJ295" i="1"/>
  <c r="AI295" i="1"/>
  <c r="AH295" i="1"/>
  <c r="AG295" i="1"/>
  <c r="AF295" i="1"/>
  <c r="AE295" i="1"/>
  <c r="AD295" i="1"/>
  <c r="AC295" i="1"/>
  <c r="AL293" i="1"/>
  <c r="AK293" i="1"/>
  <c r="AJ293" i="1"/>
  <c r="AI293" i="1"/>
  <c r="AH293" i="1"/>
  <c r="AG293" i="1"/>
  <c r="AF293" i="1"/>
  <c r="AE293" i="1"/>
  <c r="AD293" i="1"/>
  <c r="AC293" i="1"/>
  <c r="AL263" i="1"/>
  <c r="AK263" i="1"/>
  <c r="AJ263" i="1"/>
  <c r="AI263" i="1"/>
  <c r="AH263" i="1"/>
  <c r="AG263" i="1"/>
  <c r="AF263" i="1"/>
  <c r="AE263" i="1"/>
  <c r="AD263" i="1"/>
  <c r="AC263" i="1"/>
  <c r="AL239" i="1"/>
  <c r="AK239" i="1"/>
  <c r="AJ239" i="1"/>
  <c r="AI239" i="1"/>
  <c r="AH239" i="1"/>
  <c r="AG239" i="1"/>
  <c r="AF239" i="1"/>
  <c r="AE239" i="1"/>
  <c r="AD239" i="1"/>
  <c r="AC239" i="1"/>
  <c r="AL133" i="1"/>
  <c r="AK133" i="1"/>
  <c r="AJ133" i="1"/>
  <c r="AI133" i="1"/>
  <c r="AH133" i="1"/>
  <c r="AG133" i="1"/>
  <c r="AF133" i="1"/>
  <c r="AE133" i="1"/>
  <c r="AD133" i="1"/>
  <c r="AC133" i="1"/>
  <c r="AL93" i="1"/>
  <c r="AK93" i="1"/>
  <c r="AJ93" i="1"/>
  <c r="AI93" i="1"/>
  <c r="AH93" i="1"/>
  <c r="AG93" i="1"/>
  <c r="AF93" i="1"/>
  <c r="AE93" i="1"/>
  <c r="AD93" i="1"/>
  <c r="AC93" i="1"/>
  <c r="AL86" i="1"/>
  <c r="AK86" i="1"/>
  <c r="AJ86" i="1"/>
  <c r="AI86" i="1"/>
  <c r="AH86" i="1"/>
  <c r="AG86" i="1"/>
  <c r="AF86" i="1"/>
  <c r="AE86" i="1"/>
  <c r="AD86" i="1"/>
  <c r="AC86" i="1"/>
  <c r="AL74" i="1"/>
  <c r="AK74" i="1"/>
  <c r="AJ74" i="1"/>
  <c r="AI74" i="1"/>
  <c r="AH74" i="1"/>
  <c r="AG74" i="1"/>
  <c r="AF74" i="1"/>
  <c r="AE74" i="1"/>
  <c r="AD74" i="1"/>
  <c r="AC74" i="1"/>
  <c r="AL64" i="1"/>
  <c r="AK64" i="1"/>
  <c r="AJ64" i="1"/>
  <c r="AI64" i="1"/>
  <c r="AH64" i="1"/>
  <c r="AG64" i="1"/>
  <c r="AF64" i="1"/>
  <c r="AE64" i="1"/>
  <c r="AD64" i="1"/>
  <c r="AC64" i="1"/>
  <c r="AL36" i="1"/>
  <c r="AK36" i="1"/>
  <c r="AJ36" i="1"/>
  <c r="AI36" i="1"/>
  <c r="AH36" i="1"/>
  <c r="AG36" i="1"/>
  <c r="AF36" i="1"/>
  <c r="AE36" i="1"/>
  <c r="AD36" i="1"/>
  <c r="AC36" i="1"/>
  <c r="AL28" i="1"/>
  <c r="AK28" i="1"/>
  <c r="AJ28" i="1"/>
  <c r="AI28" i="1"/>
  <c r="AH28" i="1"/>
  <c r="AG28" i="1"/>
  <c r="AF28" i="1"/>
  <c r="AE28" i="1"/>
  <c r="AD28" i="1"/>
  <c r="AC28" i="1"/>
  <c r="AL11" i="1"/>
  <c r="AK11" i="1"/>
  <c r="AJ11" i="1"/>
  <c r="AI11" i="1"/>
  <c r="AH11" i="1"/>
  <c r="AG11" i="1"/>
  <c r="AF11" i="1"/>
  <c r="AE11" i="1"/>
  <c r="AD11" i="1"/>
  <c r="AC11" i="1"/>
  <c r="H12" i="1"/>
  <c r="G313" i="1" l="1"/>
  <c r="G312" i="1" s="1"/>
  <c r="H312" i="1"/>
  <c r="AA313" i="1"/>
  <c r="AA312" i="1" s="1"/>
  <c r="AB312" i="1"/>
  <c r="BI313" i="1"/>
  <c r="BI312" i="1" s="1"/>
  <c r="BJ312" i="1"/>
  <c r="BA313" i="1"/>
  <c r="BA312" i="1" s="1"/>
  <c r="BB312" i="1"/>
  <c r="AN313" i="1"/>
  <c r="AN312" i="1" s="1"/>
  <c r="AO312" i="1"/>
  <c r="D93" i="1"/>
  <c r="BA308" i="1"/>
  <c r="AO293" i="1"/>
  <c r="BB315" i="1"/>
  <c r="BB308" i="1"/>
  <c r="BJ308" i="1"/>
  <c r="BJ315" i="1"/>
  <c r="AB293" i="1"/>
  <c r="E173" i="1"/>
  <c r="E203" i="1"/>
  <c r="BB86" i="1"/>
  <c r="E111" i="1"/>
  <c r="AB315" i="1"/>
  <c r="AB304" i="1"/>
  <c r="E159" i="1"/>
  <c r="E164" i="1"/>
  <c r="E243" i="1"/>
  <c r="E301" i="1"/>
  <c r="AB300" i="1"/>
  <c r="E211" i="1"/>
  <c r="AO304" i="1"/>
  <c r="BM292" i="1"/>
  <c r="BM320" i="1" s="1"/>
  <c r="BJ300" i="1"/>
  <c r="E141" i="1"/>
  <c r="E220" i="1"/>
  <c r="E228" i="1"/>
  <c r="E270" i="1"/>
  <c r="E307" i="1"/>
  <c r="AI292" i="1"/>
  <c r="AI320" i="1" s="1"/>
  <c r="AB308" i="1"/>
  <c r="AR292" i="1"/>
  <c r="AR320" i="1" s="1"/>
  <c r="AO300" i="1"/>
  <c r="BB293" i="1"/>
  <c r="E142" i="1"/>
  <c r="E189" i="1"/>
  <c r="E260" i="1"/>
  <c r="AO315" i="1"/>
  <c r="BB295" i="1"/>
  <c r="BB304" i="1"/>
  <c r="BJ239" i="1"/>
  <c r="E15" i="1"/>
  <c r="E128" i="1"/>
  <c r="E181" i="1"/>
  <c r="E186" i="1"/>
  <c r="E309" i="1"/>
  <c r="AN308" i="1"/>
  <c r="AB295" i="1"/>
  <c r="BJ64" i="1"/>
  <c r="BQ292" i="1"/>
  <c r="BQ320" i="1" s="1"/>
  <c r="E91" i="1"/>
  <c r="E306" i="1"/>
  <c r="AN300" i="1"/>
  <c r="BI86" i="1"/>
  <c r="AV292" i="1"/>
  <c r="AV320" i="1" s="1"/>
  <c r="AO308" i="1"/>
  <c r="BB300" i="1"/>
  <c r="BJ304" i="1"/>
  <c r="E200" i="1"/>
  <c r="AN295" i="1"/>
  <c r="BI64" i="1"/>
  <c r="E18" i="1"/>
  <c r="E88" i="1"/>
  <c r="E131" i="1"/>
  <c r="E147" i="1"/>
  <c r="E150" i="1"/>
  <c r="E182" i="1"/>
  <c r="E213" i="1"/>
  <c r="E218" i="1"/>
  <c r="AO93" i="1"/>
  <c r="BB64" i="1"/>
  <c r="E46" i="1"/>
  <c r="E65" i="1"/>
  <c r="E165" i="1"/>
  <c r="E206" i="1"/>
  <c r="BJ74" i="1"/>
  <c r="BJ86" i="1"/>
  <c r="E76" i="1"/>
  <c r="E145" i="1"/>
  <c r="AB133" i="1"/>
  <c r="AN93" i="1"/>
  <c r="E100" i="1"/>
  <c r="AB74" i="1"/>
  <c r="BJ133" i="1"/>
  <c r="E80" i="1"/>
  <c r="E87" i="1"/>
  <c r="E139" i="1"/>
  <c r="E179" i="1"/>
  <c r="E207" i="1"/>
  <c r="AN28" i="1"/>
  <c r="AB64" i="1"/>
  <c r="AB263" i="1"/>
  <c r="BJ93" i="1"/>
  <c r="E68" i="1"/>
  <c r="E72" i="1"/>
  <c r="E94" i="1"/>
  <c r="E102" i="1"/>
  <c r="E112" i="1"/>
  <c r="E127" i="1"/>
  <c r="E137" i="1"/>
  <c r="E177" i="1"/>
  <c r="E190" i="1"/>
  <c r="E195" i="1"/>
  <c r="E222" i="1"/>
  <c r="E226" i="1"/>
  <c r="E230" i="1"/>
  <c r="E236" i="1"/>
  <c r="E245" i="1"/>
  <c r="E249" i="1"/>
  <c r="E256" i="1"/>
  <c r="E259" i="1"/>
  <c r="BI133" i="1"/>
  <c r="AB239" i="1"/>
  <c r="AO133" i="1"/>
  <c r="BB133" i="1"/>
  <c r="E99" i="1"/>
  <c r="E103" i="1"/>
  <c r="E110" i="1"/>
  <c r="E113" i="1"/>
  <c r="E121" i="1"/>
  <c r="E162" i="1"/>
  <c r="E199" i="1"/>
  <c r="E223" i="1"/>
  <c r="E231" i="1"/>
  <c r="E237" i="1"/>
  <c r="E242" i="1"/>
  <c r="E246" i="1"/>
  <c r="BA86" i="1"/>
  <c r="BA74" i="1"/>
  <c r="E31" i="1"/>
  <c r="E37" i="1"/>
  <c r="E17" i="1"/>
  <c r="E29" i="1"/>
  <c r="E42" i="1"/>
  <c r="E45" i="1"/>
  <c r="E48" i="1"/>
  <c r="E56" i="1"/>
  <c r="E58" i="1"/>
  <c r="E43" i="1"/>
  <c r="E49" i="1"/>
  <c r="BB11" i="1"/>
  <c r="BJ11" i="1"/>
  <c r="E24" i="1"/>
  <c r="E13" i="1"/>
  <c r="E16" i="1"/>
  <c r="E21" i="1"/>
  <c r="AE292" i="1"/>
  <c r="AE320" i="1" s="1"/>
  <c r="AJ292" i="1"/>
  <c r="AJ320" i="1" s="1"/>
  <c r="AH292" i="1"/>
  <c r="AH320" i="1" s="1"/>
  <c r="AL292" i="1"/>
  <c r="AL320" i="1" s="1"/>
  <c r="AO319" i="1"/>
  <c r="BJ36" i="1"/>
  <c r="BJ263" i="1"/>
  <c r="E38" i="1"/>
  <c r="E59" i="1"/>
  <c r="E66" i="1"/>
  <c r="E69" i="1"/>
  <c r="E75" i="1"/>
  <c r="E120" i="1"/>
  <c r="E124" i="1"/>
  <c r="E134" i="1"/>
  <c r="E171" i="1"/>
  <c r="E174" i="1"/>
  <c r="E298" i="1"/>
  <c r="BA300" i="1"/>
  <c r="AG292" i="1"/>
  <c r="AG320" i="1" s="1"/>
  <c r="AO64" i="1"/>
  <c r="AS292" i="1"/>
  <c r="AS320" i="1" s="1"/>
  <c r="AW292" i="1"/>
  <c r="AW320" i="1" s="1"/>
  <c r="AQ292" i="1"/>
  <c r="AQ320" i="1" s="1"/>
  <c r="AU292" i="1"/>
  <c r="AU320" i="1" s="1"/>
  <c r="AY292" i="1"/>
  <c r="AY320" i="1" s="1"/>
  <c r="BB239" i="1"/>
  <c r="BJ28" i="1"/>
  <c r="BJ295" i="1"/>
  <c r="BN292" i="1"/>
  <c r="BN320" i="1" s="1"/>
  <c r="BR292" i="1"/>
  <c r="BR320" i="1" s="1"/>
  <c r="BL292" i="1"/>
  <c r="BL320" i="1" s="1"/>
  <c r="BP292" i="1"/>
  <c r="BP320" i="1" s="1"/>
  <c r="BT292" i="1"/>
  <c r="BT320" i="1" s="1"/>
  <c r="E30" i="1"/>
  <c r="E34" i="1"/>
  <c r="E125" i="1"/>
  <c r="E169" i="1"/>
  <c r="E209" i="1"/>
  <c r="E217" i="1"/>
  <c r="E227" i="1"/>
  <c r="AF262" i="1"/>
  <c r="AK292" i="1"/>
  <c r="AK320" i="1" s="1"/>
  <c r="AO36" i="1"/>
  <c r="AO295" i="1"/>
  <c r="AP292" i="1"/>
  <c r="AP320" i="1" s="1"/>
  <c r="AT292" i="1"/>
  <c r="AT320" i="1" s="1"/>
  <c r="AX292" i="1"/>
  <c r="AX320" i="1" s="1"/>
  <c r="BK292" i="1"/>
  <c r="BK320" i="1" s="1"/>
  <c r="BO292" i="1"/>
  <c r="BO320" i="1" s="1"/>
  <c r="BS292" i="1"/>
  <c r="BS320" i="1" s="1"/>
  <c r="BI12" i="1"/>
  <c r="BI319" i="1" s="1"/>
  <c r="E25" i="1"/>
  <c r="E104" i="1"/>
  <c r="E114" i="1"/>
  <c r="E193" i="1"/>
  <c r="E135" i="1"/>
  <c r="E140" i="1"/>
  <c r="E143" i="1"/>
  <c r="E148" i="1"/>
  <c r="E151" i="1"/>
  <c r="E163" i="1"/>
  <c r="E166" i="1"/>
  <c r="E172" i="1"/>
  <c r="E175" i="1"/>
  <c r="E180" i="1"/>
  <c r="E183" i="1"/>
  <c r="E194" i="1"/>
  <c r="E197" i="1"/>
  <c r="E201" i="1"/>
  <c r="E210" i="1"/>
  <c r="E224" i="1"/>
  <c r="E232" i="1"/>
  <c r="E271" i="1"/>
  <c r="E275" i="1"/>
  <c r="E279" i="1"/>
  <c r="E283" i="1"/>
  <c r="E288" i="1"/>
  <c r="E316" i="1"/>
  <c r="AN64" i="1"/>
  <c r="E40" i="1"/>
  <c r="E44" i="1"/>
  <c r="E50" i="1"/>
  <c r="E57" i="1"/>
  <c r="E60" i="1"/>
  <c r="E67" i="1"/>
  <c r="E79" i="1"/>
  <c r="E83" i="1"/>
  <c r="E95" i="1"/>
  <c r="E98" i="1"/>
  <c r="E101" i="1"/>
  <c r="E115" i="1"/>
  <c r="E119" i="1"/>
  <c r="E122" i="1"/>
  <c r="E138" i="1"/>
  <c r="E146" i="1"/>
  <c r="E149" i="1"/>
  <c r="E161" i="1"/>
  <c r="E170" i="1"/>
  <c r="E178" i="1"/>
  <c r="E192" i="1"/>
  <c r="E198" i="1"/>
  <c r="E208" i="1"/>
  <c r="E214" i="1"/>
  <c r="E241" i="1"/>
  <c r="E247" i="1"/>
  <c r="E258" i="1"/>
  <c r="AN133" i="1"/>
  <c r="BA28" i="1"/>
  <c r="BA36" i="1"/>
  <c r="E33" i="1"/>
  <c r="E41" i="1"/>
  <c r="E51" i="1"/>
  <c r="E61" i="1"/>
  <c r="E71" i="1"/>
  <c r="E77" i="1"/>
  <c r="E90" i="1"/>
  <c r="E96" i="1"/>
  <c r="E116" i="1"/>
  <c r="E123" i="1"/>
  <c r="E136" i="1"/>
  <c r="E144" i="1"/>
  <c r="E158" i="1"/>
  <c r="E168" i="1"/>
  <c r="E176" i="1"/>
  <c r="E185" i="1"/>
  <c r="E188" i="1"/>
  <c r="E202" i="1"/>
  <c r="E205" i="1"/>
  <c r="E215" i="1"/>
  <c r="E219" i="1"/>
  <c r="E252" i="1"/>
  <c r="E297" i="1"/>
  <c r="E302" i="1"/>
  <c r="AA295" i="1"/>
  <c r="BA304" i="1"/>
  <c r="BI93" i="1"/>
  <c r="BI263" i="1"/>
  <c r="E273" i="1"/>
  <c r="E281" i="1"/>
  <c r="E286" i="1"/>
  <c r="E290" i="1"/>
  <c r="E274" i="1"/>
  <c r="E282" i="1"/>
  <c r="E287" i="1"/>
  <c r="AO11" i="1"/>
  <c r="AW262" i="1"/>
  <c r="AO28" i="1"/>
  <c r="AO86" i="1"/>
  <c r="BB74" i="1"/>
  <c r="BB93" i="1"/>
  <c r="E14" i="1"/>
  <c r="E22" i="1"/>
  <c r="E78" i="1"/>
  <c r="E84" i="1"/>
  <c r="E89" i="1"/>
  <c r="E97" i="1"/>
  <c r="E109" i="1"/>
  <c r="E117" i="1"/>
  <c r="E126" i="1"/>
  <c r="E254" i="1"/>
  <c r="E296" i="1"/>
  <c r="E305" i="1"/>
  <c r="E310" i="1"/>
  <c r="AA28" i="1"/>
  <c r="AA133" i="1"/>
  <c r="AA263" i="1"/>
  <c r="AA304" i="1"/>
  <c r="AB36" i="1"/>
  <c r="AB93" i="1"/>
  <c r="AC292" i="1"/>
  <c r="AC320" i="1" s="1"/>
  <c r="AO74" i="1"/>
  <c r="AO263" i="1"/>
  <c r="BM262" i="1"/>
  <c r="E39" i="1"/>
  <c r="E47" i="1"/>
  <c r="E81" i="1"/>
  <c r="E187" i="1"/>
  <c r="E196" i="1"/>
  <c r="E204" i="1"/>
  <c r="E212" i="1"/>
  <c r="E221" i="1"/>
  <c r="E225" i="1"/>
  <c r="E229" i="1"/>
  <c r="E235" i="1"/>
  <c r="E250" i="1"/>
  <c r="E264" i="1"/>
  <c r="E272" i="1"/>
  <c r="E277" i="1"/>
  <c r="E280" i="1"/>
  <c r="E285" i="1"/>
  <c r="E289" i="1"/>
  <c r="AA93" i="1"/>
  <c r="BA64" i="1"/>
  <c r="AE262" i="1"/>
  <c r="AB28" i="1"/>
  <c r="AB86" i="1"/>
  <c r="AD292" i="1"/>
  <c r="AD320" i="1" s="1"/>
  <c r="AO239" i="1"/>
  <c r="BB28" i="1"/>
  <c r="E255" i="1"/>
  <c r="E278" i="1"/>
  <c r="AA36" i="1"/>
  <c r="AA308" i="1"/>
  <c r="AN239" i="1"/>
  <c r="E240" i="1"/>
  <c r="E248" i="1"/>
  <c r="E257" i="1"/>
  <c r="E299" i="1"/>
  <c r="E303" i="1"/>
  <c r="AA64" i="1"/>
  <c r="AA300" i="1"/>
  <c r="BA133" i="1"/>
  <c r="AN263" i="1"/>
  <c r="AN304" i="1"/>
  <c r="E244" i="1"/>
  <c r="E253" i="1"/>
  <c r="E294" i="1"/>
  <c r="BI300" i="1"/>
  <c r="BB36" i="1"/>
  <c r="BI74" i="1"/>
  <c r="BA295" i="1"/>
  <c r="BI308" i="1"/>
  <c r="BI239" i="1"/>
  <c r="BI295" i="1"/>
  <c r="BI304" i="1"/>
  <c r="BB263" i="1"/>
  <c r="BI36" i="1"/>
  <c r="BI28" i="1"/>
  <c r="BA263" i="1"/>
  <c r="BA239" i="1"/>
  <c r="BA93" i="1"/>
  <c r="BB319" i="1"/>
  <c r="AN86" i="1"/>
  <c r="AN74" i="1"/>
  <c r="AN36" i="1"/>
  <c r="AA239" i="1"/>
  <c r="AA86" i="1"/>
  <c r="AA74" i="1"/>
  <c r="AA11" i="1"/>
  <c r="AJ262" i="1"/>
  <c r="AN319" i="1"/>
  <c r="AN11" i="1"/>
  <c r="BD262" i="1"/>
  <c r="BE292" i="1"/>
  <c r="BE320" i="1" s="1"/>
  <c r="BF292" i="1"/>
  <c r="BF320" i="1" s="1"/>
  <c r="AB11" i="1"/>
  <c r="AB319" i="1"/>
  <c r="BA11" i="1"/>
  <c r="BF262" i="1"/>
  <c r="BC292" i="1"/>
  <c r="BC320" i="1" s="1"/>
  <c r="BG292" i="1"/>
  <c r="BG320" i="1" s="1"/>
  <c r="BJ319" i="1"/>
  <c r="BQ262" i="1"/>
  <c r="BN262" i="1"/>
  <c r="BR262" i="1"/>
  <c r="BK262" i="1"/>
  <c r="BO262" i="1"/>
  <c r="BS262" i="1"/>
  <c r="BL262" i="1"/>
  <c r="BP262" i="1"/>
  <c r="BT262" i="1"/>
  <c r="BD292" i="1"/>
  <c r="BD320" i="1" s="1"/>
  <c r="BE262" i="1"/>
  <c r="BC262" i="1"/>
  <c r="BG262" i="1"/>
  <c r="AR262" i="1"/>
  <c r="AV262" i="1"/>
  <c r="AS262" i="1"/>
  <c r="AP262" i="1"/>
  <c r="AT262" i="1"/>
  <c r="AX262" i="1"/>
  <c r="AQ262" i="1"/>
  <c r="AU262" i="1"/>
  <c r="AY262" i="1"/>
  <c r="AF292" i="1"/>
  <c r="AF320" i="1" s="1"/>
  <c r="AA319" i="1"/>
  <c r="AI262" i="1"/>
  <c r="AC262" i="1"/>
  <c r="AG262" i="1"/>
  <c r="AK262" i="1"/>
  <c r="AD262" i="1"/>
  <c r="AH262" i="1"/>
  <c r="AL262" i="1"/>
  <c r="H315" i="1"/>
  <c r="H308" i="1"/>
  <c r="H304" i="1"/>
  <c r="H300" i="1"/>
  <c r="H295" i="1"/>
  <c r="H293" i="1"/>
  <c r="H263" i="1"/>
  <c r="H239" i="1"/>
  <c r="H133" i="1"/>
  <c r="H93" i="1"/>
  <c r="H86" i="1"/>
  <c r="H74" i="1"/>
  <c r="H64" i="1"/>
  <c r="H36" i="1"/>
  <c r="H28" i="1"/>
  <c r="BA319" i="1" l="1"/>
  <c r="E313" i="1"/>
  <c r="E312" i="1" s="1"/>
  <c r="BI11" i="1"/>
  <c r="BI262" i="1" s="1"/>
  <c r="AS318" i="1"/>
  <c r="AC318" i="1"/>
  <c r="BR318" i="1"/>
  <c r="AY318" i="1"/>
  <c r="AJ318" i="1"/>
  <c r="AR318" i="1"/>
  <c r="AU318" i="1"/>
  <c r="AP318" i="1"/>
  <c r="AT318" i="1"/>
  <c r="BQ318" i="1"/>
  <c r="AN292" i="1"/>
  <c r="AN320" i="1" s="1"/>
  <c r="BM318" i="1"/>
  <c r="AB292" i="1"/>
  <c r="AB320" i="1" s="1"/>
  <c r="AD318" i="1"/>
  <c r="AX318" i="1"/>
  <c r="AV318" i="1"/>
  <c r="BP318" i="1"/>
  <c r="BA292" i="1"/>
  <c r="BA320" i="1" s="1"/>
  <c r="AE318" i="1"/>
  <c r="AW318" i="1"/>
  <c r="AH318" i="1"/>
  <c r="BO318" i="1"/>
  <c r="BB292" i="1"/>
  <c r="BB320" i="1" s="1"/>
  <c r="AI318" i="1"/>
  <c r="AL318" i="1"/>
  <c r="AG318" i="1"/>
  <c r="AO292" i="1"/>
  <c r="AO320" i="1" s="1"/>
  <c r="BS318" i="1"/>
  <c r="BF318" i="1"/>
  <c r="AQ318" i="1"/>
  <c r="AK318" i="1"/>
  <c r="BL318" i="1"/>
  <c r="AA292" i="1"/>
  <c r="AA320" i="1" s="1"/>
  <c r="BJ292" i="1"/>
  <c r="BJ320" i="1" s="1"/>
  <c r="BJ262" i="1"/>
  <c r="BB262" i="1"/>
  <c r="AO262" i="1"/>
  <c r="BT318" i="1"/>
  <c r="BN318" i="1"/>
  <c r="BI292" i="1"/>
  <c r="BI320" i="1" s="1"/>
  <c r="BK318" i="1"/>
  <c r="BG318" i="1"/>
  <c r="BC318" i="1"/>
  <c r="BA262" i="1"/>
  <c r="AB262" i="1"/>
  <c r="AA262" i="1"/>
  <c r="H292" i="1"/>
  <c r="BE318" i="1"/>
  <c r="AN262" i="1"/>
  <c r="BD318" i="1"/>
  <c r="AF318" i="1"/>
  <c r="BA318" i="1" l="1"/>
  <c r="D5" i="5" s="1"/>
  <c r="AB318" i="1"/>
  <c r="AA318" i="1"/>
  <c r="AN318" i="1"/>
  <c r="BB318" i="1"/>
  <c r="AO318" i="1"/>
  <c r="BJ318" i="1"/>
  <c r="BI318" i="1"/>
  <c r="E304" i="1"/>
  <c r="E295" i="1"/>
  <c r="E293" i="1"/>
  <c r="E239" i="1"/>
  <c r="Y319" i="1"/>
  <c r="R319" i="1"/>
  <c r="Q319" i="1"/>
  <c r="P319" i="1"/>
  <c r="O319" i="1"/>
  <c r="N319" i="1"/>
  <c r="M319" i="1"/>
  <c r="L319" i="1"/>
  <c r="K319" i="1"/>
  <c r="I319" i="1"/>
  <c r="Y315" i="1"/>
  <c r="R315" i="1"/>
  <c r="Q315" i="1"/>
  <c r="P315" i="1"/>
  <c r="O315" i="1"/>
  <c r="N315" i="1"/>
  <c r="M315" i="1"/>
  <c r="L315" i="1"/>
  <c r="K315" i="1"/>
  <c r="I315" i="1"/>
  <c r="G315" i="1"/>
  <c r="Y308" i="1"/>
  <c r="R308" i="1"/>
  <c r="Q308" i="1"/>
  <c r="P308" i="1"/>
  <c r="O308" i="1"/>
  <c r="N308" i="1"/>
  <c r="M308" i="1"/>
  <c r="L308" i="1"/>
  <c r="K308" i="1"/>
  <c r="I308" i="1"/>
  <c r="G308" i="1"/>
  <c r="Y304" i="1"/>
  <c r="R304" i="1"/>
  <c r="Q304" i="1"/>
  <c r="P304" i="1"/>
  <c r="O304" i="1"/>
  <c r="N304" i="1"/>
  <c r="M304" i="1"/>
  <c r="L304" i="1"/>
  <c r="K304" i="1"/>
  <c r="I304" i="1"/>
  <c r="G304" i="1"/>
  <c r="Y300" i="1"/>
  <c r="R300" i="1"/>
  <c r="Q300" i="1"/>
  <c r="P300" i="1"/>
  <c r="O300" i="1"/>
  <c r="N300" i="1"/>
  <c r="M300" i="1"/>
  <c r="L300" i="1"/>
  <c r="K300" i="1"/>
  <c r="I300" i="1"/>
  <c r="G300" i="1"/>
  <c r="Y295" i="1"/>
  <c r="R295" i="1"/>
  <c r="Q295" i="1"/>
  <c r="P295" i="1"/>
  <c r="O295" i="1"/>
  <c r="N295" i="1"/>
  <c r="M295" i="1"/>
  <c r="L295" i="1"/>
  <c r="K295" i="1"/>
  <c r="I295" i="1"/>
  <c r="G295" i="1"/>
  <c r="Y293" i="1"/>
  <c r="R293" i="1"/>
  <c r="Q293" i="1"/>
  <c r="P293" i="1"/>
  <c r="O293" i="1"/>
  <c r="N293" i="1"/>
  <c r="M293" i="1"/>
  <c r="L293" i="1"/>
  <c r="K293" i="1"/>
  <c r="I293" i="1"/>
  <c r="G293" i="1"/>
  <c r="Y263" i="1"/>
  <c r="R263" i="1"/>
  <c r="Q263" i="1"/>
  <c r="P263" i="1"/>
  <c r="O263" i="1"/>
  <c r="N263" i="1"/>
  <c r="M263" i="1"/>
  <c r="L263" i="1"/>
  <c r="K263" i="1"/>
  <c r="I263" i="1"/>
  <c r="Y239" i="1"/>
  <c r="R239" i="1"/>
  <c r="Q239" i="1"/>
  <c r="P239" i="1"/>
  <c r="O239" i="1"/>
  <c r="N239" i="1"/>
  <c r="M239" i="1"/>
  <c r="L239" i="1"/>
  <c r="K239" i="1"/>
  <c r="I239" i="1"/>
  <c r="G239" i="1"/>
  <c r="Y133" i="1"/>
  <c r="R133" i="1"/>
  <c r="Q133" i="1"/>
  <c r="P133" i="1"/>
  <c r="O133" i="1"/>
  <c r="N133" i="1"/>
  <c r="M133" i="1"/>
  <c r="L133" i="1"/>
  <c r="K133" i="1"/>
  <c r="I133" i="1"/>
  <c r="G133" i="1"/>
  <c r="Y93" i="1"/>
  <c r="R93" i="1"/>
  <c r="Q93" i="1"/>
  <c r="P93" i="1"/>
  <c r="O93" i="1"/>
  <c r="N93" i="1"/>
  <c r="M93" i="1"/>
  <c r="L93" i="1"/>
  <c r="K93" i="1"/>
  <c r="I93" i="1"/>
  <c r="G93" i="1"/>
  <c r="Y86" i="1"/>
  <c r="R86" i="1"/>
  <c r="Q86" i="1"/>
  <c r="P86" i="1"/>
  <c r="O86" i="1"/>
  <c r="N86" i="1"/>
  <c r="M86" i="1"/>
  <c r="L86" i="1"/>
  <c r="K86" i="1"/>
  <c r="I86" i="1"/>
  <c r="G86" i="1"/>
  <c r="R74" i="1"/>
  <c r="Q74" i="1"/>
  <c r="P74" i="1"/>
  <c r="O74" i="1"/>
  <c r="N74" i="1"/>
  <c r="M74" i="1"/>
  <c r="L74" i="1"/>
  <c r="K74" i="1"/>
  <c r="I74" i="1"/>
  <c r="G74" i="1"/>
  <c r="Y64" i="1"/>
  <c r="R64" i="1"/>
  <c r="Q64" i="1"/>
  <c r="P64" i="1"/>
  <c r="O64" i="1"/>
  <c r="N64" i="1"/>
  <c r="M64" i="1"/>
  <c r="L64" i="1"/>
  <c r="K64" i="1"/>
  <c r="I64" i="1"/>
  <c r="G64" i="1"/>
  <c r="Y36" i="1"/>
  <c r="R36" i="1"/>
  <c r="Q36" i="1"/>
  <c r="P36" i="1"/>
  <c r="O36" i="1"/>
  <c r="N36" i="1"/>
  <c r="M36" i="1"/>
  <c r="L36" i="1"/>
  <c r="K36" i="1"/>
  <c r="I36" i="1"/>
  <c r="G36" i="1"/>
  <c r="Y28" i="1"/>
  <c r="R28" i="1"/>
  <c r="Q28" i="1"/>
  <c r="P28" i="1"/>
  <c r="O28" i="1"/>
  <c r="N28" i="1"/>
  <c r="M28" i="1"/>
  <c r="L28" i="1"/>
  <c r="K28" i="1"/>
  <c r="I28" i="1"/>
  <c r="G28" i="1"/>
  <c r="Y11" i="1"/>
  <c r="R11" i="1"/>
  <c r="Q11" i="1"/>
  <c r="P11" i="1"/>
  <c r="O11" i="1"/>
  <c r="N11" i="1"/>
  <c r="M11" i="1"/>
  <c r="L11" i="1"/>
  <c r="K11" i="1"/>
  <c r="I11" i="1"/>
  <c r="D315" i="1"/>
  <c r="D308" i="1"/>
  <c r="D304" i="1"/>
  <c r="D300" i="1"/>
  <c r="D295" i="1"/>
  <c r="D293" i="1"/>
  <c r="D239" i="1"/>
  <c r="D133" i="1"/>
  <c r="D86" i="1"/>
  <c r="D74" i="1"/>
  <c r="D64" i="1"/>
  <c r="D36" i="1"/>
  <c r="D28" i="1"/>
  <c r="E315" i="1"/>
  <c r="B13" i="5" l="1"/>
  <c r="E86" i="1"/>
  <c r="E64" i="1"/>
  <c r="E74" i="1"/>
  <c r="O292" i="1"/>
  <c r="O320" i="1" s="1"/>
  <c r="I292" i="1"/>
  <c r="I320" i="1" s="1"/>
  <c r="N292" i="1"/>
  <c r="N320" i="1" s="1"/>
  <c r="R292" i="1"/>
  <c r="R320" i="1" s="1"/>
  <c r="K292" i="1"/>
  <c r="K320" i="1" s="1"/>
  <c r="Y292" i="1"/>
  <c r="Y320" i="1" s="1"/>
  <c r="L292" i="1"/>
  <c r="L320" i="1" s="1"/>
  <c r="P292" i="1"/>
  <c r="P320" i="1" s="1"/>
  <c r="G292" i="1"/>
  <c r="M292" i="1"/>
  <c r="M320" i="1" s="1"/>
  <c r="Q292" i="1"/>
  <c r="Q320" i="1" s="1"/>
  <c r="E93" i="1"/>
  <c r="E28" i="1"/>
  <c r="E36" i="1"/>
  <c r="I262" i="1"/>
  <c r="E133" i="1"/>
  <c r="E300" i="1"/>
  <c r="E308" i="1"/>
  <c r="D292" i="1"/>
  <c r="M262" i="1"/>
  <c r="K262" i="1"/>
  <c r="O262" i="1"/>
  <c r="R262" i="1"/>
  <c r="Q262" i="1"/>
  <c r="N262" i="1"/>
  <c r="L262" i="1"/>
  <c r="P262" i="1"/>
  <c r="Y262" i="1"/>
  <c r="T91" i="4"/>
  <c r="S91" i="4" s="1"/>
  <c r="T70" i="4"/>
  <c r="S70" i="4" s="1"/>
  <c r="T156" i="4"/>
  <c r="S156" i="4" s="1"/>
  <c r="T155" i="4"/>
  <c r="S155" i="4" s="1"/>
  <c r="T151" i="4"/>
  <c r="S151" i="4" s="1"/>
  <c r="T150" i="4"/>
  <c r="S150" i="4" s="1"/>
  <c r="T142" i="4"/>
  <c r="S142" i="4" s="1"/>
  <c r="T132" i="4"/>
  <c r="S132" i="4" s="1"/>
  <c r="T131" i="4"/>
  <c r="S131" i="4" s="1"/>
  <c r="T141" i="4"/>
  <c r="S141" i="4" s="1"/>
  <c r="T129" i="4"/>
  <c r="T140" i="4"/>
  <c r="S140" i="4" s="1"/>
  <c r="T139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6" i="4"/>
  <c r="F156" i="4" s="1"/>
  <c r="G155" i="4"/>
  <c r="G151" i="4"/>
  <c r="F151" i="4" s="1"/>
  <c r="G150" i="4"/>
  <c r="F150" i="4" s="1"/>
  <c r="G142" i="4"/>
  <c r="F142" i="4" s="1"/>
  <c r="G132" i="4"/>
  <c r="F132" i="4" s="1"/>
  <c r="G131" i="4"/>
  <c r="F131" i="4" s="1"/>
  <c r="G141" i="4"/>
  <c r="F141" i="4" s="1"/>
  <c r="G129" i="4"/>
  <c r="G140" i="4"/>
  <c r="F140" i="4" s="1"/>
  <c r="G139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4" i="4"/>
  <c r="AD153" i="4" s="1"/>
  <c r="AC154" i="4"/>
  <c r="AC153" i="4" s="1"/>
  <c r="AB154" i="4"/>
  <c r="AB153" i="4" s="1"/>
  <c r="AA154" i="4"/>
  <c r="AA153" i="4" s="1"/>
  <c r="Z154" i="4"/>
  <c r="Z153" i="4" s="1"/>
  <c r="Y154" i="4"/>
  <c r="Y153" i="4" s="1"/>
  <c r="X154" i="4"/>
  <c r="X153" i="4" s="1"/>
  <c r="W154" i="4"/>
  <c r="W153" i="4" s="1"/>
  <c r="V154" i="4"/>
  <c r="V153" i="4" s="1"/>
  <c r="U154" i="4"/>
  <c r="U153" i="4" s="1"/>
  <c r="AD149" i="4"/>
  <c r="AC149" i="4"/>
  <c r="AB149" i="4"/>
  <c r="AA149" i="4"/>
  <c r="Z149" i="4"/>
  <c r="Y149" i="4"/>
  <c r="X149" i="4"/>
  <c r="W149" i="4"/>
  <c r="V149" i="4"/>
  <c r="U149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4" i="4"/>
  <c r="Q153" i="4" s="1"/>
  <c r="P154" i="4"/>
  <c r="P153" i="4" s="1"/>
  <c r="O154" i="4"/>
  <c r="O153" i="4" s="1"/>
  <c r="N154" i="4"/>
  <c r="N153" i="4" s="1"/>
  <c r="M154" i="4"/>
  <c r="M153" i="4" s="1"/>
  <c r="L154" i="4"/>
  <c r="L153" i="4" s="1"/>
  <c r="K154" i="4"/>
  <c r="K153" i="4" s="1"/>
  <c r="J154" i="4"/>
  <c r="J153" i="4" s="1"/>
  <c r="I154" i="4"/>
  <c r="I153" i="4" s="1"/>
  <c r="H154" i="4"/>
  <c r="H153" i="4" s="1"/>
  <c r="Q149" i="4"/>
  <c r="P149" i="4"/>
  <c r="O149" i="4"/>
  <c r="N149" i="4"/>
  <c r="M149" i="4"/>
  <c r="L149" i="4"/>
  <c r="K149" i="4"/>
  <c r="J149" i="4"/>
  <c r="I149" i="4"/>
  <c r="H149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50" i="4"/>
  <c r="AE151" i="4"/>
  <c r="R68" i="4"/>
  <c r="E68" i="4"/>
  <c r="R65" i="4"/>
  <c r="E65" i="4"/>
  <c r="E64" i="4" s="1"/>
  <c r="T89" i="4" l="1"/>
  <c r="T88" i="4" s="1"/>
  <c r="S129" i="4"/>
  <c r="S127" i="4" s="1"/>
  <c r="T127" i="4"/>
  <c r="G137" i="4"/>
  <c r="F129" i="4"/>
  <c r="F127" i="4" s="1"/>
  <c r="G127" i="4"/>
  <c r="T137" i="4"/>
  <c r="F139" i="4"/>
  <c r="F137" i="4" s="1"/>
  <c r="S139" i="4"/>
  <c r="S137" i="4" s="1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18" i="1"/>
  <c r="V55" i="4"/>
  <c r="Z55" i="4"/>
  <c r="M318" i="1"/>
  <c r="E292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7" i="4"/>
  <c r="AB147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7" i="4"/>
  <c r="Z147" i="4"/>
  <c r="AD147" i="4"/>
  <c r="AF19" i="4"/>
  <c r="AF25" i="4"/>
  <c r="W35" i="4"/>
  <c r="AA35" i="4"/>
  <c r="X75" i="4"/>
  <c r="X71" i="4" s="1"/>
  <c r="AB75" i="4"/>
  <c r="AB71" i="4" s="1"/>
  <c r="AF108" i="4"/>
  <c r="T149" i="4"/>
  <c r="AF106" i="4"/>
  <c r="AF111" i="4"/>
  <c r="AF116" i="4"/>
  <c r="AF120" i="4"/>
  <c r="AF141" i="4"/>
  <c r="AF150" i="4"/>
  <c r="AF70" i="4"/>
  <c r="P318" i="1"/>
  <c r="R318" i="1"/>
  <c r="K318" i="1"/>
  <c r="O318" i="1"/>
  <c r="Y318" i="1"/>
  <c r="N318" i="1"/>
  <c r="Q318" i="1"/>
  <c r="L318" i="1"/>
  <c r="AF38" i="4"/>
  <c r="AF43" i="4"/>
  <c r="S88" i="4"/>
  <c r="Z16" i="4"/>
  <c r="Z15" i="4" s="1"/>
  <c r="T36" i="4"/>
  <c r="X35" i="4"/>
  <c r="AB35" i="4"/>
  <c r="V35" i="4"/>
  <c r="AD35" i="4"/>
  <c r="AC147" i="4"/>
  <c r="AF98" i="4"/>
  <c r="AF102" i="4"/>
  <c r="T68" i="4"/>
  <c r="AF131" i="4"/>
  <c r="AF151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40" i="4"/>
  <c r="AF132" i="4"/>
  <c r="Y147" i="4"/>
  <c r="AF104" i="4"/>
  <c r="AF118" i="4"/>
  <c r="G23" i="4"/>
  <c r="AC26" i="4"/>
  <c r="AC50" i="4"/>
  <c r="AC47" i="4" s="1"/>
  <c r="AF22" i="4"/>
  <c r="AF61" i="4"/>
  <c r="AF99" i="4"/>
  <c r="AF103" i="4"/>
  <c r="AF142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6" i="4"/>
  <c r="AF69" i="4"/>
  <c r="Z35" i="4"/>
  <c r="T154" i="4"/>
  <c r="T153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7" i="4"/>
  <c r="S154" i="4"/>
  <c r="S153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9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7" i="4"/>
  <c r="AA147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5" i="4"/>
  <c r="AF155" i="4" s="1"/>
  <c r="G154" i="4"/>
  <c r="G153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9" i="4"/>
  <c r="F17" i="4"/>
  <c r="F36" i="4"/>
  <c r="F68" i="4"/>
  <c r="F81" i="4"/>
  <c r="F65" i="4"/>
  <c r="F64" i="4" s="1"/>
  <c r="F149" i="4"/>
  <c r="G58" i="4"/>
  <c r="G55" i="4" s="1"/>
  <c r="G81" i="4"/>
  <c r="G65" i="4"/>
  <c r="G64" i="4" s="1"/>
  <c r="M147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7" i="4"/>
  <c r="J35" i="4"/>
  <c r="K50" i="4"/>
  <c r="K47" i="4" s="1"/>
  <c r="O50" i="4"/>
  <c r="O47" i="4" s="1"/>
  <c r="H26" i="4"/>
  <c r="L26" i="4"/>
  <c r="P26" i="4"/>
  <c r="I147" i="4"/>
  <c r="M26" i="4"/>
  <c r="I75" i="4"/>
  <c r="I71" i="4" s="1"/>
  <c r="M75" i="4"/>
  <c r="M71" i="4" s="1"/>
  <c r="I55" i="4"/>
  <c r="M55" i="4"/>
  <c r="Q55" i="4"/>
  <c r="J55" i="4"/>
  <c r="N55" i="4"/>
  <c r="K147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7" i="4"/>
  <c r="J147" i="4"/>
  <c r="N147" i="4"/>
  <c r="H147" i="4"/>
  <c r="L147" i="4"/>
  <c r="P147" i="4"/>
  <c r="F126" i="4" l="1"/>
  <c r="F125" i="4" s="1"/>
  <c r="G126" i="4"/>
  <c r="G125" i="4" s="1"/>
  <c r="AF129" i="4"/>
  <c r="AF127" i="4" s="1"/>
  <c r="AF139" i="4"/>
  <c r="AF137" i="4" s="1"/>
  <c r="T126" i="4"/>
  <c r="T125" i="4" s="1"/>
  <c r="S126" i="4"/>
  <c r="S125" i="4" s="1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4" i="4"/>
  <c r="F153" i="4" s="1"/>
  <c r="F147" i="4" s="1"/>
  <c r="AF149" i="4"/>
  <c r="AF36" i="4"/>
  <c r="G16" i="4"/>
  <c r="G15" i="4" s="1"/>
  <c r="T147" i="4"/>
  <c r="AB93" i="4"/>
  <c r="AB8" i="4" s="1"/>
  <c r="AB160" i="4" s="1"/>
  <c r="U93" i="4"/>
  <c r="U8" i="4" s="1"/>
  <c r="U160" i="4" s="1"/>
  <c r="G35" i="4"/>
  <c r="T75" i="4"/>
  <c r="T71" i="4" s="1"/>
  <c r="AF154" i="4"/>
  <c r="AF153" i="4" s="1"/>
  <c r="AA93" i="4"/>
  <c r="AA8" i="4" s="1"/>
  <c r="AA160" i="4" s="1"/>
  <c r="AF68" i="4"/>
  <c r="T55" i="4"/>
  <c r="AF88" i="4"/>
  <c r="T16" i="4"/>
  <c r="T15" i="4" s="1"/>
  <c r="AF39" i="4"/>
  <c r="G147" i="4"/>
  <c r="G47" i="4"/>
  <c r="S147" i="4"/>
  <c r="F35" i="4"/>
  <c r="S35" i="4"/>
  <c r="X93" i="4"/>
  <c r="X8" i="4" s="1"/>
  <c r="X160" i="4" s="1"/>
  <c r="T47" i="4"/>
  <c r="W93" i="4"/>
  <c r="W159" i="4" s="1"/>
  <c r="AD93" i="4"/>
  <c r="AD8" i="4" s="1"/>
  <c r="AD160" i="4" s="1"/>
  <c r="S23" i="4"/>
  <c r="AF24" i="4"/>
  <c r="AF23" i="4" s="1"/>
  <c r="S81" i="4"/>
  <c r="AF82" i="4"/>
  <c r="AF81" i="4" s="1"/>
  <c r="S48" i="4"/>
  <c r="AF48" i="4"/>
  <c r="Z93" i="4"/>
  <c r="Z8" i="4" s="1"/>
  <c r="Z160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60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9" i="4" s="1"/>
  <c r="Y93" i="4"/>
  <c r="Y8" i="4" s="1"/>
  <c r="Y160" i="4" s="1"/>
  <c r="F75" i="4"/>
  <c r="F71" i="4" s="1"/>
  <c r="G75" i="4"/>
  <c r="G71" i="4" s="1"/>
  <c r="J93" i="4"/>
  <c r="J8" i="4" s="1"/>
  <c r="J160" i="4" s="1"/>
  <c r="Q93" i="4"/>
  <c r="Q8" i="4" s="1"/>
  <c r="Q160" i="4" s="1"/>
  <c r="I93" i="4"/>
  <c r="I159" i="4" s="1"/>
  <c r="L93" i="4"/>
  <c r="L159" i="4" s="1"/>
  <c r="F16" i="4"/>
  <c r="F15" i="4" s="1"/>
  <c r="N93" i="4"/>
  <c r="N8" i="4" s="1"/>
  <c r="N160" i="4" s="1"/>
  <c r="H93" i="4"/>
  <c r="H8" i="4" s="1"/>
  <c r="H160" i="4" s="1"/>
  <c r="M93" i="4"/>
  <c r="M8" i="4" s="1"/>
  <c r="M160" i="4" s="1"/>
  <c r="K93" i="4"/>
  <c r="K8" i="4" s="1"/>
  <c r="K160" i="4" s="1"/>
  <c r="P93" i="4"/>
  <c r="P8" i="4" s="1"/>
  <c r="P160" i="4" s="1"/>
  <c r="O93" i="4"/>
  <c r="O8" i="4" s="1"/>
  <c r="O160" i="4" s="1"/>
  <c r="AF126" i="4" l="1"/>
  <c r="AF147" i="4"/>
  <c r="D9" i="5"/>
  <c r="AB159" i="4"/>
  <c r="U159" i="4"/>
  <c r="AF16" i="4"/>
  <c r="AF15" i="4" s="1"/>
  <c r="AF35" i="4"/>
  <c r="G93" i="4"/>
  <c r="G159" i="4" s="1"/>
  <c r="J159" i="4"/>
  <c r="AA159" i="4"/>
  <c r="Z159" i="4"/>
  <c r="W8" i="4"/>
  <c r="W160" i="4" s="1"/>
  <c r="T93" i="4"/>
  <c r="T159" i="4" s="1"/>
  <c r="AF26" i="4"/>
  <c r="Y159" i="4"/>
  <c r="AF75" i="4"/>
  <c r="AF71" i="4" s="1"/>
  <c r="Q159" i="4"/>
  <c r="X159" i="4"/>
  <c r="AC159" i="4"/>
  <c r="V8" i="4"/>
  <c r="V160" i="4" s="1"/>
  <c r="S75" i="4"/>
  <c r="S71" i="4" s="1"/>
  <c r="S47" i="4"/>
  <c r="AD159" i="4"/>
  <c r="S16" i="4"/>
  <c r="S15" i="4" s="1"/>
  <c r="S55" i="4"/>
  <c r="I8" i="4"/>
  <c r="I160" i="4" s="1"/>
  <c r="H159" i="4"/>
  <c r="L8" i="4"/>
  <c r="L160" i="4" s="1"/>
  <c r="M159" i="4"/>
  <c r="K159" i="4"/>
  <c r="P159" i="4"/>
  <c r="N159" i="4"/>
  <c r="O159" i="4"/>
  <c r="AF125" i="4" l="1"/>
  <c r="B11" i="5" s="1"/>
  <c r="G8" i="4"/>
  <c r="G160" i="4" s="1"/>
  <c r="T8" i="4"/>
  <c r="T160" i="4" s="1"/>
  <c r="S93" i="4"/>
  <c r="S159" i="4" s="1"/>
  <c r="S8" i="4" l="1"/>
  <c r="S160" i="4" s="1"/>
  <c r="E51" i="4" l="1"/>
  <c r="AE37" i="4" l="1"/>
  <c r="E96" i="4" l="1"/>
  <c r="AE141" i="4"/>
  <c r="F96" i="4" l="1"/>
  <c r="F23" i="1"/>
  <c r="AF96" i="4" l="1"/>
  <c r="D23" i="1"/>
  <c r="G23" i="1"/>
  <c r="E23" i="1" s="1"/>
  <c r="AE142" i="4"/>
  <c r="D11" i="1" l="1"/>
  <c r="D262" i="1" l="1"/>
  <c r="D265" i="1"/>
  <c r="G265" i="1"/>
  <c r="E54" i="4"/>
  <c r="F54" i="4" s="1"/>
  <c r="AF54" i="4" s="1"/>
  <c r="AF53" i="4" s="1"/>
  <c r="F53" i="4" l="1"/>
  <c r="F50" i="4" s="1"/>
  <c r="F47" i="4" s="1"/>
  <c r="E265" i="1"/>
  <c r="E263" i="1" s="1"/>
  <c r="B10" i="5" s="1"/>
  <c r="G263" i="1"/>
  <c r="D263" i="1"/>
  <c r="D320" i="1" s="1"/>
  <c r="D319" i="1"/>
  <c r="AE114" i="4"/>
  <c r="D318" i="1" l="1"/>
  <c r="F315" i="1"/>
  <c r="BH319" i="1"/>
  <c r="BH315" i="1"/>
  <c r="AZ315" i="1"/>
  <c r="AM315" i="1"/>
  <c r="Z315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9" i="4"/>
  <c r="F8" i="4"/>
  <c r="F160" i="4" s="1"/>
  <c r="B4" i="5"/>
  <c r="AF159" i="4"/>
  <c r="BH308" i="1"/>
  <c r="AZ308" i="1"/>
  <c r="AM308" i="1"/>
  <c r="Z308" i="1"/>
  <c r="F308" i="1"/>
  <c r="BH304" i="1"/>
  <c r="AZ304" i="1"/>
  <c r="AM304" i="1"/>
  <c r="Z304" i="1"/>
  <c r="F304" i="1"/>
  <c r="BH300" i="1"/>
  <c r="AZ300" i="1"/>
  <c r="AM300" i="1"/>
  <c r="Z300" i="1"/>
  <c r="F300" i="1"/>
  <c r="BH295" i="1"/>
  <c r="AZ295" i="1"/>
  <c r="AM295" i="1"/>
  <c r="Z295" i="1"/>
  <c r="F295" i="1"/>
  <c r="BH293" i="1"/>
  <c r="AZ293" i="1"/>
  <c r="AM293" i="1"/>
  <c r="Z293" i="1"/>
  <c r="F293" i="1"/>
  <c r="AF8" i="4" l="1"/>
  <c r="AF160" i="4" s="1"/>
  <c r="AM292" i="1"/>
  <c r="AZ292" i="1"/>
  <c r="Z292" i="1"/>
  <c r="BH292" i="1"/>
  <c r="F292" i="1"/>
  <c r="BH263" i="1"/>
  <c r="AZ263" i="1"/>
  <c r="AM263" i="1"/>
  <c r="Z263" i="1"/>
  <c r="AE120" i="4" l="1"/>
  <c r="AE119" i="4"/>
  <c r="R62" i="4" l="1"/>
  <c r="AE103" i="4" l="1"/>
  <c r="AE69" i="4" l="1"/>
  <c r="AE63" i="4" l="1"/>
  <c r="E154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9" i="4" l="1"/>
  <c r="AE140" i="4"/>
  <c r="AE129" i="4"/>
  <c r="AE131" i="4"/>
  <c r="AE132" i="4"/>
  <c r="AE127" i="4" l="1"/>
  <c r="AE137" i="4"/>
  <c r="R72" i="4"/>
  <c r="E72" i="4"/>
  <c r="AE126" i="4" l="1"/>
  <c r="AE125" i="4" s="1"/>
  <c r="AE33" i="4"/>
  <c r="AE32" i="4" s="1"/>
  <c r="AE13" i="4" l="1"/>
  <c r="AE12" i="4" s="1"/>
  <c r="BH239" i="1" l="1"/>
  <c r="AE156" i="4" l="1"/>
  <c r="AE155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4" i="4" l="1"/>
  <c r="AE153" i="4" s="1"/>
  <c r="D8" i="5" s="1"/>
  <c r="AE149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4" i="4"/>
  <c r="R153" i="4" s="1"/>
  <c r="R149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AE35" i="4"/>
  <c r="AE11" i="4"/>
  <c r="AE10" i="4" s="1"/>
  <c r="R35" i="4"/>
  <c r="R50" i="4"/>
  <c r="R47" i="4" s="1"/>
  <c r="R16" i="4"/>
  <c r="R15" i="4" s="1"/>
  <c r="AE50" i="4"/>
  <c r="AE47" i="4" s="1"/>
  <c r="AE26" i="4"/>
  <c r="R26" i="4"/>
  <c r="R75" i="4"/>
  <c r="R71" i="4" s="1"/>
  <c r="R147" i="4"/>
  <c r="AE147" i="4"/>
  <c r="R93" i="4" l="1"/>
  <c r="R8" i="4" s="1"/>
  <c r="R160" i="4" s="1"/>
  <c r="R159" i="4" l="1"/>
  <c r="BH11" i="1" l="1"/>
  <c r="BH28" i="1"/>
  <c r="BH36" i="1"/>
  <c r="BH64" i="1"/>
  <c r="BH74" i="1"/>
  <c r="BH86" i="1"/>
  <c r="BH93" i="1"/>
  <c r="BH133" i="1"/>
  <c r="BH320" i="1" l="1"/>
  <c r="BH262" i="1"/>
  <c r="BH318" i="1" s="1"/>
  <c r="AE105" i="4" l="1"/>
  <c r="AM64" i="1" l="1"/>
  <c r="E23" i="4" l="1"/>
  <c r="E20" i="4"/>
  <c r="E17" i="4"/>
  <c r="E16" i="4" l="1"/>
  <c r="E45" i="4" l="1"/>
  <c r="E44" i="4" s="1"/>
  <c r="E50" i="4" l="1"/>
  <c r="E149" i="4" l="1"/>
  <c r="E58" i="4"/>
  <c r="E56" i="4"/>
  <c r="E48" i="4"/>
  <c r="E39" i="4"/>
  <c r="E36" i="4"/>
  <c r="E29" i="4"/>
  <c r="E27" i="4"/>
  <c r="E55" i="4" l="1"/>
  <c r="E26" i="4"/>
  <c r="E153" i="4"/>
  <c r="E11" i="4"/>
  <c r="E10" i="4" s="1"/>
  <c r="E35" i="4"/>
  <c r="E47" i="4"/>
  <c r="E147" i="4" l="1"/>
  <c r="E15" i="4"/>
  <c r="Z86" i="1" l="1"/>
  <c r="AM86" i="1"/>
  <c r="AZ86" i="1"/>
  <c r="BU321" i="1" l="1"/>
  <c r="F86" i="1" l="1"/>
  <c r="AZ64" i="1" l="1"/>
  <c r="AZ28" i="1" l="1"/>
  <c r="Z11" i="1"/>
  <c r="AZ11" i="1" l="1"/>
  <c r="AM11" i="1"/>
  <c r="AZ93" i="1" l="1"/>
  <c r="AM93" i="1"/>
  <c r="Z93" i="1" l="1"/>
  <c r="Z74" i="1" l="1"/>
  <c r="AZ74" i="1" l="1"/>
  <c r="AE98" i="4" l="1"/>
  <c r="AE97" i="4" l="1"/>
  <c r="AE90" i="4" l="1"/>
  <c r="AE89" i="4" s="1"/>
  <c r="E89" i="4"/>
  <c r="Z28" i="1" l="1"/>
  <c r="AM28" i="1"/>
  <c r="AM74" i="1" l="1"/>
  <c r="Z64" i="1" l="1"/>
  <c r="F64" i="1" l="1"/>
  <c r="AZ239" i="1" l="1"/>
  <c r="Z239" i="1"/>
  <c r="AM239" i="1"/>
  <c r="AM133" i="1" l="1"/>
  <c r="AZ133" i="1" l="1"/>
  <c r="Z133" i="1"/>
  <c r="AZ36" i="1" l="1"/>
  <c r="AZ319" i="1"/>
  <c r="AM319" i="1"/>
  <c r="AM36" i="1"/>
  <c r="AZ320" i="1" l="1"/>
  <c r="AZ262" i="1"/>
  <c r="AZ318" i="1" s="1"/>
  <c r="AM262" i="1"/>
  <c r="AM318" i="1" s="1"/>
  <c r="AM320" i="1"/>
  <c r="AZ321" i="1" l="1"/>
  <c r="AM321" i="1"/>
  <c r="Z319" i="1" l="1"/>
  <c r="Z36" i="1"/>
  <c r="F36" i="1"/>
  <c r="Z320" i="1" l="1"/>
  <c r="Z262" i="1"/>
  <c r="Z318" i="1" s="1"/>
  <c r="Z321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9" i="4" s="1"/>
  <c r="E71" i="4"/>
  <c r="E93" i="4" l="1"/>
  <c r="E159" i="4" l="1"/>
  <c r="AE99" i="4" l="1"/>
  <c r="F263" i="1" l="1"/>
  <c r="AE100" i="4" l="1"/>
  <c r="AE95" i="4" s="1"/>
  <c r="E8" i="4" l="1"/>
  <c r="AE8" i="4"/>
  <c r="AE160" i="4" s="1"/>
  <c r="E160" i="4" l="1"/>
  <c r="B8" i="5"/>
  <c r="AE162" i="4" l="1"/>
  <c r="F74" i="1" l="1"/>
  <c r="F133" i="1" l="1"/>
  <c r="F93" i="1"/>
  <c r="F11" i="1"/>
  <c r="F28" i="1"/>
  <c r="F239" i="1"/>
  <c r="F319" i="1"/>
  <c r="F262" i="1" l="1"/>
  <c r="F318" i="1" s="1"/>
  <c r="F320" i="1"/>
  <c r="F321" i="1" l="1"/>
  <c r="D321" i="1" l="1"/>
  <c r="H319" i="1"/>
  <c r="H11" i="1"/>
  <c r="H262" i="1" s="1"/>
  <c r="H318" i="1" s="1"/>
  <c r="G12" i="1"/>
  <c r="G319" i="1" l="1"/>
  <c r="E12" i="1"/>
  <c r="H320" i="1"/>
  <c r="G11" i="1"/>
  <c r="E11" i="1" l="1"/>
  <c r="E319" i="1"/>
  <c r="G320" i="1"/>
  <c r="G262" i="1"/>
  <c r="G318" i="1" s="1"/>
  <c r="E262" i="1" l="1"/>
  <c r="E320" i="1"/>
  <c r="E318" i="1" l="1"/>
  <c r="D324" i="1" s="1"/>
  <c r="B5" i="5"/>
  <c r="B7" i="5" s="1"/>
</calcChain>
</file>

<file path=xl/comments1.xml><?xml version="1.0" encoding="utf-8"?>
<comments xmlns="http://schemas.openxmlformats.org/spreadsheetml/2006/main">
  <authors>
    <author>Elina Markaine</author>
    <author>Kristīne Hermane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2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7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  <comment ref="W270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1405 euro - CFLA līdzekļi, LP projektam, kas ir pašv. kontā, bet ko nepieprasīs LP.</t>
        </r>
      </text>
    </comment>
    <comment ref="K284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132 euro ir iekļauta summā 180983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<sst xmlns="http://schemas.openxmlformats.org/spreadsheetml/2006/main" count="1034" uniqueCount="840">
  <si>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</si>
  <si>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</si>
  <si>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</si>
  <si>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</si>
  <si>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</si>
  <si>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</si>
  <si>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</si>
  <si>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</si>
  <si>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</si>
  <si>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</si>
  <si>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</si>
  <si>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</si>
  <si>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</si>
  <si>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</si>
  <si>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</si>
  <si>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</si>
  <si>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</si>
  <si>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</si>
  <si>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</si>
  <si>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</si>
  <si>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</si>
  <si>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</si>
  <si>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</si>
  <si>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</si>
  <si>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</si>
  <si>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</si>
  <si>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</si>
  <si>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</si>
  <si>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</si>
  <si>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</si>
  <si>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</si>
  <si>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</si>
  <si>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</si>
  <si>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</si>
  <si>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</si>
  <si>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</si>
  <si>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</si>
  <si>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</si>
  <si>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</si>
  <si>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</si>
  <si>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</si>
  <si>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</si>
  <si>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</si>
  <si>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</si>
  <si>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</si>
  <si>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</si>
  <si>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</si>
  <si>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</si>
  <si>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</si>
  <si>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</si>
  <si>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</si>
  <si>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</si>
  <si>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</si>
  <si>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</si>
  <si>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</si>
  <si>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</si>
  <si>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</si>
  <si>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</si>
  <si>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</si>
  <si>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</si>
  <si>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</si>
  <si>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</si>
  <si>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</si>
  <si>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</si>
  <si>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</si>
  <si>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</si>
  <si>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</si>
  <si>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</si>
  <si>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</si>
  <si>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</si>
  <si>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</si>
  <si>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</si>
  <si>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</si>
  <si>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</si>
  <si>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</si>
  <si>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</si>
  <si>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</si>
  <si>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</si>
  <si>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</si>
  <si>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</si>
  <si>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</si>
  <si>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</si>
  <si>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</si>
  <si>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</si>
  <si>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</si>
  <si>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</si>
  <si>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</si>
  <si>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</si>
  <si>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</si>
  <si>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</si>
  <si>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</si>
  <si>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</si>
  <si>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</si>
  <si>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</si>
  <si>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</si>
  <si>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</si>
  <si>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</si>
  <si>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</si>
  <si>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</si>
  <si>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</si>
  <si>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</si>
  <si>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</si>
  <si>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</si>
  <si>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</si>
  <si>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</si>
  <si>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</si>
  <si>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</si>
  <si>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</si>
  <si>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</si>
  <si>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</si>
  <si>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</si>
  <si>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</si>
  <si>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</si>
  <si>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</si>
  <si>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</si>
  <si>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</si>
  <si>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</si>
  <si>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</si>
  <si>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</si>
  <si>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</si>
  <si>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</si>
  <si>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</si>
  <si>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</si>
  <si>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</si>
  <si>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</si>
  <si>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</si>
  <si>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</si>
  <si>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</si>
  <si>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</si>
  <si>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</si>
  <si>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</si>
  <si>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</si>
  <si>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</si>
  <si>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</si>
  <si>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</si>
  <si>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</si>
  <si>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</si>
  <si>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</si>
  <si>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</si>
  <si>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</si>
  <si>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</si>
  <si>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</si>
  <si>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</si>
  <si>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</si>
  <si>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</si>
  <si>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</si>
  <si>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</si>
  <si>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</si>
  <si>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</si>
  <si>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</si>
  <si>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</si>
  <si>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</si>
  <si>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</si>
  <si>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</si>
  <si>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</si>
  <si>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</si>
  <si>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</si>
  <si>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</si>
  <si>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</si>
  <si>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</si>
  <si>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</si>
  <si>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</si>
  <si>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</si>
  <si>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</si>
  <si>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</si>
  <si>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</si>
  <si>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</si>
  <si>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</si>
  <si>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</si>
  <si>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</si>
  <si>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</si>
  <si>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</si>
  <si>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</si>
  <si>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</si>
  <si>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</si>
  <si>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</si>
  <si>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</si>
  <si>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</si>
  <si>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</si>
  <si>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</si>
  <si>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</si>
  <si>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</si>
  <si>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</si>
  <si>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</si>
  <si>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</si>
  <si>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</si>
  <si>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</si>
  <si>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</si>
  <si>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</si>
  <si>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</si>
  <si>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</si>
  <si>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</si>
  <si>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</si>
  <si>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</si>
  <si>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</si>
  <si>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</si>
  <si>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</si>
  <si>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</si>
  <si>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</si>
  <si>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</si>
  <si>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</si>
  <si>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</si>
  <si>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</si>
  <si>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</si>
  <si>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</si>
  <si>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</si>
  <si>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</si>
  <si>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</si>
  <si>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</si>
  <si>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</si>
  <si>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</si>
  <si>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</si>
  <si>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</si>
  <si>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</si>
  <si>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</si>
  <si>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</si>
  <si>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</si>
  <si>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</si>
  <si>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</si>
  <si>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</si>
  <si>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</si>
  <si>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</si>
  <si>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</si>
  <si>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</si>
  <si>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</si>
  <si>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</si>
  <si>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</si>
  <si>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</si>
  <si>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</si>
  <si>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</si>
  <si>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</si>
  <si>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</si>
  <si>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</si>
  <si>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</si>
  <si>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</si>
  <si>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</si>
  <si>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</si>
  <si>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</si>
  <si>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</si>
  <si>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</si>
  <si>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</si>
  <si>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</si>
  <si>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</si>
  <si>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</si>
  <si>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</si>
  <si>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</si>
  <si>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</si>
  <si>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</si>
  <si>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</si>
  <si>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</si>
  <si>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</si>
  <si>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</si>
  <si>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</si>
  <si>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</si>
  <si>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</si>
  <si>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</si>
  <si>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</si>
  <si>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</si>
  <si>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</si>
  <si>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</si>
  <si>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</si>
  <si>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</si>
  <si>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</si>
  <si>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</si>
  <si>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</si>
  <si>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</si>
  <si>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</si>
  <si>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</si>
  <si>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</si>
  <si>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</si>
  <si>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</si>
  <si>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</si>
  <si>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</si>
  <si>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</si>
  <si>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</si>
  <si>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</si>
  <si>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</si>
  <si>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</si>
  <si>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</si>
  <si>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</si>
  <si>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</si>
  <si>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</si>
  <si>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</si>
  <si>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</si>
  <si>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</si>
  <si>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</si>
  <si>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</si>
  <si>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</si>
  <si>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</si>
  <si>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</si>
  <si>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</si>
  <si>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</si>
  <si>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</si>
  <si>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</si>
  <si>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</si>
  <si>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</si>
  <si>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</si>
  <si>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</si>
  <si>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</si>
  <si>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</si>
  <si>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</si>
  <si>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</si>
  <si>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</si>
  <si>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</si>
  <si>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</si>
  <si>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</si>
  <si>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</si>
  <si>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</si>
  <si>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</si>
  <si>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</si>
  <si>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</si>
  <si>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</si>
  <si>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</si>
  <si>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</si>
  <si>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</si>
  <si>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</si>
  <si>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</si>
  <si>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</si>
  <si>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</si>
  <si>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</si>
  <si>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</si>
  <si>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</si>
  <si>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</si>
  <si>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</si>
  <si>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</si>
  <si>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</si>
  <si>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</si>
  <si>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</si>
  <si>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</si>
  <si>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</si>
  <si>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</si>
  <si>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</si>
  <si>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</si>
  <si>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</si>
  <si>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</si>
  <si>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</si>
  <si>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</si>
  <si>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</si>
  <si>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</si>
  <si>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</si>
  <si>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</si>
  <si>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</si>
  <si>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</si>
  <si>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</si>
  <si>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</si>
  <si>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</si>
  <si>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</si>
  <si>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</si>
  <si>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</si>
  <si>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</si>
  <si>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</si>
  <si>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</si>
  <si>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</si>
  <si>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</si>
  <si>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</si>
  <si>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</si>
  <si>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</si>
  <si>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</si>
  <si>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</si>
  <si>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</si>
  <si>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</si>
  <si>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</si>
  <si>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</si>
  <si>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</si>
  <si>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</si>
  <si>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</si>
  <si>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</si>
  <si>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</si>
  <si>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</si>
  <si>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</si>
  <si>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</si>
  <si>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</si>
  <si>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</si>
  <si>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</si>
  <si>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</si>
  <si>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</si>
  <si>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</si>
  <si>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</si>
  <si>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</si>
  <si>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</si>
  <si>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</si>
  <si>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</si>
  <si>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</si>
  <si>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</si>
  <si>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</si>
  <si>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</si>
  <si>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</si>
  <si>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</si>
  <si>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</si>
  <si>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</si>
  <si>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</si>
  <si>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</si>
  <si>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</si>
  <si>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</si>
  <si>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</si>
  <si>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</si>
  <si>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</si>
  <si>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</si>
  <si>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</si>
  <si>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</si>
  <si>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</si>
  <si>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</si>
  <si>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</si>
  <si>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</si>
  <si>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</si>
  <si>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</si>
  <si>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</si>
  <si>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</si>
  <si>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</si>
  <si>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</si>
  <si>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</si>
  <si>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</si>
  <si>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</si>
  <si>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</si>
  <si>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</si>
  <si>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</si>
  <si>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</si>
  <si>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</si>
  <si>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</si>
  <si>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</si>
  <si>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</si>
  <si>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</si>
  <si>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</si>
  <si>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</si>
  <si>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</si>
  <si>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</si>
  <si>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</si>
  <si>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</si>
  <si>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</si>
  <si>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</si>
  <si>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</si>
  <si>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</si>
  <si>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</si>
  <si>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</si>
  <si>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</si>
  <si>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</si>
  <si>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</si>
  <si>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</si>
  <si>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</si>
  <si>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</si>
  <si>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</si>
  <si>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</si>
  <si>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</si>
  <si>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</si>
  <si>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</si>
  <si>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</si>
  <si>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</si>
  <si>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</si>
  <si>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</si>
  <si>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</si>
  <si>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</si>
  <si>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</si>
  <si>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</si>
  <si>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</si>
  <si>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</si>
  <si>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</si>
  <si>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</si>
  <si>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</si>
  <si>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</si>
  <si>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</si>
  <si>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</si>
  <si>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</si>
  <si>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</si>
  <si>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</si>
  <si>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</si>
  <si>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</si>
  <si>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</si>
  <si>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</si>
  <si>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</si>
  <si>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</si>
  <si>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</si>
  <si>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</si>
  <si>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</si>
  <si>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</si>
  <si>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</si>
  <si>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</si>
  <si>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</si>
  <si>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</si>
  <si>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</si>
  <si>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</si>
  <si>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</si>
  <si>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</si>
  <si>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</si>
  <si>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</si>
  <si>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</si>
  <si>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</si>
  <si>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</si>
  <si>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</si>
  <si>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</si>
  <si>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</si>
  <si>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</si>
  <si>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</si>
  <si>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</si>
  <si>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</si>
  <si>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</si>
  <si>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</si>
  <si>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</si>
  <si>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</si>
  <si>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</si>
  <si>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</si>
  <si>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</si>
  <si>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</si>
  <si>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</si>
  <si>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</si>
  <si>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</si>
  <si>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</si>
  <si>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</si>
  <si>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</si>
  <si>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</si>
  <si>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</si>
  <si>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</si>
  <si>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</si>
  <si>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</si>
  <si>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</si>
  <si>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</si>
  <si>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</si>
  <si>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</si>
  <si>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</si>
  <si>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</si>
  <si>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</si>
  <si>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</si>
  <si>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</si>
  <si>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</si>
  <si>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</si>
  <si>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</si>
  <si>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</si>
  <si>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</si>
  <si>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</si>
  <si>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</si>
  <si>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</si>
  <si>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</si>
  <si>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</si>
  <si>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</si>
  <si>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</si>
  <si>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</si>
  <si>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</si>
  <si>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</si>
  <si>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</si>
  <si>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</si>
  <si>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</si>
  <si>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</si>
  <si>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</si>
  <si>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</si>
  <si>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</si>
  <si>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</si>
  <si>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</si>
  <si>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</si>
  <si>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</si>
  <si>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</si>
  <si>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</si>
  <si>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</si>
  <si>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</si>
  <si>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</si>
  <si>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</si>
  <si>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</si>
  <si>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</si>
  <si>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</si>
  <si>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</si>
  <si>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</si>
  <si>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</si>
  <si>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</si>
  <si>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</si>
  <si>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</si>
  <si>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</si>
  <si>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</si>
  <si>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</si>
  <si>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</si>
  <si>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</si>
  <si>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</si>
  <si>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</si>
  <si>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</si>
  <si>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</si>
  <si>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</si>
  <si>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</si>
  <si>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</si>
  <si>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</si>
  <si>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</si>
  <si>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</si>
  <si>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</si>
  <si>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</si>
  <si>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</si>
  <si>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</si>
  <si>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</si>
  <si>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</si>
  <si>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</si>
  <si>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</si>
  <si>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</si>
  <si>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</si>
  <si>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</si>
  <si>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</si>
  <si>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</si>
  <si>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</si>
  <si>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</si>
  <si>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</si>
  <si>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</si>
  <si>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</si>
  <si>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</si>
  <si>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</si>
  <si>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</si>
  <si>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</si>
  <si>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</si>
  <si>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</si>
  <si>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</si>
  <si>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</si>
  <si>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</si>
  <si>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</si>
  <si>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</si>
  <si>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</si>
  <si>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</si>
  <si>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</si>
  <si>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</si>
  <si>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</si>
  <si>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</si>
  <si>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</si>
  <si>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</si>
  <si>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</si>
  <si>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</si>
  <si>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</si>
  <si>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</si>
  <si>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</si>
  <si>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</si>
  <si>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</si>
  <si>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</si>
  <si>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</si>
  <si>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</si>
  <si>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</si>
  <si>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</si>
  <si>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</si>
  <si>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</si>
  <si>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</si>
  <si>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</si>
  <si>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</si>
  <si>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</si>
  <si>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</si>
  <si>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</si>
  <si>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</si>
  <si>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</si>
  <si>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</si>
  <si>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</si>
  <si>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</si>
  <si>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</si>
  <si>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</si>
  <si>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</si>
  <si>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</si>
  <si>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</si>
  <si>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</si>
  <si>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</si>
  <si>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</si>
  <si>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</si>
  <si>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</si>
  <si>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</si>
  <si>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</si>
  <si>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</si>
  <si>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</si>
  <si>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</si>
  <si>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</si>
  <si>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</si>
  <si>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</si>
  <si>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</si>
  <si>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</si>
  <si>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</si>
  <si>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</si>
  <si>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</si>
  <si>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</si>
  <si>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</si>
  <si>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</si>
  <si>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</si>
  <si>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</si>
  <si>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</si>
  <si>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</si>
  <si>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</si>
  <si>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</si>
  <si>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</si>
  <si>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</si>
  <si>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</si>
  <si>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</si>
  <si>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</si>
  <si>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</si>
  <si>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</si>
  <si>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</si>
  <si>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</si>
  <si>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</si>
  <si>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</si>
  <si>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</si>
  <si>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</si>
  <si>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</si>
  <si>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</si>
  <si>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</si>
  <si>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</si>
  <si>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</si>
  <si>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</si>
  <si>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</si>
  <si>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</si>
  <si>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</si>
  <si>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</si>
  <si>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</si>
  <si>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</si>
  <si>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</si>
  <si>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</si>
  <si>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</si>
  <si>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</si>
  <si>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</si>
  <si>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</si>
  <si>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</si>
  <si>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</si>
  <si>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</si>
  <si>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</si>
  <si>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</si>
  <si>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</si>
  <si>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</si>
  <si>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</si>
  <si>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</si>
  <si>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</si>
  <si>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</si>
  <si>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</si>
  <si>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</si>
  <si>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</si>
  <si>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</si>
  <si>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</si>
  <si>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</si>
  <si>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</si>
  <si>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</si>
  <si>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</si>
  <si>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</si>
  <si>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</si>
  <si>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</si>
  <si>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</si>
  <si>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</si>
  <si>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</si>
  <si>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</si>
  <si>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</si>
  <si>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</si>
  <si>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</si>
  <si>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</si>
  <si>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</si>
  <si>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</si>
  <si>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</si>
  <si>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</si>
  <si>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</si>
  <si>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</si>
  <si>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</si>
  <si>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</si>
  <si>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</si>
  <si>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</si>
  <si>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</si>
  <si>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</si>
  <si>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</si>
  <si>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</si>
  <si>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</si>
  <si>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</si>
  <si>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</si>
  <si>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</si>
  <si>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</si>
  <si>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</si>
  <si>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</si>
  <si>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</si>
  <si>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</si>
  <si>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</si>
  <si>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</si>
  <si>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</si>
  <si>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</si>
  <si>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</si>
  <si>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</si>
  <si>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</si>
  <si>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</si>
  <si>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</si>
  <si>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</si>
  <si>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</si>
  <si>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</si>
  <si>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</si>
  <si>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</si>
  <si>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</si>
  <si>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</si>
  <si>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</si>
  <si>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</si>
  <si>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</si>
  <si>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</si>
  <si>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</si>
  <si>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</si>
  <si>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</si>
  <si>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</si>
  <si>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</si>
  <si>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</si>
  <si>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</si>
  <si>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</si>
  <si>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</si>
  <si>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</si>
  <si>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</si>
  <si>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</si>
  <si>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</si>
  <si>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</si>
  <si>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</si>
  <si>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</si>
  <si>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</si>
  <si>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</si>
  <si>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</si>
  <si>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</si>
  <si>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</si>
  <si>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</si>
  <si>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</si>
  <si>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</si>
  <si>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</si>
  <si>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</si>
  <si>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</si>
  <si>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</si>
  <si>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</si>
  <si>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</si>
  <si>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</si>
  <si>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</si>
  <si>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</si>
  <si>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</si>
  <si>
    <t>02.05. Nr.1.1-14/144</t>
  </si>
  <si>
    <t>16.05. SN Nr.18</t>
  </si>
  <si>
    <t>Projekts "Motorlaivas ar jūras spējas kategoriju C un tās aprīkojuma iegāde zivju resursu aizsardzībai"</t>
  </si>
  <si>
    <t>04.4.1.</t>
  </si>
  <si>
    <t>23.05. SN Nr.19</t>
  </si>
  <si>
    <t>03.06. Nr.1.1-14/174</t>
  </si>
  <si>
    <t>Ūdenstilpju iznomāšana</t>
  </si>
  <si>
    <t>Projekts "Nordplus jauniešu mobilitātes projekts"</t>
  </si>
  <si>
    <t>09.2.3.</t>
  </si>
  <si>
    <t>Projekts "Literārie vakari kopā ar autoru"</t>
  </si>
  <si>
    <t>08.3.3.</t>
  </si>
  <si>
    <t>Ieņēmumu pārsniegums pār izdevumiem uzņemto saistību segšanai</t>
  </si>
  <si>
    <t>09.1.24.</t>
  </si>
  <si>
    <t>20.06. SN Nr.22</t>
  </si>
  <si>
    <t>Jūrmalas pilsētas pamatskola</t>
  </si>
  <si>
    <t>Atgriežamie līdzekļi valsts budžetam programmas "Skolas soma" ietvaros</t>
  </si>
  <si>
    <t>09.23.5.</t>
  </si>
  <si>
    <t>Projekts "Solis tuvāk nākotnes skolai"</t>
  </si>
  <si>
    <t>Projekts "Ķemeru parka pārbūve un restaurācija"</t>
  </si>
  <si>
    <t>08.1.16.</t>
  </si>
  <si>
    <t>19.07. Nr.1.1-14/219</t>
  </si>
  <si>
    <t>Projekts "Ilgtspējīga [sa]darbība"</t>
  </si>
  <si>
    <t>09.1.25.</t>
  </si>
  <si>
    <t>25.07. SN Nr.27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</si>
  <si>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</si>
  <si>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</si>
  <si>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</si>
  <si>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15.08. Nr.1.1-14/239</t>
  </si>
  <si>
    <t>05.2.3.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</si>
</sst>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0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7" xfId="2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vertical="center" wrapText="1"/>
    </xf>
    <xf numFmtId="3" fontId="5" fillId="0" borderId="139" xfId="0" applyNumberFormat="1" applyFont="1" applyFill="1" applyBorder="1" applyAlignment="1">
      <alignment horizontal="righ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X1443"/>
  <sheetViews>
    <sheetView tabSelected="1" view="pageLayout" zoomScaleNormal="100" workbookViewId="0">
      <selection activeCell="BV2" sqref="BV2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9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8" width="8.140625" style="198" hidden="1" customWidth="1" outlineLevel="1"/>
    <col min="19" max="20" width="9.28515625" style="198" hidden="1" customWidth="1" outlineLevel="1"/>
    <col min="21" max="25" width="8.140625" style="198" hidden="1" customWidth="1" outlineLevel="1"/>
    <col min="26" max="26" width="9.42578125" style="172" hidden="1" customWidth="1" outlineLevel="1"/>
    <col min="27" max="27" width="9" style="198" customWidth="1" collapsed="1"/>
    <col min="28" max="28" width="7.5703125" style="198" hidden="1" customWidth="1" outlineLevel="1"/>
    <col min="29" max="29" width="5.85546875" style="198" hidden="1" customWidth="1" outlineLevel="1"/>
    <col min="30" max="30" width="6.7109375" style="198" hidden="1" customWidth="1" outlineLevel="1"/>
    <col min="31" max="31" width="7.7109375" style="198" hidden="1" customWidth="1" outlineLevel="1"/>
    <col min="32" max="38" width="7.5703125" style="198" hidden="1" customWidth="1" outlineLevel="1"/>
    <col min="39" max="39" width="8.42578125" style="1" hidden="1" customWidth="1" outlineLevel="1"/>
    <col min="40" max="40" width="8.5703125" style="198" customWidth="1" collapsed="1"/>
    <col min="41" max="41" width="8.42578125" style="198" hidden="1" customWidth="1" outlineLevel="1"/>
    <col min="42" max="42" width="7.5703125" style="198" hidden="1" customWidth="1" outlineLevel="1"/>
    <col min="43" max="43" width="7" style="198" hidden="1" customWidth="1" outlineLevel="1"/>
    <col min="44" max="51" width="7.5703125" style="198" hidden="1" customWidth="1" outlineLevel="1"/>
    <col min="52" max="52" width="6.7109375" style="1" hidden="1" customWidth="1" outlineLevel="1"/>
    <col min="53" max="53" width="5.28515625" style="198" customWidth="1" collapsed="1"/>
    <col min="54" max="55" width="6.7109375" style="198" hidden="1" customWidth="1" outlineLevel="1"/>
    <col min="56" max="56" width="6.42578125" style="198" hidden="1" customWidth="1" outlineLevel="1"/>
    <col min="57" max="59" width="6.7109375" style="198" hidden="1" customWidth="1" outlineLevel="1"/>
    <col min="60" max="60" width="8.28515625" style="140" hidden="1" customWidth="1" outlineLevel="1"/>
    <col min="61" max="61" width="8.7109375" style="198" customWidth="1" collapsed="1"/>
    <col min="62" max="62" width="8.5703125" style="198" hidden="1" customWidth="1" outlineLevel="1"/>
    <col min="63" max="63" width="6.42578125" style="198" hidden="1" customWidth="1" outlineLevel="1"/>
    <col min="64" max="64" width="8" style="198" hidden="1" customWidth="1" outlineLevel="1"/>
    <col min="65" max="65" width="6.5703125" style="198" hidden="1" customWidth="1" outlineLevel="1"/>
    <col min="66" max="72" width="6.7109375" style="198" hidden="1" customWidth="1" outlineLevel="1"/>
    <col min="73" max="73" width="7" style="2" customWidth="1" collapsed="1"/>
    <col min="74" max="74" width="12.7109375" style="1" customWidth="1"/>
    <col min="75" max="77" width="8.42578125" style="1" customWidth="1"/>
    <col min="78" max="78" width="11" style="1" customWidth="1"/>
    <col min="79" max="16384" width="8.42578125" style="1"/>
  </cols>
  <sheetData>
    <row r="1" spans="1:75" s="198" customFormat="1" x14ac:dyDescent="0.2">
      <c r="D1" s="3"/>
      <c r="E1" s="3"/>
      <c r="BU1" s="2"/>
      <c r="BV1" s="336" t="s">
        <v>739</v>
      </c>
    </row>
    <row r="2" spans="1:75" s="198" customFormat="1" x14ac:dyDescent="0.2">
      <c r="D2" s="3"/>
      <c r="E2" s="3"/>
      <c r="BU2" s="2"/>
      <c r="BV2" s="336" t="s">
        <v>740</v>
      </c>
    </row>
    <row r="3" spans="1:75" s="198" customFormat="1" x14ac:dyDescent="0.2">
      <c r="D3" s="3"/>
      <c r="E3" s="3"/>
      <c r="BU3" s="2"/>
      <c r="BV3" s="336" t="s">
        <v>741</v>
      </c>
    </row>
    <row r="4" spans="1:75" ht="18.75" customHeight="1" x14ac:dyDescent="0.2">
      <c r="A4" s="427" t="s">
        <v>611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</row>
    <row r="5" spans="1:75" ht="12.75" thickBot="1" x14ac:dyDescent="0.25"/>
    <row r="6" spans="1:75" ht="13.5" customHeight="1" thickBot="1" x14ac:dyDescent="0.25">
      <c r="A6" s="428" t="s">
        <v>603</v>
      </c>
      <c r="B6" s="415" t="s">
        <v>610</v>
      </c>
      <c r="C6" s="440" t="s">
        <v>156</v>
      </c>
      <c r="D6" s="433" t="s">
        <v>574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430" t="s">
        <v>604</v>
      </c>
      <c r="BV6" s="430" t="s">
        <v>192</v>
      </c>
    </row>
    <row r="7" spans="1:75" ht="13.5" customHeight="1" x14ac:dyDescent="0.2">
      <c r="A7" s="429"/>
      <c r="B7" s="416"/>
      <c r="C7" s="441"/>
      <c r="D7" s="413" t="s">
        <v>717</v>
      </c>
      <c r="E7" s="423" t="s">
        <v>0</v>
      </c>
      <c r="F7" s="419" t="s">
        <v>718</v>
      </c>
      <c r="G7" s="419" t="s">
        <v>1</v>
      </c>
      <c r="H7" s="419" t="s">
        <v>720</v>
      </c>
      <c r="I7" s="401" t="s">
        <v>719</v>
      </c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3"/>
      <c r="Z7" s="419" t="s">
        <v>722</v>
      </c>
      <c r="AA7" s="419" t="s">
        <v>128</v>
      </c>
      <c r="AB7" s="419" t="s">
        <v>721</v>
      </c>
      <c r="AC7" s="401" t="s">
        <v>719</v>
      </c>
      <c r="AD7" s="402"/>
      <c r="AE7" s="402"/>
      <c r="AF7" s="402"/>
      <c r="AG7" s="402"/>
      <c r="AH7" s="402"/>
      <c r="AI7" s="402"/>
      <c r="AJ7" s="402"/>
      <c r="AK7" s="402"/>
      <c r="AL7" s="403"/>
      <c r="AM7" s="406" t="s">
        <v>723</v>
      </c>
      <c r="AN7" s="406" t="s">
        <v>2</v>
      </c>
      <c r="AO7" s="406" t="s">
        <v>724</v>
      </c>
      <c r="AP7" s="401" t="s">
        <v>719</v>
      </c>
      <c r="AQ7" s="402"/>
      <c r="AR7" s="402"/>
      <c r="AS7" s="402"/>
      <c r="AT7" s="402"/>
      <c r="AU7" s="402"/>
      <c r="AV7" s="402"/>
      <c r="AW7" s="402"/>
      <c r="AX7" s="402"/>
      <c r="AY7" s="403"/>
      <c r="AZ7" s="408" t="s">
        <v>725</v>
      </c>
      <c r="BA7" s="406" t="s">
        <v>3</v>
      </c>
      <c r="BB7" s="408" t="s">
        <v>726</v>
      </c>
      <c r="BC7" s="401" t="s">
        <v>719</v>
      </c>
      <c r="BD7" s="402"/>
      <c r="BE7" s="402"/>
      <c r="BF7" s="402"/>
      <c r="BG7" s="403"/>
      <c r="BH7" s="406" t="s">
        <v>727</v>
      </c>
      <c r="BI7" s="406" t="s">
        <v>438</v>
      </c>
      <c r="BJ7" s="406" t="s">
        <v>728</v>
      </c>
      <c r="BK7" s="401" t="s">
        <v>719</v>
      </c>
      <c r="BL7" s="402"/>
      <c r="BM7" s="402"/>
      <c r="BN7" s="402"/>
      <c r="BO7" s="402"/>
      <c r="BP7" s="402"/>
      <c r="BQ7" s="402"/>
      <c r="BR7" s="402"/>
      <c r="BS7" s="402"/>
      <c r="BT7" s="403"/>
      <c r="BU7" s="431"/>
      <c r="BV7" s="431"/>
    </row>
    <row r="8" spans="1:75" ht="87" customHeight="1" thickBot="1" x14ac:dyDescent="0.25">
      <c r="A8" s="429"/>
      <c r="B8" s="416"/>
      <c r="C8" s="442"/>
      <c r="D8" s="414"/>
      <c r="E8" s="424"/>
      <c r="F8" s="420"/>
      <c r="G8" s="420"/>
      <c r="H8" s="420"/>
      <c r="I8" s="338" t="s">
        <v>748</v>
      </c>
      <c r="J8" s="339" t="s">
        <v>751</v>
      </c>
      <c r="K8" s="352" t="s">
        <v>783</v>
      </c>
      <c r="L8" s="377" t="s">
        <v>798</v>
      </c>
      <c r="M8" s="383" t="s">
        <v>809</v>
      </c>
      <c r="N8" s="384" t="s">
        <v>810</v>
      </c>
      <c r="O8" s="385" t="s">
        <v>812</v>
      </c>
      <c r="P8" s="339" t="s">
        <v>811</v>
      </c>
      <c r="Q8" s="386" t="s">
        <v>815</v>
      </c>
      <c r="R8" s="339" t="s">
        <v>816</v>
      </c>
      <c r="S8" s="390" t="s">
        <v>824</v>
      </c>
      <c r="T8" s="339" t="s">
        <v>831</v>
      </c>
      <c r="U8" s="396" t="s">
        <v>834</v>
      </c>
      <c r="V8" s="339" t="s">
        <v>838</v>
      </c>
      <c r="W8" s="332" t="s">
        <v>732</v>
      </c>
      <c r="X8" s="386"/>
      <c r="Y8" s="288"/>
      <c r="Z8" s="420"/>
      <c r="AA8" s="420"/>
      <c r="AB8" s="420"/>
      <c r="AC8" s="338" t="s">
        <v>748</v>
      </c>
      <c r="AD8" s="352" t="s">
        <v>783</v>
      </c>
      <c r="AE8" s="383" t="s">
        <v>809</v>
      </c>
      <c r="AF8" s="390" t="s">
        <v>824</v>
      </c>
      <c r="AG8" s="396" t="s">
        <v>834</v>
      </c>
      <c r="AH8" s="332" t="s">
        <v>732</v>
      </c>
      <c r="AI8" s="286"/>
      <c r="AJ8" s="286"/>
      <c r="AK8" s="286"/>
      <c r="AL8" s="286"/>
      <c r="AM8" s="407"/>
      <c r="AN8" s="407"/>
      <c r="AO8" s="407"/>
      <c r="AP8" s="352" t="s">
        <v>783</v>
      </c>
      <c r="AQ8" s="377" t="s">
        <v>798</v>
      </c>
      <c r="AR8" s="383" t="s">
        <v>809</v>
      </c>
      <c r="AS8" s="384" t="s">
        <v>810</v>
      </c>
      <c r="AT8" s="386" t="s">
        <v>815</v>
      </c>
      <c r="AU8" s="390" t="s">
        <v>824</v>
      </c>
      <c r="AV8" s="332" t="s">
        <v>732</v>
      </c>
      <c r="AW8" s="289"/>
      <c r="AX8" s="289"/>
      <c r="AY8" s="289"/>
      <c r="AZ8" s="409"/>
      <c r="BA8" s="407"/>
      <c r="BB8" s="409"/>
      <c r="BC8" s="352" t="s">
        <v>783</v>
      </c>
      <c r="BD8" s="332" t="s">
        <v>732</v>
      </c>
      <c r="BE8" s="289"/>
      <c r="BF8" s="289"/>
      <c r="BG8" s="289"/>
      <c r="BH8" s="407"/>
      <c r="BI8" s="407"/>
      <c r="BJ8" s="407"/>
      <c r="BK8" s="338" t="s">
        <v>748</v>
      </c>
      <c r="BL8" s="352" t="s">
        <v>783</v>
      </c>
      <c r="BM8" s="377" t="s">
        <v>798</v>
      </c>
      <c r="BN8" s="383" t="s">
        <v>809</v>
      </c>
      <c r="BO8" s="387" t="s">
        <v>815</v>
      </c>
      <c r="BP8" s="390" t="s">
        <v>824</v>
      </c>
      <c r="BQ8" s="396" t="s">
        <v>834</v>
      </c>
      <c r="BR8" s="332" t="s">
        <v>732</v>
      </c>
      <c r="BS8" s="289"/>
      <c r="BT8" s="289"/>
      <c r="BU8" s="432"/>
      <c r="BV8" s="432"/>
    </row>
    <row r="9" spans="1:75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>
        <v>11</v>
      </c>
      <c r="AA9" s="134">
        <v>6</v>
      </c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>
        <v>12</v>
      </c>
      <c r="AN9" s="135">
        <v>7</v>
      </c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>
        <v>14</v>
      </c>
      <c r="BA9" s="134">
        <v>8</v>
      </c>
      <c r="BB9" s="135"/>
      <c r="BC9" s="135"/>
      <c r="BD9" s="135"/>
      <c r="BE9" s="135"/>
      <c r="BF9" s="135"/>
      <c r="BG9" s="135"/>
      <c r="BH9" s="134">
        <v>15</v>
      </c>
      <c r="BI9" s="132">
        <v>9</v>
      </c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6" t="s">
        <v>729</v>
      </c>
      <c r="BV9" s="131">
        <v>11</v>
      </c>
    </row>
    <row r="10" spans="1:75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6"/>
      <c r="BB10" s="95"/>
      <c r="BC10" s="95"/>
      <c r="BD10" s="95"/>
      <c r="BE10" s="95"/>
      <c r="BF10" s="95"/>
      <c r="BG10" s="95"/>
      <c r="BH10" s="6"/>
      <c r="BI10" s="4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7"/>
      <c r="BV10" s="83"/>
    </row>
    <row r="11" spans="1:75" ht="15" customHeight="1" thickBot="1" x14ac:dyDescent="0.25">
      <c r="A11" s="213" t="s">
        <v>4</v>
      </c>
      <c r="B11" s="125" t="s">
        <v>164</v>
      </c>
      <c r="C11" s="318"/>
      <c r="D11" s="8">
        <f t="shared" ref="D11:AO11" si="0">SUM(D12:D27)</f>
        <v>16605017</v>
      </c>
      <c r="E11" s="294">
        <f t="shared" si="0"/>
        <v>14886046</v>
      </c>
      <c r="F11" s="9">
        <f t="shared" si="0"/>
        <v>16595864</v>
      </c>
      <c r="G11" s="9">
        <f t="shared" si="0"/>
        <v>14869219</v>
      </c>
      <c r="H11" s="9">
        <f t="shared" si="0"/>
        <v>-1726645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-2007910</v>
      </c>
      <c r="T11" s="9"/>
      <c r="U11" s="9">
        <f t="shared" si="0"/>
        <v>0</v>
      </c>
      <c r="V11" s="9"/>
      <c r="W11" s="9">
        <f t="shared" si="0"/>
        <v>5370</v>
      </c>
      <c r="X11" s="9">
        <f t="shared" si="0"/>
        <v>0</v>
      </c>
      <c r="Y11" s="9">
        <f t="shared" si="0"/>
        <v>0</v>
      </c>
      <c r="Z11" s="9">
        <f t="shared" si="0"/>
        <v>53</v>
      </c>
      <c r="AA11" s="9">
        <f t="shared" si="0"/>
        <v>45776</v>
      </c>
      <c r="AB11" s="9">
        <f t="shared" si="0"/>
        <v>45723</v>
      </c>
      <c r="AC11" s="9">
        <f t="shared" si="0"/>
        <v>0</v>
      </c>
      <c r="AD11" s="9">
        <f t="shared" si="0"/>
        <v>2113</v>
      </c>
      <c r="AE11" s="9">
        <f t="shared" si="0"/>
        <v>41239</v>
      </c>
      <c r="AF11" s="9">
        <f t="shared" si="0"/>
        <v>2390</v>
      </c>
      <c r="AG11" s="9">
        <f t="shared" si="0"/>
        <v>-8</v>
      </c>
      <c r="AH11" s="9">
        <f t="shared" si="0"/>
        <v>-11</v>
      </c>
      <c r="AI11" s="9">
        <f t="shared" si="0"/>
        <v>0</v>
      </c>
      <c r="AJ11" s="9">
        <f t="shared" si="0"/>
        <v>0</v>
      </c>
      <c r="AK11" s="9">
        <f t="shared" si="0"/>
        <v>0</v>
      </c>
      <c r="AL11" s="9">
        <f t="shared" si="0"/>
        <v>0</v>
      </c>
      <c r="AM11" s="9">
        <f t="shared" si="0"/>
        <v>9100</v>
      </c>
      <c r="AN11" s="96">
        <f t="shared" si="0"/>
        <v>32301</v>
      </c>
      <c r="AO11" s="96">
        <f t="shared" si="0"/>
        <v>23201</v>
      </c>
      <c r="AP11" s="96">
        <f t="shared" ref="AP11:BT11" si="1">SUM(AP12:AP27)</f>
        <v>23201</v>
      </c>
      <c r="AQ11" s="96">
        <f t="shared" si="1"/>
        <v>0</v>
      </c>
      <c r="AR11" s="96">
        <f t="shared" si="1"/>
        <v>0</v>
      </c>
      <c r="AS11" s="96">
        <f t="shared" si="1"/>
        <v>0</v>
      </c>
      <c r="AT11" s="96">
        <f t="shared" si="1"/>
        <v>0</v>
      </c>
      <c r="AU11" s="96">
        <f t="shared" si="1"/>
        <v>0</v>
      </c>
      <c r="AV11" s="96">
        <f t="shared" si="1"/>
        <v>0</v>
      </c>
      <c r="AW11" s="96">
        <f t="shared" si="1"/>
        <v>0</v>
      </c>
      <c r="AX11" s="96">
        <f t="shared" si="1"/>
        <v>0</v>
      </c>
      <c r="AY11" s="96">
        <f t="shared" si="1"/>
        <v>0</v>
      </c>
      <c r="AZ11" s="96">
        <f t="shared" si="1"/>
        <v>0</v>
      </c>
      <c r="BA11" s="9">
        <f t="shared" si="1"/>
        <v>0</v>
      </c>
      <c r="BB11" s="96">
        <f t="shared" si="1"/>
        <v>0</v>
      </c>
      <c r="BC11" s="96">
        <f t="shared" si="1"/>
        <v>0</v>
      </c>
      <c r="BD11" s="96">
        <f t="shared" si="1"/>
        <v>0</v>
      </c>
      <c r="BE11" s="96">
        <f t="shared" si="1"/>
        <v>0</v>
      </c>
      <c r="BF11" s="96">
        <f t="shared" si="1"/>
        <v>0</v>
      </c>
      <c r="BG11" s="96">
        <f t="shared" si="1"/>
        <v>0</v>
      </c>
      <c r="BH11" s="9">
        <f t="shared" si="1"/>
        <v>0</v>
      </c>
      <c r="BI11" s="310">
        <f t="shared" si="1"/>
        <v>-61250</v>
      </c>
      <c r="BJ11" s="96">
        <f t="shared" si="1"/>
        <v>-61250</v>
      </c>
      <c r="BK11" s="96">
        <f t="shared" si="1"/>
        <v>0</v>
      </c>
      <c r="BL11" s="96">
        <f t="shared" si="1"/>
        <v>-61250</v>
      </c>
      <c r="BM11" s="96">
        <f t="shared" si="1"/>
        <v>0</v>
      </c>
      <c r="BN11" s="96">
        <f t="shared" si="1"/>
        <v>0</v>
      </c>
      <c r="BO11" s="96">
        <f t="shared" si="1"/>
        <v>0</v>
      </c>
      <c r="BP11" s="96">
        <f t="shared" si="1"/>
        <v>0</v>
      </c>
      <c r="BQ11" s="96">
        <f t="shared" si="1"/>
        <v>0</v>
      </c>
      <c r="BR11" s="96">
        <f t="shared" si="1"/>
        <v>0</v>
      </c>
      <c r="BS11" s="96">
        <f t="shared" si="1"/>
        <v>0</v>
      </c>
      <c r="BT11" s="96">
        <f t="shared" si="1"/>
        <v>0</v>
      </c>
      <c r="BU11" s="10"/>
      <c r="BV11" s="84"/>
    </row>
    <row r="12" spans="1:75" ht="16.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F12+Z12+AM12+AZ12+BH12</f>
        <v>901013</v>
      </c>
      <c r="E12" s="295">
        <f>G12+AA12+AN12+BA12+BI12</f>
        <v>911015</v>
      </c>
      <c r="F12" s="81">
        <v>891913</v>
      </c>
      <c r="G12" s="81">
        <f>F12+H12</f>
        <v>901913</v>
      </c>
      <c r="H12" s="81">
        <f>SUM(I12:Y12)</f>
        <v>10000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>
        <v>10000</v>
      </c>
      <c r="X12" s="81"/>
      <c r="Y12" s="81"/>
      <c r="Z12" s="81">
        <v>0</v>
      </c>
      <c r="AA12" s="81">
        <f>Z12+AB12</f>
        <v>0</v>
      </c>
      <c r="AB12" s="81">
        <f>SUM(AC12:AL12)</f>
        <v>0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>
        <v>9100</v>
      </c>
      <c r="AN12" s="81">
        <f>AM12+AO12</f>
        <v>9102</v>
      </c>
      <c r="AO12" s="81">
        <f>SUM(AP12:AY12)</f>
        <v>2</v>
      </c>
      <c r="AP12" s="81">
        <v>2</v>
      </c>
      <c r="AQ12" s="81"/>
      <c r="AR12" s="81"/>
      <c r="AS12" s="81"/>
      <c r="AT12" s="81"/>
      <c r="AU12" s="81"/>
      <c r="AV12" s="81"/>
      <c r="AW12" s="81"/>
      <c r="AX12" s="81"/>
      <c r="AY12" s="81"/>
      <c r="AZ12" s="81">
        <v>0</v>
      </c>
      <c r="BA12" s="81">
        <f>AZ12+BB12</f>
        <v>0</v>
      </c>
      <c r="BB12" s="98">
        <f>SUM(BC12:BG12)</f>
        <v>0</v>
      </c>
      <c r="BC12" s="98"/>
      <c r="BD12" s="98"/>
      <c r="BE12" s="98"/>
      <c r="BF12" s="98"/>
      <c r="BG12" s="98"/>
      <c r="BH12" s="81"/>
      <c r="BI12" s="81">
        <f>BH12+BJ12</f>
        <v>0</v>
      </c>
      <c r="BJ12" s="81">
        <f>SUM(BK12:BT12)</f>
        <v>0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82" t="s">
        <v>308</v>
      </c>
      <c r="BV12" s="85"/>
      <c r="BW12" s="24"/>
    </row>
    <row r="13" spans="1:75" s="122" customFormat="1" ht="24" x14ac:dyDescent="0.2">
      <c r="A13" s="124"/>
      <c r="B13" s="248"/>
      <c r="C13" s="285" t="s">
        <v>252</v>
      </c>
      <c r="D13" s="80">
        <f t="shared" ref="D13:D25" si="2">F13+Z13+AM13+AZ13+BH13</f>
        <v>166267</v>
      </c>
      <c r="E13" s="295">
        <f t="shared" ref="E13:E25" si="3">G13+AA13+AN13+BA13+BI13</f>
        <v>161267</v>
      </c>
      <c r="F13" s="81">
        <v>166267</v>
      </c>
      <c r="G13" s="81">
        <f t="shared" ref="G13:G25" si="4">F13+H13</f>
        <v>161267</v>
      </c>
      <c r="H13" s="81">
        <f t="shared" ref="H13:H25" si="5">SUM(I13:Y13)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>
        <v>0</v>
      </c>
      <c r="AA13" s="81">
        <f t="shared" ref="AA13:AA25" si="6">Z13+AB13</f>
        <v>0</v>
      </c>
      <c r="AB13" s="81">
        <f t="shared" ref="AB13:AB25" si="7">SUM(AC13:AL13)</f>
        <v>0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>
        <v>0</v>
      </c>
      <c r="AN13" s="81">
        <f t="shared" ref="AN13:AN25" si="8">AM13+AO13</f>
        <v>0</v>
      </c>
      <c r="AO13" s="81">
        <f t="shared" ref="AO13:AO25" si="9">SUM(AP13:AY13)</f>
        <v>0</v>
      </c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>
        <v>0</v>
      </c>
      <c r="BA13" s="81">
        <f t="shared" ref="BA13:BA25" si="10">AZ13+BB13</f>
        <v>0</v>
      </c>
      <c r="BB13" s="98">
        <f t="shared" ref="BB13:BB25" si="11">SUM(BC13:BG13)</f>
        <v>0</v>
      </c>
      <c r="BC13" s="98"/>
      <c r="BD13" s="98"/>
      <c r="BE13" s="98"/>
      <c r="BF13" s="98"/>
      <c r="BG13" s="98"/>
      <c r="BH13" s="81"/>
      <c r="BI13" s="81">
        <f t="shared" ref="BI13:BI25" si="12">BH13+BJ13</f>
        <v>0</v>
      </c>
      <c r="BJ13" s="81">
        <f t="shared" ref="BJ13:BJ25" si="13">SUM(BK13:BT13)</f>
        <v>0</v>
      </c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82" t="s">
        <v>309</v>
      </c>
      <c r="BV13" s="85"/>
      <c r="BW13" s="24"/>
    </row>
    <row r="14" spans="1:75" ht="24" x14ac:dyDescent="0.2">
      <c r="A14" s="108"/>
      <c r="B14" s="242"/>
      <c r="C14" s="285" t="s">
        <v>224</v>
      </c>
      <c r="D14" s="80">
        <f t="shared" si="2"/>
        <v>680168</v>
      </c>
      <c r="E14" s="295">
        <f t="shared" si="3"/>
        <v>680168</v>
      </c>
      <c r="F14" s="81">
        <v>680168</v>
      </c>
      <c r="G14" s="81">
        <f t="shared" si="4"/>
        <v>680168</v>
      </c>
      <c r="H14" s="81">
        <f t="shared" si="5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>
        <v>0</v>
      </c>
      <c r="AA14" s="81">
        <f t="shared" si="6"/>
        <v>0</v>
      </c>
      <c r="AB14" s="81">
        <f t="shared" si="7"/>
        <v>0</v>
      </c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>
        <v>0</v>
      </c>
      <c r="AN14" s="81">
        <f t="shared" si="8"/>
        <v>0</v>
      </c>
      <c r="AO14" s="81">
        <f t="shared" si="9"/>
        <v>0</v>
      </c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>
        <v>0</v>
      </c>
      <c r="BA14" s="81">
        <f t="shared" si="10"/>
        <v>0</v>
      </c>
      <c r="BB14" s="98">
        <f t="shared" si="11"/>
        <v>0</v>
      </c>
      <c r="BC14" s="98"/>
      <c r="BD14" s="98"/>
      <c r="BE14" s="98"/>
      <c r="BF14" s="98"/>
      <c r="BG14" s="98"/>
      <c r="BH14" s="81"/>
      <c r="BI14" s="81">
        <f t="shared" si="12"/>
        <v>0</v>
      </c>
      <c r="BJ14" s="81">
        <f>SUM(BK14:BT14)</f>
        <v>0</v>
      </c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82" t="s">
        <v>310</v>
      </c>
      <c r="BV14" s="85"/>
      <c r="BW14" s="24"/>
    </row>
    <row r="15" spans="1:75" s="122" customFormat="1" x14ac:dyDescent="0.2">
      <c r="A15" s="108"/>
      <c r="B15" s="242"/>
      <c r="C15" s="285" t="s">
        <v>264</v>
      </c>
      <c r="D15" s="80">
        <f t="shared" si="2"/>
        <v>2375898</v>
      </c>
      <c r="E15" s="295">
        <f t="shared" si="3"/>
        <v>375898</v>
      </c>
      <c r="F15" s="81">
        <v>2375898</v>
      </c>
      <c r="G15" s="81">
        <f t="shared" si="4"/>
        <v>375898</v>
      </c>
      <c r="H15" s="81">
        <f t="shared" si="5"/>
        <v>-2000000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-2000000</v>
      </c>
      <c r="T15" s="81"/>
      <c r="U15" s="81"/>
      <c r="V15" s="81"/>
      <c r="W15" s="81"/>
      <c r="X15" s="81"/>
      <c r="Y15" s="81"/>
      <c r="Z15" s="81">
        <v>0</v>
      </c>
      <c r="AA15" s="81">
        <f t="shared" si="6"/>
        <v>0</v>
      </c>
      <c r="AB15" s="81">
        <f t="shared" si="7"/>
        <v>0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>
        <v>0</v>
      </c>
      <c r="AN15" s="81">
        <f t="shared" si="8"/>
        <v>0</v>
      </c>
      <c r="AO15" s="81">
        <f t="shared" si="9"/>
        <v>0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>
        <v>0</v>
      </c>
      <c r="BA15" s="81">
        <f t="shared" si="10"/>
        <v>0</v>
      </c>
      <c r="BB15" s="98">
        <f t="shared" si="11"/>
        <v>0</v>
      </c>
      <c r="BC15" s="98"/>
      <c r="BD15" s="98"/>
      <c r="BE15" s="98"/>
      <c r="BF15" s="98"/>
      <c r="BG15" s="98"/>
      <c r="BH15" s="81"/>
      <c r="BI15" s="81">
        <f t="shared" si="12"/>
        <v>0</v>
      </c>
      <c r="BJ15" s="81">
        <f t="shared" si="13"/>
        <v>0</v>
      </c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82" t="s">
        <v>311</v>
      </c>
      <c r="BV15" s="85" t="s">
        <v>440</v>
      </c>
      <c r="BW15" s="24"/>
    </row>
    <row r="16" spans="1:75" s="122" customFormat="1" ht="24" x14ac:dyDescent="0.2">
      <c r="A16" s="108"/>
      <c r="B16" s="242"/>
      <c r="C16" s="285" t="s">
        <v>265</v>
      </c>
      <c r="D16" s="80">
        <f t="shared" si="2"/>
        <v>6000</v>
      </c>
      <c r="E16" s="295">
        <f t="shared" si="3"/>
        <v>6000</v>
      </c>
      <c r="F16" s="81">
        <v>6000</v>
      </c>
      <c r="G16" s="81">
        <f t="shared" si="4"/>
        <v>6000</v>
      </c>
      <c r="H16" s="81">
        <f t="shared" si="5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>
        <v>0</v>
      </c>
      <c r="AA16" s="81">
        <f t="shared" si="6"/>
        <v>0</v>
      </c>
      <c r="AB16" s="81">
        <f t="shared" si="7"/>
        <v>0</v>
      </c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>
        <v>0</v>
      </c>
      <c r="AN16" s="81">
        <f t="shared" si="8"/>
        <v>0</v>
      </c>
      <c r="AO16" s="81">
        <f t="shared" si="9"/>
        <v>0</v>
      </c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>
        <v>0</v>
      </c>
      <c r="BA16" s="81">
        <f t="shared" si="10"/>
        <v>0</v>
      </c>
      <c r="BB16" s="98">
        <f t="shared" si="11"/>
        <v>0</v>
      </c>
      <c r="BC16" s="98"/>
      <c r="BD16" s="98"/>
      <c r="BE16" s="98"/>
      <c r="BF16" s="98"/>
      <c r="BG16" s="98"/>
      <c r="BH16" s="81"/>
      <c r="BI16" s="81">
        <f t="shared" si="12"/>
        <v>0</v>
      </c>
      <c r="BJ16" s="81">
        <f t="shared" si="13"/>
        <v>0</v>
      </c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82" t="s">
        <v>312</v>
      </c>
      <c r="BV16" s="86" t="s">
        <v>482</v>
      </c>
      <c r="BW16" s="24"/>
    </row>
    <row r="17" spans="1:75" s="162" customFormat="1" ht="24" x14ac:dyDescent="0.2">
      <c r="A17" s="108"/>
      <c r="B17" s="242"/>
      <c r="C17" s="285" t="s">
        <v>253</v>
      </c>
      <c r="D17" s="80">
        <f t="shared" si="2"/>
        <v>214303</v>
      </c>
      <c r="E17" s="295">
        <f t="shared" si="3"/>
        <v>299578</v>
      </c>
      <c r="F17" s="81">
        <v>214303</v>
      </c>
      <c r="G17" s="81">
        <f t="shared" si="4"/>
        <v>299578</v>
      </c>
      <c r="H17" s="81">
        <f t="shared" si="5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>
        <v>0</v>
      </c>
      <c r="AA17" s="81">
        <f t="shared" si="6"/>
        <v>0</v>
      </c>
      <c r="AB17" s="81">
        <f t="shared" si="7"/>
        <v>0</v>
      </c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>
        <v>0</v>
      </c>
      <c r="AN17" s="81">
        <f t="shared" si="8"/>
        <v>0</v>
      </c>
      <c r="AO17" s="81">
        <f t="shared" si="9"/>
        <v>0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>
        <v>0</v>
      </c>
      <c r="BA17" s="81">
        <f t="shared" si="10"/>
        <v>0</v>
      </c>
      <c r="BB17" s="98">
        <f t="shared" si="11"/>
        <v>0</v>
      </c>
      <c r="BC17" s="81"/>
      <c r="BD17" s="81"/>
      <c r="BE17" s="81"/>
      <c r="BF17" s="81"/>
      <c r="BG17" s="81"/>
      <c r="BH17" s="81"/>
      <c r="BI17" s="81">
        <f t="shared" si="12"/>
        <v>0</v>
      </c>
      <c r="BJ17" s="81">
        <f t="shared" si="13"/>
        <v>0</v>
      </c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 t="s">
        <v>498</v>
      </c>
      <c r="BV17" s="85" t="s">
        <v>442</v>
      </c>
      <c r="BW17" s="24"/>
    </row>
    <row r="18" spans="1:75" s="144" customFormat="1" ht="25.5" customHeight="1" x14ac:dyDescent="0.2">
      <c r="A18" s="108"/>
      <c r="B18" s="242"/>
      <c r="C18" s="319" t="s">
        <v>536</v>
      </c>
      <c r="D18" s="80">
        <f t="shared" si="2"/>
        <v>0</v>
      </c>
      <c r="E18" s="295">
        <f t="shared" si="3"/>
        <v>0</v>
      </c>
      <c r="F18" s="81">
        <v>0</v>
      </c>
      <c r="G18" s="81">
        <f t="shared" si="4"/>
        <v>0</v>
      </c>
      <c r="H18" s="81">
        <f t="shared" si="5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>
        <v>0</v>
      </c>
      <c r="AA18" s="81">
        <f t="shared" si="6"/>
        <v>0</v>
      </c>
      <c r="AB18" s="81">
        <f t="shared" si="7"/>
        <v>0</v>
      </c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>
        <v>0</v>
      </c>
      <c r="AN18" s="81">
        <f t="shared" si="8"/>
        <v>0</v>
      </c>
      <c r="AO18" s="81">
        <f t="shared" si="9"/>
        <v>0</v>
      </c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>
        <v>0</v>
      </c>
      <c r="BA18" s="81">
        <f t="shared" si="10"/>
        <v>0</v>
      </c>
      <c r="BB18" s="98">
        <f t="shared" si="11"/>
        <v>0</v>
      </c>
      <c r="BC18" s="98"/>
      <c r="BD18" s="98"/>
      <c r="BE18" s="98"/>
      <c r="BF18" s="98"/>
      <c r="BG18" s="98"/>
      <c r="BH18" s="81"/>
      <c r="BI18" s="81">
        <f t="shared" si="12"/>
        <v>0</v>
      </c>
      <c r="BJ18" s="81">
        <f t="shared" si="13"/>
        <v>0</v>
      </c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82" t="s">
        <v>455</v>
      </c>
      <c r="BV18" s="85"/>
      <c r="BW18" s="24"/>
    </row>
    <row r="19" spans="1:75" s="198" customFormat="1" ht="27.75" customHeight="1" x14ac:dyDescent="0.2">
      <c r="A19" s="108"/>
      <c r="B19" s="242"/>
      <c r="C19" s="319" t="s">
        <v>730</v>
      </c>
      <c r="D19" s="80">
        <f t="shared" ref="D19" si="14">F19+Z19+AM19+AZ19+BH19</f>
        <v>0</v>
      </c>
      <c r="E19" s="295">
        <f t="shared" ref="E19" si="15">G19+AA19+AN19+BA19+BI19</f>
        <v>19565</v>
      </c>
      <c r="F19" s="81"/>
      <c r="G19" s="81">
        <f t="shared" ref="G19" si="16">F19+H19</f>
        <v>19565</v>
      </c>
      <c r="H19" s="81">
        <f t="shared" ref="H19" si="17">SUM(I19:Y19)</f>
        <v>19565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-4630</v>
      </c>
      <c r="X19" s="81"/>
      <c r="Y19" s="81"/>
      <c r="Z19" s="81"/>
      <c r="AA19" s="81">
        <f t="shared" ref="AA19" si="18">Z19+AB19</f>
        <v>0</v>
      </c>
      <c r="AB19" s="81">
        <f t="shared" ref="AB19" si="19">SUM(AC19:AL19)</f>
        <v>0</v>
      </c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>
        <f t="shared" ref="AN19" si="20">AM19+AO19</f>
        <v>0</v>
      </c>
      <c r="AO19" s="81">
        <f t="shared" ref="AO19" si="21">SUM(AP19:AY19)</f>
        <v>0</v>
      </c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81">
        <f t="shared" ref="BA19" si="22">AZ19+BB19</f>
        <v>0</v>
      </c>
      <c r="BB19" s="98">
        <f t="shared" ref="BB19" si="23">SUM(BC19:BG19)</f>
        <v>0</v>
      </c>
      <c r="BC19" s="98"/>
      <c r="BD19" s="98"/>
      <c r="BE19" s="98"/>
      <c r="BF19" s="98"/>
      <c r="BG19" s="98"/>
      <c r="BH19" s="81"/>
      <c r="BI19" s="81">
        <f t="shared" ref="BI19" si="24">BH19+BJ19</f>
        <v>0</v>
      </c>
      <c r="BJ19" s="81">
        <f t="shared" ref="BJ19" si="25">SUM(BK19:BT19)</f>
        <v>0</v>
      </c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82" t="s">
        <v>731</v>
      </c>
      <c r="BV19" s="85"/>
      <c r="BW19" s="24"/>
    </row>
    <row r="20" spans="1:75" s="198" customFormat="1" ht="48" x14ac:dyDescent="0.2">
      <c r="A20" s="108"/>
      <c r="B20" s="242"/>
      <c r="C20" s="319" t="s">
        <v>752</v>
      </c>
      <c r="D20" s="80">
        <f t="shared" ref="D20" si="26">F20+Z20+AM20+AZ20+BH20</f>
        <v>0</v>
      </c>
      <c r="E20" s="295">
        <f t="shared" ref="E20" si="27">G20+AA20+AN20+BA20+BI20</f>
        <v>0</v>
      </c>
      <c r="F20" s="81"/>
      <c r="G20" s="81">
        <f t="shared" ref="G20" si="28">F20+H20</f>
        <v>38051</v>
      </c>
      <c r="H20" s="81">
        <f t="shared" ref="H20" si="29">SUM(I20:Y20)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>
        <f t="shared" ref="AA20" si="30">Z20+AB20</f>
        <v>0</v>
      </c>
      <c r="AB20" s="81">
        <f t="shared" ref="AB20" si="31">SUM(AC20:AL20)</f>
        <v>0</v>
      </c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>
        <f t="shared" ref="AN20" si="32">AM20+AO20</f>
        <v>23199</v>
      </c>
      <c r="AO20" s="81">
        <f t="shared" ref="AO20" si="33">SUM(AP20:AY20)</f>
        <v>23199</v>
      </c>
      <c r="AP20" s="98">
        <v>23199</v>
      </c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81">
        <f t="shared" ref="BA20" si="34">AZ20+BB20</f>
        <v>0</v>
      </c>
      <c r="BB20" s="98">
        <f t="shared" ref="BB20" si="35">SUM(BC20:BG20)</f>
        <v>0</v>
      </c>
      <c r="BC20" s="98"/>
      <c r="BD20" s="98"/>
      <c r="BE20" s="98"/>
      <c r="BF20" s="98"/>
      <c r="BG20" s="98"/>
      <c r="BH20" s="81"/>
      <c r="BI20" s="81">
        <f t="shared" ref="BI20" si="36">BH20+BJ20</f>
        <v>-61250</v>
      </c>
      <c r="BJ20" s="81">
        <f t="shared" ref="BJ20" si="37">SUM(BK20:BT20)</f>
        <v>-61250</v>
      </c>
      <c r="BK20" s="98"/>
      <c r="BL20" s="98">
        <f>-37949-1-101-23199</f>
        <v>-61250</v>
      </c>
      <c r="BM20" s="98"/>
      <c r="BN20" s="98"/>
      <c r="BO20" s="98"/>
      <c r="BP20" s="98"/>
      <c r="BQ20" s="98"/>
      <c r="BR20" s="98"/>
      <c r="BS20" s="98"/>
      <c r="BT20" s="98"/>
      <c r="BU20" s="82" t="s">
        <v>779</v>
      </c>
      <c r="BV20" s="85"/>
      <c r="BW20" s="24"/>
    </row>
    <row r="21" spans="1:75" ht="12" customHeight="1" x14ac:dyDescent="0.2">
      <c r="A21" s="108"/>
      <c r="B21" s="241" t="s">
        <v>167</v>
      </c>
      <c r="C21" s="285" t="s">
        <v>124</v>
      </c>
      <c r="D21" s="80">
        <f t="shared" si="2"/>
        <v>241000</v>
      </c>
      <c r="E21" s="295">
        <f t="shared" si="3"/>
        <v>241000</v>
      </c>
      <c r="F21" s="81">
        <v>241000</v>
      </c>
      <c r="G21" s="81">
        <f t="shared" si="4"/>
        <v>241000</v>
      </c>
      <c r="H21" s="81">
        <f t="shared" si="5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>
        <f t="shared" si="6"/>
        <v>0</v>
      </c>
      <c r="AB21" s="81">
        <f t="shared" si="7"/>
        <v>0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98">
        <f t="shared" si="8"/>
        <v>0</v>
      </c>
      <c r="AO21" s="98">
        <f t="shared" si="9"/>
        <v>0</v>
      </c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81">
        <f t="shared" si="10"/>
        <v>0</v>
      </c>
      <c r="BB21" s="98">
        <f t="shared" si="11"/>
        <v>0</v>
      </c>
      <c r="BC21" s="98"/>
      <c r="BD21" s="98"/>
      <c r="BE21" s="98"/>
      <c r="BF21" s="98"/>
      <c r="BG21" s="98"/>
      <c r="BH21" s="81"/>
      <c r="BI21" s="81">
        <f t="shared" si="12"/>
        <v>0</v>
      </c>
      <c r="BJ21" s="81">
        <f t="shared" si="13"/>
        <v>0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82" t="s">
        <v>545</v>
      </c>
      <c r="BV21" s="85"/>
      <c r="BW21" s="24"/>
    </row>
    <row r="22" spans="1:75" ht="14.25" customHeight="1" x14ac:dyDescent="0.2">
      <c r="A22" s="108"/>
      <c r="B22" s="242"/>
      <c r="C22" s="285" t="s">
        <v>183</v>
      </c>
      <c r="D22" s="80">
        <f t="shared" si="2"/>
        <v>11531214</v>
      </c>
      <c r="E22" s="295">
        <f t="shared" si="3"/>
        <v>11531214</v>
      </c>
      <c r="F22" s="81">
        <v>11531214</v>
      </c>
      <c r="G22" s="81">
        <f t="shared" si="4"/>
        <v>11531214</v>
      </c>
      <c r="H22" s="81">
        <f t="shared" si="5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>
        <f t="shared" si="6"/>
        <v>0</v>
      </c>
      <c r="AB22" s="81">
        <f t="shared" si="7"/>
        <v>0</v>
      </c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98">
        <f t="shared" si="8"/>
        <v>0</v>
      </c>
      <c r="AO22" s="98">
        <f t="shared" si="9"/>
        <v>0</v>
      </c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81">
        <f t="shared" si="10"/>
        <v>0</v>
      </c>
      <c r="BB22" s="98">
        <f t="shared" si="11"/>
        <v>0</v>
      </c>
      <c r="BC22" s="98"/>
      <c r="BD22" s="98"/>
      <c r="BE22" s="98"/>
      <c r="BF22" s="98"/>
      <c r="BG22" s="98"/>
      <c r="BH22" s="81"/>
      <c r="BI22" s="81">
        <f t="shared" si="12"/>
        <v>0</v>
      </c>
      <c r="BJ22" s="81">
        <f t="shared" si="13"/>
        <v>0</v>
      </c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82" t="s">
        <v>546</v>
      </c>
      <c r="BV22" s="85"/>
      <c r="BW22" s="24"/>
    </row>
    <row r="23" spans="1:75" x14ac:dyDescent="0.2">
      <c r="A23" s="108"/>
      <c r="B23" s="250"/>
      <c r="C23" s="285" t="s">
        <v>184</v>
      </c>
      <c r="D23" s="80">
        <f t="shared" si="2"/>
        <v>102588</v>
      </c>
      <c r="E23" s="295">
        <f t="shared" si="3"/>
        <v>228052</v>
      </c>
      <c r="F23" s="81">
        <f>100000+2588</f>
        <v>102588</v>
      </c>
      <c r="G23" s="81">
        <f t="shared" si="4"/>
        <v>228052</v>
      </c>
      <c r="H23" s="81">
        <f t="shared" si="5"/>
        <v>125464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>
        <v>-7910</v>
      </c>
      <c r="T23" s="81">
        <v>-400</v>
      </c>
      <c r="U23" s="81"/>
      <c r="V23" s="81">
        <v>-3185</v>
      </c>
      <c r="W23" s="81"/>
      <c r="X23" s="81"/>
      <c r="Y23" s="81"/>
      <c r="Z23" s="81"/>
      <c r="AA23" s="81">
        <f t="shared" si="6"/>
        <v>0</v>
      </c>
      <c r="AB23" s="81">
        <f t="shared" si="7"/>
        <v>0</v>
      </c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98">
        <f t="shared" si="8"/>
        <v>0</v>
      </c>
      <c r="AO23" s="98">
        <f t="shared" si="9"/>
        <v>0</v>
      </c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81">
        <f t="shared" si="10"/>
        <v>0</v>
      </c>
      <c r="BB23" s="98">
        <f t="shared" si="11"/>
        <v>0</v>
      </c>
      <c r="BC23" s="98"/>
      <c r="BD23" s="98"/>
      <c r="BE23" s="98"/>
      <c r="BF23" s="98"/>
      <c r="BG23" s="98"/>
      <c r="BH23" s="81"/>
      <c r="BI23" s="81">
        <f t="shared" si="12"/>
        <v>0</v>
      </c>
      <c r="BJ23" s="81">
        <f t="shared" si="13"/>
        <v>0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82" t="s">
        <v>547</v>
      </c>
      <c r="BV23" s="85"/>
      <c r="BW23" s="24"/>
    </row>
    <row r="24" spans="1:75" s="130" customFormat="1" x14ac:dyDescent="0.2">
      <c r="A24" s="108"/>
      <c r="B24" s="250"/>
      <c r="C24" s="285" t="s">
        <v>456</v>
      </c>
      <c r="D24" s="80">
        <f t="shared" si="2"/>
        <v>386513</v>
      </c>
      <c r="E24" s="295">
        <f t="shared" si="3"/>
        <v>386513</v>
      </c>
      <c r="F24" s="81">
        <v>386513</v>
      </c>
      <c r="G24" s="81">
        <f t="shared" si="4"/>
        <v>386513</v>
      </c>
      <c r="H24" s="81">
        <f t="shared" si="5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>
        <f t="shared" si="6"/>
        <v>0</v>
      </c>
      <c r="AB24" s="81">
        <f t="shared" si="7"/>
        <v>0</v>
      </c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98">
        <f t="shared" si="8"/>
        <v>0</v>
      </c>
      <c r="AO24" s="98">
        <f t="shared" si="9"/>
        <v>0</v>
      </c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81">
        <f t="shared" si="10"/>
        <v>0</v>
      </c>
      <c r="BB24" s="98">
        <f t="shared" si="11"/>
        <v>0</v>
      </c>
      <c r="BC24" s="98"/>
      <c r="BD24" s="98"/>
      <c r="BE24" s="98"/>
      <c r="BF24" s="98"/>
      <c r="BG24" s="98"/>
      <c r="BH24" s="81"/>
      <c r="BI24" s="81">
        <f t="shared" si="12"/>
        <v>0</v>
      </c>
      <c r="BJ24" s="81">
        <f t="shared" si="13"/>
        <v>0</v>
      </c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82" t="s">
        <v>548</v>
      </c>
      <c r="BV24" s="85"/>
      <c r="BW24" s="24"/>
    </row>
    <row r="25" spans="1:75" s="198" customFormat="1" x14ac:dyDescent="0.2">
      <c r="A25" s="108"/>
      <c r="B25" s="250"/>
      <c r="C25" s="285" t="s">
        <v>705</v>
      </c>
      <c r="D25" s="80">
        <f t="shared" si="2"/>
        <v>53</v>
      </c>
      <c r="E25" s="295">
        <f t="shared" si="3"/>
        <v>2166</v>
      </c>
      <c r="F25" s="81">
        <v>0</v>
      </c>
      <c r="G25" s="81">
        <f t="shared" si="4"/>
        <v>0</v>
      </c>
      <c r="H25" s="81">
        <f t="shared" si="5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>
        <v>53</v>
      </c>
      <c r="AA25" s="81">
        <f t="shared" si="6"/>
        <v>2166</v>
      </c>
      <c r="AB25" s="81">
        <f t="shared" si="7"/>
        <v>2113</v>
      </c>
      <c r="AC25" s="81"/>
      <c r="AD25" s="81">
        <f>36+2077</f>
        <v>2113</v>
      </c>
      <c r="AE25" s="81"/>
      <c r="AF25" s="81"/>
      <c r="AG25" s="81"/>
      <c r="AH25" s="81"/>
      <c r="AI25" s="81"/>
      <c r="AJ25" s="81"/>
      <c r="AK25" s="81"/>
      <c r="AL25" s="81"/>
      <c r="AM25" s="81">
        <v>0</v>
      </c>
      <c r="AN25" s="81">
        <f t="shared" si="8"/>
        <v>0</v>
      </c>
      <c r="AO25" s="81">
        <f t="shared" si="9"/>
        <v>0</v>
      </c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>
        <v>0</v>
      </c>
      <c r="BA25" s="81">
        <f t="shared" si="10"/>
        <v>0</v>
      </c>
      <c r="BB25" s="98">
        <f t="shared" si="11"/>
        <v>0</v>
      </c>
      <c r="BC25" s="98"/>
      <c r="BD25" s="98"/>
      <c r="BE25" s="98"/>
      <c r="BF25" s="98"/>
      <c r="BG25" s="98"/>
      <c r="BH25" s="81"/>
      <c r="BI25" s="81">
        <f t="shared" si="12"/>
        <v>0</v>
      </c>
      <c r="BJ25" s="81">
        <f t="shared" si="13"/>
        <v>0</v>
      </c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82" t="s">
        <v>706</v>
      </c>
      <c r="BV25" s="85"/>
      <c r="BW25" s="24"/>
    </row>
    <row r="26" spans="1:75" s="198" customFormat="1" ht="24" x14ac:dyDescent="0.2">
      <c r="A26" s="108">
        <v>90000543728</v>
      </c>
      <c r="B26" s="242" t="s">
        <v>805</v>
      </c>
      <c r="C26" s="379" t="s">
        <v>182</v>
      </c>
      <c r="D26" s="80">
        <f t="shared" ref="D26" si="38">F26+Z26+AM26+AZ26+BH26</f>
        <v>0</v>
      </c>
      <c r="E26" s="295">
        <f t="shared" ref="E26" si="39">G26+AA26+AN26+BA26+BI26</f>
        <v>43610</v>
      </c>
      <c r="F26" s="81"/>
      <c r="G26" s="81">
        <f t="shared" ref="G26" si="40">F26+H26</f>
        <v>0</v>
      </c>
      <c r="H26" s="81">
        <f t="shared" ref="H26" si="41">SUM(I26:Y26)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>
        <f t="shared" ref="AA26" si="42">Z26+AB26</f>
        <v>43610</v>
      </c>
      <c r="AB26" s="81">
        <f t="shared" ref="AB26" si="43">SUM(AC26:AL26)</f>
        <v>43610</v>
      </c>
      <c r="AC26" s="81"/>
      <c r="AD26" s="81"/>
      <c r="AE26" s="81">
        <v>41239</v>
      </c>
      <c r="AF26" s="81">
        <v>2390</v>
      </c>
      <c r="AG26" s="81">
        <v>-8</v>
      </c>
      <c r="AH26" s="81">
        <v>-11</v>
      </c>
      <c r="AI26" s="81"/>
      <c r="AJ26" s="81"/>
      <c r="AK26" s="81"/>
      <c r="AL26" s="81"/>
      <c r="AM26" s="81"/>
      <c r="AN26" s="81">
        <f t="shared" ref="AN26" si="44">AM26+AO26</f>
        <v>0</v>
      </c>
      <c r="AO26" s="81">
        <f t="shared" ref="AO26" si="45">SUM(AP26:AY26)</f>
        <v>0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81">
        <f t="shared" ref="BA26" si="46">AZ26+BB26</f>
        <v>0</v>
      </c>
      <c r="BB26" s="98">
        <f t="shared" ref="BB26" si="47">SUM(BC26:BG26)</f>
        <v>0</v>
      </c>
      <c r="BC26" s="98"/>
      <c r="BD26" s="98"/>
      <c r="BE26" s="98"/>
      <c r="BF26" s="98"/>
      <c r="BG26" s="98"/>
      <c r="BH26" s="81"/>
      <c r="BI26" s="81">
        <f t="shared" ref="BI26" si="48">BH26+BJ26</f>
        <v>0</v>
      </c>
      <c r="BJ26" s="81">
        <f t="shared" ref="BJ26" si="49">SUM(BK26:BT26)</f>
        <v>0</v>
      </c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82" t="s">
        <v>806</v>
      </c>
      <c r="BV26" s="85"/>
      <c r="BW26" s="24"/>
    </row>
    <row r="27" spans="1:75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72"/>
      <c r="BB27" s="97"/>
      <c r="BC27" s="97"/>
      <c r="BD27" s="97"/>
      <c r="BE27" s="97"/>
      <c r="BF27" s="97"/>
      <c r="BG27" s="97"/>
      <c r="BH27" s="72"/>
      <c r="BI27" s="264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79"/>
      <c r="BV27" s="86"/>
      <c r="BW27" s="24"/>
    </row>
    <row r="28" spans="1:75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3005515</v>
      </c>
      <c r="F28" s="9">
        <f>SUM(F29:F35)</f>
        <v>2876527</v>
      </c>
      <c r="G28" s="9">
        <f t="shared" ref="G28:Y28" si="50">SUM(G29:G35)</f>
        <v>2958646</v>
      </c>
      <c r="H28" s="9">
        <f t="shared" si="50"/>
        <v>82119</v>
      </c>
      <c r="I28" s="9">
        <f t="shared" si="50"/>
        <v>0</v>
      </c>
      <c r="J28" s="9">
        <f t="shared" ref="J28" si="51">SUM(J29:J35)</f>
        <v>0</v>
      </c>
      <c r="K28" s="9">
        <f t="shared" si="50"/>
        <v>62106</v>
      </c>
      <c r="L28" s="9">
        <f t="shared" si="50"/>
        <v>0</v>
      </c>
      <c r="M28" s="9">
        <f t="shared" si="50"/>
        <v>0</v>
      </c>
      <c r="N28" s="9">
        <f t="shared" si="50"/>
        <v>2756</v>
      </c>
      <c r="O28" s="9">
        <f t="shared" si="50"/>
        <v>0</v>
      </c>
      <c r="P28" s="9">
        <f t="shared" si="50"/>
        <v>0</v>
      </c>
      <c r="Q28" s="9">
        <f t="shared" si="50"/>
        <v>0</v>
      </c>
      <c r="R28" s="9">
        <f t="shared" si="50"/>
        <v>0</v>
      </c>
      <c r="S28" s="9">
        <f t="shared" si="50"/>
        <v>0</v>
      </c>
      <c r="T28" s="9"/>
      <c r="U28" s="9">
        <f t="shared" si="50"/>
        <v>0</v>
      </c>
      <c r="V28" s="9"/>
      <c r="W28" s="9">
        <f t="shared" si="50"/>
        <v>17257</v>
      </c>
      <c r="X28" s="9">
        <f t="shared" si="50"/>
        <v>0</v>
      </c>
      <c r="Y28" s="9">
        <f t="shared" si="50"/>
        <v>0</v>
      </c>
      <c r="Z28" s="9">
        <f>SUM(Z29:Z35)</f>
        <v>0</v>
      </c>
      <c r="AA28" s="9">
        <f t="shared" ref="AA28" si="52">SUM(AA29:AA35)</f>
        <v>0</v>
      </c>
      <c r="AB28" s="9">
        <f t="shared" ref="AB28" si="53">SUM(AB29:AB35)</f>
        <v>0</v>
      </c>
      <c r="AC28" s="9">
        <f t="shared" ref="AC28" si="54">SUM(AC29:AC35)</f>
        <v>0</v>
      </c>
      <c r="AD28" s="9">
        <f t="shared" ref="AD28" si="55">SUM(AD29:AD35)</f>
        <v>0</v>
      </c>
      <c r="AE28" s="9">
        <f t="shared" ref="AE28" si="56">SUM(AE29:AE35)</f>
        <v>0</v>
      </c>
      <c r="AF28" s="9">
        <f t="shared" ref="AF28" si="57">SUM(AF29:AF35)</f>
        <v>0</v>
      </c>
      <c r="AG28" s="9">
        <f t="shared" ref="AG28" si="58">SUM(AG29:AG35)</f>
        <v>0</v>
      </c>
      <c r="AH28" s="9">
        <f t="shared" ref="AH28" si="59">SUM(AH29:AH35)</f>
        <v>0</v>
      </c>
      <c r="AI28" s="9">
        <f t="shared" ref="AI28" si="60">SUM(AI29:AI35)</f>
        <v>0</v>
      </c>
      <c r="AJ28" s="9">
        <f t="shared" ref="AJ28" si="61">SUM(AJ29:AJ35)</f>
        <v>0</v>
      </c>
      <c r="AK28" s="9">
        <f t="shared" ref="AK28" si="62">SUM(AK29:AK35)</f>
        <v>0</v>
      </c>
      <c r="AL28" s="9">
        <f t="shared" ref="AL28" si="63">SUM(AL29:AL35)</f>
        <v>0</v>
      </c>
      <c r="AM28" s="9">
        <f>SUM(AM29:AM35)</f>
        <v>46907</v>
      </c>
      <c r="AN28" s="96">
        <f t="shared" ref="AN28" si="64">SUM(AN29:AN35)</f>
        <v>51069</v>
      </c>
      <c r="AO28" s="96">
        <f t="shared" ref="AO28" si="65">SUM(AO29:AO35)</f>
        <v>4162</v>
      </c>
      <c r="AP28" s="96">
        <f t="shared" ref="AP28" si="66">SUM(AP29:AP35)</f>
        <v>4102</v>
      </c>
      <c r="AQ28" s="96">
        <f t="shared" ref="AQ28" si="67">SUM(AQ29:AQ35)</f>
        <v>0</v>
      </c>
      <c r="AR28" s="96">
        <f t="shared" ref="AR28" si="68">SUM(AR29:AR35)</f>
        <v>0</v>
      </c>
      <c r="AS28" s="96">
        <f t="shared" ref="AS28" si="69">SUM(AS29:AS35)</f>
        <v>0</v>
      </c>
      <c r="AT28" s="96">
        <f t="shared" ref="AT28" si="70">SUM(AT29:AT35)</f>
        <v>0</v>
      </c>
      <c r="AU28" s="96">
        <f t="shared" ref="AU28" si="71">SUM(AU29:AU35)</f>
        <v>0</v>
      </c>
      <c r="AV28" s="96">
        <f t="shared" ref="AV28" si="72">SUM(AV29:AV35)</f>
        <v>60</v>
      </c>
      <c r="AW28" s="96">
        <f t="shared" ref="AW28" si="73">SUM(AW29:AW35)</f>
        <v>0</v>
      </c>
      <c r="AX28" s="96">
        <f t="shared" ref="AX28" si="74">SUM(AX29:AX35)</f>
        <v>0</v>
      </c>
      <c r="AY28" s="96">
        <f t="shared" ref="AY28" si="75">SUM(AY29:AY35)</f>
        <v>0</v>
      </c>
      <c r="AZ28" s="96">
        <f>SUM(AZ29:AZ35)</f>
        <v>0</v>
      </c>
      <c r="BA28" s="9">
        <f t="shared" ref="BA28" si="76">SUM(BA29:BA35)</f>
        <v>0</v>
      </c>
      <c r="BB28" s="96">
        <f t="shared" ref="BB28" si="77">SUM(BB29:BB35)</f>
        <v>0</v>
      </c>
      <c r="BC28" s="96">
        <f t="shared" ref="BC28" si="78">SUM(BC29:BC35)</f>
        <v>0</v>
      </c>
      <c r="BD28" s="96">
        <f t="shared" ref="BD28" si="79">SUM(BD29:BD35)</f>
        <v>0</v>
      </c>
      <c r="BE28" s="96">
        <f t="shared" ref="BE28" si="80">SUM(BE29:BE35)</f>
        <v>0</v>
      </c>
      <c r="BF28" s="96">
        <f t="shared" ref="BF28" si="81">SUM(BF29:BF35)</f>
        <v>0</v>
      </c>
      <c r="BG28" s="96">
        <f t="shared" ref="BG28" si="82">SUM(BG29:BG35)</f>
        <v>0</v>
      </c>
      <c r="BH28" s="9">
        <f>SUM(BH29:BH35)</f>
        <v>-4200</v>
      </c>
      <c r="BI28" s="310">
        <f t="shared" ref="BI28" si="83">SUM(BI29:BI35)</f>
        <v>-4200</v>
      </c>
      <c r="BJ28" s="96">
        <f t="shared" ref="BJ28" si="84">SUM(BJ29:BJ35)</f>
        <v>0</v>
      </c>
      <c r="BK28" s="96">
        <f t="shared" ref="BK28" si="85">SUM(BK29:BK35)</f>
        <v>0</v>
      </c>
      <c r="BL28" s="96">
        <f t="shared" ref="BL28" si="86">SUM(BL29:BL35)</f>
        <v>0</v>
      </c>
      <c r="BM28" s="96">
        <f t="shared" ref="BM28" si="87">SUM(BM29:BM35)</f>
        <v>0</v>
      </c>
      <c r="BN28" s="96">
        <f t="shared" ref="BN28" si="88">SUM(BN29:BN35)</f>
        <v>0</v>
      </c>
      <c r="BO28" s="96">
        <f t="shared" ref="BO28" si="89">SUM(BO29:BO35)</f>
        <v>0</v>
      </c>
      <c r="BP28" s="96">
        <f t="shared" ref="BP28" si="90">SUM(BP29:BP35)</f>
        <v>0</v>
      </c>
      <c r="BQ28" s="96">
        <f t="shared" ref="BQ28" si="91">SUM(BQ29:BQ35)</f>
        <v>0</v>
      </c>
      <c r="BR28" s="96">
        <f t="shared" ref="BR28" si="92">SUM(BR29:BR35)</f>
        <v>0</v>
      </c>
      <c r="BS28" s="96">
        <f t="shared" ref="BS28" si="93">SUM(BS29:BS35)</f>
        <v>0</v>
      </c>
      <c r="BT28" s="96">
        <f t="shared" ref="BT28" si="94">SUM(BT29:BT35)</f>
        <v>0</v>
      </c>
      <c r="BU28" s="12"/>
      <c r="BV28" s="87"/>
      <c r="BW28" s="24"/>
    </row>
    <row r="29" spans="1:75" ht="15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5">F29+Z29+AM29+AZ29+BH29</f>
        <v>206605</v>
      </c>
      <c r="E29" s="295">
        <f t="shared" ref="E29:E34" si="96">G29+AA29+AN29+BA29+BI29</f>
        <v>206605</v>
      </c>
      <c r="F29" s="81">
        <v>206605</v>
      </c>
      <c r="G29" s="81">
        <f t="shared" ref="G29:G34" si="97">F29+H29</f>
        <v>206605</v>
      </c>
      <c r="H29" s="81">
        <f t="shared" ref="H29:H34" si="98">SUM(I29:Y29)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>
        <v>0</v>
      </c>
      <c r="AA29" s="81">
        <f t="shared" ref="AA29:AA34" si="99">Z29+AB29</f>
        <v>0</v>
      </c>
      <c r="AB29" s="81">
        <f t="shared" ref="AB29:AB34" si="100">SUM(AC29:AL29)</f>
        <v>0</v>
      </c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>
        <v>0</v>
      </c>
      <c r="AN29" s="81">
        <f t="shared" ref="AN29:AN34" si="101">AM29+AO29</f>
        <v>0</v>
      </c>
      <c r="AO29" s="81">
        <f t="shared" ref="AO29:AO34" si="102">SUM(AP29:AY29)</f>
        <v>0</v>
      </c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>
        <v>0</v>
      </c>
      <c r="BA29" s="81">
        <f t="shared" ref="BA29:BA34" si="103">AZ29+BB29</f>
        <v>0</v>
      </c>
      <c r="BB29" s="98">
        <f t="shared" ref="BB29:BB34" si="104">SUM(BC29:BG29)</f>
        <v>0</v>
      </c>
      <c r="BC29" s="98"/>
      <c r="BD29" s="98"/>
      <c r="BE29" s="98"/>
      <c r="BF29" s="98"/>
      <c r="BG29" s="98"/>
      <c r="BH29" s="81"/>
      <c r="BI29" s="81">
        <f t="shared" ref="BI29:BI34" si="105">BH29+BJ29</f>
        <v>0</v>
      </c>
      <c r="BJ29" s="81">
        <f t="shared" ref="BJ29:BJ34" si="106">SUM(BK29:BT29)</f>
        <v>0</v>
      </c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82" t="s">
        <v>313</v>
      </c>
      <c r="BV29" s="85"/>
      <c r="BW29" s="24"/>
    </row>
    <row r="30" spans="1:75" s="122" customFormat="1" ht="24" x14ac:dyDescent="0.2">
      <c r="A30" s="126"/>
      <c r="B30" s="248"/>
      <c r="C30" s="285" t="s">
        <v>185</v>
      </c>
      <c r="D30" s="80">
        <f t="shared" si="95"/>
        <v>195274</v>
      </c>
      <c r="E30" s="295">
        <f t="shared" si="96"/>
        <v>197772</v>
      </c>
      <c r="F30" s="81">
        <v>177754</v>
      </c>
      <c r="G30" s="81">
        <f t="shared" si="97"/>
        <v>177754</v>
      </c>
      <c r="H30" s="81">
        <f t="shared" si="98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>
        <v>0</v>
      </c>
      <c r="AA30" s="81">
        <f t="shared" si="99"/>
        <v>0</v>
      </c>
      <c r="AB30" s="81">
        <f t="shared" si="100"/>
        <v>0</v>
      </c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>
        <v>17520</v>
      </c>
      <c r="AN30" s="81">
        <f t="shared" si="101"/>
        <v>20018</v>
      </c>
      <c r="AO30" s="81">
        <f t="shared" si="102"/>
        <v>2498</v>
      </c>
      <c r="AP30" s="81">
        <v>2498</v>
      </c>
      <c r="AQ30" s="81"/>
      <c r="AR30" s="81"/>
      <c r="AS30" s="81"/>
      <c r="AT30" s="81"/>
      <c r="AU30" s="81"/>
      <c r="AV30" s="81"/>
      <c r="AW30" s="81"/>
      <c r="AX30" s="81"/>
      <c r="AY30" s="81"/>
      <c r="AZ30" s="81">
        <v>0</v>
      </c>
      <c r="BA30" s="81">
        <f t="shared" si="103"/>
        <v>0</v>
      </c>
      <c r="BB30" s="98">
        <f t="shared" si="104"/>
        <v>0</v>
      </c>
      <c r="BC30" s="98"/>
      <c r="BD30" s="98"/>
      <c r="BE30" s="98"/>
      <c r="BF30" s="98"/>
      <c r="BG30" s="98"/>
      <c r="BH30" s="81"/>
      <c r="BI30" s="81">
        <f t="shared" si="105"/>
        <v>0</v>
      </c>
      <c r="BJ30" s="81">
        <f t="shared" si="106"/>
        <v>0</v>
      </c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82" t="s">
        <v>314</v>
      </c>
      <c r="BV30" s="85" t="s">
        <v>441</v>
      </c>
      <c r="BW30" s="24"/>
    </row>
    <row r="31" spans="1:75" s="198" customFormat="1" ht="24" x14ac:dyDescent="0.2">
      <c r="A31" s="108"/>
      <c r="B31" s="242"/>
      <c r="C31" s="319" t="s">
        <v>647</v>
      </c>
      <c r="D31" s="80">
        <f t="shared" si="95"/>
        <v>66505</v>
      </c>
      <c r="E31" s="295">
        <f t="shared" si="96"/>
        <v>66505</v>
      </c>
      <c r="F31" s="72">
        <v>66505</v>
      </c>
      <c r="G31" s="72">
        <f t="shared" si="97"/>
        <v>66505</v>
      </c>
      <c r="H31" s="72">
        <f t="shared" si="98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>
        <v>0</v>
      </c>
      <c r="AA31" s="72">
        <f t="shared" si="99"/>
        <v>0</v>
      </c>
      <c r="AB31" s="72">
        <f t="shared" si="100"/>
        <v>0</v>
      </c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>
        <v>0</v>
      </c>
      <c r="AN31" s="72">
        <f t="shared" si="101"/>
        <v>0</v>
      </c>
      <c r="AO31" s="72">
        <f t="shared" si="102"/>
        <v>0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>
        <v>0</v>
      </c>
      <c r="BA31" s="81">
        <f t="shared" si="103"/>
        <v>0</v>
      </c>
      <c r="BB31" s="98">
        <f t="shared" si="104"/>
        <v>0</v>
      </c>
      <c r="BC31" s="97"/>
      <c r="BD31" s="97"/>
      <c r="BE31" s="97"/>
      <c r="BF31" s="97"/>
      <c r="BG31" s="97"/>
      <c r="BH31" s="72"/>
      <c r="BI31" s="81">
        <f t="shared" si="105"/>
        <v>0</v>
      </c>
      <c r="BJ31" s="81">
        <f t="shared" si="106"/>
        <v>0</v>
      </c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82" t="s">
        <v>315</v>
      </c>
      <c r="BV31" s="85" t="s">
        <v>442</v>
      </c>
      <c r="BW31" s="24"/>
    </row>
    <row r="32" spans="1:75" s="198" customFormat="1" ht="24" x14ac:dyDescent="0.2">
      <c r="A32" s="108"/>
      <c r="B32" s="242"/>
      <c r="C32" s="319" t="s">
        <v>758</v>
      </c>
      <c r="D32" s="80">
        <f t="shared" ref="D32" si="107">F32+Z32+AM32+AZ32+BH32</f>
        <v>0</v>
      </c>
      <c r="E32" s="295">
        <f t="shared" ref="E32" si="108">G32+AA32+AN32+BA32+BI32</f>
        <v>710</v>
      </c>
      <c r="F32" s="72"/>
      <c r="G32" s="72">
        <f t="shared" si="97"/>
        <v>710</v>
      </c>
      <c r="H32" s="72">
        <f t="shared" si="98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>
        <f t="shared" ref="AA32" si="109">Z32+AB32</f>
        <v>0</v>
      </c>
      <c r="AB32" s="72">
        <f t="shared" ref="AB32" si="110">SUM(AC32:AL32)</f>
        <v>0</v>
      </c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81">
        <f t="shared" ref="BA32" si="111">AZ32+BB32</f>
        <v>0</v>
      </c>
      <c r="BB32" s="98">
        <f t="shared" ref="BB32" si="112">SUM(BC32:BG32)</f>
        <v>0</v>
      </c>
      <c r="BC32" s="97"/>
      <c r="BD32" s="97"/>
      <c r="BE32" s="97"/>
      <c r="BF32" s="97"/>
      <c r="BG32" s="97"/>
      <c r="BH32" s="72"/>
      <c r="BI32" s="81">
        <f t="shared" ref="BI32" si="113">BH32+BJ32</f>
        <v>0</v>
      </c>
      <c r="BJ32" s="81">
        <f t="shared" ref="BJ32" si="114">SUM(BK32:BT32)</f>
        <v>0</v>
      </c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82" t="s">
        <v>759</v>
      </c>
      <c r="BV32" s="85" t="s">
        <v>442</v>
      </c>
      <c r="BW32" s="24"/>
    </row>
    <row r="33" spans="1:75" ht="24" customHeight="1" x14ac:dyDescent="0.2">
      <c r="A33" s="108">
        <v>90000056554</v>
      </c>
      <c r="B33" s="241" t="s">
        <v>449</v>
      </c>
      <c r="C33" s="285" t="s">
        <v>243</v>
      </c>
      <c r="D33" s="80">
        <f t="shared" si="95"/>
        <v>2415850</v>
      </c>
      <c r="E33" s="295">
        <f t="shared" si="96"/>
        <v>2498923</v>
      </c>
      <c r="F33" s="81">
        <v>2390663</v>
      </c>
      <c r="G33" s="81">
        <f t="shared" si="97"/>
        <v>2472072</v>
      </c>
      <c r="H33" s="81">
        <f t="shared" si="98"/>
        <v>81409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/>
      <c r="U33" s="81"/>
      <c r="V33" s="81"/>
      <c r="W33" s="81">
        <f>17257</f>
        <v>17257</v>
      </c>
      <c r="X33" s="81"/>
      <c r="Y33" s="81"/>
      <c r="Z33" s="81">
        <v>0</v>
      </c>
      <c r="AA33" s="81">
        <f t="shared" si="99"/>
        <v>0</v>
      </c>
      <c r="AB33" s="81">
        <f t="shared" si="100"/>
        <v>0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>
        <v>29387</v>
      </c>
      <c r="AN33" s="81">
        <f t="shared" si="101"/>
        <v>31051</v>
      </c>
      <c r="AO33" s="81">
        <f t="shared" si="102"/>
        <v>1664</v>
      </c>
      <c r="AP33" s="81">
        <v>1604</v>
      </c>
      <c r="AQ33" s="81"/>
      <c r="AR33" s="81"/>
      <c r="AS33" s="81"/>
      <c r="AT33" s="81"/>
      <c r="AU33" s="81"/>
      <c r="AV33" s="81">
        <v>60</v>
      </c>
      <c r="AW33" s="81"/>
      <c r="AX33" s="81"/>
      <c r="AY33" s="81"/>
      <c r="AZ33" s="81">
        <v>0</v>
      </c>
      <c r="BA33" s="81">
        <f t="shared" si="103"/>
        <v>0</v>
      </c>
      <c r="BB33" s="98">
        <f t="shared" si="104"/>
        <v>0</v>
      </c>
      <c r="BC33" s="98"/>
      <c r="BD33" s="98"/>
      <c r="BE33" s="98"/>
      <c r="BF33" s="98"/>
      <c r="BG33" s="98"/>
      <c r="BH33" s="81">
        <v>-4200</v>
      </c>
      <c r="BI33" s="81">
        <f t="shared" si="105"/>
        <v>-4200</v>
      </c>
      <c r="BJ33" s="81">
        <f t="shared" si="106"/>
        <v>0</v>
      </c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82" t="s">
        <v>654</v>
      </c>
      <c r="BV33" s="85"/>
      <c r="BW33" s="24"/>
    </row>
    <row r="34" spans="1:75" ht="26.25" customHeight="1" x14ac:dyDescent="0.2">
      <c r="A34" s="108"/>
      <c r="B34" s="241" t="s">
        <v>167</v>
      </c>
      <c r="C34" s="322" t="s">
        <v>225</v>
      </c>
      <c r="D34" s="80">
        <f t="shared" si="95"/>
        <v>35000</v>
      </c>
      <c r="E34" s="295">
        <f t="shared" si="96"/>
        <v>35000</v>
      </c>
      <c r="F34" s="81">
        <v>35000</v>
      </c>
      <c r="G34" s="81">
        <f t="shared" si="97"/>
        <v>35000</v>
      </c>
      <c r="H34" s="81">
        <f t="shared" si="98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>
        <f t="shared" si="99"/>
        <v>0</v>
      </c>
      <c r="AB34" s="81">
        <f t="shared" si="100"/>
        <v>0</v>
      </c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98">
        <f t="shared" si="101"/>
        <v>0</v>
      </c>
      <c r="AO34" s="98">
        <f t="shared" si="102"/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81">
        <f t="shared" si="103"/>
        <v>0</v>
      </c>
      <c r="BB34" s="98">
        <f t="shared" si="104"/>
        <v>0</v>
      </c>
      <c r="BC34" s="98"/>
      <c r="BD34" s="98"/>
      <c r="BE34" s="98"/>
      <c r="BF34" s="98"/>
      <c r="BG34" s="98"/>
      <c r="BH34" s="81"/>
      <c r="BI34" s="81">
        <f t="shared" si="105"/>
        <v>0</v>
      </c>
      <c r="BJ34" s="81">
        <f t="shared" si="106"/>
        <v>0</v>
      </c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82" t="s">
        <v>344</v>
      </c>
      <c r="BV34" s="85"/>
      <c r="BW34" s="24"/>
    </row>
    <row r="35" spans="1:75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72"/>
      <c r="BB35" s="97"/>
      <c r="BC35" s="97"/>
      <c r="BD35" s="97"/>
      <c r="BE35" s="97"/>
      <c r="BF35" s="97"/>
      <c r="BG35" s="97"/>
      <c r="BH35" s="72"/>
      <c r="BI35" s="264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73"/>
      <c r="BV35" s="86"/>
      <c r="BW35" s="24"/>
    </row>
    <row r="36" spans="1:75" ht="12.75" thickBot="1" x14ac:dyDescent="0.25">
      <c r="A36" s="215" t="s">
        <v>7</v>
      </c>
      <c r="B36" s="125" t="s">
        <v>8</v>
      </c>
      <c r="C36" s="321"/>
      <c r="D36" s="11">
        <f>SUM(D37:D63)</f>
        <v>22014945</v>
      </c>
      <c r="E36" s="297">
        <f>SUM(E37:E63)</f>
        <v>21596400</v>
      </c>
      <c r="F36" s="9">
        <f>SUM(F37:F63)</f>
        <v>20834324</v>
      </c>
      <c r="G36" s="9">
        <f t="shared" ref="G36:Y36" si="115">SUM(G37:G63)</f>
        <v>20365199</v>
      </c>
      <c r="H36" s="9">
        <f t="shared" si="115"/>
        <v>-469125</v>
      </c>
      <c r="I36" s="9">
        <f t="shared" si="115"/>
        <v>-59883</v>
      </c>
      <c r="J36" s="9">
        <f t="shared" ref="J36" si="116">SUM(J37:J63)</f>
        <v>0</v>
      </c>
      <c r="K36" s="9">
        <f t="shared" si="115"/>
        <v>1136346</v>
      </c>
      <c r="L36" s="9">
        <f t="shared" si="115"/>
        <v>609649</v>
      </c>
      <c r="M36" s="9">
        <f t="shared" si="115"/>
        <v>332752</v>
      </c>
      <c r="N36" s="9">
        <f t="shared" si="115"/>
        <v>5000</v>
      </c>
      <c r="O36" s="9">
        <f t="shared" si="115"/>
        <v>121283</v>
      </c>
      <c r="P36" s="9">
        <f t="shared" si="115"/>
        <v>0</v>
      </c>
      <c r="Q36" s="9">
        <f t="shared" si="115"/>
        <v>-239129</v>
      </c>
      <c r="R36" s="9">
        <f t="shared" si="115"/>
        <v>0</v>
      </c>
      <c r="S36" s="9">
        <f t="shared" si="115"/>
        <v>-1797866</v>
      </c>
      <c r="T36" s="9"/>
      <c r="U36" s="9">
        <f t="shared" si="115"/>
        <v>5645</v>
      </c>
      <c r="V36" s="9"/>
      <c r="W36" s="9">
        <f t="shared" si="115"/>
        <v>-586107</v>
      </c>
      <c r="X36" s="9">
        <f t="shared" si="115"/>
        <v>0</v>
      </c>
      <c r="Y36" s="9">
        <f t="shared" si="115"/>
        <v>0</v>
      </c>
      <c r="Z36" s="9">
        <f>SUM(Z37:Z63)</f>
        <v>1169460</v>
      </c>
      <c r="AA36" s="9">
        <f t="shared" ref="AA36" si="117">SUM(AA37:AA63)</f>
        <v>1225936</v>
      </c>
      <c r="AB36" s="9">
        <f t="shared" ref="AB36" si="118">SUM(AB37:AB63)</f>
        <v>56476</v>
      </c>
      <c r="AC36" s="9">
        <f t="shared" ref="AC36" si="119">SUM(AC37:AC63)</f>
        <v>0</v>
      </c>
      <c r="AD36" s="9">
        <f t="shared" ref="AD36" si="120">SUM(AD37:AD63)</f>
        <v>33077</v>
      </c>
      <c r="AE36" s="9">
        <f t="shared" ref="AE36" si="121">SUM(AE37:AE63)</f>
        <v>0</v>
      </c>
      <c r="AF36" s="9">
        <f t="shared" ref="AF36" si="122">SUM(AF37:AF63)</f>
        <v>23399</v>
      </c>
      <c r="AG36" s="9">
        <f t="shared" ref="AG36" si="123">SUM(AG37:AG63)</f>
        <v>0</v>
      </c>
      <c r="AH36" s="9">
        <f t="shared" ref="AH36" si="124">SUM(AH37:AH63)</f>
        <v>0</v>
      </c>
      <c r="AI36" s="9">
        <f t="shared" ref="AI36" si="125">SUM(AI37:AI63)</f>
        <v>0</v>
      </c>
      <c r="AJ36" s="9">
        <f t="shared" ref="AJ36" si="126">SUM(AJ37:AJ63)</f>
        <v>0</v>
      </c>
      <c r="AK36" s="9">
        <f t="shared" ref="AK36" si="127">SUM(AK37:AK63)</f>
        <v>0</v>
      </c>
      <c r="AL36" s="9">
        <f t="shared" ref="AL36" si="128">SUM(AL37:AL63)</f>
        <v>0</v>
      </c>
      <c r="AM36" s="9">
        <f>SUM(AM37:AM63)</f>
        <v>11161</v>
      </c>
      <c r="AN36" s="96">
        <f t="shared" ref="AN36" si="129">SUM(AN37:AN63)</f>
        <v>5265</v>
      </c>
      <c r="AO36" s="96">
        <f t="shared" ref="AO36" si="130">SUM(AO37:AO63)</f>
        <v>-5896</v>
      </c>
      <c r="AP36" s="96">
        <f t="shared" ref="AP36" si="131">SUM(AP37:AP63)</f>
        <v>0</v>
      </c>
      <c r="AQ36" s="96">
        <f t="shared" ref="AQ36" si="132">SUM(AQ37:AQ63)</f>
        <v>0</v>
      </c>
      <c r="AR36" s="96">
        <f t="shared" ref="AR36" si="133">SUM(AR37:AR63)</f>
        <v>0</v>
      </c>
      <c r="AS36" s="96">
        <f t="shared" ref="AS36" si="134">SUM(AS37:AS63)</f>
        <v>0</v>
      </c>
      <c r="AT36" s="96">
        <f t="shared" ref="AT36" si="135">SUM(AT37:AT63)</f>
        <v>0</v>
      </c>
      <c r="AU36" s="96">
        <f t="shared" ref="AU36" si="136">SUM(AU37:AU63)</f>
        <v>0</v>
      </c>
      <c r="AV36" s="96">
        <f t="shared" ref="AV36" si="137">SUM(AV37:AV63)</f>
        <v>-5896</v>
      </c>
      <c r="AW36" s="96">
        <f t="shared" ref="AW36" si="138">SUM(AW37:AW63)</f>
        <v>0</v>
      </c>
      <c r="AX36" s="96">
        <f t="shared" ref="AX36" si="139">SUM(AX37:AX63)</f>
        <v>0</v>
      </c>
      <c r="AY36" s="96">
        <f t="shared" ref="AY36" si="140">SUM(AY37:AY63)</f>
        <v>0</v>
      </c>
      <c r="AZ36" s="96">
        <f>SUM(AZ37:AZ63)</f>
        <v>0</v>
      </c>
      <c r="BA36" s="9">
        <f t="shared" ref="BA36" si="141">SUM(BA37:BA63)</f>
        <v>0</v>
      </c>
      <c r="BB36" s="96">
        <f t="shared" ref="BB36" si="142">SUM(BB37:BB63)</f>
        <v>0</v>
      </c>
      <c r="BC36" s="96">
        <f t="shared" ref="BC36" si="143">SUM(BC37:BC63)</f>
        <v>0</v>
      </c>
      <c r="BD36" s="96">
        <f t="shared" ref="BD36" si="144">SUM(BD37:BD63)</f>
        <v>0</v>
      </c>
      <c r="BE36" s="96">
        <f t="shared" ref="BE36" si="145">SUM(BE37:BE63)</f>
        <v>0</v>
      </c>
      <c r="BF36" s="96">
        <f t="shared" ref="BF36" si="146">SUM(BF37:BF63)</f>
        <v>0</v>
      </c>
      <c r="BG36" s="96">
        <f t="shared" ref="BG36" si="147">SUM(BG37:BG63)</f>
        <v>0</v>
      </c>
      <c r="BH36" s="9">
        <f>SUM(BH37:BH63)</f>
        <v>0</v>
      </c>
      <c r="BI36" s="310">
        <f t="shared" ref="BI36" si="148">SUM(BI37:BI63)</f>
        <v>0</v>
      </c>
      <c r="BJ36" s="96">
        <f t="shared" ref="BJ36" si="149">SUM(BJ37:BJ63)</f>
        <v>0</v>
      </c>
      <c r="BK36" s="96">
        <f t="shared" ref="BK36" si="150">SUM(BK37:BK63)</f>
        <v>0</v>
      </c>
      <c r="BL36" s="96">
        <f t="shared" ref="BL36" si="151">SUM(BL37:BL63)</f>
        <v>0</v>
      </c>
      <c r="BM36" s="96">
        <f t="shared" ref="BM36" si="152">SUM(BM37:BM63)</f>
        <v>0</v>
      </c>
      <c r="BN36" s="96">
        <f t="shared" ref="BN36" si="153">SUM(BN37:BN63)</f>
        <v>0</v>
      </c>
      <c r="BO36" s="96">
        <f t="shared" ref="BO36" si="154">SUM(BO37:BO63)</f>
        <v>0</v>
      </c>
      <c r="BP36" s="96">
        <f t="shared" ref="BP36" si="155">SUM(BP37:BP63)</f>
        <v>0</v>
      </c>
      <c r="BQ36" s="96">
        <f t="shared" ref="BQ36" si="156">SUM(BQ37:BQ63)</f>
        <v>0</v>
      </c>
      <c r="BR36" s="96">
        <f t="shared" ref="BR36" si="157">SUM(BR37:BR63)</f>
        <v>0</v>
      </c>
      <c r="BS36" s="96">
        <f t="shared" ref="BS36" si="158">SUM(BS37:BS63)</f>
        <v>0</v>
      </c>
      <c r="BT36" s="96">
        <f t="shared" ref="BT36" si="159">SUM(BT37:BT63)</f>
        <v>0</v>
      </c>
      <c r="BU36" s="12"/>
      <c r="BV36" s="87"/>
      <c r="BW36" s="24"/>
    </row>
    <row r="37" spans="1:75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0">F37+Z37+AM37+AZ37+BH37</f>
        <v>3353884</v>
      </c>
      <c r="E37" s="295">
        <f t="shared" ref="E37:E61" si="161">G37+AA37+AN37+BA37+BI37</f>
        <v>3340884</v>
      </c>
      <c r="F37" s="81">
        <v>3353884</v>
      </c>
      <c r="G37" s="81">
        <f t="shared" ref="G37:G61" si="162">F37+H37</f>
        <v>3340884</v>
      </c>
      <c r="H37" s="81">
        <f t="shared" ref="H37:H61" si="163">SUM(I37:Y37)</f>
        <v>-13000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>
        <v>7000</v>
      </c>
      <c r="V37" s="81"/>
      <c r="W37" s="81">
        <v>-20000</v>
      </c>
      <c r="X37" s="81"/>
      <c r="Y37" s="81"/>
      <c r="Z37" s="81">
        <v>0</v>
      </c>
      <c r="AA37" s="81">
        <f t="shared" ref="AA37:AA61" si="164">Z37+AB37</f>
        <v>0</v>
      </c>
      <c r="AB37" s="81">
        <f t="shared" ref="AB37:AB61" si="165">SUM(AC37:AL37)</f>
        <v>0</v>
      </c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>
        <v>0</v>
      </c>
      <c r="AN37" s="81">
        <f t="shared" ref="AN37:AN61" si="166">AM37+AO37</f>
        <v>0</v>
      </c>
      <c r="AO37" s="81">
        <f t="shared" ref="AO37:AO61" si="167">SUM(AP37:AY37)</f>
        <v>0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>
        <v>0</v>
      </c>
      <c r="BA37" s="81">
        <f t="shared" ref="BA37:BA61" si="168">AZ37+BB37</f>
        <v>0</v>
      </c>
      <c r="BB37" s="98">
        <f t="shared" ref="BB37:BB61" si="169">SUM(BC37:BG37)</f>
        <v>0</v>
      </c>
      <c r="BC37" s="98"/>
      <c r="BD37" s="98"/>
      <c r="BE37" s="98"/>
      <c r="BF37" s="98"/>
      <c r="BG37" s="98"/>
      <c r="BH37" s="81"/>
      <c r="BI37" s="81">
        <f t="shared" ref="BI37:BI61" si="170">BH37+BJ37</f>
        <v>0</v>
      </c>
      <c r="BJ37" s="81">
        <f t="shared" ref="BJ37:BJ61" si="171">SUM(BK37:BT37)</f>
        <v>0</v>
      </c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82" t="s">
        <v>651</v>
      </c>
      <c r="BV37" s="85"/>
      <c r="BW37" s="24"/>
    </row>
    <row r="38" spans="1:75" s="122" customFormat="1" ht="12.75" x14ac:dyDescent="0.2">
      <c r="A38" s="108"/>
      <c r="B38" s="246"/>
      <c r="C38" s="285" t="s">
        <v>252</v>
      </c>
      <c r="D38" s="80">
        <f t="shared" si="160"/>
        <v>5388</v>
      </c>
      <c r="E38" s="295">
        <f t="shared" si="161"/>
        <v>5388</v>
      </c>
      <c r="F38" s="81">
        <v>5388</v>
      </c>
      <c r="G38" s="81">
        <f t="shared" si="162"/>
        <v>5388</v>
      </c>
      <c r="H38" s="81">
        <f t="shared" si="163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>
        <v>0</v>
      </c>
      <c r="AA38" s="81">
        <f t="shared" si="164"/>
        <v>0</v>
      </c>
      <c r="AB38" s="81">
        <f t="shared" si="165"/>
        <v>0</v>
      </c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>
        <v>0</v>
      </c>
      <c r="AN38" s="81">
        <f t="shared" si="166"/>
        <v>0</v>
      </c>
      <c r="AO38" s="81">
        <f t="shared" si="167"/>
        <v>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>
        <v>0</v>
      </c>
      <c r="BA38" s="81">
        <f t="shared" si="168"/>
        <v>0</v>
      </c>
      <c r="BB38" s="98">
        <f t="shared" si="169"/>
        <v>0</v>
      </c>
      <c r="BC38" s="199"/>
      <c r="BD38" s="199"/>
      <c r="BE38" s="199"/>
      <c r="BF38" s="199"/>
      <c r="BG38" s="199"/>
      <c r="BH38" s="163"/>
      <c r="BI38" s="81">
        <f t="shared" si="170"/>
        <v>0</v>
      </c>
      <c r="BJ38" s="81">
        <f t="shared" si="171"/>
        <v>0</v>
      </c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220" t="s">
        <v>655</v>
      </c>
      <c r="BV38" s="85"/>
      <c r="BW38" s="24"/>
    </row>
    <row r="39" spans="1:75" ht="12.75" x14ac:dyDescent="0.2">
      <c r="A39" s="108"/>
      <c r="B39" s="243"/>
      <c r="C39" s="285" t="s">
        <v>215</v>
      </c>
      <c r="D39" s="80">
        <f t="shared" si="160"/>
        <v>2305016</v>
      </c>
      <c r="E39" s="295">
        <f t="shared" si="161"/>
        <v>2271871</v>
      </c>
      <c r="F39" s="81">
        <v>2112120</v>
      </c>
      <c r="G39" s="81">
        <f t="shared" si="162"/>
        <v>2084871</v>
      </c>
      <c r="H39" s="81">
        <f t="shared" si="163"/>
        <v>-27249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>
        <v>-19000</v>
      </c>
      <c r="T39" s="81"/>
      <c r="U39" s="81">
        <v>-965</v>
      </c>
      <c r="V39" s="81">
        <v>3185</v>
      </c>
      <c r="W39" s="81">
        <f>-4879-233-4130-1227</f>
        <v>-10469</v>
      </c>
      <c r="X39" s="81"/>
      <c r="Y39" s="81"/>
      <c r="Z39" s="81">
        <v>187000</v>
      </c>
      <c r="AA39" s="81">
        <f t="shared" si="164"/>
        <v>187000</v>
      </c>
      <c r="AB39" s="81">
        <f t="shared" si="165"/>
        <v>0</v>
      </c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>
        <v>5896</v>
      </c>
      <c r="AN39" s="81">
        <f t="shared" si="166"/>
        <v>0</v>
      </c>
      <c r="AO39" s="81">
        <f t="shared" si="167"/>
        <v>-5896</v>
      </c>
      <c r="AP39" s="81"/>
      <c r="AQ39" s="81"/>
      <c r="AR39" s="81"/>
      <c r="AS39" s="81"/>
      <c r="AT39" s="81"/>
      <c r="AU39" s="81"/>
      <c r="AV39" s="81">
        <f>4225-4225+965-965-5896</f>
        <v>-5896</v>
      </c>
      <c r="AW39" s="81"/>
      <c r="AX39" s="81"/>
      <c r="AY39" s="81"/>
      <c r="AZ39" s="81">
        <v>0</v>
      </c>
      <c r="BA39" s="81">
        <f t="shared" si="168"/>
        <v>0</v>
      </c>
      <c r="BB39" s="98">
        <f t="shared" si="169"/>
        <v>0</v>
      </c>
      <c r="BC39" s="81"/>
      <c r="BD39" s="81"/>
      <c r="BE39" s="81"/>
      <c r="BF39" s="81"/>
      <c r="BG39" s="81"/>
      <c r="BH39" s="81"/>
      <c r="BI39" s="81">
        <f t="shared" si="170"/>
        <v>0</v>
      </c>
      <c r="BJ39" s="81">
        <f t="shared" si="171"/>
        <v>0</v>
      </c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220" t="s">
        <v>316</v>
      </c>
      <c r="BV39" s="85" t="s">
        <v>661</v>
      </c>
      <c r="BW39" s="24"/>
    </row>
    <row r="40" spans="1:75" s="106" customFormat="1" ht="24" x14ac:dyDescent="0.2">
      <c r="A40" s="108"/>
      <c r="B40" s="246"/>
      <c r="C40" s="285" t="s">
        <v>244</v>
      </c>
      <c r="D40" s="80">
        <f t="shared" si="160"/>
        <v>54303</v>
      </c>
      <c r="E40" s="295">
        <f t="shared" si="161"/>
        <v>54303</v>
      </c>
      <c r="F40" s="163">
        <v>54303</v>
      </c>
      <c r="G40" s="163">
        <f t="shared" si="162"/>
        <v>54303</v>
      </c>
      <c r="H40" s="163">
        <f t="shared" si="163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>
        <v>0</v>
      </c>
      <c r="AA40" s="163">
        <f t="shared" si="164"/>
        <v>0</v>
      </c>
      <c r="AB40" s="163">
        <f t="shared" si="165"/>
        <v>0</v>
      </c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>
        <v>0</v>
      </c>
      <c r="AN40" s="163">
        <f t="shared" si="166"/>
        <v>0</v>
      </c>
      <c r="AO40" s="163">
        <f t="shared" si="167"/>
        <v>0</v>
      </c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>
        <v>0</v>
      </c>
      <c r="BA40" s="81">
        <f t="shared" si="168"/>
        <v>0</v>
      </c>
      <c r="BB40" s="98">
        <f t="shared" si="169"/>
        <v>0</v>
      </c>
      <c r="BC40" s="163"/>
      <c r="BD40" s="163"/>
      <c r="BE40" s="163"/>
      <c r="BF40" s="163"/>
      <c r="BG40" s="163"/>
      <c r="BH40" s="163"/>
      <c r="BI40" s="81">
        <f t="shared" si="170"/>
        <v>0</v>
      </c>
      <c r="BJ40" s="81">
        <f t="shared" si="171"/>
        <v>0</v>
      </c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220" t="s">
        <v>549</v>
      </c>
      <c r="BV40" s="85" t="s">
        <v>568</v>
      </c>
      <c r="BW40" s="24"/>
    </row>
    <row r="41" spans="1:75" s="162" customFormat="1" ht="12.75" x14ac:dyDescent="0.2">
      <c r="A41" s="108"/>
      <c r="B41" s="246"/>
      <c r="C41" s="285" t="s">
        <v>220</v>
      </c>
      <c r="D41" s="80">
        <f t="shared" si="160"/>
        <v>461728</v>
      </c>
      <c r="E41" s="295">
        <f t="shared" si="161"/>
        <v>461728</v>
      </c>
      <c r="F41" s="81">
        <v>456463</v>
      </c>
      <c r="G41" s="81">
        <f t="shared" si="162"/>
        <v>456463</v>
      </c>
      <c r="H41" s="81">
        <f t="shared" si="163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>
        <v>0</v>
      </c>
      <c r="AA41" s="81">
        <f t="shared" si="164"/>
        <v>0</v>
      </c>
      <c r="AB41" s="81">
        <f t="shared" si="165"/>
        <v>0</v>
      </c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>
        <v>5265</v>
      </c>
      <c r="AN41" s="81">
        <f t="shared" si="166"/>
        <v>5265</v>
      </c>
      <c r="AO41" s="81">
        <f t="shared" si="167"/>
        <v>0</v>
      </c>
      <c r="AP41" s="81">
        <v>0</v>
      </c>
      <c r="AQ41" s="81"/>
      <c r="AR41" s="81"/>
      <c r="AS41" s="81"/>
      <c r="AT41" s="81"/>
      <c r="AU41" s="81"/>
      <c r="AV41" s="81"/>
      <c r="AW41" s="81"/>
      <c r="AX41" s="81"/>
      <c r="AY41" s="81"/>
      <c r="AZ41" s="81">
        <v>0</v>
      </c>
      <c r="BA41" s="81">
        <f t="shared" si="168"/>
        <v>0</v>
      </c>
      <c r="BB41" s="98">
        <f t="shared" si="169"/>
        <v>0</v>
      </c>
      <c r="BC41" s="81"/>
      <c r="BD41" s="81"/>
      <c r="BE41" s="81"/>
      <c r="BF41" s="81"/>
      <c r="BG41" s="81"/>
      <c r="BH41" s="81"/>
      <c r="BI41" s="81">
        <f t="shared" si="170"/>
        <v>0</v>
      </c>
      <c r="BJ41" s="81">
        <f t="shared" si="171"/>
        <v>0</v>
      </c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220" t="s">
        <v>317</v>
      </c>
      <c r="BV41" s="85" t="s">
        <v>790</v>
      </c>
      <c r="BW41" s="24"/>
    </row>
    <row r="42" spans="1:75" s="121" customFormat="1" ht="24" x14ac:dyDescent="0.2">
      <c r="A42" s="108"/>
      <c r="B42" s="243"/>
      <c r="C42" s="285" t="s">
        <v>251</v>
      </c>
      <c r="D42" s="80">
        <f t="shared" si="160"/>
        <v>807594</v>
      </c>
      <c r="E42" s="295">
        <f t="shared" si="161"/>
        <v>763995</v>
      </c>
      <c r="F42" s="81">
        <v>807594</v>
      </c>
      <c r="G42" s="81">
        <f t="shared" si="162"/>
        <v>763995</v>
      </c>
      <c r="H42" s="81">
        <f t="shared" si="163"/>
        <v>-43599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>
        <v>-13400</v>
      </c>
      <c r="T42" s="81"/>
      <c r="U42" s="81">
        <f>5500+965</f>
        <v>6465</v>
      </c>
      <c r="V42" s="81"/>
      <c r="W42" s="81">
        <f>-15121-30000</f>
        <v>-45121</v>
      </c>
      <c r="X42" s="81"/>
      <c r="Y42" s="81"/>
      <c r="Z42" s="81">
        <v>0</v>
      </c>
      <c r="AA42" s="81">
        <f t="shared" si="164"/>
        <v>0</v>
      </c>
      <c r="AB42" s="81">
        <f t="shared" si="165"/>
        <v>0</v>
      </c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>
        <v>0</v>
      </c>
      <c r="AN42" s="81">
        <f t="shared" si="166"/>
        <v>0</v>
      </c>
      <c r="AO42" s="81">
        <f t="shared" si="167"/>
        <v>0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>
        <v>0</v>
      </c>
      <c r="BA42" s="81">
        <f t="shared" si="168"/>
        <v>0</v>
      </c>
      <c r="BB42" s="98">
        <f t="shared" si="169"/>
        <v>0</v>
      </c>
      <c r="BC42" s="81"/>
      <c r="BD42" s="81"/>
      <c r="BE42" s="81"/>
      <c r="BF42" s="81"/>
      <c r="BG42" s="81"/>
      <c r="BH42" s="81"/>
      <c r="BI42" s="81">
        <f t="shared" si="170"/>
        <v>0</v>
      </c>
      <c r="BJ42" s="81">
        <f t="shared" si="171"/>
        <v>0</v>
      </c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220" t="s">
        <v>318</v>
      </c>
      <c r="BV42" s="85" t="s">
        <v>662</v>
      </c>
      <c r="BW42" s="24"/>
    </row>
    <row r="43" spans="1:75" s="162" customFormat="1" ht="24" x14ac:dyDescent="0.2">
      <c r="A43" s="108"/>
      <c r="B43" s="243"/>
      <c r="C43" s="285" t="s">
        <v>260</v>
      </c>
      <c r="D43" s="80">
        <f t="shared" si="160"/>
        <v>114100</v>
      </c>
      <c r="E43" s="295">
        <f t="shared" si="161"/>
        <v>114100</v>
      </c>
      <c r="F43" s="163">
        <v>114100</v>
      </c>
      <c r="G43" s="163">
        <f t="shared" si="162"/>
        <v>114100</v>
      </c>
      <c r="H43" s="163">
        <f t="shared" si="163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>
        <v>0</v>
      </c>
      <c r="AA43" s="163">
        <f t="shared" si="164"/>
        <v>0</v>
      </c>
      <c r="AB43" s="163">
        <f t="shared" si="165"/>
        <v>0</v>
      </c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>
        <v>0</v>
      </c>
      <c r="AN43" s="163">
        <f t="shared" si="166"/>
        <v>0</v>
      </c>
      <c r="AO43" s="163">
        <f t="shared" si="167"/>
        <v>0</v>
      </c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>
        <v>0</v>
      </c>
      <c r="BA43" s="81">
        <f t="shared" si="168"/>
        <v>0</v>
      </c>
      <c r="BB43" s="98">
        <f t="shared" si="169"/>
        <v>0</v>
      </c>
      <c r="BC43" s="163"/>
      <c r="BD43" s="163"/>
      <c r="BE43" s="163"/>
      <c r="BF43" s="163"/>
      <c r="BG43" s="163"/>
      <c r="BH43" s="163"/>
      <c r="BI43" s="81">
        <f t="shared" si="170"/>
        <v>0</v>
      </c>
      <c r="BJ43" s="81">
        <f t="shared" si="171"/>
        <v>0</v>
      </c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220" t="s">
        <v>319</v>
      </c>
      <c r="BV43" s="86" t="s">
        <v>481</v>
      </c>
      <c r="BW43" s="24"/>
    </row>
    <row r="44" spans="1:75" s="162" customFormat="1" ht="24" x14ac:dyDescent="0.2">
      <c r="A44" s="108"/>
      <c r="B44" s="243"/>
      <c r="C44" s="285" t="s">
        <v>707</v>
      </c>
      <c r="D44" s="80">
        <f t="shared" si="160"/>
        <v>8257247</v>
      </c>
      <c r="E44" s="295">
        <f t="shared" si="161"/>
        <v>8696258</v>
      </c>
      <c r="F44" s="81">
        <v>7367846</v>
      </c>
      <c r="G44" s="81">
        <f t="shared" si="162"/>
        <v>7657322</v>
      </c>
      <c r="H44" s="81">
        <f t="shared" si="163"/>
        <v>289476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>
        <f>-1148816+1263198</f>
        <v>114382</v>
      </c>
      <c r="T44" s="81"/>
      <c r="U44" s="81"/>
      <c r="V44" s="81"/>
      <c r="W44" s="81">
        <v>20000</v>
      </c>
      <c r="X44" s="81"/>
      <c r="Y44" s="81"/>
      <c r="Z44" s="81">
        <v>889401</v>
      </c>
      <c r="AA44" s="81">
        <f t="shared" si="164"/>
        <v>1038936</v>
      </c>
      <c r="AB44" s="81">
        <f t="shared" si="165"/>
        <v>149535</v>
      </c>
      <c r="AC44" s="81"/>
      <c r="AD44" s="81">
        <v>33077</v>
      </c>
      <c r="AE44" s="81"/>
      <c r="AF44" s="81">
        <f>23399+93059</f>
        <v>116458</v>
      </c>
      <c r="AG44" s="81"/>
      <c r="AH44" s="81"/>
      <c r="AI44" s="81"/>
      <c r="AJ44" s="81"/>
      <c r="AK44" s="81"/>
      <c r="AL44" s="81"/>
      <c r="AM44" s="81">
        <v>0</v>
      </c>
      <c r="AN44" s="81">
        <f t="shared" si="166"/>
        <v>0</v>
      </c>
      <c r="AO44" s="81">
        <f t="shared" si="167"/>
        <v>0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>
        <v>0</v>
      </c>
      <c r="BA44" s="81">
        <f t="shared" si="168"/>
        <v>0</v>
      </c>
      <c r="BB44" s="98">
        <f t="shared" si="169"/>
        <v>0</v>
      </c>
      <c r="BC44" s="81"/>
      <c r="BD44" s="81"/>
      <c r="BE44" s="81"/>
      <c r="BF44" s="81"/>
      <c r="BG44" s="81"/>
      <c r="BH44" s="81"/>
      <c r="BI44" s="81">
        <f t="shared" si="170"/>
        <v>0</v>
      </c>
      <c r="BJ44" s="81">
        <f t="shared" si="171"/>
        <v>0</v>
      </c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220" t="s">
        <v>656</v>
      </c>
      <c r="BV44" s="85" t="s">
        <v>439</v>
      </c>
      <c r="BW44" s="24"/>
    </row>
    <row r="45" spans="1:75" s="198" customFormat="1" ht="24" x14ac:dyDescent="0.2">
      <c r="A45" s="108"/>
      <c r="B45" s="243"/>
      <c r="C45" s="285" t="s">
        <v>642</v>
      </c>
      <c r="D45" s="80">
        <f t="shared" si="160"/>
        <v>584436</v>
      </c>
      <c r="E45" s="295">
        <f t="shared" si="161"/>
        <v>605936</v>
      </c>
      <c r="F45" s="81">
        <v>584436</v>
      </c>
      <c r="G45" s="81">
        <f t="shared" si="162"/>
        <v>605936</v>
      </c>
      <c r="H45" s="81">
        <f t="shared" si="163"/>
        <v>21500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>
        <v>16500</v>
      </c>
      <c r="T45" s="81"/>
      <c r="U45" s="81"/>
      <c r="V45" s="81"/>
      <c r="W45" s="81"/>
      <c r="X45" s="81"/>
      <c r="Y45" s="81"/>
      <c r="Z45" s="81">
        <v>0</v>
      </c>
      <c r="AA45" s="81">
        <f t="shared" si="164"/>
        <v>0</v>
      </c>
      <c r="AB45" s="81">
        <f t="shared" si="165"/>
        <v>0</v>
      </c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>
        <v>0</v>
      </c>
      <c r="AN45" s="81">
        <f t="shared" si="166"/>
        <v>0</v>
      </c>
      <c r="AO45" s="81">
        <f t="shared" si="167"/>
        <v>0</v>
      </c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>
        <v>0</v>
      </c>
      <c r="BA45" s="81">
        <f t="shared" si="168"/>
        <v>0</v>
      </c>
      <c r="BB45" s="98">
        <f t="shared" si="169"/>
        <v>0</v>
      </c>
      <c r="BC45" s="199"/>
      <c r="BD45" s="199"/>
      <c r="BE45" s="199"/>
      <c r="BF45" s="199"/>
      <c r="BG45" s="199"/>
      <c r="BH45" s="163"/>
      <c r="BI45" s="81">
        <f t="shared" si="170"/>
        <v>0</v>
      </c>
      <c r="BJ45" s="81">
        <f t="shared" si="171"/>
        <v>0</v>
      </c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220" t="s">
        <v>657</v>
      </c>
      <c r="BV45" s="85" t="s">
        <v>441</v>
      </c>
      <c r="BW45" s="24"/>
    </row>
    <row r="46" spans="1:75" s="159" customFormat="1" ht="36" x14ac:dyDescent="0.2">
      <c r="A46" s="108"/>
      <c r="B46" s="243"/>
      <c r="C46" s="285" t="s">
        <v>702</v>
      </c>
      <c r="D46" s="80">
        <f t="shared" si="160"/>
        <v>24315</v>
      </c>
      <c r="E46" s="295">
        <f t="shared" si="161"/>
        <v>24315</v>
      </c>
      <c r="F46" s="81">
        <v>24315</v>
      </c>
      <c r="G46" s="81">
        <f t="shared" si="162"/>
        <v>24315</v>
      </c>
      <c r="H46" s="81">
        <f t="shared" si="163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>
        <v>0</v>
      </c>
      <c r="AA46" s="81">
        <f t="shared" si="164"/>
        <v>0</v>
      </c>
      <c r="AB46" s="81">
        <f t="shared" si="165"/>
        <v>0</v>
      </c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>
        <v>0</v>
      </c>
      <c r="AN46" s="81">
        <f t="shared" si="166"/>
        <v>0</v>
      </c>
      <c r="AO46" s="81">
        <f t="shared" si="167"/>
        <v>0</v>
      </c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>
        <v>0</v>
      </c>
      <c r="BA46" s="81">
        <f t="shared" si="168"/>
        <v>0</v>
      </c>
      <c r="BB46" s="98">
        <f t="shared" si="169"/>
        <v>0</v>
      </c>
      <c r="BC46" s="199"/>
      <c r="BD46" s="199"/>
      <c r="BE46" s="199"/>
      <c r="BF46" s="199"/>
      <c r="BG46" s="199"/>
      <c r="BH46" s="163"/>
      <c r="BI46" s="81">
        <f t="shared" si="170"/>
        <v>0</v>
      </c>
      <c r="BJ46" s="81">
        <f t="shared" si="171"/>
        <v>0</v>
      </c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220" t="s">
        <v>658</v>
      </c>
      <c r="BV46" s="85"/>
      <c r="BW46" s="24"/>
    </row>
    <row r="47" spans="1:75" s="130" customFormat="1" ht="15" customHeight="1" x14ac:dyDescent="0.2">
      <c r="A47" s="108"/>
      <c r="B47" s="243"/>
      <c r="C47" s="285" t="s">
        <v>622</v>
      </c>
      <c r="D47" s="80">
        <f t="shared" si="160"/>
        <v>2600</v>
      </c>
      <c r="E47" s="295">
        <f t="shared" si="161"/>
        <v>2569</v>
      </c>
      <c r="F47" s="81">
        <v>2600</v>
      </c>
      <c r="G47" s="81">
        <f t="shared" si="162"/>
        <v>2569</v>
      </c>
      <c r="H47" s="81">
        <f t="shared" si="163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>
        <v>0</v>
      </c>
      <c r="AA47" s="81">
        <f t="shared" si="164"/>
        <v>0</v>
      </c>
      <c r="AB47" s="81">
        <f t="shared" si="165"/>
        <v>0</v>
      </c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>
        <v>0</v>
      </c>
      <c r="AN47" s="81">
        <f t="shared" si="166"/>
        <v>0</v>
      </c>
      <c r="AO47" s="81">
        <f t="shared" si="167"/>
        <v>0</v>
      </c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>
        <v>0</v>
      </c>
      <c r="BA47" s="81">
        <f t="shared" si="168"/>
        <v>0</v>
      </c>
      <c r="BB47" s="98">
        <f t="shared" si="169"/>
        <v>0</v>
      </c>
      <c r="BC47" s="199"/>
      <c r="BD47" s="199"/>
      <c r="BE47" s="199"/>
      <c r="BF47" s="199"/>
      <c r="BG47" s="199"/>
      <c r="BH47" s="163"/>
      <c r="BI47" s="81">
        <f t="shared" si="170"/>
        <v>0</v>
      </c>
      <c r="BJ47" s="81">
        <f t="shared" si="171"/>
        <v>0</v>
      </c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220" t="s">
        <v>659</v>
      </c>
      <c r="BV47" s="85"/>
      <c r="BW47" s="24"/>
    </row>
    <row r="48" spans="1:75" s="198" customFormat="1" ht="24" x14ac:dyDescent="0.2">
      <c r="A48" s="108"/>
      <c r="B48" s="243"/>
      <c r="C48" s="285" t="s">
        <v>623</v>
      </c>
      <c r="D48" s="80">
        <f t="shared" si="160"/>
        <v>10397</v>
      </c>
      <c r="E48" s="295">
        <f t="shared" si="161"/>
        <v>10537</v>
      </c>
      <c r="F48" s="81">
        <v>10397</v>
      </c>
      <c r="G48" s="81">
        <f t="shared" si="162"/>
        <v>10537</v>
      </c>
      <c r="H48" s="81">
        <f t="shared" si="163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>
        <v>0</v>
      </c>
      <c r="AA48" s="81">
        <f t="shared" si="164"/>
        <v>0</v>
      </c>
      <c r="AB48" s="81">
        <f t="shared" si="165"/>
        <v>0</v>
      </c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>
        <v>0</v>
      </c>
      <c r="AN48" s="81">
        <f t="shared" si="166"/>
        <v>0</v>
      </c>
      <c r="AO48" s="81">
        <f t="shared" si="167"/>
        <v>0</v>
      </c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>
        <v>0</v>
      </c>
      <c r="BA48" s="81">
        <f t="shared" si="168"/>
        <v>0</v>
      </c>
      <c r="BB48" s="98">
        <f t="shared" si="169"/>
        <v>0</v>
      </c>
      <c r="BC48" s="199"/>
      <c r="BD48" s="199"/>
      <c r="BE48" s="199"/>
      <c r="BF48" s="199"/>
      <c r="BG48" s="199"/>
      <c r="BH48" s="163"/>
      <c r="BI48" s="81">
        <f t="shared" si="170"/>
        <v>0</v>
      </c>
      <c r="BJ48" s="81">
        <f t="shared" si="171"/>
        <v>0</v>
      </c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220" t="s">
        <v>500</v>
      </c>
      <c r="BV48" s="85"/>
      <c r="BW48" s="24"/>
    </row>
    <row r="49" spans="1:75" s="198" customFormat="1" ht="12.75" x14ac:dyDescent="0.2">
      <c r="A49" s="108"/>
      <c r="B49" s="243"/>
      <c r="C49" s="285" t="s">
        <v>624</v>
      </c>
      <c r="D49" s="80">
        <f t="shared" si="160"/>
        <v>0</v>
      </c>
      <c r="E49" s="295">
        <f t="shared" si="161"/>
        <v>48073</v>
      </c>
      <c r="F49" s="81">
        <v>0</v>
      </c>
      <c r="G49" s="81">
        <f t="shared" si="162"/>
        <v>48073</v>
      </c>
      <c r="H49" s="81">
        <f t="shared" si="163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>
        <v>0</v>
      </c>
      <c r="AA49" s="81">
        <f t="shared" si="164"/>
        <v>0</v>
      </c>
      <c r="AB49" s="81">
        <f t="shared" si="165"/>
        <v>0</v>
      </c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>
        <v>0</v>
      </c>
      <c r="AN49" s="81">
        <f t="shared" si="166"/>
        <v>0</v>
      </c>
      <c r="AO49" s="81">
        <f t="shared" si="167"/>
        <v>0</v>
      </c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>
        <v>0</v>
      </c>
      <c r="BA49" s="81">
        <f t="shared" si="168"/>
        <v>0</v>
      </c>
      <c r="BB49" s="98">
        <f t="shared" si="169"/>
        <v>0</v>
      </c>
      <c r="BC49" s="199"/>
      <c r="BD49" s="199"/>
      <c r="BE49" s="199"/>
      <c r="BF49" s="199"/>
      <c r="BG49" s="199"/>
      <c r="BH49" s="163"/>
      <c r="BI49" s="81">
        <f t="shared" si="170"/>
        <v>0</v>
      </c>
      <c r="BJ49" s="81">
        <f t="shared" si="171"/>
        <v>0</v>
      </c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220" t="s">
        <v>660</v>
      </c>
      <c r="BV49" s="85"/>
      <c r="BW49" s="24"/>
    </row>
    <row r="50" spans="1:75" s="198" customFormat="1" ht="24" x14ac:dyDescent="0.2">
      <c r="A50" s="108"/>
      <c r="B50" s="243"/>
      <c r="C50" s="285" t="s">
        <v>626</v>
      </c>
      <c r="D50" s="80">
        <f t="shared" si="160"/>
        <v>3330726</v>
      </c>
      <c r="E50" s="295">
        <f t="shared" si="161"/>
        <v>3043322</v>
      </c>
      <c r="F50" s="81">
        <v>3330726</v>
      </c>
      <c r="G50" s="81">
        <f t="shared" si="162"/>
        <v>3043322</v>
      </c>
      <c r="H50" s="81">
        <f t="shared" si="163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>
        <v>0</v>
      </c>
      <c r="AA50" s="81">
        <f t="shared" si="164"/>
        <v>0</v>
      </c>
      <c r="AB50" s="81">
        <f t="shared" si="165"/>
        <v>0</v>
      </c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>
        <v>0</v>
      </c>
      <c r="AN50" s="81">
        <f t="shared" si="166"/>
        <v>0</v>
      </c>
      <c r="AO50" s="81">
        <f t="shared" si="167"/>
        <v>0</v>
      </c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>
        <v>0</v>
      </c>
      <c r="BA50" s="81">
        <f t="shared" si="168"/>
        <v>0</v>
      </c>
      <c r="BB50" s="98">
        <f t="shared" si="169"/>
        <v>0</v>
      </c>
      <c r="BC50" s="98"/>
      <c r="BD50" s="98"/>
      <c r="BE50" s="98"/>
      <c r="BF50" s="98"/>
      <c r="BG50" s="98"/>
      <c r="BH50" s="81"/>
      <c r="BI50" s="81">
        <f t="shared" si="170"/>
        <v>0</v>
      </c>
      <c r="BJ50" s="81">
        <f t="shared" si="171"/>
        <v>0</v>
      </c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220" t="s">
        <v>559</v>
      </c>
      <c r="BV50" s="85"/>
      <c r="BW50" s="24"/>
    </row>
    <row r="51" spans="1:75" s="198" customFormat="1" ht="36" x14ac:dyDescent="0.2">
      <c r="A51" s="108"/>
      <c r="B51" s="243"/>
      <c r="C51" s="319" t="s">
        <v>625</v>
      </c>
      <c r="D51" s="80">
        <f t="shared" si="160"/>
        <v>2177258</v>
      </c>
      <c r="E51" s="295">
        <f t="shared" si="161"/>
        <v>241241</v>
      </c>
      <c r="F51" s="163">
        <v>2084199</v>
      </c>
      <c r="G51" s="163">
        <f t="shared" si="162"/>
        <v>241241</v>
      </c>
      <c r="H51" s="163">
        <f t="shared" si="163"/>
        <v>-1842958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>
        <v>-1832690</v>
      </c>
      <c r="T51" s="163"/>
      <c r="U51" s="163"/>
      <c r="V51" s="163"/>
      <c r="W51" s="163"/>
      <c r="X51" s="163"/>
      <c r="Y51" s="163"/>
      <c r="Z51" s="163">
        <v>93059</v>
      </c>
      <c r="AA51" s="163">
        <f t="shared" si="164"/>
        <v>0</v>
      </c>
      <c r="AB51" s="163">
        <f t="shared" si="165"/>
        <v>-93059</v>
      </c>
      <c r="AC51" s="163"/>
      <c r="AD51" s="163"/>
      <c r="AE51" s="163"/>
      <c r="AF51" s="163">
        <v>-93059</v>
      </c>
      <c r="AG51" s="163"/>
      <c r="AH51" s="163"/>
      <c r="AI51" s="163"/>
      <c r="AJ51" s="163"/>
      <c r="AK51" s="163"/>
      <c r="AL51" s="163"/>
      <c r="AM51" s="163">
        <v>0</v>
      </c>
      <c r="AN51" s="163">
        <f t="shared" si="166"/>
        <v>0</v>
      </c>
      <c r="AO51" s="163">
        <f t="shared" si="167"/>
        <v>0</v>
      </c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>
        <v>0</v>
      </c>
      <c r="BA51" s="81">
        <f t="shared" si="168"/>
        <v>0</v>
      </c>
      <c r="BB51" s="98">
        <f t="shared" si="169"/>
        <v>0</v>
      </c>
      <c r="BC51" s="199"/>
      <c r="BD51" s="199"/>
      <c r="BE51" s="199"/>
      <c r="BF51" s="199"/>
      <c r="BG51" s="199"/>
      <c r="BH51" s="163"/>
      <c r="BI51" s="81">
        <f t="shared" si="170"/>
        <v>0</v>
      </c>
      <c r="BJ51" s="81">
        <f t="shared" si="171"/>
        <v>0</v>
      </c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220" t="s">
        <v>560</v>
      </c>
      <c r="BV51" s="200"/>
      <c r="BW51" s="24"/>
    </row>
    <row r="52" spans="1:75" s="198" customFormat="1" ht="24" x14ac:dyDescent="0.2">
      <c r="A52" s="108"/>
      <c r="B52" s="243"/>
      <c r="C52" s="319" t="s">
        <v>733</v>
      </c>
      <c r="D52" s="80">
        <f t="shared" ref="D52:D53" si="172">F52+Z52+AM52+AZ52+BH52</f>
        <v>0</v>
      </c>
      <c r="E52" s="295">
        <f t="shared" ref="E52:E53" si="173">G52+AA52+AN52+BA52+BI52</f>
        <v>8614</v>
      </c>
      <c r="F52" s="163"/>
      <c r="G52" s="163">
        <f t="shared" ref="G52" si="174">F52+H52</f>
        <v>8614</v>
      </c>
      <c r="H52" s="163">
        <f t="shared" ref="H52" si="175">SUM(I52:Y52)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>
        <f t="shared" ref="AA52" si="176">Z52+AB52</f>
        <v>0</v>
      </c>
      <c r="AB52" s="163">
        <f t="shared" ref="AB52" si="177">SUM(AC52:AL52)</f>
        <v>0</v>
      </c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>
        <f t="shared" ref="AN52" si="178">AM52+AO52</f>
        <v>0</v>
      </c>
      <c r="AO52" s="163">
        <f t="shared" ref="AO52" si="179">SUM(AP52:AY52)</f>
        <v>0</v>
      </c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81">
        <f t="shared" ref="BA52" si="180">AZ52+BB52</f>
        <v>0</v>
      </c>
      <c r="BB52" s="98">
        <f t="shared" ref="BB52" si="181">SUM(BC52:BG52)</f>
        <v>0</v>
      </c>
      <c r="BC52" s="199"/>
      <c r="BD52" s="199"/>
      <c r="BE52" s="199"/>
      <c r="BF52" s="199"/>
      <c r="BG52" s="199"/>
      <c r="BH52" s="163"/>
      <c r="BI52" s="81">
        <f t="shared" ref="BI52" si="182">BH52+BJ52</f>
        <v>0</v>
      </c>
      <c r="BJ52" s="81">
        <f t="shared" ref="BJ52" si="183">SUM(BK52:BT52)</f>
        <v>0</v>
      </c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220" t="s">
        <v>734</v>
      </c>
      <c r="BV52" s="200"/>
      <c r="BW52" s="24"/>
    </row>
    <row r="53" spans="1:75" s="198" customFormat="1" ht="22.5" customHeight="1" x14ac:dyDescent="0.2">
      <c r="A53" s="108"/>
      <c r="B53" s="243"/>
      <c r="C53" s="319" t="s">
        <v>773</v>
      </c>
      <c r="D53" s="80">
        <f t="shared" si="172"/>
        <v>0</v>
      </c>
      <c r="E53" s="295">
        <f t="shared" si="173"/>
        <v>62027</v>
      </c>
      <c r="F53" s="163"/>
      <c r="G53" s="163">
        <f t="shared" ref="G53" si="184">F53+H53</f>
        <v>62027</v>
      </c>
      <c r="H53" s="163">
        <f t="shared" ref="H53" si="185">SUM(I53:Y53)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>
        <f t="shared" ref="AA53" si="186">Z53+AB53</f>
        <v>0</v>
      </c>
      <c r="AB53" s="163">
        <f t="shared" ref="AB53" si="187">SUM(AC53:AL53)</f>
        <v>0</v>
      </c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>
        <f t="shared" ref="AN53" si="188">AM53+AO53</f>
        <v>0</v>
      </c>
      <c r="AO53" s="163">
        <f t="shared" ref="AO53" si="189">SUM(AP53:AY53)</f>
        <v>0</v>
      </c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81">
        <f t="shared" ref="BA53" si="190">AZ53+BB53</f>
        <v>0</v>
      </c>
      <c r="BB53" s="98">
        <f t="shared" ref="BB53" si="191">SUM(BC53:BG53)</f>
        <v>0</v>
      </c>
      <c r="BC53" s="199"/>
      <c r="BD53" s="199"/>
      <c r="BE53" s="199"/>
      <c r="BF53" s="199"/>
      <c r="BG53" s="199"/>
      <c r="BH53" s="163"/>
      <c r="BI53" s="81">
        <f t="shared" ref="BI53" si="192">BH53+BJ53</f>
        <v>0</v>
      </c>
      <c r="BJ53" s="81">
        <f t="shared" ref="BJ53" si="193">SUM(BK53:BT53)</f>
        <v>0</v>
      </c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220" t="s">
        <v>749</v>
      </c>
      <c r="BV53" s="200"/>
      <c r="BW53" s="24"/>
    </row>
    <row r="54" spans="1:75" s="198" customFormat="1" ht="36" x14ac:dyDescent="0.2">
      <c r="A54" s="108"/>
      <c r="B54" s="243"/>
      <c r="C54" s="319" t="s">
        <v>765</v>
      </c>
      <c r="D54" s="80">
        <f t="shared" ref="D54" si="194">F54+Z54+AM54+AZ54+BH54</f>
        <v>0</v>
      </c>
      <c r="E54" s="295">
        <f t="shared" ref="E54" si="195">G54+AA54+AN54+BA54+BI54</f>
        <v>331567</v>
      </c>
      <c r="F54" s="163"/>
      <c r="G54" s="163">
        <f t="shared" ref="G54" si="196">F54+H54</f>
        <v>331567</v>
      </c>
      <c r="H54" s="163">
        <f t="shared" ref="H54" si="197">SUM(I54:Y54)</f>
        <v>331567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>
        <v>-251474</v>
      </c>
      <c r="R54" s="163"/>
      <c r="S54" s="163"/>
      <c r="T54" s="163"/>
      <c r="U54" s="163"/>
      <c r="V54" s="163"/>
      <c r="W54" s="163">
        <v>-529860</v>
      </c>
      <c r="X54" s="163"/>
      <c r="Y54" s="163"/>
      <c r="Z54" s="163"/>
      <c r="AA54" s="163">
        <f t="shared" ref="AA54" si="198">Z54+AB54</f>
        <v>0</v>
      </c>
      <c r="AB54" s="163">
        <f t="shared" ref="AB54" si="199">SUM(AC54:AL54)</f>
        <v>0</v>
      </c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>
        <f t="shared" ref="AN54" si="200">AM54+AO54</f>
        <v>0</v>
      </c>
      <c r="AO54" s="163">
        <f t="shared" ref="AO54" si="201">SUM(AP54:AY54)</f>
        <v>0</v>
      </c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81">
        <f t="shared" ref="BA54" si="202">AZ54+BB54</f>
        <v>0</v>
      </c>
      <c r="BB54" s="98">
        <f t="shared" ref="BB54" si="203">SUM(BC54:BG54)</f>
        <v>0</v>
      </c>
      <c r="BC54" s="199"/>
      <c r="BD54" s="199"/>
      <c r="BE54" s="199"/>
      <c r="BF54" s="199"/>
      <c r="BG54" s="199"/>
      <c r="BH54" s="163"/>
      <c r="BI54" s="81">
        <f t="shared" ref="BI54" si="204">BH54+BJ54</f>
        <v>0</v>
      </c>
      <c r="BJ54" s="81">
        <f t="shared" ref="BJ54" si="205">SUM(BK54:BT54)</f>
        <v>0</v>
      </c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220" t="s">
        <v>764</v>
      </c>
      <c r="BV54" s="200"/>
      <c r="BW54" s="24"/>
    </row>
    <row r="55" spans="1:75" s="198" customFormat="1" ht="24" x14ac:dyDescent="0.2">
      <c r="A55" s="108"/>
      <c r="B55" s="243"/>
      <c r="C55" s="319" t="s">
        <v>794</v>
      </c>
      <c r="D55" s="80">
        <f t="shared" ref="D55" si="206">F55+Z55+AM55+AZ55+BH55</f>
        <v>0</v>
      </c>
      <c r="E55" s="295">
        <f t="shared" ref="E55" si="207">G55+AA55+AN55+BA55+BI55</f>
        <v>1205889</v>
      </c>
      <c r="F55" s="163"/>
      <c r="G55" s="163">
        <f t="shared" ref="G55" si="208">F55+H55</f>
        <v>1205889</v>
      </c>
      <c r="H55" s="163">
        <f t="shared" ref="H55" si="209">SUM(I55:Y55)</f>
        <v>1205889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>
        <v>4665</v>
      </c>
      <c r="R55" s="163"/>
      <c r="S55" s="163"/>
      <c r="T55" s="163"/>
      <c r="U55" s="163"/>
      <c r="V55" s="163"/>
      <c r="W55" s="163"/>
      <c r="X55" s="163"/>
      <c r="Y55" s="163"/>
      <c r="Z55" s="163"/>
      <c r="AA55" s="163">
        <f t="shared" ref="AA55" si="210">Z55+AB55</f>
        <v>0</v>
      </c>
      <c r="AB55" s="163">
        <f t="shared" ref="AB55" si="211">SUM(AC55:AL55)</f>
        <v>0</v>
      </c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>
        <f t="shared" ref="AN55" si="212">AM55+AO55</f>
        <v>0</v>
      </c>
      <c r="AO55" s="163">
        <f t="shared" ref="AO55" si="213">SUM(AP55:AY55)</f>
        <v>0</v>
      </c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81">
        <f t="shared" ref="BA55" si="214">AZ55+BB55</f>
        <v>0</v>
      </c>
      <c r="BB55" s="98">
        <f t="shared" ref="BB55" si="215">SUM(BC55:BG55)</f>
        <v>0</v>
      </c>
      <c r="BC55" s="199"/>
      <c r="BD55" s="199"/>
      <c r="BE55" s="199"/>
      <c r="BF55" s="199"/>
      <c r="BG55" s="199"/>
      <c r="BH55" s="163"/>
      <c r="BI55" s="81">
        <f t="shared" ref="BI55" si="216">BH55+BJ55</f>
        <v>0</v>
      </c>
      <c r="BJ55" s="81">
        <f t="shared" ref="BJ55" si="217">SUM(BK55:BT55)</f>
        <v>0</v>
      </c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220" t="s">
        <v>793</v>
      </c>
      <c r="BV55" s="200"/>
      <c r="BW55" s="24"/>
    </row>
    <row r="56" spans="1:75" ht="24" customHeight="1" x14ac:dyDescent="0.2">
      <c r="A56" s="108">
        <v>90000518538</v>
      </c>
      <c r="B56" s="241" t="s">
        <v>298</v>
      </c>
      <c r="C56" s="285" t="s">
        <v>186</v>
      </c>
      <c r="D56" s="80">
        <f t="shared" si="160"/>
        <v>91353</v>
      </c>
      <c r="E56" s="295">
        <f t="shared" si="161"/>
        <v>91353</v>
      </c>
      <c r="F56" s="81">
        <v>91353</v>
      </c>
      <c r="G56" s="81">
        <f t="shared" si="162"/>
        <v>91353</v>
      </c>
      <c r="H56" s="81">
        <f t="shared" si="163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>
        <v>0</v>
      </c>
      <c r="AA56" s="81">
        <f t="shared" si="164"/>
        <v>0</v>
      </c>
      <c r="AB56" s="81">
        <f t="shared" si="165"/>
        <v>0</v>
      </c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>
        <v>0</v>
      </c>
      <c r="AN56" s="81">
        <f t="shared" si="166"/>
        <v>0</v>
      </c>
      <c r="AO56" s="81">
        <f t="shared" si="167"/>
        <v>0</v>
      </c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>
        <v>0</v>
      </c>
      <c r="BA56" s="81">
        <f t="shared" si="168"/>
        <v>0</v>
      </c>
      <c r="BB56" s="98">
        <f t="shared" si="169"/>
        <v>0</v>
      </c>
      <c r="BC56" s="98"/>
      <c r="BD56" s="98"/>
      <c r="BE56" s="98"/>
      <c r="BF56" s="98"/>
      <c r="BG56" s="98"/>
      <c r="BH56" s="81"/>
      <c r="BI56" s="81">
        <f t="shared" si="170"/>
        <v>0</v>
      </c>
      <c r="BJ56" s="81">
        <f t="shared" si="171"/>
        <v>0</v>
      </c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82" t="s">
        <v>443</v>
      </c>
      <c r="BV56" s="85"/>
      <c r="BW56" s="24"/>
    </row>
    <row r="57" spans="1:75" ht="39" customHeight="1" x14ac:dyDescent="0.2">
      <c r="A57" s="108"/>
      <c r="B57" s="241" t="s">
        <v>167</v>
      </c>
      <c r="C57" s="322" t="s">
        <v>168</v>
      </c>
      <c r="D57" s="80">
        <f t="shared" si="160"/>
        <v>231300</v>
      </c>
      <c r="E57" s="295">
        <f t="shared" si="161"/>
        <v>25675</v>
      </c>
      <c r="F57" s="81">
        <v>231300</v>
      </c>
      <c r="G57" s="81">
        <f t="shared" si="162"/>
        <v>25675</v>
      </c>
      <c r="H57" s="81">
        <f t="shared" si="163"/>
        <v>-205625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>
        <v>-9775</v>
      </c>
      <c r="R57" s="81"/>
      <c r="S57" s="81">
        <f>-3462-60196</f>
        <v>-63658</v>
      </c>
      <c r="T57" s="81"/>
      <c r="U57" s="81">
        <f>-5500-1355</f>
        <v>-6855</v>
      </c>
      <c r="V57" s="81"/>
      <c r="W57" s="81">
        <v>-657</v>
      </c>
      <c r="X57" s="81"/>
      <c r="Y57" s="81"/>
      <c r="Z57" s="81"/>
      <c r="AA57" s="81">
        <f t="shared" si="164"/>
        <v>0</v>
      </c>
      <c r="AB57" s="81">
        <f t="shared" si="165"/>
        <v>0</v>
      </c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98">
        <f t="shared" si="166"/>
        <v>0</v>
      </c>
      <c r="AO57" s="98">
        <f t="shared" si="167"/>
        <v>0</v>
      </c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81">
        <f t="shared" si="168"/>
        <v>0</v>
      </c>
      <c r="BB57" s="98">
        <f t="shared" si="169"/>
        <v>0</v>
      </c>
      <c r="BC57" s="98"/>
      <c r="BD57" s="98"/>
      <c r="BE57" s="98"/>
      <c r="BF57" s="98"/>
      <c r="BG57" s="98"/>
      <c r="BH57" s="81"/>
      <c r="BI57" s="81">
        <f t="shared" si="170"/>
        <v>0</v>
      </c>
      <c r="BJ57" s="81">
        <f t="shared" si="171"/>
        <v>0</v>
      </c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82" t="s">
        <v>326</v>
      </c>
      <c r="BV57" s="85"/>
      <c r="BW57" s="24"/>
    </row>
    <row r="58" spans="1:75" ht="12.75" x14ac:dyDescent="0.2">
      <c r="A58" s="108"/>
      <c r="B58" s="243"/>
      <c r="C58" s="322" t="s">
        <v>195</v>
      </c>
      <c r="D58" s="80">
        <f t="shared" si="160"/>
        <v>16800</v>
      </c>
      <c r="E58" s="295">
        <f t="shared" si="161"/>
        <v>16800</v>
      </c>
      <c r="F58" s="81">
        <v>16800</v>
      </c>
      <c r="G58" s="81">
        <f t="shared" si="162"/>
        <v>16800</v>
      </c>
      <c r="H58" s="81">
        <f t="shared" si="163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>
        <v>0</v>
      </c>
      <c r="AA58" s="81">
        <f t="shared" si="164"/>
        <v>0</v>
      </c>
      <c r="AB58" s="81">
        <f t="shared" si="165"/>
        <v>0</v>
      </c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>
        <v>0</v>
      </c>
      <c r="AN58" s="81">
        <f t="shared" si="166"/>
        <v>0</v>
      </c>
      <c r="AO58" s="81">
        <f t="shared" si="167"/>
        <v>0</v>
      </c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>
        <v>0</v>
      </c>
      <c r="BA58" s="81">
        <f t="shared" si="168"/>
        <v>0</v>
      </c>
      <c r="BB58" s="98">
        <f t="shared" si="169"/>
        <v>0</v>
      </c>
      <c r="BC58" s="98"/>
      <c r="BD58" s="98"/>
      <c r="BE58" s="98"/>
      <c r="BF58" s="98"/>
      <c r="BG58" s="98"/>
      <c r="BH58" s="81"/>
      <c r="BI58" s="81">
        <f t="shared" si="170"/>
        <v>0</v>
      </c>
      <c r="BJ58" s="81">
        <f t="shared" si="171"/>
        <v>0</v>
      </c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82" t="s">
        <v>327</v>
      </c>
      <c r="BV58" s="85"/>
      <c r="BW58" s="24"/>
    </row>
    <row r="59" spans="1:75" ht="12.75" x14ac:dyDescent="0.2">
      <c r="A59" s="108"/>
      <c r="B59" s="243"/>
      <c r="C59" s="322" t="s">
        <v>181</v>
      </c>
      <c r="D59" s="80">
        <f t="shared" si="160"/>
        <v>150000</v>
      </c>
      <c r="E59" s="295">
        <f t="shared" si="161"/>
        <v>116000</v>
      </c>
      <c r="F59" s="81">
        <v>150000</v>
      </c>
      <c r="G59" s="81">
        <f t="shared" si="162"/>
        <v>116000</v>
      </c>
      <c r="H59" s="81">
        <f t="shared" si="163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>
        <f t="shared" si="164"/>
        <v>0</v>
      </c>
      <c r="AB59" s="81">
        <f t="shared" si="165"/>
        <v>0</v>
      </c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98">
        <f t="shared" si="166"/>
        <v>0</v>
      </c>
      <c r="AO59" s="98">
        <f t="shared" si="167"/>
        <v>0</v>
      </c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81">
        <f t="shared" si="168"/>
        <v>0</v>
      </c>
      <c r="BB59" s="98">
        <f t="shared" si="169"/>
        <v>0</v>
      </c>
      <c r="BC59" s="98"/>
      <c r="BD59" s="98"/>
      <c r="BE59" s="98"/>
      <c r="BF59" s="98"/>
      <c r="BG59" s="98"/>
      <c r="BH59" s="81"/>
      <c r="BI59" s="81">
        <f t="shared" si="170"/>
        <v>0</v>
      </c>
      <c r="BJ59" s="81">
        <f t="shared" si="171"/>
        <v>0</v>
      </c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82" t="s">
        <v>328</v>
      </c>
      <c r="BV59" s="85"/>
      <c r="BW59" s="24"/>
    </row>
    <row r="60" spans="1:75" s="168" customFormat="1" ht="24" x14ac:dyDescent="0.2">
      <c r="A60" s="108"/>
      <c r="B60" s="243"/>
      <c r="C60" s="322" t="s">
        <v>493</v>
      </c>
      <c r="D60" s="80">
        <f t="shared" si="160"/>
        <v>30000</v>
      </c>
      <c r="E60" s="295">
        <f t="shared" si="161"/>
        <v>30000</v>
      </c>
      <c r="F60" s="81">
        <v>30000</v>
      </c>
      <c r="G60" s="81">
        <f t="shared" si="162"/>
        <v>30000</v>
      </c>
      <c r="H60" s="81">
        <f t="shared" si="163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>
        <f t="shared" si="164"/>
        <v>0</v>
      </c>
      <c r="AB60" s="81">
        <f t="shared" si="165"/>
        <v>0</v>
      </c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98">
        <f t="shared" si="166"/>
        <v>0</v>
      </c>
      <c r="AO60" s="98">
        <f t="shared" si="167"/>
        <v>0</v>
      </c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81">
        <f t="shared" si="168"/>
        <v>0</v>
      </c>
      <c r="BB60" s="98">
        <f t="shared" si="169"/>
        <v>0</v>
      </c>
      <c r="BC60" s="98"/>
      <c r="BD60" s="98"/>
      <c r="BE60" s="98"/>
      <c r="BF60" s="98"/>
      <c r="BG60" s="98"/>
      <c r="BH60" s="81"/>
      <c r="BI60" s="81">
        <f t="shared" si="170"/>
        <v>0</v>
      </c>
      <c r="BJ60" s="81">
        <f t="shared" si="171"/>
        <v>0</v>
      </c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82" t="s">
        <v>494</v>
      </c>
      <c r="BV60" s="85"/>
      <c r="BW60" s="24"/>
    </row>
    <row r="61" spans="1:75" s="198" customFormat="1" ht="36" x14ac:dyDescent="0.2">
      <c r="A61" s="108"/>
      <c r="B61" s="243"/>
      <c r="C61" s="322" t="s">
        <v>646</v>
      </c>
      <c r="D61" s="80">
        <f t="shared" si="160"/>
        <v>6500</v>
      </c>
      <c r="E61" s="295">
        <f t="shared" si="161"/>
        <v>6500</v>
      </c>
      <c r="F61" s="81">
        <v>6500</v>
      </c>
      <c r="G61" s="81">
        <f t="shared" si="162"/>
        <v>6500</v>
      </c>
      <c r="H61" s="81">
        <f t="shared" si="163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>
        <v>0</v>
      </c>
      <c r="AA61" s="81">
        <f t="shared" si="164"/>
        <v>0</v>
      </c>
      <c r="AB61" s="81">
        <f t="shared" si="165"/>
        <v>0</v>
      </c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>
        <v>0</v>
      </c>
      <c r="AN61" s="81">
        <f t="shared" si="166"/>
        <v>0</v>
      </c>
      <c r="AO61" s="81">
        <f t="shared" si="167"/>
        <v>0</v>
      </c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>
        <v>0</v>
      </c>
      <c r="BA61" s="81">
        <f t="shared" si="168"/>
        <v>0</v>
      </c>
      <c r="BB61" s="98">
        <f t="shared" si="169"/>
        <v>0</v>
      </c>
      <c r="BC61" s="98"/>
      <c r="BD61" s="98"/>
      <c r="BE61" s="98"/>
      <c r="BF61" s="98"/>
      <c r="BG61" s="98"/>
      <c r="BH61" s="81"/>
      <c r="BI61" s="81">
        <f t="shared" si="170"/>
        <v>0</v>
      </c>
      <c r="BJ61" s="81">
        <f t="shared" si="171"/>
        <v>0</v>
      </c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82" t="s">
        <v>663</v>
      </c>
      <c r="BV61" s="85"/>
      <c r="BW61" s="24"/>
    </row>
    <row r="62" spans="1:75" s="198" customFormat="1" ht="36" x14ac:dyDescent="0.2">
      <c r="A62" s="126">
        <v>90000056554</v>
      </c>
      <c r="B62" s="394" t="s">
        <v>449</v>
      </c>
      <c r="C62" s="322" t="s">
        <v>813</v>
      </c>
      <c r="D62" s="80">
        <f t="shared" ref="D62" si="218">F62+Z62+AM62+AZ62+BH62</f>
        <v>0</v>
      </c>
      <c r="E62" s="295">
        <f t="shared" ref="E62" si="219">G62+AA62+AN62+BA62+BI62</f>
        <v>17455</v>
      </c>
      <c r="F62" s="72"/>
      <c r="G62" s="81">
        <f t="shared" ref="G62" si="220">F62+H62</f>
        <v>17455</v>
      </c>
      <c r="H62" s="81">
        <f t="shared" ref="H62" si="221">SUM(I62:Y62)</f>
        <v>17455</v>
      </c>
      <c r="I62" s="72"/>
      <c r="J62" s="72"/>
      <c r="K62" s="72"/>
      <c r="L62" s="72"/>
      <c r="M62" s="72"/>
      <c r="N62" s="72"/>
      <c r="O62" s="72"/>
      <c r="P62" s="72"/>
      <c r="Q62" s="72">
        <v>17455</v>
      </c>
      <c r="R62" s="72"/>
      <c r="S62" s="72"/>
      <c r="T62" s="72"/>
      <c r="U62" s="72"/>
      <c r="V62" s="72"/>
      <c r="W62" s="72"/>
      <c r="X62" s="72"/>
      <c r="Y62" s="72"/>
      <c r="Z62" s="72"/>
      <c r="AA62" s="81">
        <f t="shared" ref="AA62" si="222">Z62+AB62</f>
        <v>0</v>
      </c>
      <c r="AB62" s="81">
        <f t="shared" ref="AB62" si="223">SUM(AC62:AL62)</f>
        <v>0</v>
      </c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81">
        <f t="shared" ref="AN62" si="224">AM62+AO62</f>
        <v>0</v>
      </c>
      <c r="AO62" s="81">
        <f t="shared" ref="AO62" si="225">SUM(AP62:AY62)</f>
        <v>0</v>
      </c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81">
        <f t="shared" ref="BA62" si="226">AZ62+BB62</f>
        <v>0</v>
      </c>
      <c r="BB62" s="98">
        <f t="shared" ref="BB62" si="227">SUM(BC62:BG62)</f>
        <v>0</v>
      </c>
      <c r="BC62" s="97"/>
      <c r="BD62" s="97"/>
      <c r="BE62" s="97"/>
      <c r="BF62" s="97"/>
      <c r="BG62" s="97"/>
      <c r="BH62" s="72"/>
      <c r="BI62" s="81">
        <f t="shared" ref="BI62" si="228">BH62+BJ62</f>
        <v>0</v>
      </c>
      <c r="BJ62" s="81">
        <f t="shared" ref="BJ62" si="229">SUM(BK62:BT62)</f>
        <v>0</v>
      </c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73" t="s">
        <v>814</v>
      </c>
      <c r="BV62" s="86"/>
      <c r="BW62" s="24"/>
    </row>
    <row r="63" spans="1:75" ht="10.5" customHeight="1" thickBot="1" x14ac:dyDescent="0.25">
      <c r="A63" s="126"/>
      <c r="B63" s="251"/>
      <c r="C63" s="323"/>
      <c r="D63" s="71"/>
      <c r="E63" s="296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72"/>
      <c r="BB63" s="97"/>
      <c r="BC63" s="97"/>
      <c r="BD63" s="97"/>
      <c r="BE63" s="97"/>
      <c r="BF63" s="97"/>
      <c r="BG63" s="97"/>
      <c r="BH63" s="72"/>
      <c r="BI63" s="264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73"/>
      <c r="BV63" s="86"/>
      <c r="BW63" s="24"/>
    </row>
    <row r="64" spans="1:75" ht="12.75" thickBot="1" x14ac:dyDescent="0.25">
      <c r="A64" s="215" t="s">
        <v>9</v>
      </c>
      <c r="B64" s="125" t="s">
        <v>10</v>
      </c>
      <c r="C64" s="321"/>
      <c r="D64" s="11">
        <f t="shared" ref="D64:E64" si="230">SUM(D65:D73)</f>
        <v>5323770</v>
      </c>
      <c r="E64" s="297">
        <f t="shared" si="230"/>
        <v>4943095</v>
      </c>
      <c r="F64" s="9">
        <f t="shared" ref="F64:BT64" si="231">SUM(F65:F73)</f>
        <v>4698388</v>
      </c>
      <c r="G64" s="9">
        <f t="shared" si="231"/>
        <v>4317713</v>
      </c>
      <c r="H64" s="9">
        <f t="shared" ref="H64" si="232">SUM(H65:H73)</f>
        <v>-380675</v>
      </c>
      <c r="I64" s="9">
        <f t="shared" si="231"/>
        <v>0</v>
      </c>
      <c r="J64" s="9">
        <f t="shared" ref="J64" si="233">SUM(J65:J73)</f>
        <v>0</v>
      </c>
      <c r="K64" s="9">
        <f t="shared" si="231"/>
        <v>25000</v>
      </c>
      <c r="L64" s="9">
        <f t="shared" si="231"/>
        <v>0</v>
      </c>
      <c r="M64" s="9">
        <f t="shared" si="231"/>
        <v>50000</v>
      </c>
      <c r="N64" s="9">
        <f t="shared" si="231"/>
        <v>0</v>
      </c>
      <c r="O64" s="9">
        <f t="shared" si="231"/>
        <v>0</v>
      </c>
      <c r="P64" s="9">
        <f t="shared" si="231"/>
        <v>0</v>
      </c>
      <c r="Q64" s="9">
        <f t="shared" si="231"/>
        <v>0</v>
      </c>
      <c r="R64" s="9">
        <f t="shared" si="231"/>
        <v>0</v>
      </c>
      <c r="S64" s="9">
        <f t="shared" si="231"/>
        <v>0</v>
      </c>
      <c r="T64" s="9"/>
      <c r="U64" s="9">
        <f t="shared" si="231"/>
        <v>0</v>
      </c>
      <c r="V64" s="9"/>
      <c r="W64" s="9">
        <f t="shared" si="231"/>
        <v>-455675</v>
      </c>
      <c r="X64" s="9">
        <f t="shared" si="231"/>
        <v>0</v>
      </c>
      <c r="Y64" s="9">
        <f t="shared" si="231"/>
        <v>0</v>
      </c>
      <c r="Z64" s="9">
        <f t="shared" si="231"/>
        <v>625382</v>
      </c>
      <c r="AA64" s="9">
        <f t="shared" ref="AA64:AL64" si="234">SUM(AA65:AA73)</f>
        <v>625382</v>
      </c>
      <c r="AB64" s="9">
        <f t="shared" si="234"/>
        <v>0</v>
      </c>
      <c r="AC64" s="9">
        <f t="shared" si="234"/>
        <v>0</v>
      </c>
      <c r="AD64" s="9">
        <f t="shared" si="234"/>
        <v>0</v>
      </c>
      <c r="AE64" s="9">
        <f t="shared" si="234"/>
        <v>0</v>
      </c>
      <c r="AF64" s="9">
        <f t="shared" si="234"/>
        <v>0</v>
      </c>
      <c r="AG64" s="9">
        <f t="shared" si="234"/>
        <v>0</v>
      </c>
      <c r="AH64" s="9">
        <f t="shared" si="234"/>
        <v>0</v>
      </c>
      <c r="AI64" s="9">
        <f t="shared" si="234"/>
        <v>0</v>
      </c>
      <c r="AJ64" s="9">
        <f t="shared" si="234"/>
        <v>0</v>
      </c>
      <c r="AK64" s="9">
        <f t="shared" si="234"/>
        <v>0</v>
      </c>
      <c r="AL64" s="9">
        <f t="shared" si="234"/>
        <v>0</v>
      </c>
      <c r="AM64" s="9">
        <f t="shared" si="231"/>
        <v>0</v>
      </c>
      <c r="AN64" s="96">
        <f t="shared" si="231"/>
        <v>0</v>
      </c>
      <c r="AO64" s="96">
        <f t="shared" si="231"/>
        <v>0</v>
      </c>
      <c r="AP64" s="96">
        <f t="shared" si="231"/>
        <v>0</v>
      </c>
      <c r="AQ64" s="96">
        <f t="shared" si="231"/>
        <v>0</v>
      </c>
      <c r="AR64" s="96">
        <f t="shared" si="231"/>
        <v>0</v>
      </c>
      <c r="AS64" s="96">
        <f t="shared" si="231"/>
        <v>0</v>
      </c>
      <c r="AT64" s="96">
        <f t="shared" si="231"/>
        <v>0</v>
      </c>
      <c r="AU64" s="96">
        <f t="shared" si="231"/>
        <v>0</v>
      </c>
      <c r="AV64" s="96">
        <f t="shared" si="231"/>
        <v>0</v>
      </c>
      <c r="AW64" s="96">
        <f t="shared" si="231"/>
        <v>0</v>
      </c>
      <c r="AX64" s="96">
        <f t="shared" si="231"/>
        <v>0</v>
      </c>
      <c r="AY64" s="96">
        <f t="shared" si="231"/>
        <v>0</v>
      </c>
      <c r="AZ64" s="96">
        <f t="shared" si="231"/>
        <v>0</v>
      </c>
      <c r="BA64" s="9">
        <f t="shared" ref="BA64:BG64" si="235">SUM(BA65:BA73)</f>
        <v>0</v>
      </c>
      <c r="BB64" s="96">
        <f t="shared" si="235"/>
        <v>0</v>
      </c>
      <c r="BC64" s="96">
        <f t="shared" si="235"/>
        <v>0</v>
      </c>
      <c r="BD64" s="96">
        <f t="shared" si="235"/>
        <v>0</v>
      </c>
      <c r="BE64" s="96">
        <f t="shared" si="235"/>
        <v>0</v>
      </c>
      <c r="BF64" s="96">
        <f t="shared" si="235"/>
        <v>0</v>
      </c>
      <c r="BG64" s="96">
        <f t="shared" si="235"/>
        <v>0</v>
      </c>
      <c r="BH64" s="9">
        <f t="shared" si="231"/>
        <v>0</v>
      </c>
      <c r="BI64" s="310">
        <f t="shared" si="231"/>
        <v>0</v>
      </c>
      <c r="BJ64" s="96">
        <f t="shared" si="231"/>
        <v>0</v>
      </c>
      <c r="BK64" s="96">
        <f t="shared" si="231"/>
        <v>0</v>
      </c>
      <c r="BL64" s="96">
        <f t="shared" si="231"/>
        <v>0</v>
      </c>
      <c r="BM64" s="96">
        <f t="shared" si="231"/>
        <v>0</v>
      </c>
      <c r="BN64" s="96">
        <f t="shared" si="231"/>
        <v>0</v>
      </c>
      <c r="BO64" s="96">
        <f t="shared" si="231"/>
        <v>0</v>
      </c>
      <c r="BP64" s="96">
        <f t="shared" si="231"/>
        <v>0</v>
      </c>
      <c r="BQ64" s="96">
        <f t="shared" si="231"/>
        <v>0</v>
      </c>
      <c r="BR64" s="96">
        <f t="shared" si="231"/>
        <v>0</v>
      </c>
      <c r="BS64" s="96">
        <f t="shared" si="231"/>
        <v>0</v>
      </c>
      <c r="BT64" s="96">
        <f t="shared" si="231"/>
        <v>0</v>
      </c>
      <c r="BU64" s="12"/>
      <c r="BV64" s="87"/>
      <c r="BW64" s="24"/>
    </row>
    <row r="65" spans="1:75" ht="12.75" customHeight="1" thickTop="1" x14ac:dyDescent="0.2">
      <c r="A65" s="108">
        <v>90000056357</v>
      </c>
      <c r="B65" s="247" t="s">
        <v>5</v>
      </c>
      <c r="C65" s="324" t="s">
        <v>262</v>
      </c>
      <c r="D65" s="80">
        <f t="shared" ref="D65:D72" si="236">F65+Z65+AM65+AZ65+BH65</f>
        <v>35534</v>
      </c>
      <c r="E65" s="295">
        <f t="shared" ref="E65:E72" si="237">G65+AA65+AN65+BA65+BI65</f>
        <v>37734</v>
      </c>
      <c r="F65" s="164">
        <v>35534</v>
      </c>
      <c r="G65" s="164">
        <f t="shared" ref="G65:G72" si="238">F65+H65</f>
        <v>37734</v>
      </c>
      <c r="H65" s="164">
        <f t="shared" ref="H65:H72" si="239">SUM(I65:Y65)</f>
        <v>2200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>
        <v>2200</v>
      </c>
      <c r="V65" s="164"/>
      <c r="W65" s="164"/>
      <c r="X65" s="164"/>
      <c r="Y65" s="164"/>
      <c r="Z65" s="164">
        <v>0</v>
      </c>
      <c r="AA65" s="164">
        <f t="shared" ref="AA65:AA72" si="240">Z65+AB65</f>
        <v>0</v>
      </c>
      <c r="AB65" s="164">
        <f t="shared" ref="AB65:AB72" si="241">SUM(AC65:AL65)</f>
        <v>0</v>
      </c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>
        <v>0</v>
      </c>
      <c r="AN65" s="164">
        <f t="shared" ref="AN65:AN72" si="242">AM65+AO65</f>
        <v>0</v>
      </c>
      <c r="AO65" s="164">
        <f t="shared" ref="AO65:AO72" si="243">SUM(AP65:AY65)</f>
        <v>0</v>
      </c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>
        <v>0</v>
      </c>
      <c r="BA65" s="81">
        <f t="shared" ref="BA65:BA72" si="244">AZ65+BB65</f>
        <v>0</v>
      </c>
      <c r="BB65" s="98">
        <f t="shared" ref="BB65:BB72" si="245">SUM(BC65:BG65)</f>
        <v>0</v>
      </c>
      <c r="BC65" s="164"/>
      <c r="BD65" s="164"/>
      <c r="BE65" s="164"/>
      <c r="BF65" s="164"/>
      <c r="BG65" s="164"/>
      <c r="BH65" s="164"/>
      <c r="BI65" s="81">
        <f t="shared" ref="BI65:BI72" si="246">BH65+BJ65</f>
        <v>0</v>
      </c>
      <c r="BJ65" s="81">
        <f t="shared" ref="BJ65:BJ72" si="247">SUM(BK65:BT65)</f>
        <v>0</v>
      </c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205" t="s">
        <v>320</v>
      </c>
      <c r="BV65" s="206" t="s">
        <v>569</v>
      </c>
      <c r="BW65" s="24"/>
    </row>
    <row r="66" spans="1:75" s="122" customFormat="1" ht="24" x14ac:dyDescent="0.2">
      <c r="A66" s="108"/>
      <c r="B66" s="242"/>
      <c r="C66" s="285" t="s">
        <v>263</v>
      </c>
      <c r="D66" s="80">
        <f t="shared" si="236"/>
        <v>38900</v>
      </c>
      <c r="E66" s="295">
        <f t="shared" si="237"/>
        <v>38900</v>
      </c>
      <c r="F66" s="81">
        <v>38900</v>
      </c>
      <c r="G66" s="81">
        <f t="shared" si="238"/>
        <v>38900</v>
      </c>
      <c r="H66" s="81">
        <f t="shared" si="239"/>
        <v>0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>
        <v>0</v>
      </c>
      <c r="AA66" s="81">
        <f t="shared" si="240"/>
        <v>0</v>
      </c>
      <c r="AB66" s="81">
        <f t="shared" si="241"/>
        <v>0</v>
      </c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>
        <v>0</v>
      </c>
      <c r="AN66" s="81">
        <f t="shared" si="242"/>
        <v>0</v>
      </c>
      <c r="AO66" s="81">
        <f t="shared" si="243"/>
        <v>0</v>
      </c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>
        <v>0</v>
      </c>
      <c r="BA66" s="81">
        <f t="shared" si="244"/>
        <v>0</v>
      </c>
      <c r="BB66" s="98">
        <f t="shared" si="245"/>
        <v>0</v>
      </c>
      <c r="BC66" s="81"/>
      <c r="BD66" s="81"/>
      <c r="BE66" s="81"/>
      <c r="BF66" s="81"/>
      <c r="BG66" s="81"/>
      <c r="BH66" s="81"/>
      <c r="BI66" s="81">
        <f t="shared" si="246"/>
        <v>0</v>
      </c>
      <c r="BJ66" s="81">
        <f t="shared" si="247"/>
        <v>0</v>
      </c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2" t="s">
        <v>321</v>
      </c>
      <c r="BV66" s="85" t="s">
        <v>569</v>
      </c>
      <c r="BW66" s="24"/>
    </row>
    <row r="67" spans="1:75" s="122" customFormat="1" ht="24" x14ac:dyDescent="0.2">
      <c r="A67" s="108"/>
      <c r="B67" s="248"/>
      <c r="C67" s="319" t="s">
        <v>216</v>
      </c>
      <c r="D67" s="80">
        <f t="shared" si="236"/>
        <v>22712</v>
      </c>
      <c r="E67" s="295">
        <f t="shared" si="237"/>
        <v>20512</v>
      </c>
      <c r="F67" s="72">
        <v>22712</v>
      </c>
      <c r="G67" s="72">
        <f t="shared" si="238"/>
        <v>20512</v>
      </c>
      <c r="H67" s="72">
        <f t="shared" si="239"/>
        <v>-2200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>
        <v>-2200</v>
      </c>
      <c r="V67" s="72"/>
      <c r="W67" s="72"/>
      <c r="X67" s="72"/>
      <c r="Y67" s="72"/>
      <c r="Z67" s="72">
        <v>0</v>
      </c>
      <c r="AA67" s="72">
        <f t="shared" si="240"/>
        <v>0</v>
      </c>
      <c r="AB67" s="72">
        <f t="shared" si="241"/>
        <v>0</v>
      </c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>
        <v>0</v>
      </c>
      <c r="AN67" s="72">
        <f t="shared" si="242"/>
        <v>0</v>
      </c>
      <c r="AO67" s="72">
        <f t="shared" si="243"/>
        <v>0</v>
      </c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>
        <v>0</v>
      </c>
      <c r="BA67" s="81">
        <f t="shared" si="244"/>
        <v>0</v>
      </c>
      <c r="BB67" s="98">
        <f t="shared" si="245"/>
        <v>0</v>
      </c>
      <c r="BC67" s="72"/>
      <c r="BD67" s="72"/>
      <c r="BE67" s="72"/>
      <c r="BF67" s="72"/>
      <c r="BG67" s="72"/>
      <c r="BH67" s="72"/>
      <c r="BI67" s="81">
        <f t="shared" si="246"/>
        <v>0</v>
      </c>
      <c r="BJ67" s="81">
        <f t="shared" si="247"/>
        <v>0</v>
      </c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82" t="s">
        <v>322</v>
      </c>
      <c r="BV67" s="85" t="s">
        <v>569</v>
      </c>
      <c r="BW67" s="24"/>
    </row>
    <row r="68" spans="1:75" ht="24" x14ac:dyDescent="0.2">
      <c r="A68" s="108"/>
      <c r="B68" s="242"/>
      <c r="C68" s="285" t="s">
        <v>226</v>
      </c>
      <c r="D68" s="80">
        <f t="shared" si="236"/>
        <v>2642168</v>
      </c>
      <c r="E68" s="295">
        <f t="shared" si="237"/>
        <v>2731748</v>
      </c>
      <c r="F68" s="81">
        <v>2642168</v>
      </c>
      <c r="G68" s="81">
        <f t="shared" si="238"/>
        <v>2731748</v>
      </c>
      <c r="H68" s="81">
        <f t="shared" si="239"/>
        <v>89580</v>
      </c>
      <c r="I68" s="81"/>
      <c r="J68" s="81"/>
      <c r="K68" s="81">
        <f>25000-19033</f>
        <v>5967</v>
      </c>
      <c r="L68" s="81"/>
      <c r="M68" s="81">
        <v>50000</v>
      </c>
      <c r="N68" s="81"/>
      <c r="O68" s="81"/>
      <c r="P68" s="81"/>
      <c r="Q68" s="81"/>
      <c r="R68" s="81"/>
      <c r="S68" s="81"/>
      <c r="T68" s="81"/>
      <c r="U68" s="81"/>
      <c r="V68" s="81"/>
      <c r="W68" s="81">
        <f>34920-1307</f>
        <v>33613</v>
      </c>
      <c r="X68" s="81"/>
      <c r="Y68" s="81"/>
      <c r="Z68" s="81">
        <v>0</v>
      </c>
      <c r="AA68" s="81">
        <f t="shared" si="240"/>
        <v>0</v>
      </c>
      <c r="AB68" s="81">
        <f t="shared" si="241"/>
        <v>0</v>
      </c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>
        <v>0</v>
      </c>
      <c r="AN68" s="81">
        <f t="shared" si="242"/>
        <v>0</v>
      </c>
      <c r="AO68" s="81">
        <f t="shared" si="243"/>
        <v>0</v>
      </c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>
        <v>0</v>
      </c>
      <c r="BA68" s="81">
        <f t="shared" si="244"/>
        <v>0</v>
      </c>
      <c r="BB68" s="98">
        <f t="shared" si="245"/>
        <v>0</v>
      </c>
      <c r="BC68" s="81"/>
      <c r="BD68" s="81"/>
      <c r="BE68" s="81"/>
      <c r="BF68" s="81"/>
      <c r="BG68" s="81"/>
      <c r="BH68" s="81"/>
      <c r="BI68" s="81">
        <f t="shared" si="246"/>
        <v>0</v>
      </c>
      <c r="BJ68" s="81">
        <f t="shared" si="247"/>
        <v>0</v>
      </c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2" t="s">
        <v>323</v>
      </c>
      <c r="BV68" s="85" t="s">
        <v>567</v>
      </c>
      <c r="BW68" s="24"/>
    </row>
    <row r="69" spans="1:75" ht="24" x14ac:dyDescent="0.2">
      <c r="A69" s="108"/>
      <c r="B69" s="242"/>
      <c r="C69" s="285" t="s">
        <v>707</v>
      </c>
      <c r="D69" s="80">
        <f t="shared" si="236"/>
        <v>1421347</v>
      </c>
      <c r="E69" s="295">
        <f t="shared" si="237"/>
        <v>1421347</v>
      </c>
      <c r="F69" s="81">
        <v>795965</v>
      </c>
      <c r="G69" s="81">
        <f t="shared" si="238"/>
        <v>795965</v>
      </c>
      <c r="H69" s="81">
        <f t="shared" si="239"/>
        <v>0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>
        <v>625382</v>
      </c>
      <c r="AA69" s="81">
        <f t="shared" si="240"/>
        <v>625382</v>
      </c>
      <c r="AB69" s="81">
        <f t="shared" si="241"/>
        <v>0</v>
      </c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>
        <v>0</v>
      </c>
      <c r="AN69" s="81">
        <f t="shared" si="242"/>
        <v>0</v>
      </c>
      <c r="AO69" s="81">
        <f t="shared" si="243"/>
        <v>0</v>
      </c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>
        <v>0</v>
      </c>
      <c r="BA69" s="81">
        <f t="shared" si="244"/>
        <v>0</v>
      </c>
      <c r="BB69" s="98">
        <f t="shared" si="245"/>
        <v>0</v>
      </c>
      <c r="BC69" s="81"/>
      <c r="BD69" s="81"/>
      <c r="BE69" s="81"/>
      <c r="BF69" s="81"/>
      <c r="BG69" s="81"/>
      <c r="BH69" s="81"/>
      <c r="BI69" s="81">
        <f t="shared" si="246"/>
        <v>0</v>
      </c>
      <c r="BJ69" s="81">
        <f t="shared" si="247"/>
        <v>0</v>
      </c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2" t="s">
        <v>324</v>
      </c>
      <c r="BV69" s="85" t="s">
        <v>439</v>
      </c>
      <c r="BW69" s="24"/>
    </row>
    <row r="70" spans="1:75" s="198" customFormat="1" ht="48" x14ac:dyDescent="0.2">
      <c r="A70" s="108"/>
      <c r="B70" s="242"/>
      <c r="C70" s="347" t="s">
        <v>775</v>
      </c>
      <c r="D70" s="80">
        <f t="shared" ref="D70" si="248">F70+Z70+AM70+AZ70+BH70</f>
        <v>0</v>
      </c>
      <c r="E70" s="295">
        <f t="shared" ref="E70" si="249">G70+AA70+AN70+BA70+BI70</f>
        <v>19033</v>
      </c>
      <c r="F70" s="81"/>
      <c r="G70" s="81">
        <f t="shared" ref="G70" si="250">F70+H70</f>
        <v>19033</v>
      </c>
      <c r="H70" s="81">
        <f t="shared" ref="H70" si="251">SUM(I70:Y70)</f>
        <v>19033</v>
      </c>
      <c r="I70" s="81"/>
      <c r="J70" s="81"/>
      <c r="K70" s="81">
        <v>19033</v>
      </c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>
        <f t="shared" ref="AA70" si="252">Z70+AB70</f>
        <v>0</v>
      </c>
      <c r="AB70" s="81">
        <f t="shared" ref="AB70" si="253">SUM(AC70:AL70)</f>
        <v>0</v>
      </c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>
        <f t="shared" ref="AN70" si="254">AM70+AO70</f>
        <v>0</v>
      </c>
      <c r="AO70" s="81">
        <f t="shared" ref="AO70" si="255">SUM(AP70:AY70)</f>
        <v>0</v>
      </c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>
        <f t="shared" ref="BA70" si="256">AZ70+BB70</f>
        <v>0</v>
      </c>
      <c r="BB70" s="98">
        <f t="shared" ref="BB70" si="257">SUM(BC70:BG70)</f>
        <v>0</v>
      </c>
      <c r="BC70" s="98"/>
      <c r="BD70" s="98"/>
      <c r="BE70" s="98"/>
      <c r="BF70" s="98"/>
      <c r="BG70" s="98"/>
      <c r="BH70" s="81"/>
      <c r="BI70" s="81">
        <f t="shared" ref="BI70" si="258">BH70+BJ70</f>
        <v>0</v>
      </c>
      <c r="BJ70" s="81">
        <f t="shared" ref="BJ70" si="259">SUM(BK70:BT70)</f>
        <v>0</v>
      </c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82" t="s">
        <v>774</v>
      </c>
      <c r="BV70" s="85"/>
      <c r="BW70" s="24"/>
    </row>
    <row r="71" spans="1:75" ht="24" customHeight="1" x14ac:dyDescent="0.2">
      <c r="A71" s="108">
        <v>40003275333</v>
      </c>
      <c r="B71" s="241" t="s">
        <v>306</v>
      </c>
      <c r="C71" s="285" t="s">
        <v>246</v>
      </c>
      <c r="D71" s="80">
        <f t="shared" si="236"/>
        <v>400579</v>
      </c>
      <c r="E71" s="295">
        <f t="shared" si="237"/>
        <v>400579</v>
      </c>
      <c r="F71" s="81">
        <v>400579</v>
      </c>
      <c r="G71" s="81">
        <f t="shared" si="238"/>
        <v>400579</v>
      </c>
      <c r="H71" s="81">
        <f t="shared" si="239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>
        <v>0</v>
      </c>
      <c r="AA71" s="81">
        <f t="shared" si="240"/>
        <v>0</v>
      </c>
      <c r="AB71" s="81">
        <f t="shared" si="241"/>
        <v>0</v>
      </c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>
        <v>0</v>
      </c>
      <c r="AN71" s="81">
        <f t="shared" si="242"/>
        <v>0</v>
      </c>
      <c r="AO71" s="81">
        <f t="shared" si="243"/>
        <v>0</v>
      </c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>
        <v>0</v>
      </c>
      <c r="BA71" s="81">
        <f t="shared" si="244"/>
        <v>0</v>
      </c>
      <c r="BB71" s="98">
        <f t="shared" si="245"/>
        <v>0</v>
      </c>
      <c r="BC71" s="98"/>
      <c r="BD71" s="98"/>
      <c r="BE71" s="98"/>
      <c r="BF71" s="98"/>
      <c r="BG71" s="98"/>
      <c r="BH71" s="81"/>
      <c r="BI71" s="81">
        <f t="shared" si="246"/>
        <v>0</v>
      </c>
      <c r="BJ71" s="81">
        <f t="shared" si="247"/>
        <v>0</v>
      </c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82" t="s">
        <v>325</v>
      </c>
      <c r="BV71" s="85"/>
      <c r="BW71" s="24"/>
    </row>
    <row r="72" spans="1:75" ht="24" x14ac:dyDescent="0.2">
      <c r="A72" s="108"/>
      <c r="B72" s="243"/>
      <c r="C72" s="285" t="s">
        <v>307</v>
      </c>
      <c r="D72" s="80">
        <f t="shared" si="236"/>
        <v>762530</v>
      </c>
      <c r="E72" s="295">
        <f t="shared" si="237"/>
        <v>273242</v>
      </c>
      <c r="F72" s="81">
        <v>762530</v>
      </c>
      <c r="G72" s="81">
        <f t="shared" si="238"/>
        <v>273242</v>
      </c>
      <c r="H72" s="81">
        <f t="shared" si="239"/>
        <v>-489288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>
        <v>-489288</v>
      </c>
      <c r="X72" s="81"/>
      <c r="Y72" s="81"/>
      <c r="Z72" s="81">
        <v>0</v>
      </c>
      <c r="AA72" s="81">
        <f t="shared" si="240"/>
        <v>0</v>
      </c>
      <c r="AB72" s="81">
        <f t="shared" si="241"/>
        <v>0</v>
      </c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>
        <v>0</v>
      </c>
      <c r="AN72" s="81">
        <f t="shared" si="242"/>
        <v>0</v>
      </c>
      <c r="AO72" s="81">
        <f t="shared" si="243"/>
        <v>0</v>
      </c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>
        <v>0</v>
      </c>
      <c r="BA72" s="81">
        <f t="shared" si="244"/>
        <v>0</v>
      </c>
      <c r="BB72" s="98">
        <f t="shared" si="245"/>
        <v>0</v>
      </c>
      <c r="BC72" s="98"/>
      <c r="BD72" s="98"/>
      <c r="BE72" s="98"/>
      <c r="BF72" s="98"/>
      <c r="BG72" s="98"/>
      <c r="BH72" s="81"/>
      <c r="BI72" s="81">
        <f t="shared" si="246"/>
        <v>0</v>
      </c>
      <c r="BJ72" s="81">
        <f t="shared" si="247"/>
        <v>0</v>
      </c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82" t="s">
        <v>345</v>
      </c>
      <c r="BV72" s="85"/>
      <c r="BW72" s="24"/>
    </row>
    <row r="73" spans="1:75" ht="12.75" thickBot="1" x14ac:dyDescent="0.25">
      <c r="A73" s="108"/>
      <c r="B73" s="216"/>
      <c r="C73" s="323"/>
      <c r="D73" s="71"/>
      <c r="E73" s="296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72"/>
      <c r="BB73" s="97"/>
      <c r="BC73" s="97"/>
      <c r="BD73" s="97"/>
      <c r="BE73" s="97"/>
      <c r="BF73" s="97"/>
      <c r="BG73" s="97"/>
      <c r="BH73" s="72"/>
      <c r="BI73" s="264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73"/>
      <c r="BV73" s="86"/>
      <c r="BW73" s="24"/>
    </row>
    <row r="74" spans="1:75" ht="27.75" customHeight="1" thickBot="1" x14ac:dyDescent="0.25">
      <c r="A74" s="215" t="s">
        <v>11</v>
      </c>
      <c r="B74" s="125" t="s">
        <v>166</v>
      </c>
      <c r="C74" s="321"/>
      <c r="D74" s="11">
        <f>SUM(D75:D85)</f>
        <v>7501042</v>
      </c>
      <c r="E74" s="297">
        <f>SUM(E75:E85)</f>
        <v>7695907</v>
      </c>
      <c r="F74" s="9">
        <f>SUM(F75:F85)</f>
        <v>7156610</v>
      </c>
      <c r="G74" s="9">
        <f t="shared" ref="G74:Y74" si="260">SUM(G75:G85)</f>
        <v>7396200</v>
      </c>
      <c r="H74" s="9">
        <f t="shared" si="260"/>
        <v>239590</v>
      </c>
      <c r="I74" s="9">
        <f t="shared" si="260"/>
        <v>19807</v>
      </c>
      <c r="J74" s="9">
        <f t="shared" ref="J74" si="261">SUM(J75:J85)</f>
        <v>1808</v>
      </c>
      <c r="K74" s="9">
        <f t="shared" si="260"/>
        <v>7073</v>
      </c>
      <c r="L74" s="9">
        <f t="shared" si="260"/>
        <v>84080</v>
      </c>
      <c r="M74" s="9">
        <f t="shared" si="260"/>
        <v>75280</v>
      </c>
      <c r="N74" s="9">
        <f t="shared" si="260"/>
        <v>0</v>
      </c>
      <c r="O74" s="9">
        <f t="shared" si="260"/>
        <v>0</v>
      </c>
      <c r="P74" s="9">
        <f t="shared" si="260"/>
        <v>0</v>
      </c>
      <c r="Q74" s="9">
        <f t="shared" si="260"/>
        <v>2018</v>
      </c>
      <c r="R74" s="9">
        <f t="shared" si="260"/>
        <v>0</v>
      </c>
      <c r="S74" s="9">
        <f t="shared" si="260"/>
        <v>45720</v>
      </c>
      <c r="T74" s="9"/>
      <c r="U74" s="9">
        <f t="shared" si="260"/>
        <v>12193</v>
      </c>
      <c r="V74" s="9"/>
      <c r="W74" s="9">
        <f t="shared" si="260"/>
        <v>-8789</v>
      </c>
      <c r="X74" s="9">
        <f t="shared" si="260"/>
        <v>0</v>
      </c>
      <c r="Y74" s="9">
        <f t="shared" si="260"/>
        <v>0</v>
      </c>
      <c r="Z74" s="9">
        <f>SUM(Z75:Z85)</f>
        <v>0</v>
      </c>
      <c r="AA74" s="9">
        <f t="shared" ref="AA74" si="262">SUM(AA75:AA85)</f>
        <v>4000</v>
      </c>
      <c r="AB74" s="9">
        <f t="shared" ref="AB74" si="263">SUM(AB75:AB85)</f>
        <v>4000</v>
      </c>
      <c r="AC74" s="9">
        <f t="shared" ref="AC74" si="264">SUM(AC75:AC85)</f>
        <v>0</v>
      </c>
      <c r="AD74" s="9">
        <f t="shared" ref="AD74" si="265">SUM(AD75:AD85)</f>
        <v>4000</v>
      </c>
      <c r="AE74" s="9">
        <f t="shared" ref="AE74" si="266">SUM(AE75:AE85)</f>
        <v>0</v>
      </c>
      <c r="AF74" s="9">
        <f t="shared" ref="AF74" si="267">SUM(AF75:AF85)</f>
        <v>0</v>
      </c>
      <c r="AG74" s="9">
        <f t="shared" ref="AG74" si="268">SUM(AG75:AG85)</f>
        <v>0</v>
      </c>
      <c r="AH74" s="9">
        <f t="shared" ref="AH74" si="269">SUM(AH75:AH85)</f>
        <v>0</v>
      </c>
      <c r="AI74" s="9">
        <f t="shared" ref="AI74" si="270">SUM(AI75:AI85)</f>
        <v>0</v>
      </c>
      <c r="AJ74" s="9">
        <f t="shared" ref="AJ74" si="271">SUM(AJ75:AJ85)</f>
        <v>0</v>
      </c>
      <c r="AK74" s="9">
        <f t="shared" ref="AK74" si="272">SUM(AK75:AK85)</f>
        <v>0</v>
      </c>
      <c r="AL74" s="9">
        <f t="shared" ref="AL74" si="273">SUM(AL75:AL85)</f>
        <v>0</v>
      </c>
      <c r="AM74" s="9">
        <f>SUM(AM75:AM85)</f>
        <v>345542</v>
      </c>
      <c r="AN74" s="96">
        <f t="shared" ref="AN74" si="274">SUM(AN75:AN85)</f>
        <v>297968</v>
      </c>
      <c r="AO74" s="96">
        <f t="shared" ref="AO74" si="275">SUM(AO75:AO85)</f>
        <v>-47574</v>
      </c>
      <c r="AP74" s="96">
        <f t="shared" ref="AP74" si="276">SUM(AP75:AP85)</f>
        <v>48159</v>
      </c>
      <c r="AQ74" s="96">
        <f t="shared" ref="AQ74" si="277">SUM(AQ75:AQ85)</f>
        <v>-99908</v>
      </c>
      <c r="AR74" s="96">
        <f t="shared" ref="AR74" si="278">SUM(AR75:AR85)</f>
        <v>0</v>
      </c>
      <c r="AS74" s="96">
        <f t="shared" ref="AS74" si="279">SUM(AS75:AS85)</f>
        <v>2875</v>
      </c>
      <c r="AT74" s="96">
        <f t="shared" ref="AT74" si="280">SUM(AT75:AT85)</f>
        <v>0</v>
      </c>
      <c r="AU74" s="96">
        <f t="shared" ref="AU74" si="281">SUM(AU75:AU85)</f>
        <v>1300</v>
      </c>
      <c r="AV74" s="96">
        <f t="shared" ref="AV74" si="282">SUM(AV75:AV85)</f>
        <v>0</v>
      </c>
      <c r="AW74" s="96">
        <f t="shared" ref="AW74" si="283">SUM(AW75:AW85)</f>
        <v>0</v>
      </c>
      <c r="AX74" s="96">
        <f t="shared" ref="AX74" si="284">SUM(AX75:AX85)</f>
        <v>0</v>
      </c>
      <c r="AY74" s="96">
        <f t="shared" ref="AY74" si="285">SUM(AY75:AY85)</f>
        <v>0</v>
      </c>
      <c r="AZ74" s="96">
        <f>SUM(AZ75:AZ85)</f>
        <v>0</v>
      </c>
      <c r="BA74" s="9">
        <f t="shared" ref="BA74" si="286">SUM(BA75:BA85)</f>
        <v>0</v>
      </c>
      <c r="BB74" s="96">
        <f t="shared" ref="BB74" si="287">SUM(BB75:BB85)</f>
        <v>0</v>
      </c>
      <c r="BC74" s="96">
        <f t="shared" ref="BC74" si="288">SUM(BC75:BC85)</f>
        <v>0</v>
      </c>
      <c r="BD74" s="96">
        <f t="shared" ref="BD74" si="289">SUM(BD75:BD85)</f>
        <v>0</v>
      </c>
      <c r="BE74" s="96">
        <f t="shared" ref="BE74" si="290">SUM(BE75:BE85)</f>
        <v>0</v>
      </c>
      <c r="BF74" s="96">
        <f t="shared" ref="BF74" si="291">SUM(BF75:BF85)</f>
        <v>0</v>
      </c>
      <c r="BG74" s="96">
        <f t="shared" ref="BG74" si="292">SUM(BG75:BG85)</f>
        <v>0</v>
      </c>
      <c r="BH74" s="9">
        <f>SUM(BH75:BH85)</f>
        <v>-1110</v>
      </c>
      <c r="BI74" s="310">
        <f t="shared" ref="BI74" si="293">SUM(BI75:BI85)</f>
        <v>-2261</v>
      </c>
      <c r="BJ74" s="96">
        <f t="shared" ref="BJ74" si="294">SUM(BJ75:BJ85)</f>
        <v>-1151</v>
      </c>
      <c r="BK74" s="96">
        <f t="shared" ref="BK74" si="295">SUM(BK75:BK85)</f>
        <v>0</v>
      </c>
      <c r="BL74" s="96">
        <f t="shared" ref="BL74" si="296">SUM(BL75:BL85)</f>
        <v>-113</v>
      </c>
      <c r="BM74" s="96">
        <f t="shared" ref="BM74" si="297">SUM(BM75:BM85)</f>
        <v>-1038</v>
      </c>
      <c r="BN74" s="96">
        <f t="shared" ref="BN74" si="298">SUM(BN75:BN85)</f>
        <v>0</v>
      </c>
      <c r="BO74" s="96">
        <f t="shared" ref="BO74" si="299">SUM(BO75:BO85)</f>
        <v>0</v>
      </c>
      <c r="BP74" s="96">
        <f t="shared" ref="BP74" si="300">SUM(BP75:BP85)</f>
        <v>0</v>
      </c>
      <c r="BQ74" s="96">
        <f t="shared" ref="BQ74" si="301">SUM(BQ75:BQ85)</f>
        <v>0</v>
      </c>
      <c r="BR74" s="96">
        <f t="shared" ref="BR74" si="302">SUM(BR75:BR85)</f>
        <v>0</v>
      </c>
      <c r="BS74" s="96">
        <f t="shared" ref="BS74" si="303">SUM(BS75:BS85)</f>
        <v>0</v>
      </c>
      <c r="BT74" s="96">
        <f t="shared" ref="BT74" si="304">SUM(BT75:BT85)</f>
        <v>0</v>
      </c>
      <c r="BU74" s="12"/>
      <c r="BV74" s="87"/>
      <c r="BW74" s="24"/>
    </row>
    <row r="75" spans="1:75" s="94" customFormat="1" ht="12.75" customHeight="1" thickTop="1" x14ac:dyDescent="0.2">
      <c r="A75" s="108">
        <v>90000056357</v>
      </c>
      <c r="B75" s="247" t="s">
        <v>5</v>
      </c>
      <c r="C75" s="324" t="s">
        <v>182</v>
      </c>
      <c r="D75" s="80">
        <f t="shared" ref="D75:D84" si="305">F75+Z75+AM75+AZ75+BH75</f>
        <v>2856577</v>
      </c>
      <c r="E75" s="295">
        <f t="shared" ref="E75:E84" si="306">G75+AA75+AN75+BA75+BI75</f>
        <v>2913045</v>
      </c>
      <c r="F75" s="164">
        <v>2669094</v>
      </c>
      <c r="G75" s="164">
        <f t="shared" ref="G75:G84" si="307">F75+H75</f>
        <v>2676694</v>
      </c>
      <c r="H75" s="164">
        <f t="shared" ref="H75:H84" si="308">SUM(I75:Y75)</f>
        <v>7600</v>
      </c>
      <c r="I75" s="164"/>
      <c r="J75" s="164"/>
      <c r="K75" s="164"/>
      <c r="L75" s="164"/>
      <c r="M75" s="164">
        <v>19100</v>
      </c>
      <c r="N75" s="164"/>
      <c r="O75" s="164"/>
      <c r="P75" s="164"/>
      <c r="Q75" s="164"/>
      <c r="R75" s="164"/>
      <c r="S75" s="164">
        <v>-5000</v>
      </c>
      <c r="T75" s="164"/>
      <c r="U75" s="164"/>
      <c r="V75" s="164"/>
      <c r="W75" s="164">
        <v>-6500</v>
      </c>
      <c r="X75" s="164"/>
      <c r="Y75" s="164"/>
      <c r="Z75" s="164">
        <v>0</v>
      </c>
      <c r="AA75" s="164">
        <f t="shared" ref="AA75:AA84" si="309">Z75+AB75</f>
        <v>0</v>
      </c>
      <c r="AB75" s="164">
        <f t="shared" ref="AB75:AB84" si="310">SUM(AC75:AL75)</f>
        <v>0</v>
      </c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>
        <v>188593</v>
      </c>
      <c r="AN75" s="164">
        <f t="shared" ref="AN75:AN84" si="311">AM75+AO75</f>
        <v>237574</v>
      </c>
      <c r="AO75" s="164">
        <f t="shared" ref="AO75:AO84" si="312">SUM(AP75:AY75)</f>
        <v>48981</v>
      </c>
      <c r="AP75" s="164">
        <v>48981</v>
      </c>
      <c r="AQ75" s="164"/>
      <c r="AR75" s="164"/>
      <c r="AS75" s="164"/>
      <c r="AT75" s="164"/>
      <c r="AU75" s="164"/>
      <c r="AV75" s="164"/>
      <c r="AW75" s="164"/>
      <c r="AX75" s="164"/>
      <c r="AY75" s="164"/>
      <c r="AZ75" s="164">
        <v>0</v>
      </c>
      <c r="BA75" s="81">
        <f t="shared" ref="BA75:BA84" si="313">AZ75+BB75</f>
        <v>0</v>
      </c>
      <c r="BB75" s="98">
        <f t="shared" ref="BB75:BB84" si="314">SUM(BC75:BG75)</f>
        <v>0</v>
      </c>
      <c r="BC75" s="305"/>
      <c r="BD75" s="305"/>
      <c r="BE75" s="305"/>
      <c r="BF75" s="305"/>
      <c r="BG75" s="305"/>
      <c r="BH75" s="164">
        <v>-1110</v>
      </c>
      <c r="BI75" s="81">
        <f t="shared" ref="BI75:BI84" si="315">BH75+BJ75</f>
        <v>-1223</v>
      </c>
      <c r="BJ75" s="81">
        <f t="shared" ref="BJ75:BJ84" si="316">SUM(BK75:BT75)</f>
        <v>-113</v>
      </c>
      <c r="BK75" s="305"/>
      <c r="BL75" s="305">
        <v>-113</v>
      </c>
      <c r="BM75" s="305"/>
      <c r="BN75" s="305"/>
      <c r="BO75" s="305"/>
      <c r="BP75" s="305"/>
      <c r="BQ75" s="305"/>
      <c r="BR75" s="305"/>
      <c r="BS75" s="305"/>
      <c r="BT75" s="305"/>
      <c r="BU75" s="229" t="s">
        <v>329</v>
      </c>
      <c r="BV75" s="206"/>
      <c r="BW75" s="24"/>
    </row>
    <row r="76" spans="1:75" s="94" customFormat="1" x14ac:dyDescent="0.2">
      <c r="A76" s="108"/>
      <c r="B76" s="244"/>
      <c r="C76" s="319" t="s">
        <v>252</v>
      </c>
      <c r="D76" s="80">
        <f t="shared" si="305"/>
        <v>2300</v>
      </c>
      <c r="E76" s="295">
        <f t="shared" si="306"/>
        <v>2700</v>
      </c>
      <c r="F76" s="163">
        <v>2300</v>
      </c>
      <c r="G76" s="163">
        <f t="shared" si="307"/>
        <v>2700</v>
      </c>
      <c r="H76" s="163">
        <f t="shared" si="308"/>
        <v>400</v>
      </c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>
        <v>400</v>
      </c>
      <c r="U76" s="163"/>
      <c r="V76" s="163"/>
      <c r="W76" s="163"/>
      <c r="X76" s="163"/>
      <c r="Y76" s="163"/>
      <c r="Z76" s="163">
        <v>0</v>
      </c>
      <c r="AA76" s="163">
        <f t="shared" si="309"/>
        <v>0</v>
      </c>
      <c r="AB76" s="163">
        <f t="shared" si="310"/>
        <v>0</v>
      </c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>
        <v>0</v>
      </c>
      <c r="AN76" s="163">
        <f t="shared" si="311"/>
        <v>0</v>
      </c>
      <c r="AO76" s="163">
        <f t="shared" si="312"/>
        <v>0</v>
      </c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>
        <v>0</v>
      </c>
      <c r="BA76" s="81">
        <f t="shared" si="313"/>
        <v>0</v>
      </c>
      <c r="BB76" s="98">
        <f t="shared" si="314"/>
        <v>0</v>
      </c>
      <c r="BC76" s="199"/>
      <c r="BD76" s="199"/>
      <c r="BE76" s="199"/>
      <c r="BF76" s="199"/>
      <c r="BG76" s="199"/>
      <c r="BH76" s="163"/>
      <c r="BI76" s="81">
        <f t="shared" si="315"/>
        <v>0</v>
      </c>
      <c r="BJ76" s="81">
        <f t="shared" si="316"/>
        <v>0</v>
      </c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82" t="s">
        <v>330</v>
      </c>
      <c r="BV76" s="200"/>
      <c r="BW76" s="24"/>
    </row>
    <row r="77" spans="1:75" s="93" customFormat="1" ht="24" x14ac:dyDescent="0.2">
      <c r="A77" s="108"/>
      <c r="B77" s="242"/>
      <c r="C77" s="285" t="s">
        <v>277</v>
      </c>
      <c r="D77" s="80">
        <f t="shared" si="305"/>
        <v>755607</v>
      </c>
      <c r="E77" s="295">
        <f t="shared" si="306"/>
        <v>757318</v>
      </c>
      <c r="F77" s="81">
        <v>755607</v>
      </c>
      <c r="G77" s="81">
        <f t="shared" si="307"/>
        <v>753318</v>
      </c>
      <c r="H77" s="81">
        <f t="shared" si="308"/>
        <v>-2289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>
        <f>-432-1857</f>
        <v>-2289</v>
      </c>
      <c r="X77" s="81"/>
      <c r="Y77" s="81"/>
      <c r="Z77" s="81">
        <v>0</v>
      </c>
      <c r="AA77" s="81">
        <f t="shared" si="309"/>
        <v>4000</v>
      </c>
      <c r="AB77" s="81">
        <f t="shared" si="310"/>
        <v>4000</v>
      </c>
      <c r="AC77" s="81"/>
      <c r="AD77" s="81">
        <v>4000</v>
      </c>
      <c r="AE77" s="81"/>
      <c r="AF77" s="81"/>
      <c r="AG77" s="81"/>
      <c r="AH77" s="81"/>
      <c r="AI77" s="81"/>
      <c r="AJ77" s="81"/>
      <c r="AK77" s="81"/>
      <c r="AL77" s="81"/>
      <c r="AM77" s="81">
        <v>0</v>
      </c>
      <c r="AN77" s="81">
        <f t="shared" si="311"/>
        <v>0</v>
      </c>
      <c r="AO77" s="81">
        <f t="shared" si="312"/>
        <v>0</v>
      </c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>
        <v>0</v>
      </c>
      <c r="BA77" s="81">
        <f t="shared" si="313"/>
        <v>0</v>
      </c>
      <c r="BB77" s="98">
        <f t="shared" si="314"/>
        <v>0</v>
      </c>
      <c r="BC77" s="81"/>
      <c r="BD77" s="81"/>
      <c r="BE77" s="81"/>
      <c r="BF77" s="81"/>
      <c r="BG77" s="81"/>
      <c r="BH77" s="81"/>
      <c r="BI77" s="81">
        <f t="shared" si="315"/>
        <v>0</v>
      </c>
      <c r="BJ77" s="81">
        <f t="shared" si="316"/>
        <v>0</v>
      </c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2" t="s">
        <v>332</v>
      </c>
      <c r="BV77" s="85" t="s">
        <v>666</v>
      </c>
      <c r="BW77" s="24"/>
    </row>
    <row r="78" spans="1:75" s="93" customFormat="1" x14ac:dyDescent="0.2">
      <c r="A78" s="108"/>
      <c r="B78" s="242"/>
      <c r="C78" s="285" t="s">
        <v>223</v>
      </c>
      <c r="D78" s="80">
        <f t="shared" si="305"/>
        <v>186882</v>
      </c>
      <c r="E78" s="295">
        <f t="shared" si="306"/>
        <v>186882</v>
      </c>
      <c r="F78" s="81">
        <v>186882</v>
      </c>
      <c r="G78" s="81">
        <f t="shared" si="307"/>
        <v>186882</v>
      </c>
      <c r="H78" s="81">
        <f t="shared" si="308"/>
        <v>0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>
        <v>0</v>
      </c>
      <c r="AA78" s="81">
        <f t="shared" si="309"/>
        <v>0</v>
      </c>
      <c r="AB78" s="81">
        <f t="shared" si="310"/>
        <v>0</v>
      </c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>
        <v>0</v>
      </c>
      <c r="AN78" s="81">
        <f t="shared" si="311"/>
        <v>0</v>
      </c>
      <c r="AO78" s="81">
        <f t="shared" si="312"/>
        <v>0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>
        <v>0</v>
      </c>
      <c r="BA78" s="81">
        <f t="shared" si="313"/>
        <v>0</v>
      </c>
      <c r="BB78" s="98">
        <f t="shared" si="314"/>
        <v>0</v>
      </c>
      <c r="BC78" s="81"/>
      <c r="BD78" s="81"/>
      <c r="BE78" s="81"/>
      <c r="BF78" s="81"/>
      <c r="BG78" s="81"/>
      <c r="BH78" s="81"/>
      <c r="BI78" s="81">
        <f t="shared" si="315"/>
        <v>0</v>
      </c>
      <c r="BJ78" s="81">
        <f t="shared" si="316"/>
        <v>0</v>
      </c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2" t="s">
        <v>331</v>
      </c>
      <c r="BV78" s="85" t="s">
        <v>445</v>
      </c>
      <c r="BW78" s="24"/>
    </row>
    <row r="79" spans="1:75" s="93" customFormat="1" ht="15" customHeight="1" x14ac:dyDescent="0.2">
      <c r="A79" s="108"/>
      <c r="B79" s="242"/>
      <c r="C79" s="285" t="s">
        <v>218</v>
      </c>
      <c r="D79" s="80">
        <f t="shared" si="305"/>
        <v>902294</v>
      </c>
      <c r="E79" s="295">
        <f t="shared" si="306"/>
        <v>904842</v>
      </c>
      <c r="F79" s="81">
        <v>865224</v>
      </c>
      <c r="G79" s="81">
        <f t="shared" si="307"/>
        <v>867772</v>
      </c>
      <c r="H79" s="81">
        <f t="shared" si="308"/>
        <v>2548</v>
      </c>
      <c r="I79" s="81"/>
      <c r="J79" s="81">
        <v>1808</v>
      </c>
      <c r="K79" s="81"/>
      <c r="L79" s="81"/>
      <c r="M79" s="81"/>
      <c r="N79" s="81"/>
      <c r="O79" s="81"/>
      <c r="P79" s="81"/>
      <c r="Q79" s="81">
        <v>740</v>
      </c>
      <c r="R79" s="81"/>
      <c r="S79" s="81"/>
      <c r="T79" s="81"/>
      <c r="U79" s="81"/>
      <c r="V79" s="81"/>
      <c r="W79" s="81"/>
      <c r="X79" s="81"/>
      <c r="Y79" s="81"/>
      <c r="Z79" s="81">
        <v>0</v>
      </c>
      <c r="AA79" s="81">
        <f t="shared" si="309"/>
        <v>0</v>
      </c>
      <c r="AB79" s="81">
        <f t="shared" si="310"/>
        <v>0</v>
      </c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>
        <v>37070</v>
      </c>
      <c r="AN79" s="81">
        <f t="shared" si="311"/>
        <v>37070</v>
      </c>
      <c r="AO79" s="81">
        <f t="shared" si="312"/>
        <v>0</v>
      </c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>
        <v>0</v>
      </c>
      <c r="BA79" s="81">
        <f t="shared" si="313"/>
        <v>0</v>
      </c>
      <c r="BB79" s="98">
        <f t="shared" si="314"/>
        <v>0</v>
      </c>
      <c r="BC79" s="81"/>
      <c r="BD79" s="81"/>
      <c r="BE79" s="81"/>
      <c r="BF79" s="81"/>
      <c r="BG79" s="81"/>
      <c r="BH79" s="81"/>
      <c r="BI79" s="81">
        <f t="shared" si="315"/>
        <v>0</v>
      </c>
      <c r="BJ79" s="81">
        <f t="shared" si="316"/>
        <v>0</v>
      </c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2" t="s">
        <v>333</v>
      </c>
      <c r="BV79" s="85" t="s">
        <v>667</v>
      </c>
      <c r="BW79" s="24"/>
    </row>
    <row r="80" spans="1:75" s="94" customFormat="1" ht="24" x14ac:dyDescent="0.2">
      <c r="A80" s="108"/>
      <c r="B80" s="244"/>
      <c r="C80" s="319" t="s">
        <v>254</v>
      </c>
      <c r="D80" s="80">
        <f t="shared" si="305"/>
        <v>629977</v>
      </c>
      <c r="E80" s="295">
        <f t="shared" si="306"/>
        <v>710848</v>
      </c>
      <c r="F80" s="163">
        <v>629977</v>
      </c>
      <c r="G80" s="163">
        <f t="shared" si="307"/>
        <v>710848</v>
      </c>
      <c r="H80" s="163">
        <f t="shared" si="308"/>
        <v>80871</v>
      </c>
      <c r="I80" s="163"/>
      <c r="J80" s="163"/>
      <c r="K80" s="163">
        <f>-557-1222+8852</f>
        <v>7073</v>
      </c>
      <c r="L80" s="163">
        <v>2671</v>
      </c>
      <c r="M80" s="163">
        <v>56180</v>
      </c>
      <c r="N80" s="163"/>
      <c r="O80" s="163"/>
      <c r="P80" s="163"/>
      <c r="Q80" s="163">
        <v>1278</v>
      </c>
      <c r="R80" s="163"/>
      <c r="S80" s="163">
        <f>-18599+20075</f>
        <v>1476</v>
      </c>
      <c r="T80" s="163"/>
      <c r="U80" s="163">
        <v>12193</v>
      </c>
      <c r="V80" s="163"/>
      <c r="W80" s="163"/>
      <c r="X80" s="163"/>
      <c r="Y80" s="163"/>
      <c r="Z80" s="163">
        <v>0</v>
      </c>
      <c r="AA80" s="163">
        <f t="shared" si="309"/>
        <v>0</v>
      </c>
      <c r="AB80" s="163">
        <f t="shared" si="310"/>
        <v>0</v>
      </c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>
        <v>0</v>
      </c>
      <c r="AN80" s="163">
        <f t="shared" si="311"/>
        <v>0</v>
      </c>
      <c r="AO80" s="163">
        <f t="shared" si="312"/>
        <v>0</v>
      </c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>
        <v>0</v>
      </c>
      <c r="BA80" s="81">
        <f t="shared" si="313"/>
        <v>0</v>
      </c>
      <c r="BB80" s="98">
        <f t="shared" si="314"/>
        <v>0</v>
      </c>
      <c r="BC80" s="163"/>
      <c r="BD80" s="163"/>
      <c r="BE80" s="163"/>
      <c r="BF80" s="163"/>
      <c r="BG80" s="163"/>
      <c r="BH80" s="163"/>
      <c r="BI80" s="81">
        <f t="shared" si="315"/>
        <v>0</v>
      </c>
      <c r="BJ80" s="81">
        <f t="shared" si="316"/>
        <v>0</v>
      </c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220" t="s">
        <v>664</v>
      </c>
      <c r="BV80" s="200" t="s">
        <v>672</v>
      </c>
      <c r="BW80" s="24"/>
    </row>
    <row r="81" spans="1:75" s="192" customFormat="1" ht="24" x14ac:dyDescent="0.2">
      <c r="A81" s="108"/>
      <c r="B81" s="244"/>
      <c r="C81" s="319" t="s">
        <v>641</v>
      </c>
      <c r="D81" s="80">
        <f t="shared" si="305"/>
        <v>76560</v>
      </c>
      <c r="E81" s="295">
        <f t="shared" si="306"/>
        <v>76560</v>
      </c>
      <c r="F81" s="163">
        <v>76560</v>
      </c>
      <c r="G81" s="163">
        <f t="shared" si="307"/>
        <v>76560</v>
      </c>
      <c r="H81" s="163">
        <f t="shared" si="308"/>
        <v>0</v>
      </c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>
        <v>0</v>
      </c>
      <c r="AA81" s="163">
        <f t="shared" si="309"/>
        <v>0</v>
      </c>
      <c r="AB81" s="163">
        <f t="shared" si="310"/>
        <v>0</v>
      </c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>
        <v>0</v>
      </c>
      <c r="AN81" s="163">
        <f t="shared" si="311"/>
        <v>0</v>
      </c>
      <c r="AO81" s="163">
        <f t="shared" si="312"/>
        <v>0</v>
      </c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>
        <v>0</v>
      </c>
      <c r="BA81" s="81">
        <f t="shared" si="313"/>
        <v>0</v>
      </c>
      <c r="BB81" s="98">
        <f t="shared" si="314"/>
        <v>0</v>
      </c>
      <c r="BC81" s="199"/>
      <c r="BD81" s="199"/>
      <c r="BE81" s="199"/>
      <c r="BF81" s="199"/>
      <c r="BG81" s="199"/>
      <c r="BH81" s="163"/>
      <c r="BI81" s="81">
        <f t="shared" si="315"/>
        <v>0</v>
      </c>
      <c r="BJ81" s="81">
        <f t="shared" si="316"/>
        <v>0</v>
      </c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82" t="s">
        <v>665</v>
      </c>
      <c r="BV81" s="200"/>
      <c r="BW81" s="24"/>
    </row>
    <row r="82" spans="1:75" s="198" customFormat="1" ht="36" x14ac:dyDescent="0.2">
      <c r="A82" s="108"/>
      <c r="B82" s="244"/>
      <c r="C82" s="319" t="s">
        <v>746</v>
      </c>
      <c r="D82" s="80">
        <f t="shared" ref="D82" si="317">F82+Z82+AM82+AZ82+BH82</f>
        <v>0</v>
      </c>
      <c r="E82" s="295">
        <f t="shared" ref="E82" si="318">G82+AA82+AN82+BA82+BI82</f>
        <v>19807</v>
      </c>
      <c r="F82" s="163"/>
      <c r="G82" s="163">
        <f t="shared" ref="G82" si="319">F82+H82</f>
        <v>19807</v>
      </c>
      <c r="H82" s="163">
        <f t="shared" ref="H82" si="320">SUM(I82:Y82)</f>
        <v>19807</v>
      </c>
      <c r="I82" s="163">
        <v>19807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>
        <f t="shared" ref="AA82" si="321">Z82+AB82</f>
        <v>0</v>
      </c>
      <c r="AB82" s="163">
        <f t="shared" ref="AB82" si="322">SUM(AC82:AL82)</f>
        <v>0</v>
      </c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>
        <f t="shared" ref="AN82" si="323">AM82+AO82</f>
        <v>0</v>
      </c>
      <c r="AO82" s="163">
        <f t="shared" ref="AO82" si="324">SUM(AP82:AY82)</f>
        <v>0</v>
      </c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81">
        <f t="shared" ref="BA82" si="325">AZ82+BB82</f>
        <v>0</v>
      </c>
      <c r="BB82" s="98">
        <f t="shared" ref="BB82" si="326">SUM(BC82:BG82)</f>
        <v>0</v>
      </c>
      <c r="BC82" s="199"/>
      <c r="BD82" s="199"/>
      <c r="BE82" s="199"/>
      <c r="BF82" s="199"/>
      <c r="BG82" s="199"/>
      <c r="BH82" s="163"/>
      <c r="BI82" s="81">
        <f t="shared" ref="BI82" si="327">BH82+BJ82</f>
        <v>0</v>
      </c>
      <c r="BJ82" s="81">
        <f t="shared" ref="BJ82" si="328">SUM(BK82:BT82)</f>
        <v>0</v>
      </c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82" t="s">
        <v>747</v>
      </c>
      <c r="BV82" s="200"/>
      <c r="BW82" s="24"/>
    </row>
    <row r="83" spans="1:75" ht="24" x14ac:dyDescent="0.2">
      <c r="A83" s="108">
        <v>42803002568</v>
      </c>
      <c r="B83" s="241" t="s">
        <v>299</v>
      </c>
      <c r="C83" s="285" t="s">
        <v>278</v>
      </c>
      <c r="D83" s="80">
        <f t="shared" si="305"/>
        <v>1704582</v>
      </c>
      <c r="E83" s="295">
        <f t="shared" si="306"/>
        <v>1704582</v>
      </c>
      <c r="F83" s="81">
        <v>1704582</v>
      </c>
      <c r="G83" s="81">
        <f t="shared" si="307"/>
        <v>1704582</v>
      </c>
      <c r="H83" s="81">
        <f t="shared" si="308"/>
        <v>0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>
        <v>0</v>
      </c>
      <c r="AA83" s="81">
        <f t="shared" si="309"/>
        <v>0</v>
      </c>
      <c r="AB83" s="81">
        <f t="shared" si="310"/>
        <v>0</v>
      </c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>
        <v>0</v>
      </c>
      <c r="AN83" s="81">
        <f t="shared" si="311"/>
        <v>0</v>
      </c>
      <c r="AO83" s="81">
        <f t="shared" si="312"/>
        <v>0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>
        <v>0</v>
      </c>
      <c r="BA83" s="81">
        <f t="shared" si="313"/>
        <v>0</v>
      </c>
      <c r="BB83" s="98">
        <f t="shared" si="314"/>
        <v>0</v>
      </c>
      <c r="BC83" s="98"/>
      <c r="BD83" s="98"/>
      <c r="BE83" s="98"/>
      <c r="BF83" s="98"/>
      <c r="BG83" s="98"/>
      <c r="BH83" s="81"/>
      <c r="BI83" s="81">
        <f t="shared" si="315"/>
        <v>0</v>
      </c>
      <c r="BJ83" s="81">
        <f t="shared" si="316"/>
        <v>0</v>
      </c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82" t="s">
        <v>346</v>
      </c>
      <c r="BV83" s="85"/>
      <c r="BW83" s="24"/>
    </row>
    <row r="84" spans="1:75" ht="24" x14ac:dyDescent="0.2">
      <c r="A84" s="108">
        <v>90010691331</v>
      </c>
      <c r="B84" s="249" t="s">
        <v>701</v>
      </c>
      <c r="C84" s="325" t="s">
        <v>187</v>
      </c>
      <c r="D84" s="80">
        <f t="shared" si="305"/>
        <v>386263</v>
      </c>
      <c r="E84" s="295">
        <f t="shared" si="306"/>
        <v>419323</v>
      </c>
      <c r="F84" s="158">
        <v>266384</v>
      </c>
      <c r="G84" s="158">
        <f t="shared" si="307"/>
        <v>397037</v>
      </c>
      <c r="H84" s="158">
        <f t="shared" si="308"/>
        <v>130653</v>
      </c>
      <c r="I84" s="158"/>
      <c r="J84" s="158"/>
      <c r="K84" s="158"/>
      <c r="L84" s="158">
        <v>81409</v>
      </c>
      <c r="M84" s="158"/>
      <c r="N84" s="158"/>
      <c r="O84" s="158"/>
      <c r="P84" s="158"/>
      <c r="Q84" s="158"/>
      <c r="R84" s="158"/>
      <c r="S84" s="158">
        <v>49244</v>
      </c>
      <c r="T84" s="158"/>
      <c r="U84" s="158"/>
      <c r="V84" s="158"/>
      <c r="W84" s="158"/>
      <c r="X84" s="158"/>
      <c r="Y84" s="158"/>
      <c r="Z84" s="158">
        <v>0</v>
      </c>
      <c r="AA84" s="158">
        <f t="shared" si="309"/>
        <v>0</v>
      </c>
      <c r="AB84" s="158">
        <f t="shared" si="310"/>
        <v>0</v>
      </c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>
        <v>119879</v>
      </c>
      <c r="AN84" s="158">
        <f t="shared" si="311"/>
        <v>23324</v>
      </c>
      <c r="AO84" s="158">
        <f t="shared" si="312"/>
        <v>-96555</v>
      </c>
      <c r="AP84" s="158">
        <v>-822</v>
      </c>
      <c r="AQ84" s="158">
        <v>-99908</v>
      </c>
      <c r="AR84" s="158"/>
      <c r="AS84" s="158">
        <v>2875</v>
      </c>
      <c r="AT84" s="158"/>
      <c r="AU84" s="158">
        <v>1300</v>
      </c>
      <c r="AV84" s="158"/>
      <c r="AW84" s="158"/>
      <c r="AX84" s="158"/>
      <c r="AY84" s="158"/>
      <c r="AZ84" s="158">
        <v>0</v>
      </c>
      <c r="BA84" s="81">
        <f t="shared" si="313"/>
        <v>0</v>
      </c>
      <c r="BB84" s="98">
        <f t="shared" si="314"/>
        <v>0</v>
      </c>
      <c r="BC84" s="306"/>
      <c r="BD84" s="306"/>
      <c r="BE84" s="306"/>
      <c r="BF84" s="306"/>
      <c r="BG84" s="306"/>
      <c r="BH84" s="158"/>
      <c r="BI84" s="81">
        <f t="shared" si="315"/>
        <v>-1038</v>
      </c>
      <c r="BJ84" s="81">
        <f t="shared" si="316"/>
        <v>-1038</v>
      </c>
      <c r="BK84" s="306"/>
      <c r="BL84" s="306"/>
      <c r="BM84" s="306">
        <v>-1038</v>
      </c>
      <c r="BN84" s="306"/>
      <c r="BO84" s="306"/>
      <c r="BP84" s="306"/>
      <c r="BQ84" s="306"/>
      <c r="BR84" s="306"/>
      <c r="BS84" s="306"/>
      <c r="BT84" s="306"/>
      <c r="BU84" s="261" t="s">
        <v>347</v>
      </c>
      <c r="BV84" s="262"/>
      <c r="BW84" s="24"/>
    </row>
    <row r="85" spans="1:75" ht="9" customHeight="1" thickBot="1" x14ac:dyDescent="0.25">
      <c r="A85" s="108"/>
      <c r="B85" s="216"/>
      <c r="C85" s="323"/>
      <c r="D85" s="71"/>
      <c r="E85" s="296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72"/>
      <c r="BB85" s="97"/>
      <c r="BC85" s="97"/>
      <c r="BD85" s="97"/>
      <c r="BE85" s="97"/>
      <c r="BF85" s="97"/>
      <c r="BG85" s="97"/>
      <c r="BH85" s="72"/>
      <c r="BI85" s="264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73"/>
      <c r="BV85" s="86"/>
      <c r="BW85" s="24"/>
    </row>
    <row r="86" spans="1:75" ht="12.75" thickBot="1" x14ac:dyDescent="0.25">
      <c r="A86" s="215" t="s">
        <v>12</v>
      </c>
      <c r="B86" s="125" t="s">
        <v>13</v>
      </c>
      <c r="C86" s="321"/>
      <c r="D86" s="11">
        <f t="shared" ref="D86:E86" si="329">SUM(D87:D92)</f>
        <v>488078</v>
      </c>
      <c r="E86" s="298">
        <f t="shared" si="329"/>
        <v>489515</v>
      </c>
      <c r="F86" s="96">
        <f t="shared" ref="F86:BT86" si="330">SUM(F87:F92)</f>
        <v>488078</v>
      </c>
      <c r="G86" s="96">
        <f t="shared" si="330"/>
        <v>489515</v>
      </c>
      <c r="H86" s="96">
        <f t="shared" ref="H86" si="331">SUM(H87:H92)</f>
        <v>1437</v>
      </c>
      <c r="I86" s="96">
        <f t="shared" si="330"/>
        <v>0</v>
      </c>
      <c r="J86" s="96">
        <f t="shared" ref="J86" si="332">SUM(J87:J92)</f>
        <v>0</v>
      </c>
      <c r="K86" s="96">
        <f t="shared" si="330"/>
        <v>0</v>
      </c>
      <c r="L86" s="96">
        <f t="shared" si="330"/>
        <v>0</v>
      </c>
      <c r="M86" s="96">
        <f t="shared" si="330"/>
        <v>0</v>
      </c>
      <c r="N86" s="96">
        <f t="shared" si="330"/>
        <v>0</v>
      </c>
      <c r="O86" s="96">
        <f t="shared" si="330"/>
        <v>0</v>
      </c>
      <c r="P86" s="96">
        <f t="shared" si="330"/>
        <v>0</v>
      </c>
      <c r="Q86" s="96">
        <f t="shared" si="330"/>
        <v>0</v>
      </c>
      <c r="R86" s="96">
        <f t="shared" si="330"/>
        <v>0</v>
      </c>
      <c r="S86" s="96">
        <f t="shared" si="330"/>
        <v>0</v>
      </c>
      <c r="T86" s="96"/>
      <c r="U86" s="96">
        <f t="shared" si="330"/>
        <v>0</v>
      </c>
      <c r="V86" s="96"/>
      <c r="W86" s="96">
        <f t="shared" si="330"/>
        <v>1437</v>
      </c>
      <c r="X86" s="96">
        <f t="shared" si="330"/>
        <v>0</v>
      </c>
      <c r="Y86" s="96">
        <f t="shared" si="330"/>
        <v>0</v>
      </c>
      <c r="Z86" s="96">
        <f t="shared" si="330"/>
        <v>0</v>
      </c>
      <c r="AA86" s="96">
        <f t="shared" ref="AA86:AL86" si="333">SUM(AA87:AA92)</f>
        <v>0</v>
      </c>
      <c r="AB86" s="96">
        <f t="shared" si="333"/>
        <v>0</v>
      </c>
      <c r="AC86" s="96">
        <f t="shared" si="333"/>
        <v>0</v>
      </c>
      <c r="AD86" s="96">
        <f t="shared" si="333"/>
        <v>0</v>
      </c>
      <c r="AE86" s="96">
        <f t="shared" si="333"/>
        <v>0</v>
      </c>
      <c r="AF86" s="96">
        <f t="shared" si="333"/>
        <v>0</v>
      </c>
      <c r="AG86" s="96">
        <f t="shared" si="333"/>
        <v>0</v>
      </c>
      <c r="AH86" s="96">
        <f t="shared" si="333"/>
        <v>0</v>
      </c>
      <c r="AI86" s="96">
        <f t="shared" si="333"/>
        <v>0</v>
      </c>
      <c r="AJ86" s="96">
        <f t="shared" si="333"/>
        <v>0</v>
      </c>
      <c r="AK86" s="96">
        <f t="shared" si="333"/>
        <v>0</v>
      </c>
      <c r="AL86" s="96">
        <f t="shared" si="333"/>
        <v>0</v>
      </c>
      <c r="AM86" s="96">
        <f t="shared" si="330"/>
        <v>0</v>
      </c>
      <c r="AN86" s="96">
        <f t="shared" si="330"/>
        <v>0</v>
      </c>
      <c r="AO86" s="96">
        <f t="shared" si="330"/>
        <v>0</v>
      </c>
      <c r="AP86" s="96">
        <f t="shared" si="330"/>
        <v>0</v>
      </c>
      <c r="AQ86" s="96">
        <f t="shared" si="330"/>
        <v>0</v>
      </c>
      <c r="AR86" s="96">
        <f t="shared" si="330"/>
        <v>0</v>
      </c>
      <c r="AS86" s="96">
        <f t="shared" si="330"/>
        <v>0</v>
      </c>
      <c r="AT86" s="96">
        <f t="shared" si="330"/>
        <v>0</v>
      </c>
      <c r="AU86" s="96">
        <f t="shared" si="330"/>
        <v>0</v>
      </c>
      <c r="AV86" s="96">
        <f t="shared" si="330"/>
        <v>0</v>
      </c>
      <c r="AW86" s="96">
        <f t="shared" si="330"/>
        <v>0</v>
      </c>
      <c r="AX86" s="96">
        <f t="shared" si="330"/>
        <v>0</v>
      </c>
      <c r="AY86" s="96">
        <f t="shared" si="330"/>
        <v>0</v>
      </c>
      <c r="AZ86" s="96">
        <f t="shared" si="330"/>
        <v>0</v>
      </c>
      <c r="BA86" s="9">
        <f t="shared" ref="BA86:BG86" si="334">SUM(BA87:BA92)</f>
        <v>0</v>
      </c>
      <c r="BB86" s="96">
        <f t="shared" si="334"/>
        <v>0</v>
      </c>
      <c r="BC86" s="96">
        <f t="shared" si="334"/>
        <v>0</v>
      </c>
      <c r="BD86" s="96">
        <f t="shared" si="334"/>
        <v>0</v>
      </c>
      <c r="BE86" s="96">
        <f t="shared" si="334"/>
        <v>0</v>
      </c>
      <c r="BF86" s="96">
        <f t="shared" si="334"/>
        <v>0</v>
      </c>
      <c r="BG86" s="96">
        <f t="shared" si="334"/>
        <v>0</v>
      </c>
      <c r="BH86" s="9">
        <f t="shared" si="330"/>
        <v>0</v>
      </c>
      <c r="BI86" s="310">
        <f t="shared" si="330"/>
        <v>0</v>
      </c>
      <c r="BJ86" s="96">
        <f t="shared" si="330"/>
        <v>0</v>
      </c>
      <c r="BK86" s="96">
        <f t="shared" si="330"/>
        <v>0</v>
      </c>
      <c r="BL86" s="96">
        <f t="shared" si="330"/>
        <v>0</v>
      </c>
      <c r="BM86" s="96">
        <f t="shared" si="330"/>
        <v>0</v>
      </c>
      <c r="BN86" s="96">
        <f t="shared" si="330"/>
        <v>0</v>
      </c>
      <c r="BO86" s="96">
        <f t="shared" si="330"/>
        <v>0</v>
      </c>
      <c r="BP86" s="96">
        <f t="shared" si="330"/>
        <v>0</v>
      </c>
      <c r="BQ86" s="96">
        <f t="shared" si="330"/>
        <v>0</v>
      </c>
      <c r="BR86" s="96">
        <f t="shared" si="330"/>
        <v>0</v>
      </c>
      <c r="BS86" s="96">
        <f t="shared" si="330"/>
        <v>0</v>
      </c>
      <c r="BT86" s="96">
        <f t="shared" si="330"/>
        <v>0</v>
      </c>
      <c r="BU86" s="12"/>
      <c r="BV86" s="87"/>
      <c r="BW86" s="24"/>
    </row>
    <row r="87" spans="1:75" ht="24.75" customHeight="1" thickTop="1" x14ac:dyDescent="0.2">
      <c r="A87" s="108">
        <v>90000594245</v>
      </c>
      <c r="B87" s="247" t="s">
        <v>524</v>
      </c>
      <c r="C87" s="285" t="s">
        <v>188</v>
      </c>
      <c r="D87" s="80">
        <f t="shared" ref="D87:D91" si="335">F87+Z87+AM87+AZ87+BH87</f>
        <v>45712</v>
      </c>
      <c r="E87" s="295">
        <f t="shared" ref="E87:E91" si="336">G87+AA87+AN87+BA87+BI87</f>
        <v>45712</v>
      </c>
      <c r="F87" s="81">
        <v>45712</v>
      </c>
      <c r="G87" s="81">
        <f t="shared" ref="G87:G91" si="337">F87+H87</f>
        <v>45712</v>
      </c>
      <c r="H87" s="81">
        <f t="shared" ref="H87:H91" si="338">SUM(I87:Y87)</f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>
        <v>0</v>
      </c>
      <c r="AA87" s="81">
        <f t="shared" ref="AA87:AA91" si="339">Z87+AB87</f>
        <v>0</v>
      </c>
      <c r="AB87" s="81">
        <f t="shared" ref="AB87:AB91" si="340">SUM(AC87:AL87)</f>
        <v>0</v>
      </c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>
        <v>0</v>
      </c>
      <c r="AN87" s="81">
        <f t="shared" ref="AN87:AN91" si="341">AM87+AO87</f>
        <v>0</v>
      </c>
      <c r="AO87" s="81">
        <f t="shared" ref="AO87:AO91" si="342">SUM(AP87:AY87)</f>
        <v>0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>
        <v>0</v>
      </c>
      <c r="BA87" s="81">
        <f t="shared" ref="BA87:BA91" si="343">AZ87+BB87</f>
        <v>0</v>
      </c>
      <c r="BB87" s="98">
        <f t="shared" ref="BB87:BB91" si="344">SUM(BC87:BG87)</f>
        <v>0</v>
      </c>
      <c r="BC87" s="98"/>
      <c r="BD87" s="98"/>
      <c r="BE87" s="98"/>
      <c r="BF87" s="98"/>
      <c r="BG87" s="98"/>
      <c r="BH87" s="81"/>
      <c r="BI87" s="81">
        <f t="shared" ref="BI87:BI91" si="345">BH87+BJ87</f>
        <v>0</v>
      </c>
      <c r="BJ87" s="81">
        <f t="shared" ref="BJ87:BJ91" si="346">SUM(BK87:BT87)</f>
        <v>0</v>
      </c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82" t="s">
        <v>348</v>
      </c>
      <c r="BV87" s="85" t="s">
        <v>668</v>
      </c>
      <c r="BW87" s="24"/>
    </row>
    <row r="88" spans="1:75" x14ac:dyDescent="0.2">
      <c r="A88" s="108"/>
      <c r="B88" s="242"/>
      <c r="C88" s="285" t="s">
        <v>209</v>
      </c>
      <c r="D88" s="80">
        <f t="shared" si="335"/>
        <v>28724</v>
      </c>
      <c r="E88" s="295">
        <f t="shared" si="336"/>
        <v>28909</v>
      </c>
      <c r="F88" s="81">
        <v>28724</v>
      </c>
      <c r="G88" s="81">
        <f t="shared" si="337"/>
        <v>28909</v>
      </c>
      <c r="H88" s="81">
        <f t="shared" si="338"/>
        <v>185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>
        <v>185</v>
      </c>
      <c r="X88" s="81"/>
      <c r="Y88" s="81"/>
      <c r="Z88" s="81">
        <v>0</v>
      </c>
      <c r="AA88" s="81">
        <f t="shared" si="339"/>
        <v>0</v>
      </c>
      <c r="AB88" s="81">
        <f t="shared" si="340"/>
        <v>0</v>
      </c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>
        <v>0</v>
      </c>
      <c r="AN88" s="81">
        <f t="shared" si="341"/>
        <v>0</v>
      </c>
      <c r="AO88" s="81">
        <f t="shared" si="342"/>
        <v>0</v>
      </c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>
        <v>0</v>
      </c>
      <c r="BA88" s="81">
        <f t="shared" si="343"/>
        <v>0</v>
      </c>
      <c r="BB88" s="98">
        <f t="shared" si="344"/>
        <v>0</v>
      </c>
      <c r="BC88" s="98"/>
      <c r="BD88" s="98"/>
      <c r="BE88" s="98"/>
      <c r="BF88" s="98"/>
      <c r="BG88" s="98"/>
      <c r="BH88" s="81"/>
      <c r="BI88" s="81">
        <f t="shared" si="345"/>
        <v>0</v>
      </c>
      <c r="BJ88" s="81">
        <f t="shared" si="346"/>
        <v>0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82" t="s">
        <v>349</v>
      </c>
      <c r="BV88" s="85" t="s">
        <v>668</v>
      </c>
      <c r="BW88" s="24"/>
    </row>
    <row r="89" spans="1:75" ht="24" x14ac:dyDescent="0.2">
      <c r="A89" s="108"/>
      <c r="B89" s="242"/>
      <c r="C89" s="285" t="s">
        <v>203</v>
      </c>
      <c r="D89" s="80">
        <f t="shared" si="335"/>
        <v>62365</v>
      </c>
      <c r="E89" s="295">
        <f t="shared" si="336"/>
        <v>64365</v>
      </c>
      <c r="F89" s="81">
        <v>62365</v>
      </c>
      <c r="G89" s="81">
        <f t="shared" si="337"/>
        <v>64365</v>
      </c>
      <c r="H89" s="81">
        <f t="shared" si="338"/>
        <v>2000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>
        <v>2000</v>
      </c>
      <c r="X89" s="81"/>
      <c r="Y89" s="81"/>
      <c r="Z89" s="81">
        <v>0</v>
      </c>
      <c r="AA89" s="81">
        <f t="shared" si="339"/>
        <v>0</v>
      </c>
      <c r="AB89" s="81">
        <f t="shared" si="340"/>
        <v>0</v>
      </c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>
        <v>0</v>
      </c>
      <c r="AN89" s="81">
        <f t="shared" si="341"/>
        <v>0</v>
      </c>
      <c r="AO89" s="81">
        <f t="shared" si="342"/>
        <v>0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>
        <v>0</v>
      </c>
      <c r="BA89" s="81">
        <f t="shared" si="343"/>
        <v>0</v>
      </c>
      <c r="BB89" s="98">
        <f t="shared" si="344"/>
        <v>0</v>
      </c>
      <c r="BC89" s="98"/>
      <c r="BD89" s="98"/>
      <c r="BE89" s="98"/>
      <c r="BF89" s="98"/>
      <c r="BG89" s="98"/>
      <c r="BH89" s="81"/>
      <c r="BI89" s="81">
        <f t="shared" si="345"/>
        <v>0</v>
      </c>
      <c r="BJ89" s="81">
        <f t="shared" si="346"/>
        <v>0</v>
      </c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82" t="s">
        <v>350</v>
      </c>
      <c r="BV89" s="85" t="s">
        <v>668</v>
      </c>
      <c r="BW89" s="24"/>
    </row>
    <row r="90" spans="1:75" s="192" customFormat="1" ht="27" customHeight="1" x14ac:dyDescent="0.2">
      <c r="A90" s="108"/>
      <c r="B90" s="242"/>
      <c r="C90" s="285" t="s">
        <v>537</v>
      </c>
      <c r="D90" s="80">
        <f t="shared" si="335"/>
        <v>241680</v>
      </c>
      <c r="E90" s="295">
        <f t="shared" si="336"/>
        <v>240932</v>
      </c>
      <c r="F90" s="81">
        <v>241680</v>
      </c>
      <c r="G90" s="81">
        <f t="shared" si="337"/>
        <v>240932</v>
      </c>
      <c r="H90" s="81">
        <f t="shared" si="338"/>
        <v>-748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>
        <f>657-1405</f>
        <v>-748</v>
      </c>
      <c r="X90" s="81"/>
      <c r="Y90" s="81"/>
      <c r="Z90" s="81">
        <v>0</v>
      </c>
      <c r="AA90" s="81">
        <f t="shared" si="339"/>
        <v>0</v>
      </c>
      <c r="AB90" s="81">
        <f t="shared" si="340"/>
        <v>0</v>
      </c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>
        <v>0</v>
      </c>
      <c r="AN90" s="81">
        <f t="shared" si="341"/>
        <v>0</v>
      </c>
      <c r="AO90" s="81">
        <f t="shared" si="342"/>
        <v>0</v>
      </c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>
        <v>0</v>
      </c>
      <c r="BA90" s="81">
        <f t="shared" si="343"/>
        <v>0</v>
      </c>
      <c r="BB90" s="98">
        <f t="shared" si="344"/>
        <v>0</v>
      </c>
      <c r="BC90" s="98"/>
      <c r="BD90" s="98"/>
      <c r="BE90" s="98"/>
      <c r="BF90" s="98"/>
      <c r="BG90" s="98"/>
      <c r="BH90" s="81"/>
      <c r="BI90" s="81">
        <f t="shared" si="345"/>
        <v>0</v>
      </c>
      <c r="BJ90" s="81">
        <f t="shared" si="346"/>
        <v>0</v>
      </c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82" t="s">
        <v>550</v>
      </c>
      <c r="BV90" s="85"/>
      <c r="BW90" s="24"/>
    </row>
    <row r="91" spans="1:75" ht="48" x14ac:dyDescent="0.2">
      <c r="A91" s="108">
        <v>90010991438</v>
      </c>
      <c r="B91" s="241" t="s">
        <v>472</v>
      </c>
      <c r="C91" s="285" t="s">
        <v>495</v>
      </c>
      <c r="D91" s="80">
        <f t="shared" si="335"/>
        <v>109597</v>
      </c>
      <c r="E91" s="295">
        <f t="shared" si="336"/>
        <v>109597</v>
      </c>
      <c r="F91" s="81">
        <v>109597</v>
      </c>
      <c r="G91" s="81">
        <f t="shared" si="337"/>
        <v>109597</v>
      </c>
      <c r="H91" s="81">
        <f t="shared" si="338"/>
        <v>0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>
        <v>0</v>
      </c>
      <c r="AA91" s="81">
        <f t="shared" si="339"/>
        <v>0</v>
      </c>
      <c r="AB91" s="81">
        <f t="shared" si="340"/>
        <v>0</v>
      </c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>
        <v>0</v>
      </c>
      <c r="AN91" s="81">
        <f t="shared" si="341"/>
        <v>0</v>
      </c>
      <c r="AO91" s="81">
        <f t="shared" si="342"/>
        <v>0</v>
      </c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>
        <v>0</v>
      </c>
      <c r="BA91" s="81">
        <f t="shared" si="343"/>
        <v>0</v>
      </c>
      <c r="BB91" s="98">
        <f t="shared" si="344"/>
        <v>0</v>
      </c>
      <c r="BC91" s="98"/>
      <c r="BD91" s="98"/>
      <c r="BE91" s="98"/>
      <c r="BF91" s="98"/>
      <c r="BG91" s="98"/>
      <c r="BH91" s="81"/>
      <c r="BI91" s="81">
        <f t="shared" si="345"/>
        <v>0</v>
      </c>
      <c r="BJ91" s="81">
        <f t="shared" si="346"/>
        <v>0</v>
      </c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82" t="s">
        <v>351</v>
      </c>
      <c r="BV91" s="85"/>
      <c r="BW91" s="24"/>
    </row>
    <row r="92" spans="1:75" ht="9.75" customHeight="1" thickBot="1" x14ac:dyDescent="0.25">
      <c r="A92" s="108"/>
      <c r="B92" s="216"/>
      <c r="C92" s="323"/>
      <c r="D92" s="71"/>
      <c r="E92" s="296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72"/>
      <c r="BB92" s="97"/>
      <c r="BC92" s="97"/>
      <c r="BD92" s="97"/>
      <c r="BE92" s="97"/>
      <c r="BF92" s="97"/>
      <c r="BG92" s="97"/>
      <c r="BH92" s="72"/>
      <c r="BI92" s="264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73"/>
      <c r="BV92" s="86"/>
      <c r="BW92" s="24"/>
    </row>
    <row r="93" spans="1:75" ht="12.75" thickBot="1" x14ac:dyDescent="0.25">
      <c r="A93" s="215" t="s">
        <v>14</v>
      </c>
      <c r="B93" s="125" t="s">
        <v>15</v>
      </c>
      <c r="C93" s="321"/>
      <c r="D93" s="11">
        <f>SUM(D94:D132)</f>
        <v>9478586</v>
      </c>
      <c r="E93" s="297">
        <f>SUM(E94:E132)</f>
        <v>11554456</v>
      </c>
      <c r="F93" s="9">
        <f>SUM(F94:F132)</f>
        <v>9232349</v>
      </c>
      <c r="G93" s="9">
        <f t="shared" ref="G93:Y93" si="347">SUM(G94:G132)</f>
        <v>11300398</v>
      </c>
      <c r="H93" s="9">
        <f t="shared" si="347"/>
        <v>2068049</v>
      </c>
      <c r="I93" s="9">
        <f t="shared" si="347"/>
        <v>34000</v>
      </c>
      <c r="J93" s="9">
        <f t="shared" ref="J93" si="348">SUM(J94:J132)</f>
        <v>3591</v>
      </c>
      <c r="K93" s="9">
        <f t="shared" si="347"/>
        <v>100001</v>
      </c>
      <c r="L93" s="9">
        <f t="shared" si="347"/>
        <v>28829</v>
      </c>
      <c r="M93" s="9">
        <f t="shared" si="347"/>
        <v>25058</v>
      </c>
      <c r="N93" s="9">
        <f t="shared" si="347"/>
        <v>0</v>
      </c>
      <c r="O93" s="9">
        <f t="shared" si="347"/>
        <v>0</v>
      </c>
      <c r="P93" s="9">
        <f t="shared" si="347"/>
        <v>0</v>
      </c>
      <c r="Q93" s="9">
        <f t="shared" si="347"/>
        <v>107022</v>
      </c>
      <c r="R93" s="9">
        <f t="shared" si="347"/>
        <v>0</v>
      </c>
      <c r="S93" s="9">
        <f t="shared" si="347"/>
        <v>-22539</v>
      </c>
      <c r="T93" s="9"/>
      <c r="U93" s="9">
        <f t="shared" si="347"/>
        <v>1790920</v>
      </c>
      <c r="V93" s="9"/>
      <c r="W93" s="9">
        <f t="shared" si="347"/>
        <v>1167</v>
      </c>
      <c r="X93" s="9">
        <f t="shared" si="347"/>
        <v>0</v>
      </c>
      <c r="Y93" s="9">
        <f t="shared" si="347"/>
        <v>0</v>
      </c>
      <c r="Z93" s="9">
        <f>SUM(Z94:Z132)</f>
        <v>9522</v>
      </c>
      <c r="AA93" s="9">
        <f t="shared" ref="AA93" si="349">SUM(AA94:AA132)</f>
        <v>10724</v>
      </c>
      <c r="AB93" s="9">
        <f t="shared" ref="AB93" si="350">SUM(AB94:AB132)</f>
        <v>1202</v>
      </c>
      <c r="AC93" s="9">
        <f t="shared" ref="AC93" si="351">SUM(AC94:AC132)</f>
        <v>0</v>
      </c>
      <c r="AD93" s="9">
        <f t="shared" ref="AD93" si="352">SUM(AD94:AD132)</f>
        <v>0</v>
      </c>
      <c r="AE93" s="9">
        <f t="shared" ref="AE93" si="353">SUM(AE94:AE132)</f>
        <v>0</v>
      </c>
      <c r="AF93" s="9">
        <f t="shared" ref="AF93" si="354">SUM(AF94:AF132)</f>
        <v>1202</v>
      </c>
      <c r="AG93" s="9">
        <f t="shared" ref="AG93" si="355">SUM(AG94:AG132)</f>
        <v>0</v>
      </c>
      <c r="AH93" s="9">
        <f t="shared" ref="AH93" si="356">SUM(AH94:AH132)</f>
        <v>0</v>
      </c>
      <c r="AI93" s="9">
        <f t="shared" ref="AI93" si="357">SUM(AI94:AI132)</f>
        <v>0</v>
      </c>
      <c r="AJ93" s="9">
        <f t="shared" ref="AJ93" si="358">SUM(AJ94:AJ132)</f>
        <v>0</v>
      </c>
      <c r="AK93" s="9">
        <f t="shared" ref="AK93" si="359">SUM(AK94:AK132)</f>
        <v>0</v>
      </c>
      <c r="AL93" s="9">
        <f t="shared" ref="AL93" si="360">SUM(AL94:AL132)</f>
        <v>0</v>
      </c>
      <c r="AM93" s="9">
        <f>SUM(AM94:AM132)</f>
        <v>236715</v>
      </c>
      <c r="AN93" s="96">
        <f t="shared" ref="AN93" si="361">SUM(AN94:AN132)</f>
        <v>243348</v>
      </c>
      <c r="AO93" s="96">
        <f t="shared" ref="AO93" si="362">SUM(AO94:AO132)</f>
        <v>6633</v>
      </c>
      <c r="AP93" s="96">
        <f t="shared" ref="AP93" si="363">SUM(AP94:AP132)</f>
        <v>6405</v>
      </c>
      <c r="AQ93" s="96">
        <f t="shared" ref="AQ93" si="364">SUM(AQ94:AQ132)</f>
        <v>0</v>
      </c>
      <c r="AR93" s="96">
        <f t="shared" ref="AR93" si="365">SUM(AR94:AR132)</f>
        <v>0</v>
      </c>
      <c r="AS93" s="96">
        <f t="shared" ref="AS93" si="366">SUM(AS94:AS132)</f>
        <v>0</v>
      </c>
      <c r="AT93" s="96">
        <f t="shared" ref="AT93" si="367">SUM(AT94:AT132)</f>
        <v>0</v>
      </c>
      <c r="AU93" s="96">
        <f t="shared" ref="AU93" si="368">SUM(AU94:AU132)</f>
        <v>214</v>
      </c>
      <c r="AV93" s="96">
        <f t="shared" ref="AV93" si="369">SUM(AV94:AV132)</f>
        <v>14</v>
      </c>
      <c r="AW93" s="96">
        <f t="shared" ref="AW93" si="370">SUM(AW94:AW132)</f>
        <v>0</v>
      </c>
      <c r="AX93" s="96">
        <f t="shared" ref="AX93" si="371">SUM(AX94:AX132)</f>
        <v>0</v>
      </c>
      <c r="AY93" s="96">
        <f t="shared" ref="AY93" si="372">SUM(AY94:AY132)</f>
        <v>0</v>
      </c>
      <c r="AZ93" s="96">
        <f>SUM(AZ94:AZ132)</f>
        <v>0</v>
      </c>
      <c r="BA93" s="9">
        <f t="shared" ref="BA93" si="373">SUM(BA94:BA132)</f>
        <v>0</v>
      </c>
      <c r="BB93" s="96">
        <f t="shared" ref="BB93" si="374">SUM(BB94:BB132)</f>
        <v>0</v>
      </c>
      <c r="BC93" s="96">
        <f t="shared" ref="BC93" si="375">SUM(BC94:BC132)</f>
        <v>0</v>
      </c>
      <c r="BD93" s="96">
        <f t="shared" ref="BD93" si="376">SUM(BD94:BD132)</f>
        <v>0</v>
      </c>
      <c r="BE93" s="96">
        <f t="shared" ref="BE93" si="377">SUM(BE94:BE132)</f>
        <v>0</v>
      </c>
      <c r="BF93" s="96">
        <f t="shared" ref="BF93" si="378">SUM(BF94:BF132)</f>
        <v>0</v>
      </c>
      <c r="BG93" s="96">
        <f t="shared" ref="BG93" si="379">SUM(BG94:BG132)</f>
        <v>0</v>
      </c>
      <c r="BH93" s="9">
        <f>SUM(BH94:BH132)</f>
        <v>0</v>
      </c>
      <c r="BI93" s="310">
        <f t="shared" ref="BI93" si="380">SUM(BI94:BI132)</f>
        <v>-14</v>
      </c>
      <c r="BJ93" s="96">
        <f t="shared" ref="BJ93" si="381">SUM(BJ94:BJ132)</f>
        <v>-14</v>
      </c>
      <c r="BK93" s="96">
        <f t="shared" ref="BK93" si="382">SUM(BK94:BK132)</f>
        <v>0</v>
      </c>
      <c r="BL93" s="96">
        <f t="shared" ref="BL93" si="383">SUM(BL94:BL132)</f>
        <v>0</v>
      </c>
      <c r="BM93" s="96">
        <f t="shared" ref="BM93" si="384">SUM(BM94:BM132)</f>
        <v>0</v>
      </c>
      <c r="BN93" s="96">
        <f t="shared" ref="BN93" si="385">SUM(BN94:BN132)</f>
        <v>0</v>
      </c>
      <c r="BO93" s="96">
        <f t="shared" ref="BO93" si="386">SUM(BO94:BO132)</f>
        <v>0</v>
      </c>
      <c r="BP93" s="96">
        <f t="shared" ref="BP93" si="387">SUM(BP94:BP132)</f>
        <v>0</v>
      </c>
      <c r="BQ93" s="96">
        <f t="shared" ref="BQ93" si="388">SUM(BQ94:BQ132)</f>
        <v>0</v>
      </c>
      <c r="BR93" s="96">
        <f t="shared" ref="BR93" si="389">SUM(BR94:BR132)</f>
        <v>-14</v>
      </c>
      <c r="BS93" s="96">
        <f t="shared" ref="BS93" si="390">SUM(BS94:BS132)</f>
        <v>0</v>
      </c>
      <c r="BT93" s="96">
        <f t="shared" ref="BT93" si="391">SUM(BT94:BT132)</f>
        <v>0</v>
      </c>
      <c r="BU93" s="12"/>
      <c r="BV93" s="87"/>
      <c r="BW93" s="24"/>
    </row>
    <row r="94" spans="1:75" ht="23.25" customHeight="1" thickTop="1" x14ac:dyDescent="0.2">
      <c r="A94" s="129">
        <v>90000056357</v>
      </c>
      <c r="B94" s="247" t="s">
        <v>5</v>
      </c>
      <c r="C94" s="285" t="s">
        <v>182</v>
      </c>
      <c r="D94" s="80">
        <f t="shared" ref="D94:D131" si="392">F94+Z94+AM94+AZ94+BH94</f>
        <v>708734</v>
      </c>
      <c r="E94" s="295">
        <f t="shared" ref="E94:E131" si="393">G94+AA94+AN94+BA94+BI94</f>
        <v>710734</v>
      </c>
      <c r="F94" s="164">
        <v>708734</v>
      </c>
      <c r="G94" s="164">
        <f t="shared" ref="G94:G131" si="394">F94+H94</f>
        <v>710734</v>
      </c>
      <c r="H94" s="164">
        <f t="shared" ref="H94:H131" si="395">SUM(I94:Y94)</f>
        <v>2000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>
        <v>2000</v>
      </c>
      <c r="X94" s="164"/>
      <c r="Y94" s="164"/>
      <c r="Z94" s="164">
        <v>0</v>
      </c>
      <c r="AA94" s="164">
        <f t="shared" ref="AA94:AA131" si="396">Z94+AB94</f>
        <v>0</v>
      </c>
      <c r="AB94" s="164">
        <f t="shared" ref="AB94:AB131" si="397">SUM(AC94:AL94)</f>
        <v>0</v>
      </c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>
        <v>0</v>
      </c>
      <c r="AN94" s="164">
        <f t="shared" ref="AN94:AN131" si="398">AM94+AO94</f>
        <v>0</v>
      </c>
      <c r="AO94" s="164">
        <f t="shared" ref="AO94:AO131" si="399">SUM(AP94:AY94)</f>
        <v>0</v>
      </c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>
        <v>0</v>
      </c>
      <c r="BA94" s="81">
        <f t="shared" ref="BA94:BA131" si="400">AZ94+BB94</f>
        <v>0</v>
      </c>
      <c r="BB94" s="98">
        <f t="shared" ref="BB94:BB131" si="401">SUM(BC94:BG94)</f>
        <v>0</v>
      </c>
      <c r="BC94" s="199"/>
      <c r="BD94" s="199"/>
      <c r="BE94" s="199"/>
      <c r="BF94" s="199"/>
      <c r="BG94" s="199"/>
      <c r="BH94" s="163"/>
      <c r="BI94" s="81">
        <f t="shared" ref="BI94:BI131" si="402">BH94+BJ94</f>
        <v>0</v>
      </c>
      <c r="BJ94" s="81">
        <f t="shared" ref="BJ94:BJ131" si="403">SUM(BK94:BT94)</f>
        <v>0</v>
      </c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82" t="s">
        <v>461</v>
      </c>
      <c r="BV94" s="85"/>
      <c r="BW94" s="24"/>
    </row>
    <row r="95" spans="1:75" ht="24" x14ac:dyDescent="0.2">
      <c r="A95" s="108"/>
      <c r="B95" s="243"/>
      <c r="C95" s="285" t="s">
        <v>511</v>
      </c>
      <c r="D95" s="80">
        <f t="shared" si="392"/>
        <v>981862</v>
      </c>
      <c r="E95" s="295">
        <f t="shared" si="393"/>
        <v>926286</v>
      </c>
      <c r="F95" s="81">
        <v>981862</v>
      </c>
      <c r="G95" s="81">
        <f t="shared" si="394"/>
        <v>926286</v>
      </c>
      <c r="H95" s="81">
        <f t="shared" si="395"/>
        <v>-55576</v>
      </c>
      <c r="I95" s="81"/>
      <c r="J95" s="81"/>
      <c r="K95" s="81">
        <v>13063</v>
      </c>
      <c r="L95" s="81"/>
      <c r="M95" s="81">
        <v>-8591</v>
      </c>
      <c r="N95" s="81"/>
      <c r="O95" s="81"/>
      <c r="P95" s="81"/>
      <c r="Q95" s="81"/>
      <c r="R95" s="81">
        <v>-2104</v>
      </c>
      <c r="S95" s="81">
        <v>-25689</v>
      </c>
      <c r="T95" s="81"/>
      <c r="U95" s="81">
        <f>-12193-5549</f>
        <v>-17742</v>
      </c>
      <c r="V95" s="81"/>
      <c r="W95" s="81">
        <f>-17677-1057+4221</f>
        <v>-14513</v>
      </c>
      <c r="X95" s="81"/>
      <c r="Y95" s="81"/>
      <c r="Z95" s="81">
        <v>0</v>
      </c>
      <c r="AA95" s="81">
        <f t="shared" si="396"/>
        <v>0</v>
      </c>
      <c r="AB95" s="81">
        <f t="shared" si="397"/>
        <v>0</v>
      </c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>
        <v>0</v>
      </c>
      <c r="AN95" s="81">
        <f t="shared" si="398"/>
        <v>0</v>
      </c>
      <c r="AO95" s="81">
        <f t="shared" si="399"/>
        <v>0</v>
      </c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>
        <v>0</v>
      </c>
      <c r="BA95" s="81">
        <f t="shared" si="400"/>
        <v>0</v>
      </c>
      <c r="BB95" s="98">
        <f t="shared" si="401"/>
        <v>0</v>
      </c>
      <c r="BC95" s="81"/>
      <c r="BD95" s="81"/>
      <c r="BE95" s="81"/>
      <c r="BF95" s="81"/>
      <c r="BG95" s="81"/>
      <c r="BH95" s="81"/>
      <c r="BI95" s="81">
        <f t="shared" si="402"/>
        <v>0</v>
      </c>
      <c r="BJ95" s="81">
        <f t="shared" si="403"/>
        <v>0</v>
      </c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2" t="s">
        <v>334</v>
      </c>
      <c r="BV95" s="85" t="s">
        <v>670</v>
      </c>
      <c r="BW95" s="24"/>
    </row>
    <row r="96" spans="1:75" ht="15" customHeight="1" x14ac:dyDescent="0.2">
      <c r="A96" s="108"/>
      <c r="B96" s="243"/>
      <c r="C96" s="285" t="s">
        <v>239</v>
      </c>
      <c r="D96" s="80">
        <f t="shared" si="392"/>
        <v>30000</v>
      </c>
      <c r="E96" s="295">
        <f t="shared" si="393"/>
        <v>64000</v>
      </c>
      <c r="F96" s="81">
        <v>30000</v>
      </c>
      <c r="G96" s="81">
        <f t="shared" si="394"/>
        <v>64000</v>
      </c>
      <c r="H96" s="81">
        <f t="shared" si="395"/>
        <v>34000</v>
      </c>
      <c r="I96" s="81">
        <v>34000</v>
      </c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>
        <v>0</v>
      </c>
      <c r="AA96" s="81">
        <f t="shared" si="396"/>
        <v>0</v>
      </c>
      <c r="AB96" s="81">
        <f t="shared" si="397"/>
        <v>0</v>
      </c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>
        <v>0</v>
      </c>
      <c r="AN96" s="81">
        <f t="shared" si="398"/>
        <v>0</v>
      </c>
      <c r="AO96" s="81">
        <f t="shared" si="399"/>
        <v>0</v>
      </c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>
        <v>0</v>
      </c>
      <c r="BA96" s="81">
        <f t="shared" si="400"/>
        <v>0</v>
      </c>
      <c r="BB96" s="98">
        <f t="shared" si="401"/>
        <v>0</v>
      </c>
      <c r="BC96" s="81"/>
      <c r="BD96" s="81"/>
      <c r="BE96" s="81"/>
      <c r="BF96" s="81"/>
      <c r="BG96" s="81"/>
      <c r="BH96" s="81"/>
      <c r="BI96" s="81">
        <f t="shared" si="402"/>
        <v>0</v>
      </c>
      <c r="BJ96" s="81">
        <f t="shared" si="403"/>
        <v>0</v>
      </c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2" t="s">
        <v>335</v>
      </c>
      <c r="BV96" s="85" t="s">
        <v>445</v>
      </c>
      <c r="BW96" s="24"/>
    </row>
    <row r="97" spans="1:75" ht="12.75" x14ac:dyDescent="0.2">
      <c r="A97" s="108"/>
      <c r="B97" s="243"/>
      <c r="C97" s="319" t="s">
        <v>471</v>
      </c>
      <c r="D97" s="80">
        <f t="shared" si="392"/>
        <v>986282</v>
      </c>
      <c r="E97" s="295">
        <f t="shared" si="393"/>
        <v>988682</v>
      </c>
      <c r="F97" s="81">
        <v>986282</v>
      </c>
      <c r="G97" s="81">
        <f t="shared" si="394"/>
        <v>988682</v>
      </c>
      <c r="H97" s="81">
        <f t="shared" si="395"/>
        <v>2400</v>
      </c>
      <c r="I97" s="81"/>
      <c r="J97" s="81"/>
      <c r="K97" s="81">
        <v>2400</v>
      </c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>
        <v>0</v>
      </c>
      <c r="AA97" s="81">
        <f t="shared" si="396"/>
        <v>0</v>
      </c>
      <c r="AB97" s="81">
        <f t="shared" si="397"/>
        <v>0</v>
      </c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>
        <v>0</v>
      </c>
      <c r="AN97" s="81">
        <f t="shared" si="398"/>
        <v>0</v>
      </c>
      <c r="AO97" s="81">
        <f t="shared" si="399"/>
        <v>0</v>
      </c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>
        <v>0</v>
      </c>
      <c r="BA97" s="81">
        <f t="shared" si="400"/>
        <v>0</v>
      </c>
      <c r="BB97" s="98">
        <f t="shared" si="401"/>
        <v>0</v>
      </c>
      <c r="BC97" s="81"/>
      <c r="BD97" s="81"/>
      <c r="BE97" s="81"/>
      <c r="BF97" s="81"/>
      <c r="BG97" s="81"/>
      <c r="BH97" s="81"/>
      <c r="BI97" s="81">
        <f t="shared" si="402"/>
        <v>0</v>
      </c>
      <c r="BJ97" s="81">
        <f t="shared" si="403"/>
        <v>0</v>
      </c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2" t="s">
        <v>336</v>
      </c>
      <c r="BV97" s="85" t="s">
        <v>566</v>
      </c>
      <c r="BW97" s="24"/>
    </row>
    <row r="98" spans="1:75" ht="12.75" x14ac:dyDescent="0.2">
      <c r="A98" s="108"/>
      <c r="B98" s="243"/>
      <c r="C98" s="285" t="s">
        <v>261</v>
      </c>
      <c r="D98" s="80">
        <f t="shared" si="392"/>
        <v>174568</v>
      </c>
      <c r="E98" s="295">
        <f t="shared" si="393"/>
        <v>174568</v>
      </c>
      <c r="F98" s="81">
        <v>174568</v>
      </c>
      <c r="G98" s="81">
        <f t="shared" si="394"/>
        <v>174568</v>
      </c>
      <c r="H98" s="81">
        <f t="shared" si="395"/>
        <v>0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>
        <v>0</v>
      </c>
      <c r="AA98" s="81">
        <f t="shared" si="396"/>
        <v>0</v>
      </c>
      <c r="AB98" s="81">
        <f t="shared" si="397"/>
        <v>0</v>
      </c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>
        <v>0</v>
      </c>
      <c r="AN98" s="81">
        <f t="shared" si="398"/>
        <v>0</v>
      </c>
      <c r="AO98" s="81">
        <f t="shared" si="399"/>
        <v>0</v>
      </c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>
        <v>0</v>
      </c>
      <c r="BA98" s="81">
        <f t="shared" si="400"/>
        <v>0</v>
      </c>
      <c r="BB98" s="98">
        <f t="shared" si="401"/>
        <v>0</v>
      </c>
      <c r="BC98" s="81"/>
      <c r="BD98" s="81"/>
      <c r="BE98" s="81"/>
      <c r="BF98" s="81"/>
      <c r="BG98" s="81"/>
      <c r="BH98" s="81"/>
      <c r="BI98" s="81">
        <f t="shared" si="402"/>
        <v>0</v>
      </c>
      <c r="BJ98" s="81">
        <f t="shared" si="403"/>
        <v>0</v>
      </c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2" t="s">
        <v>337</v>
      </c>
      <c r="BV98" s="85" t="s">
        <v>671</v>
      </c>
      <c r="BW98" s="24"/>
    </row>
    <row r="99" spans="1:75" s="162" customFormat="1" ht="12.75" x14ac:dyDescent="0.2">
      <c r="A99" s="108"/>
      <c r="B99" s="243"/>
      <c r="C99" s="285" t="s">
        <v>219</v>
      </c>
      <c r="D99" s="80">
        <f t="shared" si="392"/>
        <v>696192</v>
      </c>
      <c r="E99" s="295">
        <f t="shared" si="393"/>
        <v>696982</v>
      </c>
      <c r="F99" s="81">
        <v>696192</v>
      </c>
      <c r="G99" s="81">
        <f t="shared" si="394"/>
        <v>696982</v>
      </c>
      <c r="H99" s="81">
        <f t="shared" si="395"/>
        <v>790</v>
      </c>
      <c r="I99" s="81"/>
      <c r="J99" s="81">
        <v>1140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>
        <v>-350</v>
      </c>
      <c r="X99" s="81"/>
      <c r="Y99" s="81"/>
      <c r="Z99" s="81">
        <v>0</v>
      </c>
      <c r="AA99" s="81">
        <f t="shared" si="396"/>
        <v>0</v>
      </c>
      <c r="AB99" s="81">
        <f t="shared" si="397"/>
        <v>0</v>
      </c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>
        <v>0</v>
      </c>
      <c r="AN99" s="81">
        <f t="shared" si="398"/>
        <v>0</v>
      </c>
      <c r="AO99" s="81">
        <f t="shared" si="399"/>
        <v>0</v>
      </c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>
        <v>0</v>
      </c>
      <c r="BA99" s="81">
        <f t="shared" si="400"/>
        <v>0</v>
      </c>
      <c r="BB99" s="98">
        <f t="shared" si="401"/>
        <v>0</v>
      </c>
      <c r="BC99" s="81"/>
      <c r="BD99" s="81"/>
      <c r="BE99" s="81"/>
      <c r="BF99" s="81"/>
      <c r="BG99" s="81"/>
      <c r="BH99" s="81"/>
      <c r="BI99" s="81">
        <f t="shared" si="402"/>
        <v>0</v>
      </c>
      <c r="BJ99" s="81">
        <f t="shared" si="403"/>
        <v>0</v>
      </c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2" t="s">
        <v>338</v>
      </c>
      <c r="BV99" s="85" t="s">
        <v>448</v>
      </c>
      <c r="BW99" s="24"/>
    </row>
    <row r="100" spans="1:75" s="162" customFormat="1" ht="12.75" x14ac:dyDescent="0.2">
      <c r="A100" s="108"/>
      <c r="B100" s="243"/>
      <c r="C100" s="285" t="s">
        <v>478</v>
      </c>
      <c r="D100" s="80">
        <f t="shared" si="392"/>
        <v>375248</v>
      </c>
      <c r="E100" s="295">
        <f t="shared" si="393"/>
        <v>384218</v>
      </c>
      <c r="F100" s="81">
        <v>375248</v>
      </c>
      <c r="G100" s="81">
        <f t="shared" si="394"/>
        <v>384218</v>
      </c>
      <c r="H100" s="81">
        <f t="shared" si="395"/>
        <v>8970</v>
      </c>
      <c r="I100" s="81"/>
      <c r="J100" s="81">
        <v>2451</v>
      </c>
      <c r="K100" s="81">
        <v>6169</v>
      </c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>
        <v>350</v>
      </c>
      <c r="X100" s="81"/>
      <c r="Y100" s="81"/>
      <c r="Z100" s="81">
        <v>0</v>
      </c>
      <c r="AA100" s="81">
        <f t="shared" si="396"/>
        <v>0</v>
      </c>
      <c r="AB100" s="81">
        <f t="shared" si="397"/>
        <v>0</v>
      </c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>
        <v>0</v>
      </c>
      <c r="AN100" s="81">
        <f t="shared" si="398"/>
        <v>0</v>
      </c>
      <c r="AO100" s="81">
        <f t="shared" si="399"/>
        <v>0</v>
      </c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>
        <v>0</v>
      </c>
      <c r="BA100" s="81">
        <f t="shared" si="400"/>
        <v>0</v>
      </c>
      <c r="BB100" s="98">
        <f t="shared" si="401"/>
        <v>0</v>
      </c>
      <c r="BC100" s="81"/>
      <c r="BD100" s="81"/>
      <c r="BE100" s="81"/>
      <c r="BF100" s="81"/>
      <c r="BG100" s="81"/>
      <c r="BH100" s="81"/>
      <c r="BI100" s="81">
        <f t="shared" si="402"/>
        <v>0</v>
      </c>
      <c r="BJ100" s="81">
        <f t="shared" si="403"/>
        <v>0</v>
      </c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2" t="s">
        <v>483</v>
      </c>
      <c r="BV100" s="85" t="s">
        <v>448</v>
      </c>
      <c r="BW100" s="24"/>
    </row>
    <row r="101" spans="1:75" s="140" customFormat="1" ht="12.75" x14ac:dyDescent="0.2">
      <c r="A101" s="108"/>
      <c r="B101" s="243"/>
      <c r="C101" s="285" t="s">
        <v>459</v>
      </c>
      <c r="D101" s="80">
        <f t="shared" si="392"/>
        <v>7000</v>
      </c>
      <c r="E101" s="295">
        <f t="shared" si="393"/>
        <v>7000</v>
      </c>
      <c r="F101" s="81">
        <v>7000</v>
      </c>
      <c r="G101" s="81">
        <f t="shared" si="394"/>
        <v>7000</v>
      </c>
      <c r="H101" s="81">
        <f t="shared" si="395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>
        <v>0</v>
      </c>
      <c r="AA101" s="81">
        <f t="shared" si="396"/>
        <v>0</v>
      </c>
      <c r="AB101" s="81">
        <f t="shared" si="397"/>
        <v>0</v>
      </c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>
        <v>0</v>
      </c>
      <c r="AN101" s="81">
        <f t="shared" si="398"/>
        <v>0</v>
      </c>
      <c r="AO101" s="81">
        <f t="shared" si="399"/>
        <v>0</v>
      </c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>
        <v>0</v>
      </c>
      <c r="BA101" s="81">
        <f t="shared" si="400"/>
        <v>0</v>
      </c>
      <c r="BB101" s="98">
        <f t="shared" si="401"/>
        <v>0</v>
      </c>
      <c r="BC101" s="81"/>
      <c r="BD101" s="81"/>
      <c r="BE101" s="81"/>
      <c r="BF101" s="81"/>
      <c r="BG101" s="81"/>
      <c r="BH101" s="81"/>
      <c r="BI101" s="81">
        <f t="shared" si="402"/>
        <v>0</v>
      </c>
      <c r="BJ101" s="81">
        <f t="shared" si="403"/>
        <v>0</v>
      </c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2" t="s">
        <v>501</v>
      </c>
      <c r="BV101" s="85" t="s">
        <v>448</v>
      </c>
      <c r="BW101" s="24"/>
    </row>
    <row r="102" spans="1:75" s="162" customFormat="1" ht="24.75" customHeight="1" x14ac:dyDescent="0.2">
      <c r="A102" s="108"/>
      <c r="B102" s="243"/>
      <c r="C102" s="285" t="s">
        <v>259</v>
      </c>
      <c r="D102" s="80">
        <f t="shared" si="392"/>
        <v>304004</v>
      </c>
      <c r="E102" s="295">
        <f t="shared" si="393"/>
        <v>304004</v>
      </c>
      <c r="F102" s="81">
        <v>304004</v>
      </c>
      <c r="G102" s="81">
        <f t="shared" si="394"/>
        <v>304004</v>
      </c>
      <c r="H102" s="81">
        <f t="shared" si="395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>
        <v>0</v>
      </c>
      <c r="AA102" s="81">
        <f t="shared" si="396"/>
        <v>0</v>
      </c>
      <c r="AB102" s="81">
        <f t="shared" si="397"/>
        <v>0</v>
      </c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>
        <v>0</v>
      </c>
      <c r="AN102" s="81">
        <f t="shared" si="398"/>
        <v>0</v>
      </c>
      <c r="AO102" s="81">
        <f t="shared" si="399"/>
        <v>0</v>
      </c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>
        <v>0</v>
      </c>
      <c r="BA102" s="81">
        <f t="shared" si="400"/>
        <v>0</v>
      </c>
      <c r="BB102" s="98">
        <f t="shared" si="401"/>
        <v>0</v>
      </c>
      <c r="BC102" s="81"/>
      <c r="BD102" s="81"/>
      <c r="BE102" s="81"/>
      <c r="BF102" s="81"/>
      <c r="BG102" s="81"/>
      <c r="BH102" s="81"/>
      <c r="BI102" s="81">
        <f t="shared" si="402"/>
        <v>0</v>
      </c>
      <c r="BJ102" s="81">
        <f t="shared" si="403"/>
        <v>0</v>
      </c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2" t="s">
        <v>496</v>
      </c>
      <c r="BV102" s="85" t="s">
        <v>442</v>
      </c>
      <c r="BW102" s="24"/>
    </row>
    <row r="103" spans="1:75" s="162" customFormat="1" ht="24" x14ac:dyDescent="0.2">
      <c r="A103" s="108"/>
      <c r="B103" s="243"/>
      <c r="C103" s="285" t="s">
        <v>255</v>
      </c>
      <c r="D103" s="80">
        <f t="shared" si="392"/>
        <v>91758</v>
      </c>
      <c r="E103" s="295">
        <f t="shared" si="393"/>
        <v>222570</v>
      </c>
      <c r="F103" s="81">
        <v>91758</v>
      </c>
      <c r="G103" s="81">
        <f t="shared" si="394"/>
        <v>222570</v>
      </c>
      <c r="H103" s="81">
        <f t="shared" si="395"/>
        <v>130812</v>
      </c>
      <c r="I103" s="81"/>
      <c r="J103" s="81"/>
      <c r="K103" s="81">
        <v>5107</v>
      </c>
      <c r="L103" s="81">
        <v>-2671</v>
      </c>
      <c r="M103" s="81">
        <v>13785</v>
      </c>
      <c r="N103" s="81"/>
      <c r="O103" s="81"/>
      <c r="P103" s="81"/>
      <c r="Q103" s="81">
        <v>107022</v>
      </c>
      <c r="R103" s="81">
        <v>2104</v>
      </c>
      <c r="S103" s="81">
        <v>2550</v>
      </c>
      <c r="T103" s="81"/>
      <c r="U103" s="81"/>
      <c r="V103" s="81"/>
      <c r="W103" s="81">
        <v>2915</v>
      </c>
      <c r="X103" s="81"/>
      <c r="Y103" s="81"/>
      <c r="Z103" s="81">
        <v>0</v>
      </c>
      <c r="AA103" s="81">
        <f t="shared" si="396"/>
        <v>0</v>
      </c>
      <c r="AB103" s="81">
        <f t="shared" si="397"/>
        <v>0</v>
      </c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>
        <v>0</v>
      </c>
      <c r="AN103" s="81">
        <f t="shared" si="398"/>
        <v>0</v>
      </c>
      <c r="AO103" s="81">
        <f t="shared" si="399"/>
        <v>0</v>
      </c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>
        <v>0</v>
      </c>
      <c r="BA103" s="81">
        <f t="shared" si="400"/>
        <v>0</v>
      </c>
      <c r="BB103" s="98">
        <f t="shared" si="401"/>
        <v>0</v>
      </c>
      <c r="BC103" s="81"/>
      <c r="BD103" s="81"/>
      <c r="BE103" s="81"/>
      <c r="BF103" s="81"/>
      <c r="BG103" s="81"/>
      <c r="BH103" s="81"/>
      <c r="BI103" s="81">
        <f t="shared" si="402"/>
        <v>0</v>
      </c>
      <c r="BJ103" s="81">
        <f t="shared" si="403"/>
        <v>0</v>
      </c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2" t="s">
        <v>499</v>
      </c>
      <c r="BV103" s="85" t="s">
        <v>672</v>
      </c>
      <c r="BW103" s="24"/>
    </row>
    <row r="104" spans="1:75" s="162" customFormat="1" ht="24" x14ac:dyDescent="0.2">
      <c r="A104" s="108"/>
      <c r="B104" s="243"/>
      <c r="C104" s="285" t="s">
        <v>523</v>
      </c>
      <c r="D104" s="80">
        <f t="shared" si="392"/>
        <v>15161</v>
      </c>
      <c r="E104" s="295">
        <f t="shared" si="393"/>
        <v>15161</v>
      </c>
      <c r="F104" s="81">
        <v>15161</v>
      </c>
      <c r="G104" s="81">
        <f t="shared" si="394"/>
        <v>15161</v>
      </c>
      <c r="H104" s="81">
        <f t="shared" si="395"/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>
        <v>0</v>
      </c>
      <c r="AA104" s="81">
        <f t="shared" si="396"/>
        <v>0</v>
      </c>
      <c r="AB104" s="81">
        <f t="shared" si="397"/>
        <v>0</v>
      </c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>
        <v>0</v>
      </c>
      <c r="AN104" s="81">
        <f t="shared" si="398"/>
        <v>0</v>
      </c>
      <c r="AO104" s="81">
        <f t="shared" si="399"/>
        <v>0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>
        <v>0</v>
      </c>
      <c r="BA104" s="81">
        <f t="shared" si="400"/>
        <v>0</v>
      </c>
      <c r="BB104" s="98">
        <f t="shared" si="401"/>
        <v>0</v>
      </c>
      <c r="BC104" s="81"/>
      <c r="BD104" s="81"/>
      <c r="BE104" s="81"/>
      <c r="BF104" s="81"/>
      <c r="BG104" s="81"/>
      <c r="BH104" s="81"/>
      <c r="BI104" s="81">
        <f t="shared" si="402"/>
        <v>0</v>
      </c>
      <c r="BJ104" s="81">
        <f t="shared" si="403"/>
        <v>0</v>
      </c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2" t="s">
        <v>708</v>
      </c>
      <c r="BV104" s="85" t="s">
        <v>709</v>
      </c>
      <c r="BW104" s="24"/>
    </row>
    <row r="105" spans="1:75" s="198" customFormat="1" ht="36" x14ac:dyDescent="0.2">
      <c r="A105" s="108"/>
      <c r="B105" s="243"/>
      <c r="C105" s="344" t="s">
        <v>772</v>
      </c>
      <c r="D105" s="80">
        <f t="shared" ref="D105" si="404">F105+Z105+AM105+AZ105+BH105</f>
        <v>0</v>
      </c>
      <c r="E105" s="295">
        <f t="shared" ref="E105" si="405">G105+AA105+AN105+BA105+BI105</f>
        <v>0</v>
      </c>
      <c r="F105" s="81"/>
      <c r="G105" s="81">
        <f t="shared" ref="G105" si="406">F105+H105</f>
        <v>0</v>
      </c>
      <c r="H105" s="81">
        <f t="shared" ref="H105" si="407">SUM(I105:Y105)</f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>
        <f t="shared" ref="AA105" si="408">Z105+AB105</f>
        <v>0</v>
      </c>
      <c r="AB105" s="81">
        <f t="shared" ref="AB105" si="409">SUM(AC105:AL105)</f>
        <v>0</v>
      </c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>
        <f t="shared" ref="AN105" si="410">AM105+AO105</f>
        <v>0</v>
      </c>
      <c r="AO105" s="81">
        <f t="shared" ref="AO105" si="411">SUM(AP105:AY105)</f>
        <v>0</v>
      </c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>
        <f t="shared" ref="BA105" si="412">AZ105+BB105</f>
        <v>0</v>
      </c>
      <c r="BB105" s="98">
        <f t="shared" ref="BB105" si="413">SUM(BC105:BG105)</f>
        <v>0</v>
      </c>
      <c r="BC105" s="98"/>
      <c r="BD105" s="98"/>
      <c r="BE105" s="98"/>
      <c r="BF105" s="98"/>
      <c r="BG105" s="98"/>
      <c r="BH105" s="81"/>
      <c r="BI105" s="81">
        <f t="shared" ref="BI105" si="414">BH105+BJ105</f>
        <v>0</v>
      </c>
      <c r="BJ105" s="81">
        <f t="shared" ref="BJ105" si="415">SUM(BK105:BT105)</f>
        <v>0</v>
      </c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82" t="s">
        <v>771</v>
      </c>
      <c r="BV105" s="85"/>
      <c r="BW105" s="24"/>
    </row>
    <row r="106" spans="1:75" s="198" customFormat="1" ht="36" x14ac:dyDescent="0.2">
      <c r="A106" s="108"/>
      <c r="B106" s="243"/>
      <c r="C106" s="355" t="s">
        <v>791</v>
      </c>
      <c r="D106" s="80">
        <f t="shared" ref="D106" si="416">F106+Z106+AM106+AZ106+BH106</f>
        <v>0</v>
      </c>
      <c r="E106" s="295">
        <f t="shared" ref="E106" si="417">G106+AA106+AN106+BA106+BI106</f>
        <v>31500</v>
      </c>
      <c r="F106" s="81"/>
      <c r="G106" s="81">
        <f t="shared" ref="G106" si="418">F106+H106</f>
        <v>31500</v>
      </c>
      <c r="H106" s="81">
        <f t="shared" ref="H106" si="419">SUM(I106:Y106)</f>
        <v>31500</v>
      </c>
      <c r="I106" s="81"/>
      <c r="J106" s="81"/>
      <c r="K106" s="81"/>
      <c r="L106" s="81">
        <v>31500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>
        <f t="shared" ref="AA106" si="420">Z106+AB106</f>
        <v>0</v>
      </c>
      <c r="AB106" s="81">
        <f t="shared" ref="AB106" si="421">SUM(AC106:AL106)</f>
        <v>0</v>
      </c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>
        <f t="shared" ref="AN106" si="422">AM106+AO106</f>
        <v>0</v>
      </c>
      <c r="AO106" s="81">
        <f t="shared" ref="AO106" si="423">SUM(AP106:AY106)</f>
        <v>0</v>
      </c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>
        <f t="shared" ref="BA106" si="424">AZ106+BB106</f>
        <v>0</v>
      </c>
      <c r="BB106" s="98">
        <f t="shared" ref="BB106" si="425">SUM(BC106:BG106)</f>
        <v>0</v>
      </c>
      <c r="BC106" s="98"/>
      <c r="BD106" s="98"/>
      <c r="BE106" s="98"/>
      <c r="BF106" s="98"/>
      <c r="BG106" s="98"/>
      <c r="BH106" s="81"/>
      <c r="BI106" s="81">
        <f t="shared" ref="BI106" si="426">BH106+BJ106</f>
        <v>0</v>
      </c>
      <c r="BJ106" s="81">
        <f t="shared" ref="BJ106" si="427">SUM(BK106:BT106)</f>
        <v>0</v>
      </c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82" t="s">
        <v>792</v>
      </c>
      <c r="BV106" s="85"/>
      <c r="BW106" s="24"/>
    </row>
    <row r="107" spans="1:75" s="198" customFormat="1" ht="24.75" customHeight="1" x14ac:dyDescent="0.2">
      <c r="A107" s="108"/>
      <c r="B107" s="243"/>
      <c r="C107" s="378" t="s">
        <v>799</v>
      </c>
      <c r="D107" s="80">
        <f t="shared" ref="D107:D108" si="428">F107+Z107+AM107+AZ107+BH107</f>
        <v>0</v>
      </c>
      <c r="E107" s="295">
        <f t="shared" ref="E107:E108" si="429">G107+AA107+AN107+BA107+BI107</f>
        <v>6598</v>
      </c>
      <c r="F107" s="81"/>
      <c r="G107" s="81">
        <f t="shared" ref="G107:G108" si="430">F107+H107</f>
        <v>6598</v>
      </c>
      <c r="H107" s="81">
        <f t="shared" ref="H107:H108" si="431">SUM(I107:Y107)</f>
        <v>6598</v>
      </c>
      <c r="I107" s="81"/>
      <c r="J107" s="81"/>
      <c r="K107" s="81"/>
      <c r="L107" s="81"/>
      <c r="M107" s="81">
        <v>1357</v>
      </c>
      <c r="N107" s="81"/>
      <c r="O107" s="81"/>
      <c r="P107" s="81"/>
      <c r="Q107" s="81"/>
      <c r="R107" s="81"/>
      <c r="S107" s="81"/>
      <c r="T107" s="81"/>
      <c r="U107" s="81"/>
      <c r="V107" s="81"/>
      <c r="W107" s="81">
        <v>5241</v>
      </c>
      <c r="X107" s="81"/>
      <c r="Y107" s="81"/>
      <c r="Z107" s="81"/>
      <c r="AA107" s="81">
        <f t="shared" ref="AA107:AA108" si="432">Z107+AB107</f>
        <v>0</v>
      </c>
      <c r="AB107" s="81">
        <f t="shared" ref="AB107:AB108" si="433">SUM(AC107:AL107)</f>
        <v>0</v>
      </c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>
        <f t="shared" ref="AN107:AN108" si="434">AM107+AO107</f>
        <v>0</v>
      </c>
      <c r="AO107" s="81">
        <f t="shared" ref="AO107:AO108" si="435">SUM(AP107:AY107)</f>
        <v>0</v>
      </c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>
        <f t="shared" ref="BA107:BA108" si="436">AZ107+BB107</f>
        <v>0</v>
      </c>
      <c r="BB107" s="98">
        <f t="shared" ref="BB107:BB108" si="437">SUM(BC107:BG107)</f>
        <v>0</v>
      </c>
      <c r="BC107" s="98"/>
      <c r="BD107" s="98"/>
      <c r="BE107" s="98"/>
      <c r="BF107" s="98"/>
      <c r="BG107" s="98"/>
      <c r="BH107" s="81"/>
      <c r="BI107" s="81">
        <f t="shared" ref="BI107:BI108" si="438">BH107+BJ107</f>
        <v>0</v>
      </c>
      <c r="BJ107" s="81">
        <f t="shared" ref="BJ107:BJ108" si="439">SUM(BK107:BT107)</f>
        <v>0</v>
      </c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82" t="s">
        <v>800</v>
      </c>
      <c r="BV107" s="85" t="s">
        <v>442</v>
      </c>
      <c r="BW107" s="24"/>
    </row>
    <row r="108" spans="1:75" s="198" customFormat="1" ht="15" customHeight="1" x14ac:dyDescent="0.2">
      <c r="A108" s="108"/>
      <c r="B108" s="243"/>
      <c r="C108" s="392" t="s">
        <v>829</v>
      </c>
      <c r="D108" s="80">
        <f t="shared" si="428"/>
        <v>0</v>
      </c>
      <c r="E108" s="295">
        <f t="shared" si="429"/>
        <v>1808662</v>
      </c>
      <c r="F108" s="81"/>
      <c r="G108" s="81">
        <f t="shared" si="430"/>
        <v>1808662</v>
      </c>
      <c r="H108" s="81">
        <f t="shared" si="431"/>
        <v>1808662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>
        <v>1808662</v>
      </c>
      <c r="V108" s="81"/>
      <c r="W108" s="81"/>
      <c r="X108" s="81"/>
      <c r="Y108" s="81"/>
      <c r="Z108" s="81"/>
      <c r="AA108" s="81">
        <f t="shared" si="432"/>
        <v>0</v>
      </c>
      <c r="AB108" s="81">
        <f t="shared" si="433"/>
        <v>0</v>
      </c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>
        <f t="shared" si="434"/>
        <v>0</v>
      </c>
      <c r="AO108" s="81">
        <f t="shared" si="435"/>
        <v>0</v>
      </c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>
        <f t="shared" si="436"/>
        <v>0</v>
      </c>
      <c r="BB108" s="98">
        <f t="shared" si="437"/>
        <v>0</v>
      </c>
      <c r="BC108" s="98"/>
      <c r="BD108" s="98"/>
      <c r="BE108" s="98"/>
      <c r="BF108" s="98"/>
      <c r="BG108" s="98"/>
      <c r="BH108" s="81"/>
      <c r="BI108" s="81">
        <f t="shared" si="438"/>
        <v>0</v>
      </c>
      <c r="BJ108" s="81">
        <f t="shared" si="439"/>
        <v>0</v>
      </c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82" t="s">
        <v>830</v>
      </c>
      <c r="BV108" s="85"/>
      <c r="BW108" s="24"/>
    </row>
    <row r="109" spans="1:75" ht="24.75" customHeight="1" x14ac:dyDescent="0.2">
      <c r="A109" s="108">
        <v>90000594245</v>
      </c>
      <c r="B109" s="241" t="s">
        <v>524</v>
      </c>
      <c r="C109" s="285" t="s">
        <v>204</v>
      </c>
      <c r="D109" s="80">
        <f t="shared" si="392"/>
        <v>33241</v>
      </c>
      <c r="E109" s="295">
        <f t="shared" si="393"/>
        <v>33241</v>
      </c>
      <c r="F109" s="81">
        <v>33241</v>
      </c>
      <c r="G109" s="81">
        <f t="shared" si="394"/>
        <v>33241</v>
      </c>
      <c r="H109" s="81">
        <f t="shared" si="395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>
        <v>0</v>
      </c>
      <c r="AA109" s="81">
        <f t="shared" si="396"/>
        <v>0</v>
      </c>
      <c r="AB109" s="81">
        <f t="shared" si="397"/>
        <v>0</v>
      </c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>
        <v>0</v>
      </c>
      <c r="AN109" s="81">
        <f t="shared" si="398"/>
        <v>0</v>
      </c>
      <c r="AO109" s="81">
        <f t="shared" si="399"/>
        <v>0</v>
      </c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>
        <v>0</v>
      </c>
      <c r="BA109" s="81">
        <f t="shared" si="400"/>
        <v>0</v>
      </c>
      <c r="BB109" s="98">
        <f t="shared" si="401"/>
        <v>0</v>
      </c>
      <c r="BC109" s="98"/>
      <c r="BD109" s="98"/>
      <c r="BE109" s="98"/>
      <c r="BF109" s="98"/>
      <c r="BG109" s="98"/>
      <c r="BH109" s="81"/>
      <c r="BI109" s="81">
        <f t="shared" si="402"/>
        <v>0</v>
      </c>
      <c r="BJ109" s="81">
        <f t="shared" si="403"/>
        <v>0</v>
      </c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82" t="s">
        <v>352</v>
      </c>
      <c r="BV109" s="85" t="s">
        <v>673</v>
      </c>
      <c r="BW109" s="24"/>
    </row>
    <row r="110" spans="1:75" s="122" customFormat="1" ht="15" customHeight="1" x14ac:dyDescent="0.2">
      <c r="A110" s="108"/>
      <c r="B110" s="242"/>
      <c r="C110" s="285" t="s">
        <v>266</v>
      </c>
      <c r="D110" s="80">
        <f t="shared" si="392"/>
        <v>4850</v>
      </c>
      <c r="E110" s="295">
        <f t="shared" si="393"/>
        <v>4850</v>
      </c>
      <c r="F110" s="81">
        <v>4850</v>
      </c>
      <c r="G110" s="81">
        <f t="shared" si="394"/>
        <v>4850</v>
      </c>
      <c r="H110" s="81">
        <f t="shared" si="395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>
        <v>0</v>
      </c>
      <c r="AA110" s="81">
        <f t="shared" si="396"/>
        <v>0</v>
      </c>
      <c r="AB110" s="81">
        <f t="shared" si="397"/>
        <v>0</v>
      </c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>
        <v>0</v>
      </c>
      <c r="AN110" s="81">
        <f t="shared" si="398"/>
        <v>0</v>
      </c>
      <c r="AO110" s="81">
        <f t="shared" si="399"/>
        <v>0</v>
      </c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>
        <v>0</v>
      </c>
      <c r="BA110" s="81">
        <f t="shared" si="400"/>
        <v>0</v>
      </c>
      <c r="BB110" s="98">
        <f t="shared" si="401"/>
        <v>0</v>
      </c>
      <c r="BC110" s="98"/>
      <c r="BD110" s="98"/>
      <c r="BE110" s="98"/>
      <c r="BF110" s="98"/>
      <c r="BG110" s="98"/>
      <c r="BH110" s="81"/>
      <c r="BI110" s="81">
        <f t="shared" si="402"/>
        <v>0</v>
      </c>
      <c r="BJ110" s="81">
        <f t="shared" si="403"/>
        <v>0</v>
      </c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82" t="s">
        <v>353</v>
      </c>
      <c r="BV110" s="85" t="s">
        <v>673</v>
      </c>
      <c r="BW110" s="24"/>
    </row>
    <row r="111" spans="1:75" s="122" customFormat="1" ht="15" customHeight="1" x14ac:dyDescent="0.2">
      <c r="A111" s="108"/>
      <c r="B111" s="242"/>
      <c r="C111" s="285" t="s">
        <v>267</v>
      </c>
      <c r="D111" s="80">
        <f t="shared" si="392"/>
        <v>11400</v>
      </c>
      <c r="E111" s="295">
        <f t="shared" si="393"/>
        <v>11400</v>
      </c>
      <c r="F111" s="81">
        <v>11400</v>
      </c>
      <c r="G111" s="81">
        <f t="shared" si="394"/>
        <v>11400</v>
      </c>
      <c r="H111" s="81">
        <f t="shared" si="395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>
        <v>0</v>
      </c>
      <c r="AA111" s="81">
        <f t="shared" si="396"/>
        <v>0</v>
      </c>
      <c r="AB111" s="81">
        <f t="shared" si="397"/>
        <v>0</v>
      </c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>
        <v>0</v>
      </c>
      <c r="AN111" s="81">
        <f t="shared" si="398"/>
        <v>0</v>
      </c>
      <c r="AO111" s="81">
        <f t="shared" si="399"/>
        <v>0</v>
      </c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>
        <v>0</v>
      </c>
      <c r="BA111" s="81">
        <f t="shared" si="400"/>
        <v>0</v>
      </c>
      <c r="BB111" s="98">
        <f t="shared" si="401"/>
        <v>0</v>
      </c>
      <c r="BC111" s="98"/>
      <c r="BD111" s="98"/>
      <c r="BE111" s="98"/>
      <c r="BF111" s="98"/>
      <c r="BG111" s="98"/>
      <c r="BH111" s="81"/>
      <c r="BI111" s="81">
        <f t="shared" si="402"/>
        <v>0</v>
      </c>
      <c r="BJ111" s="81">
        <f t="shared" si="403"/>
        <v>0</v>
      </c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82" t="s">
        <v>354</v>
      </c>
      <c r="BV111" s="85" t="s">
        <v>673</v>
      </c>
      <c r="BW111" s="24"/>
    </row>
    <row r="112" spans="1:75" s="122" customFormat="1" ht="15" customHeight="1" x14ac:dyDescent="0.2">
      <c r="A112" s="108"/>
      <c r="B112" s="242"/>
      <c r="C112" s="285" t="s">
        <v>268</v>
      </c>
      <c r="D112" s="80">
        <f t="shared" si="392"/>
        <v>5878</v>
      </c>
      <c r="E112" s="295">
        <f t="shared" si="393"/>
        <v>5478</v>
      </c>
      <c r="F112" s="81">
        <v>5878</v>
      </c>
      <c r="G112" s="81">
        <f t="shared" si="394"/>
        <v>5478</v>
      </c>
      <c r="H112" s="81">
        <f t="shared" si="395"/>
        <v>-400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>
        <v>-400</v>
      </c>
      <c r="X112" s="81"/>
      <c r="Y112" s="81"/>
      <c r="Z112" s="81">
        <v>0</v>
      </c>
      <c r="AA112" s="81">
        <f t="shared" si="396"/>
        <v>0</v>
      </c>
      <c r="AB112" s="81">
        <f t="shared" si="397"/>
        <v>0</v>
      </c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>
        <v>0</v>
      </c>
      <c r="AN112" s="81">
        <f t="shared" si="398"/>
        <v>0</v>
      </c>
      <c r="AO112" s="81">
        <f t="shared" si="399"/>
        <v>0</v>
      </c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>
        <v>0</v>
      </c>
      <c r="BA112" s="81">
        <f t="shared" si="400"/>
        <v>0</v>
      </c>
      <c r="BB112" s="98">
        <f t="shared" si="401"/>
        <v>0</v>
      </c>
      <c r="BC112" s="98"/>
      <c r="BD112" s="98"/>
      <c r="BE112" s="98"/>
      <c r="BF112" s="98"/>
      <c r="BG112" s="98"/>
      <c r="BH112" s="81"/>
      <c r="BI112" s="81">
        <f t="shared" si="402"/>
        <v>0</v>
      </c>
      <c r="BJ112" s="81">
        <f t="shared" si="403"/>
        <v>0</v>
      </c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82" t="s">
        <v>355</v>
      </c>
      <c r="BV112" s="85" t="s">
        <v>673</v>
      </c>
      <c r="BW112" s="24"/>
    </row>
    <row r="113" spans="1:75" s="122" customFormat="1" ht="15" customHeight="1" x14ac:dyDescent="0.2">
      <c r="A113" s="108"/>
      <c r="B113" s="242"/>
      <c r="C113" s="285" t="s">
        <v>269</v>
      </c>
      <c r="D113" s="80">
        <f t="shared" si="392"/>
        <v>50938</v>
      </c>
      <c r="E113" s="295">
        <f t="shared" si="393"/>
        <v>51338</v>
      </c>
      <c r="F113" s="81">
        <v>50938</v>
      </c>
      <c r="G113" s="81">
        <f t="shared" si="394"/>
        <v>51338</v>
      </c>
      <c r="H113" s="81">
        <f t="shared" si="395"/>
        <v>400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>
        <v>400</v>
      </c>
      <c r="X113" s="81"/>
      <c r="Y113" s="81"/>
      <c r="Z113" s="81">
        <v>0</v>
      </c>
      <c r="AA113" s="81">
        <f t="shared" si="396"/>
        <v>0</v>
      </c>
      <c r="AB113" s="81">
        <f t="shared" si="397"/>
        <v>0</v>
      </c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>
        <v>0</v>
      </c>
      <c r="AN113" s="81">
        <f t="shared" si="398"/>
        <v>0</v>
      </c>
      <c r="AO113" s="81">
        <f t="shared" si="399"/>
        <v>0</v>
      </c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>
        <v>0</v>
      </c>
      <c r="BA113" s="81">
        <f t="shared" si="400"/>
        <v>0</v>
      </c>
      <c r="BB113" s="98">
        <f t="shared" si="401"/>
        <v>0</v>
      </c>
      <c r="BC113" s="98"/>
      <c r="BD113" s="98"/>
      <c r="BE113" s="98"/>
      <c r="BF113" s="98"/>
      <c r="BG113" s="98"/>
      <c r="BH113" s="81"/>
      <c r="BI113" s="81">
        <f t="shared" si="402"/>
        <v>0</v>
      </c>
      <c r="BJ113" s="81">
        <f t="shared" si="403"/>
        <v>0</v>
      </c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82" t="s">
        <v>356</v>
      </c>
      <c r="BV113" s="85" t="s">
        <v>673</v>
      </c>
      <c r="BW113" s="24"/>
    </row>
    <row r="114" spans="1:75" s="122" customFormat="1" x14ac:dyDescent="0.2">
      <c r="A114" s="108"/>
      <c r="B114" s="242"/>
      <c r="C114" s="285" t="s">
        <v>270</v>
      </c>
      <c r="D114" s="80">
        <f t="shared" si="392"/>
        <v>1500</v>
      </c>
      <c r="E114" s="295">
        <f t="shared" si="393"/>
        <v>1500</v>
      </c>
      <c r="F114" s="81">
        <v>1500</v>
      </c>
      <c r="G114" s="81">
        <f t="shared" si="394"/>
        <v>1500</v>
      </c>
      <c r="H114" s="81">
        <f t="shared" si="395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>
        <v>0</v>
      </c>
      <c r="AA114" s="81">
        <f t="shared" si="396"/>
        <v>0</v>
      </c>
      <c r="AB114" s="81">
        <f t="shared" si="397"/>
        <v>0</v>
      </c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>
        <v>0</v>
      </c>
      <c r="AN114" s="81">
        <f t="shared" si="398"/>
        <v>0</v>
      </c>
      <c r="AO114" s="81">
        <f t="shared" si="399"/>
        <v>0</v>
      </c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>
        <v>0</v>
      </c>
      <c r="BA114" s="81">
        <f t="shared" si="400"/>
        <v>0</v>
      </c>
      <c r="BB114" s="98">
        <f t="shared" si="401"/>
        <v>0</v>
      </c>
      <c r="BC114" s="98"/>
      <c r="BD114" s="98"/>
      <c r="BE114" s="98"/>
      <c r="BF114" s="98"/>
      <c r="BG114" s="98"/>
      <c r="BH114" s="81"/>
      <c r="BI114" s="81">
        <f t="shared" si="402"/>
        <v>0</v>
      </c>
      <c r="BJ114" s="81">
        <f t="shared" si="403"/>
        <v>0</v>
      </c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82" t="s">
        <v>357</v>
      </c>
      <c r="BV114" s="85" t="s">
        <v>673</v>
      </c>
      <c r="BW114" s="24"/>
    </row>
    <row r="115" spans="1:75" s="122" customFormat="1" x14ac:dyDescent="0.2">
      <c r="A115" s="108"/>
      <c r="B115" s="242"/>
      <c r="C115" s="285" t="s">
        <v>271</v>
      </c>
      <c r="D115" s="80">
        <f t="shared" si="392"/>
        <v>2420</v>
      </c>
      <c r="E115" s="295">
        <f t="shared" si="393"/>
        <v>2420</v>
      </c>
      <c r="F115" s="81">
        <v>2420</v>
      </c>
      <c r="G115" s="81">
        <f t="shared" si="394"/>
        <v>2420</v>
      </c>
      <c r="H115" s="81">
        <f t="shared" si="395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>
        <v>0</v>
      </c>
      <c r="AA115" s="81">
        <f t="shared" si="396"/>
        <v>0</v>
      </c>
      <c r="AB115" s="81">
        <f t="shared" si="397"/>
        <v>0</v>
      </c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>
        <v>0</v>
      </c>
      <c r="AN115" s="81">
        <f t="shared" si="398"/>
        <v>0</v>
      </c>
      <c r="AO115" s="81">
        <f t="shared" si="399"/>
        <v>0</v>
      </c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>
        <v>0</v>
      </c>
      <c r="BA115" s="81">
        <f t="shared" si="400"/>
        <v>0</v>
      </c>
      <c r="BB115" s="98">
        <f t="shared" si="401"/>
        <v>0</v>
      </c>
      <c r="BC115" s="98"/>
      <c r="BD115" s="98"/>
      <c r="BE115" s="98"/>
      <c r="BF115" s="98"/>
      <c r="BG115" s="98"/>
      <c r="BH115" s="81"/>
      <c r="BI115" s="81">
        <f t="shared" si="402"/>
        <v>0</v>
      </c>
      <c r="BJ115" s="81">
        <f t="shared" si="403"/>
        <v>0</v>
      </c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82" t="s">
        <v>358</v>
      </c>
      <c r="BV115" s="85" t="s">
        <v>673</v>
      </c>
      <c r="BW115" s="24"/>
    </row>
    <row r="116" spans="1:75" ht="24" customHeight="1" x14ac:dyDescent="0.2">
      <c r="A116" s="108">
        <v>90000056450</v>
      </c>
      <c r="B116" s="241" t="s">
        <v>196</v>
      </c>
      <c r="C116" s="285" t="s">
        <v>450</v>
      </c>
      <c r="D116" s="80">
        <f t="shared" si="392"/>
        <v>842399</v>
      </c>
      <c r="E116" s="295">
        <f t="shared" si="393"/>
        <v>843739</v>
      </c>
      <c r="F116" s="81">
        <v>835752</v>
      </c>
      <c r="G116" s="81">
        <f t="shared" si="394"/>
        <v>836721</v>
      </c>
      <c r="H116" s="81">
        <f t="shared" si="395"/>
        <v>969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>
        <f>196+773</f>
        <v>969</v>
      </c>
      <c r="X116" s="81"/>
      <c r="Y116" s="81"/>
      <c r="Z116" s="81">
        <v>0</v>
      </c>
      <c r="AA116" s="81">
        <f t="shared" si="396"/>
        <v>0</v>
      </c>
      <c r="AB116" s="81">
        <f t="shared" si="397"/>
        <v>0</v>
      </c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>
        <v>6647</v>
      </c>
      <c r="AN116" s="81">
        <f t="shared" si="398"/>
        <v>7032</v>
      </c>
      <c r="AO116" s="81">
        <f t="shared" si="399"/>
        <v>385</v>
      </c>
      <c r="AP116" s="81">
        <v>371</v>
      </c>
      <c r="AQ116" s="81"/>
      <c r="AR116" s="81"/>
      <c r="AS116" s="81"/>
      <c r="AT116" s="81"/>
      <c r="AU116" s="81"/>
      <c r="AV116" s="81">
        <v>14</v>
      </c>
      <c r="AW116" s="81"/>
      <c r="AX116" s="81"/>
      <c r="AY116" s="81"/>
      <c r="AZ116" s="81">
        <v>0</v>
      </c>
      <c r="BA116" s="81">
        <f t="shared" si="400"/>
        <v>0</v>
      </c>
      <c r="BB116" s="98">
        <f t="shared" si="401"/>
        <v>0</v>
      </c>
      <c r="BC116" s="98"/>
      <c r="BD116" s="98"/>
      <c r="BE116" s="98"/>
      <c r="BF116" s="98"/>
      <c r="BG116" s="98"/>
      <c r="BH116" s="81"/>
      <c r="BI116" s="81">
        <f t="shared" si="402"/>
        <v>-14</v>
      </c>
      <c r="BJ116" s="81">
        <f t="shared" si="403"/>
        <v>-14</v>
      </c>
      <c r="BK116" s="98"/>
      <c r="BL116" s="98"/>
      <c r="BM116" s="98"/>
      <c r="BN116" s="98"/>
      <c r="BO116" s="98"/>
      <c r="BP116" s="98"/>
      <c r="BQ116" s="98"/>
      <c r="BR116" s="98">
        <v>-14</v>
      </c>
      <c r="BS116" s="98"/>
      <c r="BT116" s="98"/>
      <c r="BU116" s="82" t="s">
        <v>359</v>
      </c>
      <c r="BV116" s="85"/>
      <c r="BW116" s="24"/>
    </row>
    <row r="117" spans="1:75" s="198" customFormat="1" x14ac:dyDescent="0.2">
      <c r="A117" s="108"/>
      <c r="B117" s="241"/>
      <c r="C117" s="359" t="s">
        <v>627</v>
      </c>
      <c r="D117" s="80">
        <f t="shared" si="392"/>
        <v>1200</v>
      </c>
      <c r="E117" s="295">
        <f t="shared" si="393"/>
        <v>1200</v>
      </c>
      <c r="F117" s="81">
        <v>1200</v>
      </c>
      <c r="G117" s="81">
        <f t="shared" si="394"/>
        <v>1200</v>
      </c>
      <c r="H117" s="81">
        <f t="shared" si="395"/>
        <v>0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>
        <v>0</v>
      </c>
      <c r="AA117" s="81">
        <f t="shared" si="396"/>
        <v>0</v>
      </c>
      <c r="AB117" s="81">
        <f t="shared" si="397"/>
        <v>0</v>
      </c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>
        <v>0</v>
      </c>
      <c r="AN117" s="81">
        <f t="shared" si="398"/>
        <v>0</v>
      </c>
      <c r="AO117" s="81">
        <f t="shared" si="399"/>
        <v>0</v>
      </c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>
        <v>0</v>
      </c>
      <c r="BA117" s="81">
        <f t="shared" si="400"/>
        <v>0</v>
      </c>
      <c r="BB117" s="98">
        <f t="shared" si="401"/>
        <v>0</v>
      </c>
      <c r="BC117" s="98"/>
      <c r="BD117" s="98"/>
      <c r="BE117" s="98"/>
      <c r="BF117" s="98"/>
      <c r="BG117" s="98"/>
      <c r="BH117" s="81"/>
      <c r="BI117" s="81">
        <f t="shared" si="402"/>
        <v>0</v>
      </c>
      <c r="BJ117" s="81">
        <f t="shared" si="403"/>
        <v>0</v>
      </c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82" t="s">
        <v>669</v>
      </c>
      <c r="BV117" s="85"/>
      <c r="BW117" s="24"/>
    </row>
    <row r="118" spans="1:75" s="198" customFormat="1" x14ac:dyDescent="0.2">
      <c r="A118" s="108"/>
      <c r="B118" s="241"/>
      <c r="C118" s="356" t="s">
        <v>820</v>
      </c>
      <c r="D118" s="80">
        <f t="shared" ref="D118" si="440">F118+Z118+AM118+AZ118+BH118</f>
        <v>0</v>
      </c>
      <c r="E118" s="295">
        <f t="shared" ref="E118" si="441">G118+AA118+AN118+BA118+BI118</f>
        <v>600</v>
      </c>
      <c r="F118" s="163"/>
      <c r="G118" s="81">
        <f t="shared" ref="G118" si="442">F118+H118</f>
        <v>600</v>
      </c>
      <c r="H118" s="81">
        <f t="shared" ref="H118" si="443">SUM(I118:Y118)</f>
        <v>600</v>
      </c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>
        <v>600</v>
      </c>
      <c r="T118" s="163"/>
      <c r="U118" s="163"/>
      <c r="V118" s="163"/>
      <c r="W118" s="163"/>
      <c r="X118" s="163"/>
      <c r="Y118" s="163"/>
      <c r="Z118" s="163"/>
      <c r="AA118" s="81">
        <f t="shared" ref="AA118" si="444">Z118+AB118</f>
        <v>0</v>
      </c>
      <c r="AB118" s="81">
        <f t="shared" ref="AB118" si="445">SUM(AC118:AL118)</f>
        <v>0</v>
      </c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81">
        <f t="shared" ref="AN118" si="446">AM118+AO118</f>
        <v>0</v>
      </c>
      <c r="AO118" s="81">
        <f t="shared" ref="AO118" si="447">SUM(AP118:AY118)</f>
        <v>0</v>
      </c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81">
        <f t="shared" ref="BA118" si="448">AZ118+BB118</f>
        <v>0</v>
      </c>
      <c r="BB118" s="98">
        <f t="shared" ref="BB118" si="449">SUM(BC118:BG118)</f>
        <v>0</v>
      </c>
      <c r="BC118" s="199"/>
      <c r="BD118" s="199"/>
      <c r="BE118" s="199"/>
      <c r="BF118" s="199"/>
      <c r="BG118" s="199"/>
      <c r="BH118" s="163"/>
      <c r="BI118" s="81">
        <f t="shared" ref="BI118" si="450">BH118+BJ118</f>
        <v>0</v>
      </c>
      <c r="BJ118" s="81">
        <f t="shared" ref="BJ118" si="451">SUM(BK118:BT118)</f>
        <v>0</v>
      </c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220" t="s">
        <v>821</v>
      </c>
      <c r="BV118" s="85"/>
      <c r="BW118" s="24"/>
    </row>
    <row r="119" spans="1:75" ht="24" customHeight="1" x14ac:dyDescent="0.2">
      <c r="A119" s="108">
        <v>90009229680</v>
      </c>
      <c r="B119" s="241" t="s">
        <v>151</v>
      </c>
      <c r="C119" s="356" t="s">
        <v>451</v>
      </c>
      <c r="D119" s="357">
        <f t="shared" si="392"/>
        <v>1010966</v>
      </c>
      <c r="E119" s="358">
        <f t="shared" si="393"/>
        <v>1024737</v>
      </c>
      <c r="F119" s="163">
        <v>982877</v>
      </c>
      <c r="G119" s="163">
        <f t="shared" si="394"/>
        <v>993681</v>
      </c>
      <c r="H119" s="163">
        <f t="shared" si="395"/>
        <v>10804</v>
      </c>
      <c r="I119" s="163"/>
      <c r="J119" s="163"/>
      <c r="K119" s="163"/>
      <c r="L119" s="163"/>
      <c r="M119" s="163">
        <v>10804</v>
      </c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>
        <v>9522</v>
      </c>
      <c r="AA119" s="163">
        <f t="shared" si="396"/>
        <v>10724</v>
      </c>
      <c r="AB119" s="163">
        <f t="shared" si="397"/>
        <v>1202</v>
      </c>
      <c r="AC119" s="163"/>
      <c r="AD119" s="163"/>
      <c r="AE119" s="163"/>
      <c r="AF119" s="163">
        <v>1202</v>
      </c>
      <c r="AG119" s="163"/>
      <c r="AH119" s="163"/>
      <c r="AI119" s="163"/>
      <c r="AJ119" s="163"/>
      <c r="AK119" s="163"/>
      <c r="AL119" s="163"/>
      <c r="AM119" s="163">
        <v>18567</v>
      </c>
      <c r="AN119" s="163">
        <f t="shared" si="398"/>
        <v>20332</v>
      </c>
      <c r="AO119" s="163">
        <f t="shared" si="399"/>
        <v>1765</v>
      </c>
      <c r="AP119" s="163">
        <v>1551</v>
      </c>
      <c r="AQ119" s="163"/>
      <c r="AR119" s="163"/>
      <c r="AS119" s="163"/>
      <c r="AT119" s="163"/>
      <c r="AU119" s="163">
        <v>214</v>
      </c>
      <c r="AV119" s="163"/>
      <c r="AW119" s="163"/>
      <c r="AX119" s="163"/>
      <c r="AY119" s="163"/>
      <c r="AZ119" s="163">
        <v>0</v>
      </c>
      <c r="BA119" s="163">
        <f t="shared" si="400"/>
        <v>0</v>
      </c>
      <c r="BB119" s="199">
        <f t="shared" si="401"/>
        <v>0</v>
      </c>
      <c r="BC119" s="199"/>
      <c r="BD119" s="199"/>
      <c r="BE119" s="199"/>
      <c r="BF119" s="199"/>
      <c r="BG119" s="199"/>
      <c r="BH119" s="163"/>
      <c r="BI119" s="163">
        <f t="shared" si="402"/>
        <v>0</v>
      </c>
      <c r="BJ119" s="163">
        <f t="shared" si="403"/>
        <v>0</v>
      </c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220" t="s">
        <v>360</v>
      </c>
      <c r="BV119" s="85"/>
      <c r="BW119" s="24"/>
    </row>
    <row r="120" spans="1:75" x14ac:dyDescent="0.2">
      <c r="A120" s="108"/>
      <c r="B120" s="242"/>
      <c r="C120" s="285" t="s">
        <v>189</v>
      </c>
      <c r="D120" s="80">
        <f t="shared" si="392"/>
        <v>464128</v>
      </c>
      <c r="E120" s="295">
        <f t="shared" si="393"/>
        <v>538673</v>
      </c>
      <c r="F120" s="81">
        <v>440398</v>
      </c>
      <c r="G120" s="81">
        <f t="shared" si="394"/>
        <v>513808</v>
      </c>
      <c r="H120" s="81">
        <f t="shared" si="395"/>
        <v>73410</v>
      </c>
      <c r="I120" s="81"/>
      <c r="J120" s="81"/>
      <c r="K120" s="81">
        <v>72130</v>
      </c>
      <c r="L120" s="81"/>
      <c r="M120" s="81">
        <v>1280</v>
      </c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>
        <v>0</v>
      </c>
      <c r="AA120" s="81">
        <f t="shared" si="396"/>
        <v>0</v>
      </c>
      <c r="AB120" s="81">
        <f t="shared" si="397"/>
        <v>0</v>
      </c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>
        <v>23730</v>
      </c>
      <c r="AN120" s="81">
        <f t="shared" si="398"/>
        <v>24865</v>
      </c>
      <c r="AO120" s="81">
        <f t="shared" si="399"/>
        <v>1135</v>
      </c>
      <c r="AP120" s="81">
        <v>1135</v>
      </c>
      <c r="AQ120" s="81"/>
      <c r="AR120" s="81"/>
      <c r="AS120" s="81"/>
      <c r="AT120" s="81"/>
      <c r="AU120" s="81"/>
      <c r="AV120" s="81"/>
      <c r="AW120" s="81"/>
      <c r="AX120" s="81"/>
      <c r="AY120" s="81"/>
      <c r="AZ120" s="81">
        <v>0</v>
      </c>
      <c r="BA120" s="81">
        <f t="shared" si="400"/>
        <v>0</v>
      </c>
      <c r="BB120" s="98">
        <f t="shared" si="401"/>
        <v>0</v>
      </c>
      <c r="BC120" s="98"/>
      <c r="BD120" s="98"/>
      <c r="BE120" s="98"/>
      <c r="BF120" s="98"/>
      <c r="BG120" s="98"/>
      <c r="BH120" s="81"/>
      <c r="BI120" s="81">
        <f t="shared" si="402"/>
        <v>0</v>
      </c>
      <c r="BJ120" s="81">
        <f t="shared" si="403"/>
        <v>0</v>
      </c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82" t="s">
        <v>361</v>
      </c>
      <c r="BV120" s="85" t="s">
        <v>444</v>
      </c>
      <c r="BW120" s="24"/>
    </row>
    <row r="121" spans="1:75" ht="12" customHeight="1" x14ac:dyDescent="0.2">
      <c r="A121" s="108">
        <v>90010478153</v>
      </c>
      <c r="B121" s="241" t="s">
        <v>447</v>
      </c>
      <c r="C121" s="354" t="s">
        <v>182</v>
      </c>
      <c r="D121" s="80">
        <f t="shared" si="392"/>
        <v>693059</v>
      </c>
      <c r="E121" s="295">
        <f t="shared" si="393"/>
        <v>693059</v>
      </c>
      <c r="F121" s="81">
        <v>668348</v>
      </c>
      <c r="G121" s="81">
        <f t="shared" si="394"/>
        <v>668348</v>
      </c>
      <c r="H121" s="81">
        <f t="shared" si="395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>
        <v>0</v>
      </c>
      <c r="AA121" s="81">
        <f t="shared" si="396"/>
        <v>0</v>
      </c>
      <c r="AB121" s="81">
        <f t="shared" si="397"/>
        <v>0</v>
      </c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>
        <v>24711</v>
      </c>
      <c r="AN121" s="81">
        <f t="shared" si="398"/>
        <v>24711</v>
      </c>
      <c r="AO121" s="81">
        <f t="shared" si="399"/>
        <v>0</v>
      </c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>
        <v>0</v>
      </c>
      <c r="BA121" s="81">
        <f t="shared" si="400"/>
        <v>0</v>
      </c>
      <c r="BB121" s="98">
        <f t="shared" si="401"/>
        <v>0</v>
      </c>
      <c r="BC121" s="98"/>
      <c r="BD121" s="98"/>
      <c r="BE121" s="98"/>
      <c r="BF121" s="98"/>
      <c r="BG121" s="98"/>
      <c r="BH121" s="81"/>
      <c r="BI121" s="81">
        <f t="shared" si="402"/>
        <v>0</v>
      </c>
      <c r="BJ121" s="81">
        <f t="shared" si="403"/>
        <v>0</v>
      </c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82" t="s">
        <v>362</v>
      </c>
      <c r="BV121" s="85"/>
      <c r="BW121" s="24"/>
    </row>
    <row r="122" spans="1:75" s="130" customFormat="1" x14ac:dyDescent="0.2">
      <c r="A122" s="108"/>
      <c r="B122" s="242"/>
      <c r="C122" s="285" t="s">
        <v>300</v>
      </c>
      <c r="D122" s="80">
        <f t="shared" si="392"/>
        <v>84488</v>
      </c>
      <c r="E122" s="295">
        <f t="shared" si="393"/>
        <v>84488</v>
      </c>
      <c r="F122" s="81">
        <v>55574</v>
      </c>
      <c r="G122" s="81">
        <f t="shared" si="394"/>
        <v>55574</v>
      </c>
      <c r="H122" s="81">
        <f t="shared" si="395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>
        <v>0</v>
      </c>
      <c r="AA122" s="81">
        <f t="shared" si="396"/>
        <v>0</v>
      </c>
      <c r="AB122" s="81">
        <f t="shared" si="397"/>
        <v>0</v>
      </c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>
        <v>28914</v>
      </c>
      <c r="AN122" s="81">
        <f t="shared" si="398"/>
        <v>28914</v>
      </c>
      <c r="AO122" s="81">
        <f t="shared" si="399"/>
        <v>0</v>
      </c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>
        <v>0</v>
      </c>
      <c r="BA122" s="81">
        <f t="shared" si="400"/>
        <v>0</v>
      </c>
      <c r="BB122" s="98">
        <f t="shared" si="401"/>
        <v>0</v>
      </c>
      <c r="BC122" s="98"/>
      <c r="BD122" s="98"/>
      <c r="BE122" s="98"/>
      <c r="BF122" s="98"/>
      <c r="BG122" s="98"/>
      <c r="BH122" s="81"/>
      <c r="BI122" s="81">
        <f t="shared" si="402"/>
        <v>0</v>
      </c>
      <c r="BJ122" s="81">
        <f t="shared" si="403"/>
        <v>0</v>
      </c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82" t="s">
        <v>363</v>
      </c>
      <c r="BV122" s="85"/>
      <c r="BW122" s="24"/>
    </row>
    <row r="123" spans="1:75" s="138" customFormat="1" ht="24" x14ac:dyDescent="0.2">
      <c r="A123" s="108"/>
      <c r="B123" s="242"/>
      <c r="C123" s="285" t="s">
        <v>446</v>
      </c>
      <c r="D123" s="80">
        <f t="shared" si="392"/>
        <v>99050</v>
      </c>
      <c r="E123" s="295">
        <f t="shared" si="393"/>
        <v>100054</v>
      </c>
      <c r="F123" s="81">
        <v>73405</v>
      </c>
      <c r="G123" s="81">
        <f t="shared" si="394"/>
        <v>73405</v>
      </c>
      <c r="H123" s="81">
        <f t="shared" si="395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>
        <v>0</v>
      </c>
      <c r="AA123" s="81">
        <f t="shared" si="396"/>
        <v>0</v>
      </c>
      <c r="AB123" s="81">
        <f t="shared" si="397"/>
        <v>0</v>
      </c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>
        <v>25645</v>
      </c>
      <c r="AN123" s="81">
        <f t="shared" si="398"/>
        <v>26649</v>
      </c>
      <c r="AO123" s="81">
        <f t="shared" si="399"/>
        <v>1004</v>
      </c>
      <c r="AP123" s="81">
        <v>1004</v>
      </c>
      <c r="AQ123" s="81"/>
      <c r="AR123" s="81"/>
      <c r="AS123" s="81"/>
      <c r="AT123" s="81"/>
      <c r="AU123" s="81"/>
      <c r="AV123" s="81"/>
      <c r="AW123" s="81"/>
      <c r="AX123" s="81"/>
      <c r="AY123" s="81"/>
      <c r="AZ123" s="81">
        <v>0</v>
      </c>
      <c r="BA123" s="81">
        <f t="shared" si="400"/>
        <v>0</v>
      </c>
      <c r="BB123" s="98">
        <f t="shared" si="401"/>
        <v>0</v>
      </c>
      <c r="BC123" s="98"/>
      <c r="BD123" s="98"/>
      <c r="BE123" s="98"/>
      <c r="BF123" s="98"/>
      <c r="BG123" s="98"/>
      <c r="BH123" s="81"/>
      <c r="BI123" s="81">
        <f t="shared" si="402"/>
        <v>0</v>
      </c>
      <c r="BJ123" s="81">
        <f t="shared" si="403"/>
        <v>0</v>
      </c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82" t="s">
        <v>364</v>
      </c>
      <c r="BV123" s="85"/>
      <c r="BW123" s="24"/>
    </row>
    <row r="124" spans="1:75" s="130" customFormat="1" x14ac:dyDescent="0.2">
      <c r="A124" s="108"/>
      <c r="B124" s="242"/>
      <c r="C124" s="285" t="s">
        <v>301</v>
      </c>
      <c r="D124" s="80">
        <f t="shared" si="392"/>
        <v>131617</v>
      </c>
      <c r="E124" s="295">
        <f t="shared" si="393"/>
        <v>131617</v>
      </c>
      <c r="F124" s="81">
        <v>74456</v>
      </c>
      <c r="G124" s="81">
        <f t="shared" si="394"/>
        <v>74456</v>
      </c>
      <c r="H124" s="81">
        <f t="shared" si="395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>
        <v>0</v>
      </c>
      <c r="AA124" s="81">
        <f t="shared" si="396"/>
        <v>0</v>
      </c>
      <c r="AB124" s="81">
        <f t="shared" si="397"/>
        <v>0</v>
      </c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>
        <v>57161</v>
      </c>
      <c r="AN124" s="81">
        <f t="shared" si="398"/>
        <v>57161</v>
      </c>
      <c r="AO124" s="81">
        <f t="shared" si="399"/>
        <v>0</v>
      </c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>
        <v>0</v>
      </c>
      <c r="BA124" s="81">
        <f t="shared" si="400"/>
        <v>0</v>
      </c>
      <c r="BB124" s="98">
        <f t="shared" si="401"/>
        <v>0</v>
      </c>
      <c r="BC124" s="98"/>
      <c r="BD124" s="98"/>
      <c r="BE124" s="98"/>
      <c r="BF124" s="98"/>
      <c r="BG124" s="98"/>
      <c r="BH124" s="81"/>
      <c r="BI124" s="81">
        <f t="shared" si="402"/>
        <v>0</v>
      </c>
      <c r="BJ124" s="81">
        <f t="shared" si="403"/>
        <v>0</v>
      </c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82" t="s">
        <v>365</v>
      </c>
      <c r="BV124" s="85"/>
      <c r="BW124" s="24"/>
    </row>
    <row r="125" spans="1:75" s="130" customFormat="1" x14ac:dyDescent="0.2">
      <c r="A125" s="108"/>
      <c r="B125" s="242"/>
      <c r="C125" s="285" t="s">
        <v>302</v>
      </c>
      <c r="D125" s="80">
        <f t="shared" si="392"/>
        <v>29426</v>
      </c>
      <c r="E125" s="295">
        <f t="shared" si="393"/>
        <v>29426</v>
      </c>
      <c r="F125" s="81">
        <v>12458</v>
      </c>
      <c r="G125" s="81">
        <f t="shared" si="394"/>
        <v>12458</v>
      </c>
      <c r="H125" s="81">
        <f t="shared" si="395"/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>
        <v>0</v>
      </c>
      <c r="AA125" s="81">
        <f t="shared" si="396"/>
        <v>0</v>
      </c>
      <c r="AB125" s="81">
        <f t="shared" si="397"/>
        <v>0</v>
      </c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>
        <v>16968</v>
      </c>
      <c r="AN125" s="81">
        <f t="shared" si="398"/>
        <v>16968</v>
      </c>
      <c r="AO125" s="81">
        <f t="shared" si="399"/>
        <v>0</v>
      </c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>
        <v>0</v>
      </c>
      <c r="BA125" s="81">
        <f t="shared" si="400"/>
        <v>0</v>
      </c>
      <c r="BB125" s="98">
        <f t="shared" si="401"/>
        <v>0</v>
      </c>
      <c r="BC125" s="98"/>
      <c r="BD125" s="98"/>
      <c r="BE125" s="98"/>
      <c r="BF125" s="98"/>
      <c r="BG125" s="98"/>
      <c r="BH125" s="81"/>
      <c r="BI125" s="81">
        <f t="shared" si="402"/>
        <v>0</v>
      </c>
      <c r="BJ125" s="81">
        <f t="shared" si="403"/>
        <v>0</v>
      </c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82" t="s">
        <v>366</v>
      </c>
      <c r="BV125" s="85"/>
      <c r="BW125" s="24"/>
    </row>
    <row r="126" spans="1:75" s="160" customFormat="1" x14ac:dyDescent="0.2">
      <c r="A126" s="108"/>
      <c r="B126" s="242"/>
      <c r="C126" s="285" t="s">
        <v>477</v>
      </c>
      <c r="D126" s="80">
        <f t="shared" si="392"/>
        <v>30041</v>
      </c>
      <c r="E126" s="295">
        <f t="shared" si="393"/>
        <v>31935</v>
      </c>
      <c r="F126" s="81">
        <v>16434</v>
      </c>
      <c r="G126" s="81">
        <f t="shared" si="394"/>
        <v>16434</v>
      </c>
      <c r="H126" s="81">
        <f t="shared" si="395"/>
        <v>0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>
        <v>0</v>
      </c>
      <c r="AA126" s="81">
        <f t="shared" si="396"/>
        <v>0</v>
      </c>
      <c r="AB126" s="81">
        <f t="shared" si="397"/>
        <v>0</v>
      </c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>
        <v>13607</v>
      </c>
      <c r="AN126" s="81">
        <f t="shared" si="398"/>
        <v>15501</v>
      </c>
      <c r="AO126" s="81">
        <f t="shared" si="399"/>
        <v>1894</v>
      </c>
      <c r="AP126" s="81">
        <v>1894</v>
      </c>
      <c r="AQ126" s="81"/>
      <c r="AR126" s="81"/>
      <c r="AS126" s="81"/>
      <c r="AT126" s="81"/>
      <c r="AU126" s="81"/>
      <c r="AV126" s="81"/>
      <c r="AW126" s="81"/>
      <c r="AX126" s="81"/>
      <c r="AY126" s="81"/>
      <c r="AZ126" s="81">
        <v>0</v>
      </c>
      <c r="BA126" s="81">
        <f t="shared" si="400"/>
        <v>0</v>
      </c>
      <c r="BB126" s="98">
        <f t="shared" si="401"/>
        <v>0</v>
      </c>
      <c r="BC126" s="98"/>
      <c r="BD126" s="98"/>
      <c r="BE126" s="98"/>
      <c r="BF126" s="98"/>
      <c r="BG126" s="98"/>
      <c r="BH126" s="81"/>
      <c r="BI126" s="81">
        <f t="shared" si="402"/>
        <v>0</v>
      </c>
      <c r="BJ126" s="81">
        <f t="shared" si="403"/>
        <v>0</v>
      </c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82" t="s">
        <v>502</v>
      </c>
      <c r="BV126" s="85"/>
      <c r="BW126" s="24"/>
    </row>
    <row r="127" spans="1:75" ht="24" customHeight="1" x14ac:dyDescent="0.2">
      <c r="A127" s="108">
        <v>90000056408</v>
      </c>
      <c r="B127" s="241" t="s">
        <v>16</v>
      </c>
      <c r="C127" s="285" t="s">
        <v>452</v>
      </c>
      <c r="D127" s="80">
        <f t="shared" si="392"/>
        <v>611988</v>
      </c>
      <c r="E127" s="295">
        <f t="shared" si="393"/>
        <v>616993</v>
      </c>
      <c r="F127" s="81">
        <v>592478</v>
      </c>
      <c r="G127" s="81">
        <f t="shared" si="394"/>
        <v>597033</v>
      </c>
      <c r="H127" s="81">
        <f t="shared" si="395"/>
        <v>4555</v>
      </c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>
        <v>4555</v>
      </c>
      <c r="X127" s="81"/>
      <c r="Y127" s="81"/>
      <c r="Z127" s="81">
        <v>0</v>
      </c>
      <c r="AA127" s="81">
        <f t="shared" si="396"/>
        <v>0</v>
      </c>
      <c r="AB127" s="81">
        <f t="shared" si="397"/>
        <v>0</v>
      </c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>
        <v>19510</v>
      </c>
      <c r="AN127" s="81">
        <f t="shared" si="398"/>
        <v>19960</v>
      </c>
      <c r="AO127" s="81">
        <f t="shared" si="399"/>
        <v>450</v>
      </c>
      <c r="AP127" s="81">
        <v>450</v>
      </c>
      <c r="AQ127" s="81"/>
      <c r="AR127" s="81"/>
      <c r="AS127" s="81"/>
      <c r="AT127" s="81"/>
      <c r="AU127" s="81"/>
      <c r="AV127" s="81"/>
      <c r="AW127" s="81"/>
      <c r="AX127" s="81"/>
      <c r="AY127" s="81"/>
      <c r="AZ127" s="81">
        <v>0</v>
      </c>
      <c r="BA127" s="81">
        <f t="shared" si="400"/>
        <v>0</v>
      </c>
      <c r="BB127" s="98">
        <f t="shared" si="401"/>
        <v>0</v>
      </c>
      <c r="BC127" s="98"/>
      <c r="BD127" s="98"/>
      <c r="BE127" s="98"/>
      <c r="BF127" s="98"/>
      <c r="BG127" s="98"/>
      <c r="BH127" s="81"/>
      <c r="BI127" s="81">
        <f t="shared" si="402"/>
        <v>0</v>
      </c>
      <c r="BJ127" s="81">
        <f t="shared" si="403"/>
        <v>0</v>
      </c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82" t="s">
        <v>367</v>
      </c>
      <c r="BV127" s="85"/>
      <c r="BW127" s="24"/>
    </row>
    <row r="128" spans="1:75" ht="12.75" x14ac:dyDescent="0.2">
      <c r="A128" s="108"/>
      <c r="B128" s="243"/>
      <c r="C128" s="285" t="s">
        <v>279</v>
      </c>
      <c r="D128" s="80">
        <f t="shared" si="392"/>
        <v>45176</v>
      </c>
      <c r="E128" s="295">
        <f t="shared" si="393"/>
        <v>46308</v>
      </c>
      <c r="F128" s="81">
        <v>43921</v>
      </c>
      <c r="G128" s="81">
        <f t="shared" si="394"/>
        <v>45053</v>
      </c>
      <c r="H128" s="81">
        <f t="shared" si="395"/>
        <v>1132</v>
      </c>
      <c r="I128" s="81"/>
      <c r="J128" s="81"/>
      <c r="K128" s="81">
        <v>1132</v>
      </c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>
        <v>0</v>
      </c>
      <c r="AA128" s="81">
        <f t="shared" si="396"/>
        <v>0</v>
      </c>
      <c r="AB128" s="81">
        <f t="shared" si="397"/>
        <v>0</v>
      </c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>
        <v>1255</v>
      </c>
      <c r="AN128" s="81">
        <f t="shared" si="398"/>
        <v>1255</v>
      </c>
      <c r="AO128" s="81">
        <f t="shared" si="399"/>
        <v>0</v>
      </c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>
        <v>0</v>
      </c>
      <c r="BA128" s="81">
        <f t="shared" si="400"/>
        <v>0</v>
      </c>
      <c r="BB128" s="98">
        <f t="shared" si="401"/>
        <v>0</v>
      </c>
      <c r="BC128" s="98"/>
      <c r="BD128" s="98"/>
      <c r="BE128" s="98"/>
      <c r="BF128" s="98"/>
      <c r="BG128" s="98"/>
      <c r="BH128" s="81"/>
      <c r="BI128" s="81">
        <f t="shared" si="402"/>
        <v>0</v>
      </c>
      <c r="BJ128" s="81">
        <f t="shared" si="403"/>
        <v>0</v>
      </c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82" t="s">
        <v>551</v>
      </c>
      <c r="BV128" s="85" t="s">
        <v>653</v>
      </c>
      <c r="BW128" s="24"/>
    </row>
    <row r="129" spans="1:75" s="198" customFormat="1" ht="27.75" customHeight="1" x14ac:dyDescent="0.2">
      <c r="A129" s="108"/>
      <c r="B129" s="243"/>
      <c r="C129" s="378" t="s">
        <v>801</v>
      </c>
      <c r="D129" s="80">
        <f t="shared" ref="D129" si="452">F129+Z129+AM129+AZ129+BH129</f>
        <v>0</v>
      </c>
      <c r="E129" s="295">
        <f t="shared" ref="E129" si="453">G129+AA129+AN129+BA129+BI129</f>
        <v>4000</v>
      </c>
      <c r="F129" s="81"/>
      <c r="G129" s="81">
        <f t="shared" ref="G129" si="454">F129+H129</f>
        <v>4000</v>
      </c>
      <c r="H129" s="81">
        <f t="shared" ref="H129" si="455">SUM(I129:Y129)</f>
        <v>4000</v>
      </c>
      <c r="I129" s="81"/>
      <c r="J129" s="81"/>
      <c r="K129" s="81"/>
      <c r="L129" s="81"/>
      <c r="M129" s="81">
        <v>4000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>
        <f t="shared" ref="AA129" si="456">Z129+AB129</f>
        <v>0</v>
      </c>
      <c r="AB129" s="81">
        <f t="shared" ref="AB129" si="457">SUM(AC129:AL129)</f>
        <v>0</v>
      </c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>
        <f t="shared" ref="AN129" si="458">AM129+AO129</f>
        <v>0</v>
      </c>
      <c r="AO129" s="81">
        <f t="shared" ref="AO129" si="459">SUM(AP129:AY129)</f>
        <v>0</v>
      </c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>
        <f t="shared" ref="BA129" si="460">AZ129+BB129</f>
        <v>0</v>
      </c>
      <c r="BB129" s="98">
        <f t="shared" ref="BB129" si="461">SUM(BC129:BG129)</f>
        <v>0</v>
      </c>
      <c r="BC129" s="98"/>
      <c r="BD129" s="98"/>
      <c r="BE129" s="98"/>
      <c r="BF129" s="98"/>
      <c r="BG129" s="98"/>
      <c r="BH129" s="81"/>
      <c r="BI129" s="81">
        <f t="shared" ref="BI129" si="462">BH129+BJ129</f>
        <v>0</v>
      </c>
      <c r="BJ129" s="81">
        <f t="shared" ref="BJ129" si="463">SUM(BK129:BT129)</f>
        <v>0</v>
      </c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82" t="s">
        <v>802</v>
      </c>
      <c r="BV129" s="85"/>
      <c r="BW129" s="24"/>
    </row>
    <row r="130" spans="1:75" s="198" customFormat="1" ht="27.75" customHeight="1" x14ac:dyDescent="0.2">
      <c r="A130" s="108"/>
      <c r="B130" s="243"/>
      <c r="C130" s="378" t="s">
        <v>803</v>
      </c>
      <c r="D130" s="80">
        <f t="shared" ref="D130" si="464">F130+Z130+AM130+AZ130+BH130</f>
        <v>0</v>
      </c>
      <c r="E130" s="295">
        <f t="shared" ref="E130" si="465">G130+AA130+AN130+BA130+BI130</f>
        <v>2423</v>
      </c>
      <c r="F130" s="81"/>
      <c r="G130" s="81">
        <f t="shared" ref="G130" si="466">F130+H130</f>
        <v>2423</v>
      </c>
      <c r="H130" s="81">
        <f t="shared" ref="H130" si="467">SUM(I130:Y130)</f>
        <v>2423</v>
      </c>
      <c r="I130" s="81"/>
      <c r="J130" s="81"/>
      <c r="K130" s="81"/>
      <c r="L130" s="81"/>
      <c r="M130" s="81">
        <v>2423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>
        <f t="shared" ref="AA130" si="468">Z130+AB130</f>
        <v>0</v>
      </c>
      <c r="AB130" s="81">
        <f t="shared" ref="AB130" si="469">SUM(AC130:AL130)</f>
        <v>0</v>
      </c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>
        <f t="shared" ref="AN130" si="470">AM130+AO130</f>
        <v>0</v>
      </c>
      <c r="AO130" s="81">
        <f t="shared" ref="AO130" si="471">SUM(AP130:AY130)</f>
        <v>0</v>
      </c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>
        <f t="shared" ref="BA130" si="472">AZ130+BB130</f>
        <v>0</v>
      </c>
      <c r="BB130" s="98">
        <f t="shared" ref="BB130" si="473">SUM(BC130:BG130)</f>
        <v>0</v>
      </c>
      <c r="BC130" s="98"/>
      <c r="BD130" s="98"/>
      <c r="BE130" s="98"/>
      <c r="BF130" s="98"/>
      <c r="BG130" s="98"/>
      <c r="BH130" s="81"/>
      <c r="BI130" s="81">
        <f t="shared" ref="BI130" si="474">BH130+BJ130</f>
        <v>0</v>
      </c>
      <c r="BJ130" s="81">
        <f t="shared" ref="BJ130" si="475">SUM(BK130:BT130)</f>
        <v>0</v>
      </c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82" t="s">
        <v>804</v>
      </c>
      <c r="BV130" s="85"/>
      <c r="BW130" s="24"/>
    </row>
    <row r="131" spans="1:75" s="13" customFormat="1" ht="28.5" customHeight="1" x14ac:dyDescent="0.2">
      <c r="A131" s="109">
        <v>40003378932</v>
      </c>
      <c r="B131" s="241" t="s">
        <v>303</v>
      </c>
      <c r="C131" s="285" t="s">
        <v>460</v>
      </c>
      <c r="D131" s="80">
        <f t="shared" si="392"/>
        <v>954012</v>
      </c>
      <c r="E131" s="295">
        <f t="shared" si="393"/>
        <v>954012</v>
      </c>
      <c r="F131" s="81">
        <v>954012</v>
      </c>
      <c r="G131" s="81">
        <f t="shared" si="394"/>
        <v>954012</v>
      </c>
      <c r="H131" s="81">
        <f t="shared" si="395"/>
        <v>0</v>
      </c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>
        <v>0</v>
      </c>
      <c r="AA131" s="81">
        <f t="shared" si="396"/>
        <v>0</v>
      </c>
      <c r="AB131" s="81">
        <f t="shared" si="397"/>
        <v>0</v>
      </c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>
        <v>0</v>
      </c>
      <c r="AN131" s="81">
        <f t="shared" si="398"/>
        <v>0</v>
      </c>
      <c r="AO131" s="81">
        <f t="shared" si="399"/>
        <v>0</v>
      </c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>
        <v>0</v>
      </c>
      <c r="BA131" s="81">
        <f t="shared" si="400"/>
        <v>0</v>
      </c>
      <c r="BB131" s="98">
        <f t="shared" si="401"/>
        <v>0</v>
      </c>
      <c r="BC131" s="98"/>
      <c r="BD131" s="98"/>
      <c r="BE131" s="98"/>
      <c r="BF131" s="98"/>
      <c r="BG131" s="98"/>
      <c r="BH131" s="81"/>
      <c r="BI131" s="81">
        <f t="shared" si="402"/>
        <v>0</v>
      </c>
      <c r="BJ131" s="81">
        <f t="shared" si="403"/>
        <v>0</v>
      </c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82" t="s">
        <v>368</v>
      </c>
      <c r="BV131" s="85"/>
      <c r="BW131" s="24"/>
    </row>
    <row r="132" spans="1:75" ht="9" customHeight="1" thickBot="1" x14ac:dyDescent="0.25">
      <c r="A132" s="108"/>
      <c r="B132" s="216"/>
      <c r="C132" s="323"/>
      <c r="D132" s="71"/>
      <c r="E132" s="29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72"/>
      <c r="BB132" s="97"/>
      <c r="BC132" s="97"/>
      <c r="BD132" s="97"/>
      <c r="BE132" s="97"/>
      <c r="BF132" s="97"/>
      <c r="BG132" s="97"/>
      <c r="BH132" s="72"/>
      <c r="BI132" s="264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73"/>
      <c r="BV132" s="86"/>
      <c r="BW132" s="24"/>
    </row>
    <row r="133" spans="1:75" ht="12.75" thickBot="1" x14ac:dyDescent="0.25">
      <c r="A133" s="215" t="s">
        <v>17</v>
      </c>
      <c r="B133" s="125" t="s">
        <v>18</v>
      </c>
      <c r="C133" s="321"/>
      <c r="D133" s="11">
        <f>SUM(D134:D238)</f>
        <v>30693293</v>
      </c>
      <c r="E133" s="297">
        <f>SUM(E134:E238)</f>
        <v>32426007</v>
      </c>
      <c r="F133" s="9">
        <f>SUM(F134:F238)</f>
        <v>21453964</v>
      </c>
      <c r="G133" s="9">
        <f t="shared" ref="G133:Y133" si="476">SUM(G134:G238)</f>
        <v>22865686</v>
      </c>
      <c r="H133" s="9">
        <f t="shared" si="476"/>
        <v>1411722</v>
      </c>
      <c r="I133" s="9">
        <f t="shared" si="476"/>
        <v>51879</v>
      </c>
      <c r="J133" s="9">
        <f t="shared" ref="J133" si="477">SUM(J134:J238)</f>
        <v>7235</v>
      </c>
      <c r="K133" s="9">
        <f t="shared" si="476"/>
        <v>2695825</v>
      </c>
      <c r="L133" s="9">
        <f t="shared" si="476"/>
        <v>94686</v>
      </c>
      <c r="M133" s="9">
        <f t="shared" si="476"/>
        <v>18020</v>
      </c>
      <c r="N133" s="9">
        <f t="shared" si="476"/>
        <v>2025</v>
      </c>
      <c r="O133" s="9">
        <f t="shared" si="476"/>
        <v>0</v>
      </c>
      <c r="P133" s="9">
        <f t="shared" si="476"/>
        <v>0</v>
      </c>
      <c r="Q133" s="9">
        <f t="shared" si="476"/>
        <v>-119425</v>
      </c>
      <c r="R133" s="9">
        <f t="shared" si="476"/>
        <v>0</v>
      </c>
      <c r="S133" s="9">
        <f t="shared" si="476"/>
        <v>-1492064</v>
      </c>
      <c r="T133" s="9"/>
      <c r="U133" s="9">
        <f t="shared" si="476"/>
        <v>52333</v>
      </c>
      <c r="V133" s="9"/>
      <c r="W133" s="9">
        <f t="shared" si="476"/>
        <v>101208</v>
      </c>
      <c r="X133" s="9">
        <f t="shared" si="476"/>
        <v>0</v>
      </c>
      <c r="Y133" s="9">
        <f t="shared" si="476"/>
        <v>0</v>
      </c>
      <c r="Z133" s="9">
        <f>SUM(Z134:Z238)</f>
        <v>8765186</v>
      </c>
      <c r="AA133" s="9">
        <f t="shared" ref="AA133" si="478">SUM(AA134:AA238)</f>
        <v>9031515</v>
      </c>
      <c r="AB133" s="9">
        <f t="shared" ref="AB133" si="479">SUM(AB134:AB238)</f>
        <v>266329</v>
      </c>
      <c r="AC133" s="9">
        <f t="shared" ref="AC133" si="480">SUM(AC134:AC238)</f>
        <v>30354</v>
      </c>
      <c r="AD133" s="9">
        <f t="shared" ref="AD133" si="481">SUM(AD134:AD238)</f>
        <v>195405</v>
      </c>
      <c r="AE133" s="9">
        <f t="shared" ref="AE133" si="482">SUM(AE134:AE238)</f>
        <v>0</v>
      </c>
      <c r="AF133" s="9">
        <f t="shared" ref="AF133" si="483">SUM(AF134:AF238)</f>
        <v>642</v>
      </c>
      <c r="AG133" s="9">
        <f t="shared" ref="AG133" si="484">SUM(AG134:AG238)</f>
        <v>1806</v>
      </c>
      <c r="AH133" s="9">
        <f t="shared" ref="AH133" si="485">SUM(AH134:AH238)</f>
        <v>38122</v>
      </c>
      <c r="AI133" s="9">
        <f t="shared" ref="AI133" si="486">SUM(AI134:AI238)</f>
        <v>0</v>
      </c>
      <c r="AJ133" s="9">
        <f t="shared" ref="AJ133" si="487">SUM(AJ134:AJ238)</f>
        <v>0</v>
      </c>
      <c r="AK133" s="9">
        <f t="shared" ref="AK133" si="488">SUM(AK134:AK238)</f>
        <v>0</v>
      </c>
      <c r="AL133" s="9">
        <f t="shared" ref="AL133" si="489">SUM(AL134:AL238)</f>
        <v>0</v>
      </c>
      <c r="AM133" s="9">
        <f>SUM(AM134:AM238)</f>
        <v>494147</v>
      </c>
      <c r="AN133" s="96">
        <f t="shared" ref="AN133" si="490">SUM(AN134:AN238)</f>
        <v>555277</v>
      </c>
      <c r="AO133" s="96">
        <f t="shared" ref="AO133" si="491">SUM(AO134:AO238)</f>
        <v>61130</v>
      </c>
      <c r="AP133" s="96">
        <f t="shared" ref="AP133" si="492">SUM(AP134:AP238)</f>
        <v>52108</v>
      </c>
      <c r="AQ133" s="96">
        <f t="shared" ref="AQ133" si="493">SUM(AQ134:AQ238)</f>
        <v>0</v>
      </c>
      <c r="AR133" s="96">
        <f t="shared" ref="AR133" si="494">SUM(AR134:AR238)</f>
        <v>0</v>
      </c>
      <c r="AS133" s="96">
        <f t="shared" ref="AS133" si="495">SUM(AS134:AS238)</f>
        <v>0</v>
      </c>
      <c r="AT133" s="96">
        <f t="shared" ref="AT133" si="496">SUM(AT134:AT238)</f>
        <v>100</v>
      </c>
      <c r="AU133" s="96">
        <f t="shared" ref="AU133" si="497">SUM(AU134:AU238)</f>
        <v>0</v>
      </c>
      <c r="AV133" s="96">
        <f t="shared" ref="AV133" si="498">SUM(AV134:AV238)</f>
        <v>8922</v>
      </c>
      <c r="AW133" s="96">
        <f t="shared" ref="AW133" si="499">SUM(AW134:AW238)</f>
        <v>0</v>
      </c>
      <c r="AX133" s="96">
        <f t="shared" ref="AX133" si="500">SUM(AX134:AX238)</f>
        <v>0</v>
      </c>
      <c r="AY133" s="96">
        <f t="shared" ref="AY133" si="501">SUM(AY134:AY238)</f>
        <v>0</v>
      </c>
      <c r="AZ133" s="96">
        <f>SUM(AZ134:AZ238)</f>
        <v>0</v>
      </c>
      <c r="BA133" s="9">
        <f t="shared" ref="BA133" si="502">SUM(BA134:BA238)</f>
        <v>31</v>
      </c>
      <c r="BB133" s="96">
        <f t="shared" ref="BB133" si="503">SUM(BB134:BB238)</f>
        <v>31</v>
      </c>
      <c r="BC133" s="96">
        <f t="shared" ref="BC133" si="504">SUM(BC134:BC238)</f>
        <v>31</v>
      </c>
      <c r="BD133" s="96">
        <f t="shared" ref="BD133" si="505">SUM(BD134:BD238)</f>
        <v>0</v>
      </c>
      <c r="BE133" s="96">
        <f t="shared" ref="BE133" si="506">SUM(BE134:BE238)</f>
        <v>0</v>
      </c>
      <c r="BF133" s="96">
        <f t="shared" ref="BF133" si="507">SUM(BF134:BF238)</f>
        <v>0</v>
      </c>
      <c r="BG133" s="96">
        <f t="shared" ref="BG133" si="508">SUM(BG134:BG238)</f>
        <v>0</v>
      </c>
      <c r="BH133" s="9">
        <f>SUM(BH134:BH238)</f>
        <v>-20004</v>
      </c>
      <c r="BI133" s="310">
        <f t="shared" ref="BI133" si="509">SUM(BI134:BI238)</f>
        <v>-26502</v>
      </c>
      <c r="BJ133" s="96">
        <f t="shared" ref="BJ133" si="510">SUM(BJ134:BJ238)</f>
        <v>-6498</v>
      </c>
      <c r="BK133" s="96">
        <f t="shared" ref="BK133" si="511">SUM(BK134:BK238)</f>
        <v>0</v>
      </c>
      <c r="BL133" s="96">
        <f t="shared" ref="BL133" si="512">SUM(BL134:BL238)</f>
        <v>-6449</v>
      </c>
      <c r="BM133" s="96">
        <f t="shared" ref="BM133" si="513">SUM(BM134:BM238)</f>
        <v>0</v>
      </c>
      <c r="BN133" s="96">
        <f t="shared" ref="BN133" si="514">SUM(BN134:BN238)</f>
        <v>0</v>
      </c>
      <c r="BO133" s="96">
        <f t="shared" ref="BO133" si="515">SUM(BO134:BO238)</f>
        <v>0</v>
      </c>
      <c r="BP133" s="96">
        <f t="shared" ref="BP133" si="516">SUM(BP134:BP238)</f>
        <v>0</v>
      </c>
      <c r="BQ133" s="96">
        <f t="shared" ref="BQ133" si="517">SUM(BQ134:BQ238)</f>
        <v>0</v>
      </c>
      <c r="BR133" s="96">
        <f t="shared" ref="BR133" si="518">SUM(BR134:BR238)</f>
        <v>-49</v>
      </c>
      <c r="BS133" s="96">
        <f t="shared" ref="BS133" si="519">SUM(BS134:BS238)</f>
        <v>0</v>
      </c>
      <c r="BT133" s="96">
        <f t="shared" ref="BT133" si="520">SUM(BT134:BT238)</f>
        <v>0</v>
      </c>
      <c r="BU133" s="12"/>
      <c r="BV133" s="87"/>
      <c r="BW133" s="24"/>
    </row>
    <row r="134" spans="1:75" ht="12.75" customHeight="1" thickTop="1" x14ac:dyDescent="0.2">
      <c r="A134" s="108">
        <v>90000056357</v>
      </c>
      <c r="B134" s="247" t="s">
        <v>5</v>
      </c>
      <c r="C134" s="324" t="s">
        <v>182</v>
      </c>
      <c r="D134" s="80">
        <f t="shared" ref="D134:D207" si="521">F134+Z134+AM134+AZ134+BH134</f>
        <v>313321</v>
      </c>
      <c r="E134" s="295">
        <f t="shared" ref="E134:E207" si="522">G134+AA134+AN134+BA134+BI134</f>
        <v>332821</v>
      </c>
      <c r="F134" s="164">
        <v>313321</v>
      </c>
      <c r="G134" s="164">
        <f t="shared" ref="G134:G207" si="523">F134+H134</f>
        <v>332821</v>
      </c>
      <c r="H134" s="164">
        <f t="shared" ref="H134:H207" si="524">SUM(I134:Y134)</f>
        <v>19500</v>
      </c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>
        <v>5000</v>
      </c>
      <c r="T134" s="164"/>
      <c r="U134" s="164"/>
      <c r="V134" s="164"/>
      <c r="W134" s="164">
        <v>14500</v>
      </c>
      <c r="X134" s="164"/>
      <c r="Y134" s="164"/>
      <c r="Z134" s="164">
        <v>0</v>
      </c>
      <c r="AA134" s="164">
        <f t="shared" ref="AA134:AA207" si="525">Z134+AB134</f>
        <v>0</v>
      </c>
      <c r="AB134" s="164">
        <f t="shared" ref="AB134:AB207" si="526">SUM(AC134:AL134)</f>
        <v>0</v>
      </c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>
        <v>0</v>
      </c>
      <c r="AN134" s="164">
        <f t="shared" ref="AN134:AN207" si="527">AM134+AO134</f>
        <v>0</v>
      </c>
      <c r="AO134" s="164">
        <f t="shared" ref="AO134:AO207" si="528">SUM(AP134:AY134)</f>
        <v>0</v>
      </c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>
        <v>0</v>
      </c>
      <c r="BA134" s="81">
        <f t="shared" ref="BA134:BA207" si="529">AZ134+BB134</f>
        <v>0</v>
      </c>
      <c r="BB134" s="98">
        <f t="shared" ref="BB134:BB207" si="530">SUM(BC134:BG134)</f>
        <v>0</v>
      </c>
      <c r="BC134" s="305"/>
      <c r="BD134" s="305"/>
      <c r="BE134" s="305"/>
      <c r="BF134" s="305"/>
      <c r="BG134" s="305"/>
      <c r="BH134" s="164"/>
      <c r="BI134" s="81">
        <f t="shared" ref="BI134:BI207" si="531">BH134+BJ134</f>
        <v>0</v>
      </c>
      <c r="BJ134" s="81">
        <f t="shared" ref="BJ134:BJ207" si="532">SUM(BK134:BT134)</f>
        <v>0</v>
      </c>
      <c r="BK134" s="305"/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205" t="s">
        <v>339</v>
      </c>
      <c r="BV134" s="206"/>
      <c r="BW134" s="24"/>
    </row>
    <row r="135" spans="1:75" s="162" customFormat="1" ht="15.75" customHeight="1" x14ac:dyDescent="0.2">
      <c r="A135" s="108"/>
      <c r="B135" s="244"/>
      <c r="C135" s="285" t="s">
        <v>217</v>
      </c>
      <c r="D135" s="80">
        <f t="shared" si="521"/>
        <v>8323</v>
      </c>
      <c r="E135" s="295">
        <f t="shared" si="522"/>
        <v>8323</v>
      </c>
      <c r="F135" s="81">
        <v>8323</v>
      </c>
      <c r="G135" s="81">
        <f t="shared" si="523"/>
        <v>8323</v>
      </c>
      <c r="H135" s="81">
        <f t="shared" si="524"/>
        <v>0</v>
      </c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>
        <v>0</v>
      </c>
      <c r="AA135" s="81">
        <f t="shared" si="525"/>
        <v>0</v>
      </c>
      <c r="AB135" s="81">
        <f t="shared" si="526"/>
        <v>0</v>
      </c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>
        <v>0</v>
      </c>
      <c r="AN135" s="81">
        <f t="shared" si="527"/>
        <v>0</v>
      </c>
      <c r="AO135" s="81">
        <f t="shared" si="528"/>
        <v>0</v>
      </c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>
        <v>0</v>
      </c>
      <c r="BA135" s="81">
        <f t="shared" si="529"/>
        <v>0</v>
      </c>
      <c r="BB135" s="98">
        <f t="shared" si="530"/>
        <v>0</v>
      </c>
      <c r="BC135" s="199"/>
      <c r="BD135" s="199"/>
      <c r="BE135" s="199"/>
      <c r="BF135" s="199"/>
      <c r="BG135" s="199"/>
      <c r="BH135" s="163"/>
      <c r="BI135" s="81">
        <f t="shared" si="531"/>
        <v>0</v>
      </c>
      <c r="BJ135" s="81">
        <f t="shared" si="532"/>
        <v>0</v>
      </c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220" t="s">
        <v>340</v>
      </c>
      <c r="BV135" s="85" t="s">
        <v>684</v>
      </c>
      <c r="BW135" s="24"/>
    </row>
    <row r="136" spans="1:75" ht="24" x14ac:dyDescent="0.2">
      <c r="A136" s="108"/>
      <c r="B136" s="244"/>
      <c r="C136" s="285" t="s">
        <v>238</v>
      </c>
      <c r="D136" s="80">
        <f t="shared" si="521"/>
        <v>250000</v>
      </c>
      <c r="E136" s="295">
        <f t="shared" si="522"/>
        <v>250000</v>
      </c>
      <c r="F136" s="81">
        <v>250000</v>
      </c>
      <c r="G136" s="81">
        <f t="shared" si="523"/>
        <v>250000</v>
      </c>
      <c r="H136" s="81">
        <f t="shared" si="524"/>
        <v>0</v>
      </c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>
        <v>0</v>
      </c>
      <c r="AA136" s="81">
        <f t="shared" si="525"/>
        <v>0</v>
      </c>
      <c r="AB136" s="81">
        <f t="shared" si="526"/>
        <v>0</v>
      </c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>
        <v>0</v>
      </c>
      <c r="AN136" s="81">
        <f t="shared" si="527"/>
        <v>0</v>
      </c>
      <c r="AO136" s="81">
        <f t="shared" si="528"/>
        <v>0</v>
      </c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>
        <v>0</v>
      </c>
      <c r="BA136" s="81">
        <f t="shared" si="529"/>
        <v>0</v>
      </c>
      <c r="BB136" s="98">
        <f t="shared" si="530"/>
        <v>0</v>
      </c>
      <c r="BC136" s="81"/>
      <c r="BD136" s="81"/>
      <c r="BE136" s="81"/>
      <c r="BF136" s="81"/>
      <c r="BG136" s="81"/>
      <c r="BH136" s="81"/>
      <c r="BI136" s="81">
        <f t="shared" si="531"/>
        <v>0</v>
      </c>
      <c r="BJ136" s="81">
        <f t="shared" si="532"/>
        <v>0</v>
      </c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220" t="s">
        <v>341</v>
      </c>
      <c r="BV136" s="200" t="s">
        <v>567</v>
      </c>
      <c r="BW136" s="24"/>
    </row>
    <row r="137" spans="1:75" s="161" customFormat="1" ht="14.25" customHeight="1" x14ac:dyDescent="0.2">
      <c r="A137" s="108"/>
      <c r="B137" s="244"/>
      <c r="C137" s="285" t="s">
        <v>479</v>
      </c>
      <c r="D137" s="80">
        <f t="shared" si="521"/>
        <v>160000</v>
      </c>
      <c r="E137" s="295">
        <f t="shared" si="522"/>
        <v>215134</v>
      </c>
      <c r="F137" s="81">
        <v>160000</v>
      </c>
      <c r="G137" s="81">
        <f t="shared" si="523"/>
        <v>215134</v>
      </c>
      <c r="H137" s="81">
        <f t="shared" si="524"/>
        <v>55134</v>
      </c>
      <c r="I137" s="81"/>
      <c r="J137" s="81"/>
      <c r="K137" s="81">
        <v>55134</v>
      </c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>
        <v>0</v>
      </c>
      <c r="AA137" s="81">
        <f t="shared" si="525"/>
        <v>0</v>
      </c>
      <c r="AB137" s="81">
        <f t="shared" si="526"/>
        <v>0</v>
      </c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>
        <v>0</v>
      </c>
      <c r="AN137" s="81">
        <f t="shared" si="527"/>
        <v>0</v>
      </c>
      <c r="AO137" s="81">
        <f t="shared" si="528"/>
        <v>0</v>
      </c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>
        <v>0</v>
      </c>
      <c r="BA137" s="81">
        <f t="shared" si="529"/>
        <v>0</v>
      </c>
      <c r="BB137" s="98">
        <f t="shared" si="530"/>
        <v>0</v>
      </c>
      <c r="BC137" s="81"/>
      <c r="BD137" s="81"/>
      <c r="BE137" s="81"/>
      <c r="BF137" s="81"/>
      <c r="BG137" s="81"/>
      <c r="BH137" s="81"/>
      <c r="BI137" s="81">
        <f t="shared" si="531"/>
        <v>0</v>
      </c>
      <c r="BJ137" s="81">
        <f t="shared" si="532"/>
        <v>0</v>
      </c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220" t="s">
        <v>342</v>
      </c>
      <c r="BV137" s="85" t="s">
        <v>684</v>
      </c>
      <c r="BW137" s="24"/>
    </row>
    <row r="138" spans="1:75" s="161" customFormat="1" x14ac:dyDescent="0.2">
      <c r="A138" s="108"/>
      <c r="B138" s="244"/>
      <c r="C138" s="319" t="s">
        <v>480</v>
      </c>
      <c r="D138" s="80">
        <f t="shared" si="521"/>
        <v>38543</v>
      </c>
      <c r="E138" s="295">
        <f t="shared" si="522"/>
        <v>70567</v>
      </c>
      <c r="F138" s="163">
        <v>38543</v>
      </c>
      <c r="G138" s="163">
        <f t="shared" si="523"/>
        <v>70567</v>
      </c>
      <c r="H138" s="163">
        <f t="shared" si="524"/>
        <v>32024</v>
      </c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>
        <v>32024</v>
      </c>
      <c r="X138" s="163"/>
      <c r="Y138" s="163"/>
      <c r="Z138" s="163">
        <v>0</v>
      </c>
      <c r="AA138" s="163">
        <f t="shared" si="525"/>
        <v>0</v>
      </c>
      <c r="AB138" s="163">
        <f t="shared" si="526"/>
        <v>0</v>
      </c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>
        <v>0</v>
      </c>
      <c r="AN138" s="163">
        <f t="shared" si="527"/>
        <v>0</v>
      </c>
      <c r="AO138" s="163">
        <f t="shared" si="528"/>
        <v>0</v>
      </c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>
        <v>0</v>
      </c>
      <c r="BA138" s="81">
        <f t="shared" si="529"/>
        <v>0</v>
      </c>
      <c r="BB138" s="98">
        <f t="shared" si="530"/>
        <v>0</v>
      </c>
      <c r="BC138" s="199"/>
      <c r="BD138" s="199"/>
      <c r="BE138" s="199"/>
      <c r="BF138" s="199"/>
      <c r="BG138" s="199"/>
      <c r="BH138" s="163"/>
      <c r="BI138" s="81">
        <f t="shared" si="531"/>
        <v>0</v>
      </c>
      <c r="BJ138" s="81">
        <f t="shared" si="532"/>
        <v>0</v>
      </c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220" t="s">
        <v>343</v>
      </c>
      <c r="BV138" s="85" t="s">
        <v>684</v>
      </c>
      <c r="BW138" s="24"/>
    </row>
    <row r="139" spans="1:75" s="161" customFormat="1" x14ac:dyDescent="0.2">
      <c r="A139" s="108"/>
      <c r="B139" s="244"/>
      <c r="C139" s="285" t="s">
        <v>219</v>
      </c>
      <c r="D139" s="80">
        <f t="shared" si="521"/>
        <v>15520</v>
      </c>
      <c r="E139" s="295">
        <f t="shared" si="522"/>
        <v>17264</v>
      </c>
      <c r="F139" s="163">
        <v>15520</v>
      </c>
      <c r="G139" s="163">
        <f t="shared" si="523"/>
        <v>17264</v>
      </c>
      <c r="H139" s="163">
        <f t="shared" si="524"/>
        <v>1744</v>
      </c>
      <c r="I139" s="163"/>
      <c r="J139" s="163"/>
      <c r="K139" s="163"/>
      <c r="L139" s="163"/>
      <c r="M139" s="163"/>
      <c r="N139" s="163"/>
      <c r="O139" s="163"/>
      <c r="P139" s="163">
        <v>544</v>
      </c>
      <c r="Q139" s="163"/>
      <c r="R139" s="163"/>
      <c r="S139" s="163"/>
      <c r="T139" s="163"/>
      <c r="U139" s="163"/>
      <c r="V139" s="163"/>
      <c r="W139" s="163">
        <v>1200</v>
      </c>
      <c r="X139" s="163"/>
      <c r="Y139" s="163"/>
      <c r="Z139" s="163">
        <v>0</v>
      </c>
      <c r="AA139" s="163">
        <f t="shared" si="525"/>
        <v>0</v>
      </c>
      <c r="AB139" s="163">
        <f t="shared" si="526"/>
        <v>0</v>
      </c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>
        <v>0</v>
      </c>
      <c r="AN139" s="163">
        <f t="shared" si="527"/>
        <v>0</v>
      </c>
      <c r="AO139" s="163">
        <f t="shared" si="528"/>
        <v>0</v>
      </c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>
        <v>0</v>
      </c>
      <c r="BA139" s="81">
        <f t="shared" si="529"/>
        <v>0</v>
      </c>
      <c r="BB139" s="98">
        <f t="shared" si="530"/>
        <v>0</v>
      </c>
      <c r="BC139" s="199"/>
      <c r="BD139" s="199"/>
      <c r="BE139" s="199"/>
      <c r="BF139" s="199"/>
      <c r="BG139" s="199"/>
      <c r="BH139" s="163"/>
      <c r="BI139" s="81">
        <f t="shared" si="531"/>
        <v>0</v>
      </c>
      <c r="BJ139" s="81">
        <f t="shared" si="532"/>
        <v>0</v>
      </c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220" t="s">
        <v>484</v>
      </c>
      <c r="BV139" s="85" t="s">
        <v>684</v>
      </c>
      <c r="BW139" s="24"/>
    </row>
    <row r="140" spans="1:75" s="161" customFormat="1" ht="24" x14ac:dyDescent="0.2">
      <c r="A140" s="108"/>
      <c r="B140" s="244"/>
      <c r="C140" s="285" t="s">
        <v>506</v>
      </c>
      <c r="D140" s="80">
        <f t="shared" si="521"/>
        <v>140490</v>
      </c>
      <c r="E140" s="295">
        <f t="shared" si="522"/>
        <v>139887</v>
      </c>
      <c r="F140" s="163">
        <v>140490</v>
      </c>
      <c r="G140" s="163">
        <f t="shared" si="523"/>
        <v>139887</v>
      </c>
      <c r="H140" s="163">
        <f t="shared" si="524"/>
        <v>-603</v>
      </c>
      <c r="I140" s="163"/>
      <c r="J140" s="163"/>
      <c r="K140" s="163"/>
      <c r="L140" s="163"/>
      <c r="M140" s="163"/>
      <c r="N140" s="163"/>
      <c r="O140" s="163"/>
      <c r="P140" s="163">
        <v>-544</v>
      </c>
      <c r="Q140" s="163"/>
      <c r="R140" s="163"/>
      <c r="S140" s="163"/>
      <c r="T140" s="163"/>
      <c r="U140" s="163"/>
      <c r="V140" s="163"/>
      <c r="W140" s="163">
        <v>-59</v>
      </c>
      <c r="X140" s="163"/>
      <c r="Y140" s="163"/>
      <c r="Z140" s="163">
        <v>0</v>
      </c>
      <c r="AA140" s="163">
        <f t="shared" si="525"/>
        <v>0</v>
      </c>
      <c r="AB140" s="163">
        <f t="shared" si="526"/>
        <v>0</v>
      </c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>
        <v>0</v>
      </c>
      <c r="AN140" s="163">
        <f t="shared" si="527"/>
        <v>0</v>
      </c>
      <c r="AO140" s="163">
        <f t="shared" si="528"/>
        <v>0</v>
      </c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>
        <v>0</v>
      </c>
      <c r="BA140" s="81">
        <f t="shared" si="529"/>
        <v>0</v>
      </c>
      <c r="BB140" s="98">
        <f t="shared" si="530"/>
        <v>0</v>
      </c>
      <c r="BC140" s="199"/>
      <c r="BD140" s="199"/>
      <c r="BE140" s="199"/>
      <c r="BF140" s="199"/>
      <c r="BG140" s="199"/>
      <c r="BH140" s="163"/>
      <c r="BI140" s="81">
        <f t="shared" si="531"/>
        <v>0</v>
      </c>
      <c r="BJ140" s="81">
        <f t="shared" si="532"/>
        <v>0</v>
      </c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220" t="s">
        <v>485</v>
      </c>
      <c r="BV140" s="85" t="s">
        <v>684</v>
      </c>
      <c r="BW140" s="24"/>
    </row>
    <row r="141" spans="1:75" s="162" customFormat="1" ht="24" x14ac:dyDescent="0.2">
      <c r="A141" s="108"/>
      <c r="B141" s="244"/>
      <c r="C141" s="326" t="s">
        <v>256</v>
      </c>
      <c r="D141" s="80">
        <f t="shared" si="521"/>
        <v>1944678</v>
      </c>
      <c r="E141" s="295">
        <f t="shared" si="522"/>
        <v>379903</v>
      </c>
      <c r="F141" s="81">
        <v>1944678</v>
      </c>
      <c r="G141" s="81">
        <f t="shared" si="523"/>
        <v>379903</v>
      </c>
      <c r="H141" s="81">
        <f t="shared" si="524"/>
        <v>-1564775</v>
      </c>
      <c r="I141" s="81"/>
      <c r="J141" s="81"/>
      <c r="K141" s="81"/>
      <c r="L141" s="81"/>
      <c r="M141" s="81">
        <f>12541+14158</f>
        <v>26699</v>
      </c>
      <c r="N141" s="81"/>
      <c r="O141" s="81"/>
      <c r="P141" s="81"/>
      <c r="Q141" s="81"/>
      <c r="R141" s="81"/>
      <c r="S141" s="81">
        <v>-1596300</v>
      </c>
      <c r="T141" s="81"/>
      <c r="U141" s="81"/>
      <c r="V141" s="81"/>
      <c r="W141" s="81">
        <v>4826</v>
      </c>
      <c r="X141" s="81"/>
      <c r="Y141" s="81"/>
      <c r="Z141" s="81">
        <v>0</v>
      </c>
      <c r="AA141" s="81">
        <f t="shared" si="525"/>
        <v>0</v>
      </c>
      <c r="AB141" s="81">
        <f t="shared" si="526"/>
        <v>0</v>
      </c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>
        <v>0</v>
      </c>
      <c r="AN141" s="81">
        <f t="shared" si="527"/>
        <v>0</v>
      </c>
      <c r="AO141" s="81">
        <f t="shared" si="528"/>
        <v>0</v>
      </c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>
        <v>0</v>
      </c>
      <c r="BA141" s="81">
        <f t="shared" si="529"/>
        <v>0</v>
      </c>
      <c r="BB141" s="98">
        <f t="shared" si="530"/>
        <v>0</v>
      </c>
      <c r="BC141" s="81"/>
      <c r="BD141" s="81"/>
      <c r="BE141" s="81"/>
      <c r="BF141" s="81"/>
      <c r="BG141" s="81"/>
      <c r="BH141" s="81"/>
      <c r="BI141" s="81">
        <f t="shared" si="531"/>
        <v>0</v>
      </c>
      <c r="BJ141" s="81">
        <f t="shared" si="532"/>
        <v>0</v>
      </c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220" t="s">
        <v>674</v>
      </c>
      <c r="BV141" s="200" t="s">
        <v>672</v>
      </c>
      <c r="BW141" s="24"/>
    </row>
    <row r="142" spans="1:75" s="162" customFormat="1" ht="24" x14ac:dyDescent="0.2">
      <c r="A142" s="108"/>
      <c r="B142" s="244"/>
      <c r="C142" s="285" t="s">
        <v>257</v>
      </c>
      <c r="D142" s="80">
        <f t="shared" si="521"/>
        <v>1347428</v>
      </c>
      <c r="E142" s="295">
        <f t="shared" si="522"/>
        <v>705045</v>
      </c>
      <c r="F142" s="81">
        <v>1347428</v>
      </c>
      <c r="G142" s="81">
        <f t="shared" si="523"/>
        <v>705045</v>
      </c>
      <c r="H142" s="81">
        <f t="shared" si="524"/>
        <v>-642383</v>
      </c>
      <c r="I142" s="81"/>
      <c r="J142" s="81"/>
      <c r="K142" s="81">
        <f>3582-112869</f>
        <v>-109287</v>
      </c>
      <c r="L142" s="81"/>
      <c r="M142" s="81">
        <v>-5567</v>
      </c>
      <c r="N142" s="81"/>
      <c r="O142" s="81"/>
      <c r="P142" s="81"/>
      <c r="Q142" s="81"/>
      <c r="R142" s="81"/>
      <c r="S142" s="81">
        <f>-169645-300000-90000</f>
        <v>-559645</v>
      </c>
      <c r="T142" s="81"/>
      <c r="U142" s="81">
        <f>5549+27844</f>
        <v>33393</v>
      </c>
      <c r="V142" s="81"/>
      <c r="W142" s="81">
        <v>-1277</v>
      </c>
      <c r="X142" s="81"/>
      <c r="Y142" s="81"/>
      <c r="Z142" s="81">
        <v>0</v>
      </c>
      <c r="AA142" s="81">
        <f t="shared" si="525"/>
        <v>0</v>
      </c>
      <c r="AB142" s="81">
        <f t="shared" si="526"/>
        <v>0</v>
      </c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>
        <v>0</v>
      </c>
      <c r="AN142" s="81">
        <f t="shared" si="527"/>
        <v>0</v>
      </c>
      <c r="AO142" s="81">
        <f t="shared" si="528"/>
        <v>0</v>
      </c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>
        <v>0</v>
      </c>
      <c r="BA142" s="81">
        <f t="shared" si="529"/>
        <v>0</v>
      </c>
      <c r="BB142" s="98">
        <f t="shared" si="530"/>
        <v>0</v>
      </c>
      <c r="BC142" s="81"/>
      <c r="BD142" s="81"/>
      <c r="BE142" s="81"/>
      <c r="BF142" s="81"/>
      <c r="BG142" s="81"/>
      <c r="BH142" s="81"/>
      <c r="BI142" s="81">
        <f t="shared" si="531"/>
        <v>0</v>
      </c>
      <c r="BJ142" s="81">
        <f t="shared" si="532"/>
        <v>0</v>
      </c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220" t="s">
        <v>561</v>
      </c>
      <c r="BV142" s="200" t="s">
        <v>672</v>
      </c>
      <c r="BW142" s="24"/>
    </row>
    <row r="143" spans="1:75" ht="24" x14ac:dyDescent="0.2">
      <c r="A143" s="108"/>
      <c r="B143" s="242"/>
      <c r="C143" s="285" t="s">
        <v>258</v>
      </c>
      <c r="D143" s="80">
        <f t="shared" si="521"/>
        <v>29206</v>
      </c>
      <c r="E143" s="295">
        <f t="shared" si="522"/>
        <v>36441</v>
      </c>
      <c r="F143" s="163">
        <v>29206</v>
      </c>
      <c r="G143" s="163">
        <f t="shared" si="523"/>
        <v>36441</v>
      </c>
      <c r="H143" s="163">
        <f t="shared" si="524"/>
        <v>7235</v>
      </c>
      <c r="I143" s="163"/>
      <c r="J143" s="163">
        <v>7235</v>
      </c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>
        <v>0</v>
      </c>
      <c r="AA143" s="163">
        <f t="shared" si="525"/>
        <v>0</v>
      </c>
      <c r="AB143" s="163">
        <f t="shared" si="526"/>
        <v>0</v>
      </c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>
        <v>0</v>
      </c>
      <c r="AN143" s="163">
        <f t="shared" si="527"/>
        <v>0</v>
      </c>
      <c r="AO143" s="163">
        <f t="shared" si="528"/>
        <v>0</v>
      </c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>
        <v>0</v>
      </c>
      <c r="BA143" s="81">
        <f t="shared" si="529"/>
        <v>0</v>
      </c>
      <c r="BB143" s="98">
        <f t="shared" si="530"/>
        <v>0</v>
      </c>
      <c r="BC143" s="199"/>
      <c r="BD143" s="199"/>
      <c r="BE143" s="199"/>
      <c r="BF143" s="199"/>
      <c r="BG143" s="199"/>
      <c r="BH143" s="81"/>
      <c r="BI143" s="81">
        <f t="shared" si="531"/>
        <v>0</v>
      </c>
      <c r="BJ143" s="81">
        <f t="shared" si="532"/>
        <v>0</v>
      </c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82" t="s">
        <v>675</v>
      </c>
      <c r="BV143" s="200" t="s">
        <v>442</v>
      </c>
      <c r="BW143" s="24"/>
    </row>
    <row r="144" spans="1:75" s="193" customFormat="1" ht="24" x14ac:dyDescent="0.2">
      <c r="A144" s="108"/>
      <c r="B144" s="242"/>
      <c r="C144" s="285" t="s">
        <v>543</v>
      </c>
      <c r="D144" s="80">
        <f t="shared" si="521"/>
        <v>14993</v>
      </c>
      <c r="E144" s="295">
        <f t="shared" si="522"/>
        <v>22793</v>
      </c>
      <c r="F144" s="163">
        <v>34272</v>
      </c>
      <c r="G144" s="163">
        <f t="shared" si="523"/>
        <v>48522</v>
      </c>
      <c r="H144" s="163">
        <f t="shared" si="524"/>
        <v>14250</v>
      </c>
      <c r="I144" s="163"/>
      <c r="J144" s="163"/>
      <c r="K144" s="163">
        <v>14250</v>
      </c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>
        <v>0</v>
      </c>
      <c r="AA144" s="163">
        <f t="shared" si="525"/>
        <v>0</v>
      </c>
      <c r="AB144" s="163">
        <f t="shared" si="526"/>
        <v>0</v>
      </c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>
        <v>0</v>
      </c>
      <c r="AN144" s="163">
        <f t="shared" si="527"/>
        <v>0</v>
      </c>
      <c r="AO144" s="163">
        <f t="shared" si="528"/>
        <v>0</v>
      </c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>
        <v>0</v>
      </c>
      <c r="BA144" s="81">
        <f t="shared" si="529"/>
        <v>0</v>
      </c>
      <c r="BB144" s="98">
        <f t="shared" si="530"/>
        <v>0</v>
      </c>
      <c r="BC144" s="199"/>
      <c r="BD144" s="199"/>
      <c r="BE144" s="199"/>
      <c r="BF144" s="199"/>
      <c r="BG144" s="199"/>
      <c r="BH144" s="81">
        <v>-19279</v>
      </c>
      <c r="BI144" s="81">
        <f t="shared" si="531"/>
        <v>-25729</v>
      </c>
      <c r="BJ144" s="81">
        <f t="shared" si="532"/>
        <v>-6450</v>
      </c>
      <c r="BK144" s="199"/>
      <c r="BL144" s="199">
        <v>-6450</v>
      </c>
      <c r="BM144" s="199"/>
      <c r="BN144" s="199"/>
      <c r="BO144" s="199"/>
      <c r="BP144" s="199"/>
      <c r="BQ144" s="199"/>
      <c r="BR144" s="199"/>
      <c r="BS144" s="199"/>
      <c r="BT144" s="199"/>
      <c r="BU144" s="82" t="s">
        <v>562</v>
      </c>
      <c r="BV144" s="200"/>
      <c r="BW144" s="24"/>
    </row>
    <row r="145" spans="1:75" s="193" customFormat="1" ht="24" x14ac:dyDescent="0.2">
      <c r="A145" s="108"/>
      <c r="B145" s="242"/>
      <c r="C145" s="285" t="s">
        <v>544</v>
      </c>
      <c r="D145" s="80">
        <f t="shared" si="521"/>
        <v>167259</v>
      </c>
      <c r="E145" s="295">
        <f t="shared" si="522"/>
        <v>236145</v>
      </c>
      <c r="F145" s="163">
        <v>167259</v>
      </c>
      <c r="G145" s="163">
        <f t="shared" si="523"/>
        <v>236145</v>
      </c>
      <c r="H145" s="163">
        <f t="shared" si="524"/>
        <v>68886</v>
      </c>
      <c r="I145" s="163"/>
      <c r="J145" s="163"/>
      <c r="K145" s="163">
        <v>8047</v>
      </c>
      <c r="L145" s="163"/>
      <c r="M145" s="163"/>
      <c r="N145" s="163"/>
      <c r="O145" s="163"/>
      <c r="P145" s="163"/>
      <c r="Q145" s="163"/>
      <c r="R145" s="163"/>
      <c r="S145" s="163">
        <v>60839</v>
      </c>
      <c r="T145" s="163"/>
      <c r="U145" s="163"/>
      <c r="V145" s="163"/>
      <c r="W145" s="163"/>
      <c r="X145" s="163"/>
      <c r="Y145" s="163"/>
      <c r="Z145" s="163">
        <v>0</v>
      </c>
      <c r="AA145" s="163">
        <f t="shared" si="525"/>
        <v>0</v>
      </c>
      <c r="AB145" s="163">
        <f t="shared" si="526"/>
        <v>0</v>
      </c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>
        <v>0</v>
      </c>
      <c r="AN145" s="163">
        <f t="shared" si="527"/>
        <v>0</v>
      </c>
      <c r="AO145" s="163">
        <f t="shared" si="528"/>
        <v>0</v>
      </c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>
        <v>0</v>
      </c>
      <c r="BA145" s="81">
        <f t="shared" si="529"/>
        <v>0</v>
      </c>
      <c r="BB145" s="98">
        <f t="shared" si="530"/>
        <v>0</v>
      </c>
      <c r="BC145" s="199"/>
      <c r="BD145" s="199"/>
      <c r="BE145" s="199"/>
      <c r="BF145" s="199"/>
      <c r="BG145" s="199"/>
      <c r="BH145" s="81"/>
      <c r="BI145" s="81">
        <f t="shared" si="531"/>
        <v>0</v>
      </c>
      <c r="BJ145" s="81">
        <f t="shared" si="532"/>
        <v>0</v>
      </c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82" t="s">
        <v>563</v>
      </c>
      <c r="BV145" s="200"/>
      <c r="BW145" s="24"/>
    </row>
    <row r="146" spans="1:75" s="198" customFormat="1" x14ac:dyDescent="0.2">
      <c r="A146" s="108"/>
      <c r="B146" s="242"/>
      <c r="C146" s="285" t="s">
        <v>628</v>
      </c>
      <c r="D146" s="80">
        <f t="shared" si="521"/>
        <v>1715</v>
      </c>
      <c r="E146" s="295">
        <f t="shared" si="522"/>
        <v>1715</v>
      </c>
      <c r="F146" s="163">
        <v>1715</v>
      </c>
      <c r="G146" s="163">
        <f t="shared" si="523"/>
        <v>1715</v>
      </c>
      <c r="H146" s="163">
        <f t="shared" si="524"/>
        <v>0</v>
      </c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>
        <v>0</v>
      </c>
      <c r="AA146" s="163">
        <f t="shared" si="525"/>
        <v>0</v>
      </c>
      <c r="AB146" s="163">
        <f t="shared" si="526"/>
        <v>0</v>
      </c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>
        <v>0</v>
      </c>
      <c r="AN146" s="163">
        <f t="shared" si="527"/>
        <v>0</v>
      </c>
      <c r="AO146" s="163">
        <f t="shared" si="528"/>
        <v>0</v>
      </c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>
        <v>0</v>
      </c>
      <c r="BA146" s="81">
        <f t="shared" si="529"/>
        <v>0</v>
      </c>
      <c r="BB146" s="98">
        <f t="shared" si="530"/>
        <v>0</v>
      </c>
      <c r="BC146" s="199"/>
      <c r="BD146" s="199"/>
      <c r="BE146" s="199"/>
      <c r="BF146" s="199"/>
      <c r="BG146" s="199"/>
      <c r="BH146" s="81"/>
      <c r="BI146" s="81">
        <f t="shared" si="531"/>
        <v>0</v>
      </c>
      <c r="BJ146" s="81">
        <f t="shared" si="532"/>
        <v>0</v>
      </c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82" t="s">
        <v>676</v>
      </c>
      <c r="BV146" s="200"/>
      <c r="BW146" s="24"/>
    </row>
    <row r="147" spans="1:75" s="198" customFormat="1" ht="36" x14ac:dyDescent="0.2">
      <c r="A147" s="108"/>
      <c r="B147" s="242"/>
      <c r="C147" s="285" t="s">
        <v>629</v>
      </c>
      <c r="D147" s="80">
        <f t="shared" si="521"/>
        <v>1076321</v>
      </c>
      <c r="E147" s="295">
        <f t="shared" si="522"/>
        <v>1085682</v>
      </c>
      <c r="F147" s="163">
        <v>1076321</v>
      </c>
      <c r="G147" s="163">
        <f t="shared" si="523"/>
        <v>1085682</v>
      </c>
      <c r="H147" s="163">
        <f t="shared" si="524"/>
        <v>9361</v>
      </c>
      <c r="I147" s="163"/>
      <c r="J147" s="163"/>
      <c r="K147" s="163">
        <v>9361</v>
      </c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>
        <v>0</v>
      </c>
      <c r="AA147" s="163">
        <f t="shared" si="525"/>
        <v>0</v>
      </c>
      <c r="AB147" s="163">
        <f t="shared" si="526"/>
        <v>0</v>
      </c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>
        <v>0</v>
      </c>
      <c r="AN147" s="163">
        <f t="shared" si="527"/>
        <v>0</v>
      </c>
      <c r="AO147" s="163">
        <f t="shared" si="528"/>
        <v>0</v>
      </c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>
        <v>0</v>
      </c>
      <c r="BA147" s="81">
        <f t="shared" si="529"/>
        <v>0</v>
      </c>
      <c r="BB147" s="98">
        <f t="shared" si="530"/>
        <v>0</v>
      </c>
      <c r="BC147" s="199"/>
      <c r="BD147" s="199"/>
      <c r="BE147" s="199"/>
      <c r="BF147" s="199"/>
      <c r="BG147" s="199"/>
      <c r="BH147" s="81"/>
      <c r="BI147" s="81">
        <f t="shared" si="531"/>
        <v>0</v>
      </c>
      <c r="BJ147" s="81">
        <f t="shared" si="532"/>
        <v>0</v>
      </c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82" t="s">
        <v>677</v>
      </c>
      <c r="BV147" s="200"/>
      <c r="BW147" s="24"/>
    </row>
    <row r="148" spans="1:75" s="198" customFormat="1" ht="36" x14ac:dyDescent="0.2">
      <c r="A148" s="108"/>
      <c r="B148" s="242"/>
      <c r="C148" s="285" t="s">
        <v>630</v>
      </c>
      <c r="D148" s="80">
        <f t="shared" si="521"/>
        <v>162981</v>
      </c>
      <c r="E148" s="295">
        <f t="shared" si="522"/>
        <v>168042</v>
      </c>
      <c r="F148" s="163">
        <v>162981</v>
      </c>
      <c r="G148" s="163">
        <f t="shared" si="523"/>
        <v>168042</v>
      </c>
      <c r="H148" s="163">
        <f t="shared" si="524"/>
        <v>5061</v>
      </c>
      <c r="I148" s="163"/>
      <c r="J148" s="163"/>
      <c r="K148" s="163">
        <v>5061</v>
      </c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>
        <v>0</v>
      </c>
      <c r="AA148" s="163">
        <f t="shared" si="525"/>
        <v>0</v>
      </c>
      <c r="AB148" s="163">
        <f t="shared" si="526"/>
        <v>0</v>
      </c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>
        <v>0</v>
      </c>
      <c r="AN148" s="163">
        <f t="shared" si="527"/>
        <v>0</v>
      </c>
      <c r="AO148" s="163">
        <f t="shared" si="528"/>
        <v>0</v>
      </c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>
        <v>0</v>
      </c>
      <c r="BA148" s="81">
        <f t="shared" si="529"/>
        <v>0</v>
      </c>
      <c r="BB148" s="98">
        <f t="shared" si="530"/>
        <v>0</v>
      </c>
      <c r="BC148" s="199"/>
      <c r="BD148" s="199"/>
      <c r="BE148" s="199"/>
      <c r="BF148" s="199"/>
      <c r="BG148" s="199"/>
      <c r="BH148" s="81"/>
      <c r="BI148" s="81">
        <f t="shared" si="531"/>
        <v>0</v>
      </c>
      <c r="BJ148" s="81">
        <f t="shared" si="532"/>
        <v>0</v>
      </c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82" t="s">
        <v>678</v>
      </c>
      <c r="BV148" s="200"/>
      <c r="BW148" s="24"/>
    </row>
    <row r="149" spans="1:75" s="198" customFormat="1" ht="27" customHeight="1" x14ac:dyDescent="0.2">
      <c r="A149" s="108"/>
      <c r="B149" s="242"/>
      <c r="C149" s="285" t="s">
        <v>631</v>
      </c>
      <c r="D149" s="80">
        <f t="shared" si="521"/>
        <v>1075004</v>
      </c>
      <c r="E149" s="295">
        <f t="shared" si="522"/>
        <v>1078358</v>
      </c>
      <c r="F149" s="163">
        <v>1075004</v>
      </c>
      <c r="G149" s="163">
        <f t="shared" si="523"/>
        <v>1078358</v>
      </c>
      <c r="H149" s="163">
        <f t="shared" si="524"/>
        <v>3354</v>
      </c>
      <c r="I149" s="163"/>
      <c r="J149" s="163"/>
      <c r="K149" s="163">
        <v>6466</v>
      </c>
      <c r="L149" s="163"/>
      <c r="M149" s="163">
        <v>-3112</v>
      </c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>
        <v>0</v>
      </c>
      <c r="AA149" s="163">
        <f t="shared" si="525"/>
        <v>0</v>
      </c>
      <c r="AB149" s="163">
        <f t="shared" si="526"/>
        <v>0</v>
      </c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>
        <v>0</v>
      </c>
      <c r="AN149" s="163">
        <f t="shared" si="527"/>
        <v>0</v>
      </c>
      <c r="AO149" s="163">
        <f t="shared" si="528"/>
        <v>0</v>
      </c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>
        <v>0</v>
      </c>
      <c r="BA149" s="81">
        <f t="shared" si="529"/>
        <v>0</v>
      </c>
      <c r="BB149" s="98">
        <f t="shared" si="530"/>
        <v>0</v>
      </c>
      <c r="BC149" s="199"/>
      <c r="BD149" s="199"/>
      <c r="BE149" s="199"/>
      <c r="BF149" s="199"/>
      <c r="BG149" s="199"/>
      <c r="BH149" s="81"/>
      <c r="BI149" s="81">
        <f t="shared" si="531"/>
        <v>0</v>
      </c>
      <c r="BJ149" s="81">
        <f t="shared" si="532"/>
        <v>0</v>
      </c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82" t="s">
        <v>679</v>
      </c>
      <c r="BV149" s="200"/>
      <c r="BW149" s="24"/>
    </row>
    <row r="150" spans="1:75" s="198" customFormat="1" ht="25.5" customHeight="1" x14ac:dyDescent="0.2">
      <c r="A150" s="108"/>
      <c r="B150" s="242"/>
      <c r="C150" s="285" t="s">
        <v>632</v>
      </c>
      <c r="D150" s="80">
        <f t="shared" si="521"/>
        <v>58050</v>
      </c>
      <c r="E150" s="295">
        <f t="shared" si="522"/>
        <v>58050</v>
      </c>
      <c r="F150" s="163">
        <v>58050</v>
      </c>
      <c r="G150" s="163">
        <f t="shared" si="523"/>
        <v>58050</v>
      </c>
      <c r="H150" s="163">
        <f t="shared" si="524"/>
        <v>0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>
        <v>0</v>
      </c>
      <c r="AA150" s="163">
        <f t="shared" si="525"/>
        <v>0</v>
      </c>
      <c r="AB150" s="163">
        <f t="shared" si="526"/>
        <v>0</v>
      </c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>
        <v>0</v>
      </c>
      <c r="AN150" s="163">
        <f t="shared" si="527"/>
        <v>0</v>
      </c>
      <c r="AO150" s="163">
        <f t="shared" si="528"/>
        <v>0</v>
      </c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>
        <v>0</v>
      </c>
      <c r="BA150" s="81">
        <f t="shared" si="529"/>
        <v>0</v>
      </c>
      <c r="BB150" s="98">
        <f t="shared" si="530"/>
        <v>0</v>
      </c>
      <c r="BC150" s="199"/>
      <c r="BD150" s="199"/>
      <c r="BE150" s="199"/>
      <c r="BF150" s="199"/>
      <c r="BG150" s="199"/>
      <c r="BH150" s="81"/>
      <c r="BI150" s="81">
        <f t="shared" si="531"/>
        <v>0</v>
      </c>
      <c r="BJ150" s="81">
        <f t="shared" si="532"/>
        <v>0</v>
      </c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82" t="s">
        <v>680</v>
      </c>
      <c r="BV150" s="200"/>
      <c r="BW150" s="24"/>
    </row>
    <row r="151" spans="1:75" s="198" customFormat="1" ht="24" x14ac:dyDescent="0.2">
      <c r="A151" s="108"/>
      <c r="B151" s="242"/>
      <c r="C151" s="285" t="s">
        <v>703</v>
      </c>
      <c r="D151" s="80">
        <f t="shared" si="521"/>
        <v>942</v>
      </c>
      <c r="E151" s="295">
        <f t="shared" si="522"/>
        <v>942</v>
      </c>
      <c r="F151" s="163">
        <v>942</v>
      </c>
      <c r="G151" s="163">
        <f t="shared" si="523"/>
        <v>942</v>
      </c>
      <c r="H151" s="163">
        <f t="shared" si="524"/>
        <v>0</v>
      </c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>
        <v>0</v>
      </c>
      <c r="AA151" s="163">
        <f t="shared" si="525"/>
        <v>0</v>
      </c>
      <c r="AB151" s="163">
        <f t="shared" si="526"/>
        <v>0</v>
      </c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>
        <v>0</v>
      </c>
      <c r="AN151" s="163">
        <f t="shared" si="527"/>
        <v>0</v>
      </c>
      <c r="AO151" s="163">
        <f t="shared" si="528"/>
        <v>0</v>
      </c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>
        <v>0</v>
      </c>
      <c r="BA151" s="81">
        <f t="shared" si="529"/>
        <v>0</v>
      </c>
      <c r="BB151" s="98">
        <f t="shared" si="530"/>
        <v>0</v>
      </c>
      <c r="BC151" s="199"/>
      <c r="BD151" s="199"/>
      <c r="BE151" s="199"/>
      <c r="BF151" s="199"/>
      <c r="BG151" s="199"/>
      <c r="BH151" s="81"/>
      <c r="BI151" s="81">
        <f t="shared" si="531"/>
        <v>0</v>
      </c>
      <c r="BJ151" s="81">
        <f t="shared" si="532"/>
        <v>0</v>
      </c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82" t="s">
        <v>681</v>
      </c>
      <c r="BV151" s="200"/>
      <c r="BW151" s="24"/>
    </row>
    <row r="152" spans="1:75" s="198" customFormat="1" ht="36" x14ac:dyDescent="0.2">
      <c r="A152" s="108"/>
      <c r="B152" s="242"/>
      <c r="C152" s="337" t="s">
        <v>744</v>
      </c>
      <c r="D152" s="80">
        <f t="shared" ref="D152" si="533">F152+Z152+AM152+AZ152+BH152</f>
        <v>0</v>
      </c>
      <c r="E152" s="295">
        <f t="shared" ref="E152" si="534">G152+AA152+AN152+BA152+BI152</f>
        <v>37880</v>
      </c>
      <c r="F152" s="163"/>
      <c r="G152" s="163">
        <f t="shared" ref="G152" si="535">F152+H152</f>
        <v>37880</v>
      </c>
      <c r="H152" s="163">
        <f t="shared" ref="H152" si="536">SUM(I152:Y152)</f>
        <v>37880</v>
      </c>
      <c r="I152" s="163">
        <v>37880</v>
      </c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>
        <f t="shared" ref="AA152" si="537">Z152+AB152</f>
        <v>0</v>
      </c>
      <c r="AB152" s="163">
        <f t="shared" ref="AB152" si="538">SUM(AC152:AL152)</f>
        <v>0</v>
      </c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>
        <f t="shared" ref="AN152" si="539">AM152+AO152</f>
        <v>0</v>
      </c>
      <c r="AO152" s="163">
        <f t="shared" ref="AO152" si="540">SUM(AP152:AY152)</f>
        <v>0</v>
      </c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81">
        <f t="shared" ref="BA152" si="541">AZ152+BB152</f>
        <v>0</v>
      </c>
      <c r="BB152" s="98">
        <f t="shared" ref="BB152" si="542">SUM(BC152:BG152)</f>
        <v>0</v>
      </c>
      <c r="BC152" s="199"/>
      <c r="BD152" s="199"/>
      <c r="BE152" s="199"/>
      <c r="BF152" s="199"/>
      <c r="BG152" s="199"/>
      <c r="BH152" s="81"/>
      <c r="BI152" s="81">
        <f t="shared" ref="BI152" si="543">BH152+BJ152</f>
        <v>0</v>
      </c>
      <c r="BJ152" s="81">
        <f t="shared" ref="BJ152" si="544">SUM(BK152:BT152)</f>
        <v>0</v>
      </c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82" t="s">
        <v>745</v>
      </c>
      <c r="BV152" s="200"/>
      <c r="BW152" s="24"/>
    </row>
    <row r="153" spans="1:75" s="198" customFormat="1" x14ac:dyDescent="0.2">
      <c r="A153" s="108"/>
      <c r="B153" s="242"/>
      <c r="C153" s="344" t="s">
        <v>769</v>
      </c>
      <c r="D153" s="80">
        <f t="shared" ref="D153" si="545">F153+Z153+AM153+AZ153+BH153</f>
        <v>0</v>
      </c>
      <c r="E153" s="295">
        <f t="shared" ref="E153" si="546">G153+AA153+AN153+BA153+BI153</f>
        <v>0</v>
      </c>
      <c r="F153" s="163"/>
      <c r="G153" s="163">
        <f t="shared" ref="G153" si="547">F153+H153</f>
        <v>0</v>
      </c>
      <c r="H153" s="163">
        <f t="shared" ref="H153" si="548">SUM(I153:Y153)</f>
        <v>0</v>
      </c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>
        <f t="shared" ref="AA153" si="549">Z153+AB153</f>
        <v>0</v>
      </c>
      <c r="AB153" s="163">
        <f t="shared" ref="AB153" si="550">SUM(AC153:AL153)</f>
        <v>0</v>
      </c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>
        <f t="shared" ref="AN153" si="551">AM153+AO153</f>
        <v>0</v>
      </c>
      <c r="AO153" s="163">
        <f t="shared" ref="AO153" si="552">SUM(AP153:AY153)</f>
        <v>0</v>
      </c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81">
        <f t="shared" ref="BA153" si="553">AZ153+BB153</f>
        <v>0</v>
      </c>
      <c r="BB153" s="98">
        <f t="shared" ref="BB153" si="554">SUM(BC153:BG153)</f>
        <v>0</v>
      </c>
      <c r="BC153" s="199"/>
      <c r="BD153" s="199"/>
      <c r="BE153" s="199"/>
      <c r="BF153" s="199"/>
      <c r="BG153" s="199"/>
      <c r="BH153" s="81"/>
      <c r="BI153" s="81">
        <f t="shared" ref="BI153" si="555">BH153+BJ153</f>
        <v>0</v>
      </c>
      <c r="BJ153" s="81">
        <f t="shared" ref="BJ153" si="556">SUM(BK153:BT153)</f>
        <v>0</v>
      </c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82" t="s">
        <v>770</v>
      </c>
      <c r="BV153" s="200"/>
      <c r="BW153" s="24"/>
    </row>
    <row r="154" spans="1:75" s="198" customFormat="1" ht="36" x14ac:dyDescent="0.2">
      <c r="A154" s="108"/>
      <c r="B154" s="242"/>
      <c r="C154" s="348" t="s">
        <v>776</v>
      </c>
      <c r="D154" s="80">
        <f t="shared" ref="D154" si="557">F154+Z154+AM154+AZ154+BH154</f>
        <v>0</v>
      </c>
      <c r="E154" s="295">
        <f t="shared" ref="E154" si="558">G154+AA154+AN154+BA154+BI154</f>
        <v>1660231</v>
      </c>
      <c r="F154" s="163"/>
      <c r="G154" s="163">
        <f t="shared" ref="G154" si="559">F154+H154</f>
        <v>1660231</v>
      </c>
      <c r="H154" s="163">
        <f t="shared" ref="H154" si="560">SUM(I154:Y154)</f>
        <v>1660231</v>
      </c>
      <c r="I154" s="163"/>
      <c r="J154" s="163"/>
      <c r="K154" s="163">
        <v>1779656</v>
      </c>
      <c r="L154" s="163"/>
      <c r="M154" s="163"/>
      <c r="N154" s="163"/>
      <c r="O154" s="163"/>
      <c r="P154" s="163"/>
      <c r="Q154" s="163">
        <v>-119425</v>
      </c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>
        <f t="shared" ref="AA154" si="561">Z154+AB154</f>
        <v>0</v>
      </c>
      <c r="AB154" s="163">
        <f t="shared" ref="AB154" si="562">SUM(AC154:AL154)</f>
        <v>0</v>
      </c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>
        <f t="shared" ref="AN154" si="563">AM154+AO154</f>
        <v>0</v>
      </c>
      <c r="AO154" s="163">
        <f t="shared" ref="AO154" si="564">SUM(AP154:AY154)</f>
        <v>0</v>
      </c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81">
        <f t="shared" ref="BA154" si="565">AZ154+BB154</f>
        <v>0</v>
      </c>
      <c r="BB154" s="98">
        <f t="shared" ref="BB154" si="566">SUM(BC154:BG154)</f>
        <v>0</v>
      </c>
      <c r="BC154" s="199"/>
      <c r="BD154" s="199"/>
      <c r="BE154" s="199"/>
      <c r="BF154" s="199"/>
      <c r="BG154" s="199"/>
      <c r="BH154" s="81"/>
      <c r="BI154" s="81">
        <f t="shared" ref="BI154" si="567">BH154+BJ154</f>
        <v>0</v>
      </c>
      <c r="BJ154" s="81">
        <f t="shared" ref="BJ154" si="568">SUM(BK154:BT154)</f>
        <v>0</v>
      </c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82" t="s">
        <v>777</v>
      </c>
      <c r="BV154" s="200"/>
      <c r="BW154" s="24"/>
    </row>
    <row r="155" spans="1:75" s="198" customFormat="1" ht="24.75" customHeight="1" x14ac:dyDescent="0.2">
      <c r="A155" s="108"/>
      <c r="B155" s="242"/>
      <c r="C155" s="349" t="s">
        <v>780</v>
      </c>
      <c r="D155" s="80">
        <f t="shared" ref="D155" si="569">F155+Z155+AM155+AZ155+BH155</f>
        <v>0</v>
      </c>
      <c r="E155" s="295">
        <f t="shared" ref="E155" si="570">G155+AA155+AN155+BA155+BI155</f>
        <v>863674</v>
      </c>
      <c r="F155" s="163"/>
      <c r="G155" s="163">
        <f t="shared" ref="G155" si="571">F155+H155</f>
        <v>863674</v>
      </c>
      <c r="H155" s="163">
        <f t="shared" ref="H155" si="572">SUM(I155:Y155)</f>
        <v>863674</v>
      </c>
      <c r="I155" s="163"/>
      <c r="J155" s="163"/>
      <c r="K155" s="163">
        <v>863674</v>
      </c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>
        <f t="shared" ref="AA155" si="573">Z155+AB155</f>
        <v>0</v>
      </c>
      <c r="AB155" s="163">
        <f t="shared" ref="AB155" si="574">SUM(AC155:AL155)</f>
        <v>0</v>
      </c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>
        <f t="shared" ref="AN155" si="575">AM155+AO155</f>
        <v>0</v>
      </c>
      <c r="AO155" s="163">
        <f t="shared" ref="AO155" si="576">SUM(AP155:AY155)</f>
        <v>0</v>
      </c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81">
        <f t="shared" ref="BA155" si="577">AZ155+BB155</f>
        <v>0</v>
      </c>
      <c r="BB155" s="98">
        <f t="shared" ref="BB155" si="578">SUM(BC155:BG155)</f>
        <v>0</v>
      </c>
      <c r="BC155" s="199"/>
      <c r="BD155" s="199"/>
      <c r="BE155" s="199"/>
      <c r="BF155" s="199"/>
      <c r="BG155" s="199"/>
      <c r="BH155" s="81"/>
      <c r="BI155" s="81">
        <f t="shared" ref="BI155" si="579">BH155+BJ155</f>
        <v>0</v>
      </c>
      <c r="BJ155" s="81">
        <f t="shared" ref="BJ155" si="580">SUM(BK155:BT155)</f>
        <v>0</v>
      </c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82" t="s">
        <v>781</v>
      </c>
      <c r="BV155" s="200"/>
      <c r="BW155" s="24"/>
    </row>
    <row r="156" spans="1:75" s="198" customFormat="1" ht="38.25" customHeight="1" x14ac:dyDescent="0.2">
      <c r="A156" s="108"/>
      <c r="B156" s="242"/>
      <c r="C156" s="389" t="s">
        <v>836</v>
      </c>
      <c r="D156" s="80">
        <f t="shared" ref="D156:D157" si="581">F156+Z156+AM156+AZ156+BH156</f>
        <v>0</v>
      </c>
      <c r="E156" s="295">
        <f t="shared" ref="E156:E157" si="582">G156+AA156+AN156+BA156+BI156</f>
        <v>634319</v>
      </c>
      <c r="F156" s="163"/>
      <c r="G156" s="163">
        <f t="shared" ref="G156:G157" si="583">F156+H156</f>
        <v>634319</v>
      </c>
      <c r="H156" s="163">
        <f t="shared" ref="H156:H157" si="584">SUM(I156:Y156)</f>
        <v>634319</v>
      </c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>
        <v>580732</v>
      </c>
      <c r="T156" s="163"/>
      <c r="U156" s="163"/>
      <c r="V156" s="163"/>
      <c r="W156" s="163">
        <v>53587</v>
      </c>
      <c r="X156" s="163"/>
      <c r="Y156" s="163"/>
      <c r="Z156" s="163"/>
      <c r="AA156" s="163">
        <f t="shared" ref="AA156:AA157" si="585">Z156+AB156</f>
        <v>0</v>
      </c>
      <c r="AB156" s="163">
        <f t="shared" ref="AB156:AB157" si="586">SUM(AC156:AL156)</f>
        <v>0</v>
      </c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>
        <f t="shared" ref="AN156:AN157" si="587">AM156+AO156</f>
        <v>0</v>
      </c>
      <c r="AO156" s="163">
        <f t="shared" ref="AO156:AO157" si="588">SUM(AP156:AY156)</f>
        <v>0</v>
      </c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81">
        <f t="shared" ref="BA156:BA157" si="589">AZ156+BB156</f>
        <v>0</v>
      </c>
      <c r="BB156" s="98">
        <f t="shared" ref="BB156:BB157" si="590">SUM(BC156:BG156)</f>
        <v>0</v>
      </c>
      <c r="BC156" s="199"/>
      <c r="BD156" s="199"/>
      <c r="BE156" s="199"/>
      <c r="BF156" s="199"/>
      <c r="BG156" s="199"/>
      <c r="BH156" s="81"/>
      <c r="BI156" s="81">
        <f t="shared" ref="BI156:BI157" si="591">BH156+BJ156</f>
        <v>0</v>
      </c>
      <c r="BJ156" s="81">
        <f t="shared" ref="BJ156:BJ157" si="592">SUM(BK156:BT156)</f>
        <v>0</v>
      </c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82" t="s">
        <v>823</v>
      </c>
      <c r="BV156" s="200"/>
      <c r="BW156" s="24"/>
    </row>
    <row r="157" spans="1:75" s="198" customFormat="1" x14ac:dyDescent="0.2">
      <c r="A157" s="108"/>
      <c r="B157" s="242"/>
      <c r="C157" s="395" t="s">
        <v>832</v>
      </c>
      <c r="D157" s="80">
        <f t="shared" si="581"/>
        <v>0</v>
      </c>
      <c r="E157" s="295">
        <f t="shared" si="582"/>
        <v>1940</v>
      </c>
      <c r="F157" s="163"/>
      <c r="G157" s="163">
        <f t="shared" si="583"/>
        <v>1940</v>
      </c>
      <c r="H157" s="163">
        <f t="shared" si="584"/>
        <v>1940</v>
      </c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>
        <v>1940</v>
      </c>
      <c r="V157" s="163"/>
      <c r="W157" s="163"/>
      <c r="X157" s="163"/>
      <c r="Y157" s="163"/>
      <c r="Z157" s="163"/>
      <c r="AA157" s="163">
        <f t="shared" si="585"/>
        <v>0</v>
      </c>
      <c r="AB157" s="163">
        <f t="shared" si="586"/>
        <v>0</v>
      </c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>
        <f t="shared" si="587"/>
        <v>0</v>
      </c>
      <c r="AO157" s="163">
        <f t="shared" si="588"/>
        <v>0</v>
      </c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81">
        <f t="shared" si="589"/>
        <v>0</v>
      </c>
      <c r="BB157" s="98">
        <f t="shared" si="590"/>
        <v>0</v>
      </c>
      <c r="BC157" s="199"/>
      <c r="BD157" s="199"/>
      <c r="BE157" s="199"/>
      <c r="BF157" s="199"/>
      <c r="BG157" s="199"/>
      <c r="BH157" s="81"/>
      <c r="BI157" s="81">
        <f t="shared" si="591"/>
        <v>0</v>
      </c>
      <c r="BJ157" s="81">
        <f t="shared" si="592"/>
        <v>0</v>
      </c>
      <c r="BK157" s="199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82" t="s">
        <v>833</v>
      </c>
      <c r="BV157" s="200"/>
      <c r="BW157" s="24"/>
    </row>
    <row r="158" spans="1:75" ht="24" customHeight="1" x14ac:dyDescent="0.2">
      <c r="A158" s="108">
        <v>90000051665</v>
      </c>
      <c r="B158" s="241" t="s">
        <v>245</v>
      </c>
      <c r="C158" s="285" t="s">
        <v>227</v>
      </c>
      <c r="D158" s="80">
        <f t="shared" si="521"/>
        <v>854860</v>
      </c>
      <c r="E158" s="295">
        <f t="shared" si="522"/>
        <v>895104</v>
      </c>
      <c r="F158" s="81">
        <v>604903</v>
      </c>
      <c r="G158" s="81">
        <f t="shared" si="523"/>
        <v>635002</v>
      </c>
      <c r="H158" s="81">
        <f t="shared" si="524"/>
        <v>30099</v>
      </c>
      <c r="I158" s="81"/>
      <c r="J158" s="81"/>
      <c r="K158" s="81"/>
      <c r="L158" s="81">
        <f>29999+100</f>
        <v>30099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>
        <v>223203</v>
      </c>
      <c r="AA158" s="81">
        <f t="shared" si="525"/>
        <v>228011</v>
      </c>
      <c r="AB158" s="81">
        <f t="shared" si="526"/>
        <v>4808</v>
      </c>
      <c r="AC158" s="81">
        <v>1183</v>
      </c>
      <c r="AD158" s="81">
        <v>3688</v>
      </c>
      <c r="AE158" s="81"/>
      <c r="AF158" s="81"/>
      <c r="AG158" s="81">
        <f>-63-1+1</f>
        <v>-63</v>
      </c>
      <c r="AH158" s="81"/>
      <c r="AI158" s="81"/>
      <c r="AJ158" s="81"/>
      <c r="AK158" s="81"/>
      <c r="AL158" s="81"/>
      <c r="AM158" s="81">
        <v>26754</v>
      </c>
      <c r="AN158" s="81">
        <f t="shared" si="527"/>
        <v>32091</v>
      </c>
      <c r="AO158" s="81">
        <f t="shared" si="528"/>
        <v>5337</v>
      </c>
      <c r="AP158" s="81">
        <v>5337</v>
      </c>
      <c r="AQ158" s="81"/>
      <c r="AR158" s="81"/>
      <c r="AS158" s="81"/>
      <c r="AT158" s="81"/>
      <c r="AU158" s="81"/>
      <c r="AV158" s="81"/>
      <c r="AW158" s="81"/>
      <c r="AX158" s="81"/>
      <c r="AY158" s="81"/>
      <c r="AZ158" s="81">
        <v>0</v>
      </c>
      <c r="BA158" s="81">
        <f t="shared" si="529"/>
        <v>0</v>
      </c>
      <c r="BB158" s="98">
        <f t="shared" si="530"/>
        <v>0</v>
      </c>
      <c r="BC158" s="98"/>
      <c r="BD158" s="98"/>
      <c r="BE158" s="98"/>
      <c r="BF158" s="98"/>
      <c r="BG158" s="98"/>
      <c r="BH158" s="81"/>
      <c r="BI158" s="81">
        <f t="shared" si="531"/>
        <v>0</v>
      </c>
      <c r="BJ158" s="81">
        <f t="shared" si="532"/>
        <v>0</v>
      </c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82" t="s">
        <v>369</v>
      </c>
      <c r="BV158" s="85"/>
      <c r="BW158" s="24"/>
    </row>
    <row r="159" spans="1:75" x14ac:dyDescent="0.2">
      <c r="A159" s="108"/>
      <c r="B159" s="242"/>
      <c r="C159" s="285" t="s">
        <v>240</v>
      </c>
      <c r="D159" s="80">
        <f t="shared" si="521"/>
        <v>65436</v>
      </c>
      <c r="E159" s="295">
        <f t="shared" si="522"/>
        <v>65436</v>
      </c>
      <c r="F159" s="81">
        <v>46771</v>
      </c>
      <c r="G159" s="81">
        <f t="shared" si="523"/>
        <v>46771</v>
      </c>
      <c r="H159" s="81">
        <f t="shared" si="524"/>
        <v>0</v>
      </c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>
        <v>18665</v>
      </c>
      <c r="AA159" s="81">
        <f t="shared" si="525"/>
        <v>18665</v>
      </c>
      <c r="AB159" s="81">
        <f t="shared" si="526"/>
        <v>0</v>
      </c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>
        <v>0</v>
      </c>
      <c r="AN159" s="81">
        <f t="shared" si="527"/>
        <v>0</v>
      </c>
      <c r="AO159" s="81">
        <f t="shared" si="528"/>
        <v>0</v>
      </c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>
        <v>0</v>
      </c>
      <c r="BA159" s="81">
        <f t="shared" si="529"/>
        <v>0</v>
      </c>
      <c r="BB159" s="98">
        <f t="shared" si="530"/>
        <v>0</v>
      </c>
      <c r="BC159" s="98"/>
      <c r="BD159" s="98"/>
      <c r="BE159" s="98"/>
      <c r="BF159" s="98"/>
      <c r="BG159" s="98"/>
      <c r="BH159" s="81"/>
      <c r="BI159" s="81">
        <f t="shared" si="531"/>
        <v>0</v>
      </c>
      <c r="BJ159" s="81">
        <f t="shared" si="532"/>
        <v>0</v>
      </c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82" t="s">
        <v>370</v>
      </c>
      <c r="BV159" s="85"/>
      <c r="BW159" s="24"/>
    </row>
    <row r="160" spans="1:75" s="198" customFormat="1" ht="24" x14ac:dyDescent="0.2">
      <c r="A160" s="108"/>
      <c r="B160" s="242"/>
      <c r="C160" s="388" t="s">
        <v>818</v>
      </c>
      <c r="D160" s="80">
        <f t="shared" ref="D160" si="593">F160+Z160+AM160+AZ160+BH160</f>
        <v>0</v>
      </c>
      <c r="E160" s="295">
        <f t="shared" ref="E160" si="594">G160+AA160+AN160+BA160+BI160</f>
        <v>17310</v>
      </c>
      <c r="F160" s="81"/>
      <c r="G160" s="81">
        <f t="shared" ref="G160" si="595">F160+H160</f>
        <v>17310</v>
      </c>
      <c r="H160" s="81">
        <f t="shared" ref="H160" si="596">SUM(I160:Y160)</f>
        <v>17310</v>
      </c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>
        <v>17310</v>
      </c>
      <c r="T160" s="81"/>
      <c r="U160" s="81"/>
      <c r="V160" s="81"/>
      <c r="W160" s="81"/>
      <c r="X160" s="81"/>
      <c r="Y160" s="81"/>
      <c r="Z160" s="81"/>
      <c r="AA160" s="81">
        <f t="shared" ref="AA160" si="597">Z160+AB160</f>
        <v>0</v>
      </c>
      <c r="AB160" s="81">
        <f t="shared" ref="AB160" si="598">SUM(AC160:AL160)</f>
        <v>0</v>
      </c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>
        <f t="shared" ref="AN160" si="599">AM160+AO160</f>
        <v>0</v>
      </c>
      <c r="AO160" s="81">
        <f t="shared" ref="AO160" si="600">SUM(AP160:AY160)</f>
        <v>0</v>
      </c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>
        <f t="shared" ref="BA160" si="601">AZ160+BB160</f>
        <v>0</v>
      </c>
      <c r="BB160" s="98">
        <f t="shared" ref="BB160" si="602">SUM(BC160:BG160)</f>
        <v>0</v>
      </c>
      <c r="BC160" s="98"/>
      <c r="BD160" s="98"/>
      <c r="BE160" s="98"/>
      <c r="BF160" s="98"/>
      <c r="BG160" s="98"/>
      <c r="BH160" s="81"/>
      <c r="BI160" s="81">
        <f t="shared" ref="BI160" si="603">BH160+BJ160</f>
        <v>0</v>
      </c>
      <c r="BJ160" s="81">
        <f t="shared" ref="BJ160" si="604">SUM(BK160:BT160)</f>
        <v>0</v>
      </c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82" t="s">
        <v>819</v>
      </c>
      <c r="BV160" s="85"/>
      <c r="BW160" s="24"/>
    </row>
    <row r="161" spans="1:75" ht="22.5" customHeight="1" x14ac:dyDescent="0.2">
      <c r="A161" s="108">
        <v>90000051561</v>
      </c>
      <c r="B161" s="241" t="s">
        <v>280</v>
      </c>
      <c r="C161" s="285" t="s">
        <v>227</v>
      </c>
      <c r="D161" s="80">
        <f t="shared" si="521"/>
        <v>715688</v>
      </c>
      <c r="E161" s="295">
        <f t="shared" si="522"/>
        <v>723717</v>
      </c>
      <c r="F161" s="81">
        <v>343518</v>
      </c>
      <c r="G161" s="81">
        <f t="shared" si="523"/>
        <v>333452</v>
      </c>
      <c r="H161" s="81">
        <f t="shared" si="524"/>
        <v>-10066</v>
      </c>
      <c r="I161" s="81"/>
      <c r="J161" s="81"/>
      <c r="K161" s="81">
        <v>-10066</v>
      </c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>
        <v>352962</v>
      </c>
      <c r="AA161" s="81">
        <f t="shared" si="525"/>
        <v>360991</v>
      </c>
      <c r="AB161" s="81">
        <f t="shared" si="526"/>
        <v>8029</v>
      </c>
      <c r="AC161" s="81">
        <v>2247</v>
      </c>
      <c r="AD161" s="81">
        <v>5919</v>
      </c>
      <c r="AE161" s="81"/>
      <c r="AF161" s="81"/>
      <c r="AG161" s="81">
        <f>-137-1+1</f>
        <v>-137</v>
      </c>
      <c r="AH161" s="81"/>
      <c r="AI161" s="81"/>
      <c r="AJ161" s="81"/>
      <c r="AK161" s="81"/>
      <c r="AL161" s="81"/>
      <c r="AM161" s="81">
        <v>19350</v>
      </c>
      <c r="AN161" s="81">
        <f t="shared" si="527"/>
        <v>29416</v>
      </c>
      <c r="AO161" s="81">
        <f t="shared" si="528"/>
        <v>10066</v>
      </c>
      <c r="AP161" s="81">
        <v>10066</v>
      </c>
      <c r="AQ161" s="81"/>
      <c r="AR161" s="81"/>
      <c r="AS161" s="81"/>
      <c r="AT161" s="81"/>
      <c r="AU161" s="81"/>
      <c r="AV161" s="81"/>
      <c r="AW161" s="81"/>
      <c r="AX161" s="81"/>
      <c r="AY161" s="81"/>
      <c r="AZ161" s="81">
        <v>0</v>
      </c>
      <c r="BA161" s="81">
        <f t="shared" si="529"/>
        <v>0</v>
      </c>
      <c r="BB161" s="98">
        <f t="shared" si="530"/>
        <v>0</v>
      </c>
      <c r="BC161" s="98"/>
      <c r="BD161" s="98"/>
      <c r="BE161" s="98"/>
      <c r="BF161" s="98"/>
      <c r="BG161" s="98"/>
      <c r="BH161" s="81">
        <v>-142</v>
      </c>
      <c r="BI161" s="81">
        <f t="shared" si="531"/>
        <v>-142</v>
      </c>
      <c r="BJ161" s="81">
        <f t="shared" si="532"/>
        <v>0</v>
      </c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82" t="s">
        <v>371</v>
      </c>
      <c r="BV161" s="85"/>
      <c r="BW161" s="24"/>
    </row>
    <row r="162" spans="1:75" x14ac:dyDescent="0.2">
      <c r="A162" s="108"/>
      <c r="B162" s="242"/>
      <c r="C162" s="285" t="s">
        <v>240</v>
      </c>
      <c r="D162" s="80">
        <f t="shared" si="521"/>
        <v>84322</v>
      </c>
      <c r="E162" s="295">
        <f t="shared" si="522"/>
        <v>88201</v>
      </c>
      <c r="F162" s="81">
        <v>61512</v>
      </c>
      <c r="G162" s="81">
        <f t="shared" si="523"/>
        <v>61512</v>
      </c>
      <c r="H162" s="81">
        <f t="shared" si="524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>
        <v>22810</v>
      </c>
      <c r="AA162" s="81">
        <f t="shared" si="525"/>
        <v>26689</v>
      </c>
      <c r="AB162" s="81">
        <f t="shared" si="526"/>
        <v>3879</v>
      </c>
      <c r="AC162" s="81"/>
      <c r="AD162" s="81">
        <v>3879</v>
      </c>
      <c r="AE162" s="81"/>
      <c r="AF162" s="81"/>
      <c r="AG162" s="81"/>
      <c r="AH162" s="81"/>
      <c r="AI162" s="81"/>
      <c r="AJ162" s="81"/>
      <c r="AK162" s="81"/>
      <c r="AL162" s="81"/>
      <c r="AM162" s="81">
        <v>0</v>
      </c>
      <c r="AN162" s="81">
        <f t="shared" si="527"/>
        <v>0</v>
      </c>
      <c r="AO162" s="81">
        <f t="shared" si="528"/>
        <v>0</v>
      </c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>
        <v>0</v>
      </c>
      <c r="BA162" s="81">
        <f t="shared" si="529"/>
        <v>0</v>
      </c>
      <c r="BB162" s="98">
        <f t="shared" si="530"/>
        <v>0</v>
      </c>
      <c r="BC162" s="98"/>
      <c r="BD162" s="98"/>
      <c r="BE162" s="98"/>
      <c r="BF162" s="98"/>
      <c r="BG162" s="98"/>
      <c r="BH162" s="81"/>
      <c r="BI162" s="81">
        <f t="shared" si="531"/>
        <v>0</v>
      </c>
      <c r="BJ162" s="81">
        <f t="shared" si="532"/>
        <v>0</v>
      </c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82" t="s">
        <v>372</v>
      </c>
      <c r="BV162" s="85"/>
      <c r="BW162" s="24"/>
    </row>
    <row r="163" spans="1:75" ht="24" customHeight="1" x14ac:dyDescent="0.2">
      <c r="A163" s="108">
        <v>90009226256</v>
      </c>
      <c r="B163" s="241" t="s">
        <v>152</v>
      </c>
      <c r="C163" s="285" t="s">
        <v>453</v>
      </c>
      <c r="D163" s="80">
        <f t="shared" si="521"/>
        <v>368103</v>
      </c>
      <c r="E163" s="295">
        <f t="shared" si="522"/>
        <v>371717</v>
      </c>
      <c r="F163" s="81">
        <v>281391</v>
      </c>
      <c r="G163" s="81">
        <f t="shared" si="523"/>
        <v>283345</v>
      </c>
      <c r="H163" s="81">
        <f t="shared" si="524"/>
        <v>1954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>
        <v>1954</v>
      </c>
      <c r="X163" s="81"/>
      <c r="Y163" s="81"/>
      <c r="Z163" s="81">
        <v>76102</v>
      </c>
      <c r="AA163" s="81">
        <f t="shared" si="525"/>
        <v>76102</v>
      </c>
      <c r="AB163" s="81">
        <f t="shared" si="526"/>
        <v>0</v>
      </c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>
        <v>10610</v>
      </c>
      <c r="AN163" s="81">
        <f t="shared" si="527"/>
        <v>12270</v>
      </c>
      <c r="AO163" s="81">
        <f t="shared" si="528"/>
        <v>1660</v>
      </c>
      <c r="AP163" s="81">
        <v>737</v>
      </c>
      <c r="AQ163" s="81"/>
      <c r="AR163" s="81"/>
      <c r="AS163" s="81"/>
      <c r="AT163" s="81"/>
      <c r="AU163" s="81"/>
      <c r="AV163" s="81">
        <v>923</v>
      </c>
      <c r="AW163" s="81"/>
      <c r="AX163" s="81"/>
      <c r="AY163" s="81"/>
      <c r="AZ163" s="81">
        <v>0</v>
      </c>
      <c r="BA163" s="81">
        <f t="shared" si="529"/>
        <v>0</v>
      </c>
      <c r="BB163" s="98">
        <f t="shared" si="530"/>
        <v>0</v>
      </c>
      <c r="BC163" s="98"/>
      <c r="BD163" s="98"/>
      <c r="BE163" s="98"/>
      <c r="BF163" s="98"/>
      <c r="BG163" s="98"/>
      <c r="BH163" s="81"/>
      <c r="BI163" s="81">
        <f t="shared" si="531"/>
        <v>0</v>
      </c>
      <c r="BJ163" s="81">
        <f t="shared" si="532"/>
        <v>0</v>
      </c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82" t="s">
        <v>373</v>
      </c>
      <c r="BV163" s="85"/>
      <c r="BW163" s="24"/>
    </row>
    <row r="164" spans="1:75" s="130" customFormat="1" ht="12.75" x14ac:dyDescent="0.2">
      <c r="A164" s="110"/>
      <c r="B164" s="245"/>
      <c r="C164" s="285" t="s">
        <v>538</v>
      </c>
      <c r="D164" s="80">
        <f t="shared" si="521"/>
        <v>62734</v>
      </c>
      <c r="E164" s="295">
        <f t="shared" si="522"/>
        <v>71041</v>
      </c>
      <c r="F164" s="81">
        <v>62734</v>
      </c>
      <c r="G164" s="81">
        <f t="shared" si="523"/>
        <v>71041</v>
      </c>
      <c r="H164" s="81">
        <f t="shared" si="524"/>
        <v>8307</v>
      </c>
      <c r="I164" s="81"/>
      <c r="J164" s="81"/>
      <c r="K164" s="81">
        <v>8307</v>
      </c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>
        <v>0</v>
      </c>
      <c r="AA164" s="81">
        <f t="shared" si="525"/>
        <v>0</v>
      </c>
      <c r="AB164" s="81">
        <f t="shared" si="526"/>
        <v>0</v>
      </c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>
        <v>0</v>
      </c>
      <c r="AN164" s="81">
        <f t="shared" si="527"/>
        <v>0</v>
      </c>
      <c r="AO164" s="81">
        <f t="shared" si="528"/>
        <v>0</v>
      </c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>
        <v>0</v>
      </c>
      <c r="BA164" s="81">
        <f t="shared" si="529"/>
        <v>0</v>
      </c>
      <c r="BB164" s="98">
        <f t="shared" si="530"/>
        <v>0</v>
      </c>
      <c r="BC164" s="98"/>
      <c r="BD164" s="98"/>
      <c r="BE164" s="98"/>
      <c r="BF164" s="98"/>
      <c r="BG164" s="98"/>
      <c r="BH164" s="81"/>
      <c r="BI164" s="81">
        <f t="shared" si="531"/>
        <v>0</v>
      </c>
      <c r="BJ164" s="81">
        <f t="shared" si="532"/>
        <v>0</v>
      </c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82" t="s">
        <v>682</v>
      </c>
      <c r="BV164" s="85"/>
      <c r="BW164" s="24"/>
    </row>
    <row r="165" spans="1:75" s="198" customFormat="1" ht="12.75" x14ac:dyDescent="0.2">
      <c r="A165" s="110"/>
      <c r="B165" s="245"/>
      <c r="C165" s="285" t="s">
        <v>633</v>
      </c>
      <c r="D165" s="80">
        <f t="shared" si="521"/>
        <v>1803</v>
      </c>
      <c r="E165" s="295">
        <f t="shared" si="522"/>
        <v>1844</v>
      </c>
      <c r="F165" s="81">
        <v>1803</v>
      </c>
      <c r="G165" s="81">
        <f t="shared" si="523"/>
        <v>1844</v>
      </c>
      <c r="H165" s="81">
        <f t="shared" si="524"/>
        <v>41</v>
      </c>
      <c r="I165" s="81"/>
      <c r="J165" s="81"/>
      <c r="K165" s="81">
        <v>41</v>
      </c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>
        <v>0</v>
      </c>
      <c r="AA165" s="81">
        <f t="shared" si="525"/>
        <v>0</v>
      </c>
      <c r="AB165" s="81">
        <f t="shared" si="526"/>
        <v>0</v>
      </c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>
        <v>0</v>
      </c>
      <c r="AN165" s="81">
        <f t="shared" si="527"/>
        <v>0</v>
      </c>
      <c r="AO165" s="81">
        <f t="shared" si="528"/>
        <v>0</v>
      </c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>
        <v>0</v>
      </c>
      <c r="BA165" s="81">
        <f t="shared" si="529"/>
        <v>0</v>
      </c>
      <c r="BB165" s="98">
        <f t="shared" si="530"/>
        <v>0</v>
      </c>
      <c r="BC165" s="98"/>
      <c r="BD165" s="98"/>
      <c r="BE165" s="98"/>
      <c r="BF165" s="98"/>
      <c r="BG165" s="98"/>
      <c r="BH165" s="81"/>
      <c r="BI165" s="81">
        <f t="shared" si="531"/>
        <v>0</v>
      </c>
      <c r="BJ165" s="81">
        <f t="shared" si="532"/>
        <v>0</v>
      </c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82" t="s">
        <v>683</v>
      </c>
      <c r="BV165" s="85"/>
      <c r="BW165" s="24"/>
    </row>
    <row r="166" spans="1:75" s="198" customFormat="1" ht="24" x14ac:dyDescent="0.2">
      <c r="A166" s="110"/>
      <c r="B166" s="245"/>
      <c r="C166" s="285" t="s">
        <v>634</v>
      </c>
      <c r="D166" s="80">
        <f t="shared" si="521"/>
        <v>0</v>
      </c>
      <c r="E166" s="295">
        <f t="shared" si="522"/>
        <v>3</v>
      </c>
      <c r="F166" s="81">
        <v>582</v>
      </c>
      <c r="G166" s="81">
        <f t="shared" si="523"/>
        <v>584</v>
      </c>
      <c r="H166" s="81">
        <f t="shared" si="524"/>
        <v>2</v>
      </c>
      <c r="I166" s="81"/>
      <c r="J166" s="81"/>
      <c r="K166" s="81">
        <v>2</v>
      </c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>
        <f>1-1</f>
        <v>0</v>
      </c>
      <c r="X166" s="81"/>
      <c r="Y166" s="81"/>
      <c r="Z166" s="81">
        <v>0</v>
      </c>
      <c r="AA166" s="81">
        <f t="shared" si="525"/>
        <v>0</v>
      </c>
      <c r="AB166" s="81">
        <f t="shared" si="526"/>
        <v>0</v>
      </c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>
        <v>0</v>
      </c>
      <c r="AN166" s="81">
        <f t="shared" si="527"/>
        <v>0</v>
      </c>
      <c r="AO166" s="81">
        <f t="shared" si="528"/>
        <v>0</v>
      </c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>
        <v>0</v>
      </c>
      <c r="BA166" s="81">
        <f t="shared" si="529"/>
        <v>0</v>
      </c>
      <c r="BB166" s="98">
        <f t="shared" si="530"/>
        <v>0</v>
      </c>
      <c r="BC166" s="98"/>
      <c r="BD166" s="98"/>
      <c r="BE166" s="98"/>
      <c r="BF166" s="98"/>
      <c r="BG166" s="98"/>
      <c r="BH166" s="81">
        <v>-582</v>
      </c>
      <c r="BI166" s="81">
        <f t="shared" si="531"/>
        <v>-581</v>
      </c>
      <c r="BJ166" s="81">
        <f t="shared" si="532"/>
        <v>1</v>
      </c>
      <c r="BK166" s="98"/>
      <c r="BL166" s="98"/>
      <c r="BM166" s="98"/>
      <c r="BN166" s="98"/>
      <c r="BO166" s="98"/>
      <c r="BP166" s="98"/>
      <c r="BQ166" s="98"/>
      <c r="BR166" s="98">
        <v>1</v>
      </c>
      <c r="BS166" s="98"/>
      <c r="BT166" s="98"/>
      <c r="BU166" s="82" t="s">
        <v>685</v>
      </c>
      <c r="BV166" s="85"/>
      <c r="BW166" s="24"/>
    </row>
    <row r="167" spans="1:75" s="198" customFormat="1" ht="12.75" x14ac:dyDescent="0.2">
      <c r="A167" s="110"/>
      <c r="B167" s="245"/>
      <c r="C167" s="341" t="s">
        <v>768</v>
      </c>
      <c r="D167" s="80">
        <f t="shared" ref="D167" si="605">F167+Z167+AM167+AZ167+BH167</f>
        <v>0</v>
      </c>
      <c r="E167" s="295">
        <f t="shared" ref="E167" si="606">G167+AA167+AN167+BA167+BI167</f>
        <v>0</v>
      </c>
      <c r="F167" s="81"/>
      <c r="G167" s="81">
        <f t="shared" ref="G167" si="607">F167+H167</f>
        <v>0</v>
      </c>
      <c r="H167" s="81">
        <f t="shared" ref="H167" si="608">SUM(I167:Y167)</f>
        <v>0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>
        <f t="shared" ref="AA167" si="609">Z167+AB167</f>
        <v>0</v>
      </c>
      <c r="AB167" s="81">
        <f t="shared" ref="AB167" si="610">SUM(AC167:AL167)</f>
        <v>0</v>
      </c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>
        <f t="shared" ref="AN167" si="611">AM167+AO167</f>
        <v>0</v>
      </c>
      <c r="AO167" s="81">
        <f t="shared" ref="AO167" si="612">SUM(AP167:AY167)</f>
        <v>0</v>
      </c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>
        <f t="shared" ref="BA167" si="613">AZ167+BB167</f>
        <v>0</v>
      </c>
      <c r="BB167" s="98">
        <f t="shared" ref="BB167" si="614">SUM(BC167:BG167)</f>
        <v>0</v>
      </c>
      <c r="BC167" s="98"/>
      <c r="BD167" s="98"/>
      <c r="BE167" s="98"/>
      <c r="BF167" s="98"/>
      <c r="BG167" s="98"/>
      <c r="BH167" s="81"/>
      <c r="BI167" s="81">
        <f t="shared" ref="BI167" si="615">BH167+BJ167</f>
        <v>0</v>
      </c>
      <c r="BJ167" s="81">
        <f t="shared" ref="BJ167" si="616">SUM(BK167:BT167)</f>
        <v>0</v>
      </c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82" t="s">
        <v>767</v>
      </c>
      <c r="BV167" s="85"/>
      <c r="BW167" s="24"/>
    </row>
    <row r="168" spans="1:75" ht="24" customHeight="1" x14ac:dyDescent="0.2">
      <c r="A168" s="108">
        <v>90000051487</v>
      </c>
      <c r="B168" s="241" t="s">
        <v>137</v>
      </c>
      <c r="C168" s="285" t="s">
        <v>227</v>
      </c>
      <c r="D168" s="80">
        <f t="shared" si="521"/>
        <v>931862</v>
      </c>
      <c r="E168" s="295">
        <f t="shared" si="522"/>
        <v>940052</v>
      </c>
      <c r="F168" s="81">
        <v>407899</v>
      </c>
      <c r="G168" s="81">
        <f t="shared" si="523"/>
        <v>407899</v>
      </c>
      <c r="H168" s="81">
        <f t="shared" si="524"/>
        <v>0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>
        <v>513962</v>
      </c>
      <c r="AA168" s="81">
        <f t="shared" si="525"/>
        <v>522052</v>
      </c>
      <c r="AB168" s="81">
        <f t="shared" si="526"/>
        <v>8090</v>
      </c>
      <c r="AC168" s="81">
        <v>2226</v>
      </c>
      <c r="AD168" s="81">
        <v>5864</v>
      </c>
      <c r="AE168" s="81"/>
      <c r="AF168" s="81"/>
      <c r="AG168" s="81"/>
      <c r="AH168" s="81"/>
      <c r="AI168" s="81"/>
      <c r="AJ168" s="81"/>
      <c r="AK168" s="81"/>
      <c r="AL168" s="81"/>
      <c r="AM168" s="81">
        <v>10001</v>
      </c>
      <c r="AN168" s="81">
        <f t="shared" si="527"/>
        <v>10101</v>
      </c>
      <c r="AO168" s="81">
        <f t="shared" si="528"/>
        <v>100</v>
      </c>
      <c r="AP168" s="81"/>
      <c r="AQ168" s="81"/>
      <c r="AR168" s="81"/>
      <c r="AS168" s="81"/>
      <c r="AT168" s="81">
        <v>100</v>
      </c>
      <c r="AU168" s="81"/>
      <c r="AV168" s="81"/>
      <c r="AW168" s="81"/>
      <c r="AX168" s="81"/>
      <c r="AY168" s="81"/>
      <c r="AZ168" s="81">
        <v>0</v>
      </c>
      <c r="BA168" s="81">
        <f t="shared" si="529"/>
        <v>0</v>
      </c>
      <c r="BB168" s="98">
        <f t="shared" si="530"/>
        <v>0</v>
      </c>
      <c r="BC168" s="98"/>
      <c r="BD168" s="98"/>
      <c r="BE168" s="98"/>
      <c r="BF168" s="98"/>
      <c r="BG168" s="98"/>
      <c r="BH168" s="81"/>
      <c r="BI168" s="81">
        <f t="shared" si="531"/>
        <v>0</v>
      </c>
      <c r="BJ168" s="81">
        <f t="shared" si="532"/>
        <v>0</v>
      </c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82" t="s">
        <v>374</v>
      </c>
      <c r="BV168" s="85"/>
      <c r="BW168" s="24"/>
    </row>
    <row r="169" spans="1:75" s="103" customFormat="1" x14ac:dyDescent="0.2">
      <c r="A169" s="108"/>
      <c r="B169" s="242"/>
      <c r="C169" s="285" t="s">
        <v>240</v>
      </c>
      <c r="D169" s="80">
        <f t="shared" si="521"/>
        <v>89592</v>
      </c>
      <c r="E169" s="295">
        <f t="shared" si="522"/>
        <v>89592</v>
      </c>
      <c r="F169" s="81">
        <v>89592</v>
      </c>
      <c r="G169" s="81">
        <f t="shared" si="523"/>
        <v>89592</v>
      </c>
      <c r="H169" s="81">
        <f t="shared" si="524"/>
        <v>0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>
        <v>0</v>
      </c>
      <c r="AA169" s="81">
        <f t="shared" si="525"/>
        <v>0</v>
      </c>
      <c r="AB169" s="81">
        <f t="shared" si="526"/>
        <v>0</v>
      </c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>
        <v>0</v>
      </c>
      <c r="AN169" s="81">
        <f t="shared" si="527"/>
        <v>0</v>
      </c>
      <c r="AO169" s="81">
        <f t="shared" si="528"/>
        <v>0</v>
      </c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>
        <v>0</v>
      </c>
      <c r="BA169" s="81">
        <f t="shared" si="529"/>
        <v>0</v>
      </c>
      <c r="BB169" s="98">
        <f t="shared" si="530"/>
        <v>0</v>
      </c>
      <c r="BC169" s="98"/>
      <c r="BD169" s="98"/>
      <c r="BE169" s="98"/>
      <c r="BF169" s="98"/>
      <c r="BG169" s="98"/>
      <c r="BH169" s="81"/>
      <c r="BI169" s="81">
        <f t="shared" si="531"/>
        <v>0</v>
      </c>
      <c r="BJ169" s="81">
        <f t="shared" si="532"/>
        <v>0</v>
      </c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82" t="s">
        <v>375</v>
      </c>
      <c r="BV169" s="85"/>
      <c r="BW169" s="24"/>
    </row>
    <row r="170" spans="1:75" s="193" customFormat="1" ht="24" x14ac:dyDescent="0.2">
      <c r="A170" s="108"/>
      <c r="B170" s="242"/>
      <c r="C170" s="285" t="s">
        <v>543</v>
      </c>
      <c r="D170" s="80">
        <f t="shared" si="521"/>
        <v>4345</v>
      </c>
      <c r="E170" s="295">
        <f t="shared" si="522"/>
        <v>5792</v>
      </c>
      <c r="F170" s="81">
        <v>4345</v>
      </c>
      <c r="G170" s="81">
        <f t="shared" si="523"/>
        <v>5792</v>
      </c>
      <c r="H170" s="81">
        <f t="shared" si="524"/>
        <v>1447</v>
      </c>
      <c r="I170" s="81"/>
      <c r="J170" s="81"/>
      <c r="K170" s="81">
        <v>1447</v>
      </c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>
        <v>0</v>
      </c>
      <c r="AA170" s="81">
        <f t="shared" si="525"/>
        <v>0</v>
      </c>
      <c r="AB170" s="81">
        <f t="shared" si="526"/>
        <v>0</v>
      </c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>
        <v>0</v>
      </c>
      <c r="AN170" s="81">
        <f t="shared" si="527"/>
        <v>0</v>
      </c>
      <c r="AO170" s="81">
        <f t="shared" si="528"/>
        <v>0</v>
      </c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>
        <v>0</v>
      </c>
      <c r="BA170" s="81">
        <f t="shared" si="529"/>
        <v>0</v>
      </c>
      <c r="BB170" s="98">
        <f t="shared" si="530"/>
        <v>0</v>
      </c>
      <c r="BC170" s="98"/>
      <c r="BD170" s="98"/>
      <c r="BE170" s="98"/>
      <c r="BF170" s="98"/>
      <c r="BG170" s="98"/>
      <c r="BH170" s="81"/>
      <c r="BI170" s="81">
        <f t="shared" si="531"/>
        <v>0</v>
      </c>
      <c r="BJ170" s="81">
        <f t="shared" si="532"/>
        <v>0</v>
      </c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82" t="s">
        <v>686</v>
      </c>
      <c r="BV170" s="85"/>
      <c r="BW170" s="24"/>
    </row>
    <row r="171" spans="1:75" s="198" customFormat="1" ht="24" x14ac:dyDescent="0.2">
      <c r="A171" s="108"/>
      <c r="B171" s="242"/>
      <c r="C171" s="285" t="s">
        <v>635</v>
      </c>
      <c r="D171" s="80">
        <f t="shared" si="521"/>
        <v>5660</v>
      </c>
      <c r="E171" s="295">
        <f t="shared" si="522"/>
        <v>5660</v>
      </c>
      <c r="F171" s="81">
        <v>5660</v>
      </c>
      <c r="G171" s="81">
        <f t="shared" si="523"/>
        <v>5660</v>
      </c>
      <c r="H171" s="81">
        <f t="shared" si="524"/>
        <v>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>
        <v>0</v>
      </c>
      <c r="AA171" s="81">
        <f t="shared" si="525"/>
        <v>0</v>
      </c>
      <c r="AB171" s="81">
        <f t="shared" si="526"/>
        <v>0</v>
      </c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>
        <v>0</v>
      </c>
      <c r="AN171" s="81">
        <f t="shared" si="527"/>
        <v>0</v>
      </c>
      <c r="AO171" s="81">
        <f t="shared" si="528"/>
        <v>0</v>
      </c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>
        <v>0</v>
      </c>
      <c r="BA171" s="81">
        <f t="shared" si="529"/>
        <v>0</v>
      </c>
      <c r="BB171" s="98">
        <f t="shared" si="530"/>
        <v>0</v>
      </c>
      <c r="BC171" s="98"/>
      <c r="BD171" s="98"/>
      <c r="BE171" s="98"/>
      <c r="BF171" s="98"/>
      <c r="BG171" s="98"/>
      <c r="BH171" s="81"/>
      <c r="BI171" s="81">
        <f t="shared" si="531"/>
        <v>0</v>
      </c>
      <c r="BJ171" s="81">
        <f t="shared" si="532"/>
        <v>0</v>
      </c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82" t="s">
        <v>687</v>
      </c>
      <c r="BV171" s="85"/>
      <c r="BW171" s="24"/>
    </row>
    <row r="172" spans="1:75" ht="26.25" customHeight="1" x14ac:dyDescent="0.2">
      <c r="A172" s="108">
        <v>90000051519</v>
      </c>
      <c r="B172" s="241" t="s">
        <v>710</v>
      </c>
      <c r="C172" s="285" t="s">
        <v>227</v>
      </c>
      <c r="D172" s="80">
        <f t="shared" si="521"/>
        <v>1470093</v>
      </c>
      <c r="E172" s="295">
        <f t="shared" si="522"/>
        <v>1487754</v>
      </c>
      <c r="F172" s="81">
        <v>672007</v>
      </c>
      <c r="G172" s="81">
        <f t="shared" si="523"/>
        <v>670424</v>
      </c>
      <c r="H172" s="81">
        <f t="shared" si="524"/>
        <v>-1583</v>
      </c>
      <c r="I172" s="81"/>
      <c r="J172" s="81"/>
      <c r="K172" s="81">
        <v>-1583</v>
      </c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>
        <v>779637</v>
      </c>
      <c r="AA172" s="81">
        <f t="shared" si="525"/>
        <v>796818</v>
      </c>
      <c r="AB172" s="81">
        <f t="shared" si="526"/>
        <v>17181</v>
      </c>
      <c r="AC172" s="81">
        <v>4536</v>
      </c>
      <c r="AD172" s="81">
        <v>12648</v>
      </c>
      <c r="AE172" s="81"/>
      <c r="AF172" s="81"/>
      <c r="AG172" s="81">
        <v>-3</v>
      </c>
      <c r="AH172" s="81"/>
      <c r="AI172" s="81"/>
      <c r="AJ172" s="81"/>
      <c r="AK172" s="81"/>
      <c r="AL172" s="81"/>
      <c r="AM172" s="81">
        <v>18449</v>
      </c>
      <c r="AN172" s="81">
        <f t="shared" si="527"/>
        <v>20512</v>
      </c>
      <c r="AO172" s="81">
        <f t="shared" si="528"/>
        <v>2063</v>
      </c>
      <c r="AP172" s="81">
        <v>2063</v>
      </c>
      <c r="AQ172" s="81"/>
      <c r="AR172" s="81"/>
      <c r="AS172" s="81"/>
      <c r="AT172" s="81"/>
      <c r="AU172" s="81"/>
      <c r="AV172" s="81"/>
      <c r="AW172" s="81"/>
      <c r="AX172" s="81"/>
      <c r="AY172" s="81"/>
      <c r="AZ172" s="81">
        <v>0</v>
      </c>
      <c r="BA172" s="81">
        <f t="shared" si="529"/>
        <v>0</v>
      </c>
      <c r="BB172" s="98">
        <f t="shared" si="530"/>
        <v>0</v>
      </c>
      <c r="BC172" s="98"/>
      <c r="BD172" s="98"/>
      <c r="BE172" s="98"/>
      <c r="BF172" s="98"/>
      <c r="BG172" s="98"/>
      <c r="BH172" s="81"/>
      <c r="BI172" s="81">
        <f t="shared" si="531"/>
        <v>0</v>
      </c>
      <c r="BJ172" s="81">
        <f t="shared" si="532"/>
        <v>0</v>
      </c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82" t="s">
        <v>376</v>
      </c>
      <c r="BV172" s="85"/>
      <c r="BW172" s="24"/>
    </row>
    <row r="173" spans="1:75" x14ac:dyDescent="0.2">
      <c r="A173" s="108"/>
      <c r="B173" s="242"/>
      <c r="C173" s="285" t="s">
        <v>240</v>
      </c>
      <c r="D173" s="80">
        <f t="shared" si="521"/>
        <v>188524</v>
      </c>
      <c r="E173" s="295">
        <f t="shared" si="522"/>
        <v>189341</v>
      </c>
      <c r="F173" s="81">
        <v>121957</v>
      </c>
      <c r="G173" s="81">
        <f t="shared" si="523"/>
        <v>121957</v>
      </c>
      <c r="H173" s="81">
        <f t="shared" si="524"/>
        <v>0</v>
      </c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>
        <v>66567</v>
      </c>
      <c r="AA173" s="81">
        <f t="shared" si="525"/>
        <v>67384</v>
      </c>
      <c r="AB173" s="81">
        <f t="shared" si="526"/>
        <v>817</v>
      </c>
      <c r="AC173" s="81"/>
      <c r="AD173" s="81">
        <v>817</v>
      </c>
      <c r="AE173" s="81"/>
      <c r="AF173" s="81"/>
      <c r="AG173" s="81"/>
      <c r="AH173" s="81"/>
      <c r="AI173" s="81"/>
      <c r="AJ173" s="81"/>
      <c r="AK173" s="81"/>
      <c r="AL173" s="81"/>
      <c r="AM173" s="81">
        <v>0</v>
      </c>
      <c r="AN173" s="81">
        <f t="shared" si="527"/>
        <v>0</v>
      </c>
      <c r="AO173" s="81">
        <f t="shared" si="528"/>
        <v>0</v>
      </c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>
        <v>0</v>
      </c>
      <c r="BA173" s="81">
        <f t="shared" si="529"/>
        <v>0</v>
      </c>
      <c r="BB173" s="98">
        <f t="shared" si="530"/>
        <v>0</v>
      </c>
      <c r="BC173" s="98"/>
      <c r="BD173" s="98"/>
      <c r="BE173" s="98"/>
      <c r="BF173" s="98"/>
      <c r="BG173" s="98"/>
      <c r="BH173" s="81"/>
      <c r="BI173" s="81">
        <f t="shared" si="531"/>
        <v>0</v>
      </c>
      <c r="BJ173" s="81">
        <f t="shared" si="532"/>
        <v>0</v>
      </c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82" t="s">
        <v>377</v>
      </c>
      <c r="BV173" s="85"/>
      <c r="BW173" s="24"/>
    </row>
    <row r="174" spans="1:75" ht="24" customHeight="1" x14ac:dyDescent="0.2">
      <c r="A174" s="108">
        <v>90009251338</v>
      </c>
      <c r="B174" s="241" t="s">
        <v>474</v>
      </c>
      <c r="C174" s="285" t="s">
        <v>227</v>
      </c>
      <c r="D174" s="80">
        <f t="shared" si="521"/>
        <v>418220</v>
      </c>
      <c r="E174" s="295">
        <f t="shared" si="522"/>
        <v>421641</v>
      </c>
      <c r="F174" s="81">
        <v>288028</v>
      </c>
      <c r="G174" s="81">
        <f t="shared" si="523"/>
        <v>288028</v>
      </c>
      <c r="H174" s="81">
        <f t="shared" si="524"/>
        <v>0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>
        <v>126492</v>
      </c>
      <c r="AA174" s="81">
        <f t="shared" si="525"/>
        <v>129913</v>
      </c>
      <c r="AB174" s="81">
        <f t="shared" si="526"/>
        <v>3421</v>
      </c>
      <c r="AC174" s="81">
        <f>791+86</f>
        <v>877</v>
      </c>
      <c r="AD174" s="81">
        <f>2084+460</f>
        <v>2544</v>
      </c>
      <c r="AE174" s="81"/>
      <c r="AF174" s="81"/>
      <c r="AG174" s="81"/>
      <c r="AH174" s="81"/>
      <c r="AI174" s="81"/>
      <c r="AJ174" s="81"/>
      <c r="AK174" s="81"/>
      <c r="AL174" s="81"/>
      <c r="AM174" s="81">
        <v>3700</v>
      </c>
      <c r="AN174" s="81">
        <f t="shared" si="527"/>
        <v>3700</v>
      </c>
      <c r="AO174" s="81">
        <f t="shared" si="528"/>
        <v>0</v>
      </c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>
        <v>0</v>
      </c>
      <c r="BA174" s="81">
        <f t="shared" si="529"/>
        <v>0</v>
      </c>
      <c r="BB174" s="98">
        <f t="shared" si="530"/>
        <v>0</v>
      </c>
      <c r="BC174" s="98"/>
      <c r="BD174" s="98"/>
      <c r="BE174" s="98"/>
      <c r="BF174" s="98"/>
      <c r="BG174" s="98"/>
      <c r="BH174" s="81"/>
      <c r="BI174" s="81">
        <f t="shared" si="531"/>
        <v>0</v>
      </c>
      <c r="BJ174" s="81">
        <f t="shared" si="532"/>
        <v>0</v>
      </c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82" t="s">
        <v>378</v>
      </c>
      <c r="BV174" s="85"/>
      <c r="BW174" s="24"/>
    </row>
    <row r="175" spans="1:75" x14ac:dyDescent="0.2">
      <c r="A175" s="108"/>
      <c r="B175" s="242"/>
      <c r="C175" s="285" t="s">
        <v>240</v>
      </c>
      <c r="D175" s="80">
        <f t="shared" si="521"/>
        <v>29590</v>
      </c>
      <c r="E175" s="295">
        <f t="shared" si="522"/>
        <v>29590</v>
      </c>
      <c r="F175" s="81">
        <v>15321</v>
      </c>
      <c r="G175" s="81">
        <f t="shared" si="523"/>
        <v>15321</v>
      </c>
      <c r="H175" s="81">
        <f t="shared" si="524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>
        <v>14269</v>
      </c>
      <c r="AA175" s="81">
        <f t="shared" si="525"/>
        <v>14269</v>
      </c>
      <c r="AB175" s="81">
        <f t="shared" si="526"/>
        <v>0</v>
      </c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>
        <v>0</v>
      </c>
      <c r="AN175" s="81">
        <f t="shared" si="527"/>
        <v>0</v>
      </c>
      <c r="AO175" s="81">
        <f t="shared" si="528"/>
        <v>0</v>
      </c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>
        <v>0</v>
      </c>
      <c r="BA175" s="81">
        <f t="shared" si="529"/>
        <v>0</v>
      </c>
      <c r="BB175" s="98">
        <f t="shared" si="530"/>
        <v>0</v>
      </c>
      <c r="BC175" s="98"/>
      <c r="BD175" s="98"/>
      <c r="BE175" s="98"/>
      <c r="BF175" s="98"/>
      <c r="BG175" s="98"/>
      <c r="BH175" s="81"/>
      <c r="BI175" s="81">
        <f t="shared" si="531"/>
        <v>0</v>
      </c>
      <c r="BJ175" s="81">
        <f t="shared" si="532"/>
        <v>0</v>
      </c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82" t="s">
        <v>379</v>
      </c>
      <c r="BV175" s="85"/>
      <c r="BW175" s="24"/>
    </row>
    <row r="176" spans="1:75" ht="24" x14ac:dyDescent="0.2">
      <c r="A176" s="108">
        <v>90000051576</v>
      </c>
      <c r="B176" s="241" t="s">
        <v>473</v>
      </c>
      <c r="C176" s="285" t="s">
        <v>227</v>
      </c>
      <c r="D176" s="80">
        <f t="shared" si="521"/>
        <v>611306</v>
      </c>
      <c r="E176" s="295">
        <f t="shared" si="522"/>
        <v>620714</v>
      </c>
      <c r="F176" s="81">
        <v>425843</v>
      </c>
      <c r="G176" s="81">
        <f t="shared" si="523"/>
        <v>419582</v>
      </c>
      <c r="H176" s="81">
        <f t="shared" si="524"/>
        <v>-6261</v>
      </c>
      <c r="I176" s="81"/>
      <c r="J176" s="81"/>
      <c r="K176" s="81">
        <v>-4761</v>
      </c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>
        <v>-1500</v>
      </c>
      <c r="X176" s="81"/>
      <c r="Y176" s="81"/>
      <c r="Z176" s="81">
        <v>172004</v>
      </c>
      <c r="AA176" s="81">
        <f t="shared" si="525"/>
        <v>176163</v>
      </c>
      <c r="AB176" s="81">
        <f t="shared" si="526"/>
        <v>4159</v>
      </c>
      <c r="AC176" s="81">
        <v>973</v>
      </c>
      <c r="AD176" s="81">
        <v>3190</v>
      </c>
      <c r="AE176" s="81"/>
      <c r="AF176" s="81"/>
      <c r="AG176" s="81">
        <v>-4</v>
      </c>
      <c r="AH176" s="81"/>
      <c r="AI176" s="81"/>
      <c r="AJ176" s="81"/>
      <c r="AK176" s="81"/>
      <c r="AL176" s="81"/>
      <c r="AM176" s="81">
        <v>13459</v>
      </c>
      <c r="AN176" s="81">
        <f t="shared" si="527"/>
        <v>24969</v>
      </c>
      <c r="AO176" s="81">
        <f t="shared" si="528"/>
        <v>11510</v>
      </c>
      <c r="AP176" s="81">
        <v>5456</v>
      </c>
      <c r="AQ176" s="81"/>
      <c r="AR176" s="81"/>
      <c r="AS176" s="81"/>
      <c r="AT176" s="81"/>
      <c r="AU176" s="81"/>
      <c r="AV176" s="81">
        <v>6054</v>
      </c>
      <c r="AW176" s="81"/>
      <c r="AX176" s="81"/>
      <c r="AY176" s="81"/>
      <c r="AZ176" s="81">
        <v>0</v>
      </c>
      <c r="BA176" s="81">
        <f t="shared" si="529"/>
        <v>0</v>
      </c>
      <c r="BB176" s="98">
        <f t="shared" si="530"/>
        <v>0</v>
      </c>
      <c r="BC176" s="98"/>
      <c r="BD176" s="98"/>
      <c r="BE176" s="98"/>
      <c r="BF176" s="98"/>
      <c r="BG176" s="98"/>
      <c r="BH176" s="81"/>
      <c r="BI176" s="81">
        <f t="shared" si="531"/>
        <v>0</v>
      </c>
      <c r="BJ176" s="81">
        <f t="shared" si="532"/>
        <v>0</v>
      </c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82" t="s">
        <v>380</v>
      </c>
      <c r="BV176" s="85"/>
      <c r="BW176" s="24"/>
    </row>
    <row r="177" spans="1:75" x14ac:dyDescent="0.2">
      <c r="A177" s="108"/>
      <c r="B177" s="242"/>
      <c r="C177" s="285" t="s">
        <v>240</v>
      </c>
      <c r="D177" s="80">
        <f t="shared" si="521"/>
        <v>53862</v>
      </c>
      <c r="E177" s="295">
        <f t="shared" si="522"/>
        <v>54724</v>
      </c>
      <c r="F177" s="81">
        <v>36447</v>
      </c>
      <c r="G177" s="81">
        <f t="shared" si="523"/>
        <v>36447</v>
      </c>
      <c r="H177" s="81">
        <f t="shared" si="524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>
        <v>17415</v>
      </c>
      <c r="AA177" s="81">
        <f t="shared" si="525"/>
        <v>18277</v>
      </c>
      <c r="AB177" s="81">
        <f t="shared" si="526"/>
        <v>862</v>
      </c>
      <c r="AC177" s="81"/>
      <c r="AD177" s="81">
        <v>862</v>
      </c>
      <c r="AE177" s="81"/>
      <c r="AF177" s="81"/>
      <c r="AG177" s="81"/>
      <c r="AH177" s="81"/>
      <c r="AI177" s="81"/>
      <c r="AJ177" s="81"/>
      <c r="AK177" s="81"/>
      <c r="AL177" s="81"/>
      <c r="AM177" s="81">
        <v>0</v>
      </c>
      <c r="AN177" s="81">
        <f t="shared" si="527"/>
        <v>0</v>
      </c>
      <c r="AO177" s="81">
        <f t="shared" si="528"/>
        <v>0</v>
      </c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>
        <v>0</v>
      </c>
      <c r="BA177" s="81">
        <f t="shared" si="529"/>
        <v>0</v>
      </c>
      <c r="BB177" s="98">
        <f t="shared" si="530"/>
        <v>0</v>
      </c>
      <c r="BC177" s="98"/>
      <c r="BD177" s="98"/>
      <c r="BE177" s="98"/>
      <c r="BF177" s="98"/>
      <c r="BG177" s="98"/>
      <c r="BH177" s="81"/>
      <c r="BI177" s="81">
        <f t="shared" si="531"/>
        <v>0</v>
      </c>
      <c r="BJ177" s="81">
        <f t="shared" si="532"/>
        <v>0</v>
      </c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82" t="s">
        <v>381</v>
      </c>
      <c r="BV177" s="85"/>
      <c r="BW177" s="24"/>
    </row>
    <row r="178" spans="1:75" s="198" customFormat="1" ht="24" x14ac:dyDescent="0.2">
      <c r="A178" s="108"/>
      <c r="B178" s="242"/>
      <c r="C178" s="285" t="s">
        <v>636</v>
      </c>
      <c r="D178" s="80">
        <f t="shared" si="521"/>
        <v>8775</v>
      </c>
      <c r="E178" s="295">
        <f t="shared" si="522"/>
        <v>9087</v>
      </c>
      <c r="F178" s="81">
        <v>8775</v>
      </c>
      <c r="G178" s="81">
        <f t="shared" si="523"/>
        <v>9087</v>
      </c>
      <c r="H178" s="81">
        <f t="shared" si="524"/>
        <v>312</v>
      </c>
      <c r="I178" s="81"/>
      <c r="J178" s="81"/>
      <c r="K178" s="81">
        <v>312</v>
      </c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>
        <v>0</v>
      </c>
      <c r="AA178" s="81">
        <f t="shared" si="525"/>
        <v>0</v>
      </c>
      <c r="AB178" s="81">
        <f t="shared" si="526"/>
        <v>0</v>
      </c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>
        <v>0</v>
      </c>
      <c r="AN178" s="81">
        <f t="shared" si="527"/>
        <v>0</v>
      </c>
      <c r="AO178" s="81">
        <f t="shared" si="528"/>
        <v>0</v>
      </c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>
        <v>0</v>
      </c>
      <c r="BA178" s="81">
        <f t="shared" si="529"/>
        <v>0</v>
      </c>
      <c r="BB178" s="98">
        <f t="shared" si="530"/>
        <v>0</v>
      </c>
      <c r="BC178" s="98"/>
      <c r="BD178" s="98"/>
      <c r="BE178" s="98"/>
      <c r="BF178" s="98"/>
      <c r="BG178" s="98"/>
      <c r="BH178" s="81"/>
      <c r="BI178" s="81">
        <f t="shared" si="531"/>
        <v>0</v>
      </c>
      <c r="BJ178" s="81">
        <f t="shared" si="532"/>
        <v>0</v>
      </c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82" t="s">
        <v>688</v>
      </c>
      <c r="BV178" s="85"/>
      <c r="BW178" s="24"/>
    </row>
    <row r="179" spans="1:75" ht="24" customHeight="1" x14ac:dyDescent="0.2">
      <c r="A179" s="108">
        <v>90000051627</v>
      </c>
      <c r="B179" s="241" t="s">
        <v>198</v>
      </c>
      <c r="C179" s="285" t="s">
        <v>227</v>
      </c>
      <c r="D179" s="80">
        <f t="shared" si="521"/>
        <v>957855</v>
      </c>
      <c r="E179" s="295">
        <f t="shared" si="522"/>
        <v>1025536</v>
      </c>
      <c r="F179" s="81">
        <v>467015</v>
      </c>
      <c r="G179" s="81">
        <f t="shared" si="523"/>
        <v>465505</v>
      </c>
      <c r="H179" s="81">
        <f t="shared" si="524"/>
        <v>-1510</v>
      </c>
      <c r="I179" s="81"/>
      <c r="J179" s="81"/>
      <c r="K179" s="81">
        <v>-1510</v>
      </c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>
        <v>475210</v>
      </c>
      <c r="AA179" s="81">
        <f t="shared" si="525"/>
        <v>540793</v>
      </c>
      <c r="AB179" s="81">
        <f t="shared" si="526"/>
        <v>65583</v>
      </c>
      <c r="AC179" s="81">
        <v>2968</v>
      </c>
      <c r="AD179" s="81">
        <v>7947</v>
      </c>
      <c r="AE179" s="81"/>
      <c r="AF179" s="81"/>
      <c r="AG179" s="81">
        <f>-1+1</f>
        <v>0</v>
      </c>
      <c r="AH179" s="81">
        <f>51515+3153</f>
        <v>54668</v>
      </c>
      <c r="AI179" s="81"/>
      <c r="AJ179" s="81"/>
      <c r="AK179" s="81"/>
      <c r="AL179" s="81"/>
      <c r="AM179" s="81">
        <v>15630</v>
      </c>
      <c r="AN179" s="81">
        <f t="shared" si="527"/>
        <v>19288</v>
      </c>
      <c r="AO179" s="81">
        <f t="shared" si="528"/>
        <v>3658</v>
      </c>
      <c r="AP179" s="81">
        <v>3608</v>
      </c>
      <c r="AQ179" s="81"/>
      <c r="AR179" s="81"/>
      <c r="AS179" s="81"/>
      <c r="AT179" s="81"/>
      <c r="AU179" s="81"/>
      <c r="AV179" s="81">
        <v>50</v>
      </c>
      <c r="AW179" s="81"/>
      <c r="AX179" s="81"/>
      <c r="AY179" s="81"/>
      <c r="AZ179" s="81">
        <v>0</v>
      </c>
      <c r="BA179" s="81">
        <f t="shared" si="529"/>
        <v>0</v>
      </c>
      <c r="BB179" s="98">
        <f t="shared" si="530"/>
        <v>0</v>
      </c>
      <c r="BC179" s="98"/>
      <c r="BD179" s="98"/>
      <c r="BE179" s="98"/>
      <c r="BF179" s="98"/>
      <c r="BG179" s="98"/>
      <c r="BH179" s="81"/>
      <c r="BI179" s="81">
        <f t="shared" si="531"/>
        <v>-50</v>
      </c>
      <c r="BJ179" s="81">
        <f t="shared" si="532"/>
        <v>-50</v>
      </c>
      <c r="BK179" s="98"/>
      <c r="BL179" s="98"/>
      <c r="BM179" s="98"/>
      <c r="BN179" s="98"/>
      <c r="BO179" s="98"/>
      <c r="BP179" s="98"/>
      <c r="BQ179" s="98"/>
      <c r="BR179" s="98">
        <v>-50</v>
      </c>
      <c r="BS179" s="98"/>
      <c r="BT179" s="98"/>
      <c r="BU179" s="82" t="s">
        <v>382</v>
      </c>
      <c r="BV179" s="85"/>
      <c r="BW179" s="24"/>
    </row>
    <row r="180" spans="1:75" x14ac:dyDescent="0.2">
      <c r="A180" s="108"/>
      <c r="B180" s="242"/>
      <c r="C180" s="285" t="s">
        <v>240</v>
      </c>
      <c r="D180" s="80">
        <f t="shared" si="521"/>
        <v>115811</v>
      </c>
      <c r="E180" s="295">
        <f t="shared" si="522"/>
        <v>115811</v>
      </c>
      <c r="F180" s="81">
        <v>75508</v>
      </c>
      <c r="G180" s="81">
        <f t="shared" si="523"/>
        <v>75508</v>
      </c>
      <c r="H180" s="81">
        <f t="shared" si="524"/>
        <v>0</v>
      </c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>
        <v>40303</v>
      </c>
      <c r="AA180" s="81">
        <f t="shared" si="525"/>
        <v>40303</v>
      </c>
      <c r="AB180" s="81">
        <f t="shared" si="526"/>
        <v>0</v>
      </c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>
        <v>0</v>
      </c>
      <c r="AN180" s="81">
        <f t="shared" si="527"/>
        <v>0</v>
      </c>
      <c r="AO180" s="81">
        <f t="shared" si="528"/>
        <v>0</v>
      </c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>
        <v>0</v>
      </c>
      <c r="BA180" s="81">
        <f t="shared" si="529"/>
        <v>0</v>
      </c>
      <c r="BB180" s="98">
        <f t="shared" si="530"/>
        <v>0</v>
      </c>
      <c r="BC180" s="98"/>
      <c r="BD180" s="98"/>
      <c r="BE180" s="98"/>
      <c r="BF180" s="98"/>
      <c r="BG180" s="98"/>
      <c r="BH180" s="81"/>
      <c r="BI180" s="81">
        <f t="shared" si="531"/>
        <v>0</v>
      </c>
      <c r="BJ180" s="81">
        <f t="shared" si="532"/>
        <v>0</v>
      </c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82" t="s">
        <v>383</v>
      </c>
      <c r="BV180" s="85"/>
      <c r="BW180" s="24"/>
    </row>
    <row r="181" spans="1:75" s="192" customFormat="1" x14ac:dyDescent="0.2">
      <c r="A181" s="108"/>
      <c r="B181" s="242"/>
      <c r="C181" s="285" t="s">
        <v>637</v>
      </c>
      <c r="D181" s="80">
        <f t="shared" si="521"/>
        <v>3069</v>
      </c>
      <c r="E181" s="295">
        <f t="shared" si="522"/>
        <v>3069</v>
      </c>
      <c r="F181" s="81">
        <v>3069</v>
      </c>
      <c r="G181" s="81">
        <f t="shared" si="523"/>
        <v>3069</v>
      </c>
      <c r="H181" s="81">
        <f t="shared" si="524"/>
        <v>0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>
        <v>0</v>
      </c>
      <c r="AA181" s="81">
        <f t="shared" si="525"/>
        <v>0</v>
      </c>
      <c r="AB181" s="81">
        <f t="shared" si="526"/>
        <v>0</v>
      </c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>
        <v>0</v>
      </c>
      <c r="AN181" s="81">
        <f t="shared" si="527"/>
        <v>0</v>
      </c>
      <c r="AO181" s="81">
        <f t="shared" si="528"/>
        <v>0</v>
      </c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>
        <v>0</v>
      </c>
      <c r="BA181" s="81">
        <f t="shared" si="529"/>
        <v>0</v>
      </c>
      <c r="BB181" s="98">
        <f t="shared" si="530"/>
        <v>0</v>
      </c>
      <c r="BC181" s="98"/>
      <c r="BD181" s="98"/>
      <c r="BE181" s="98"/>
      <c r="BF181" s="98"/>
      <c r="BG181" s="98"/>
      <c r="BH181" s="81"/>
      <c r="BI181" s="81">
        <f t="shared" si="531"/>
        <v>0</v>
      </c>
      <c r="BJ181" s="81">
        <f t="shared" si="532"/>
        <v>0</v>
      </c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82" t="s">
        <v>552</v>
      </c>
      <c r="BV181" s="85"/>
      <c r="BW181" s="24"/>
    </row>
    <row r="182" spans="1:75" ht="24" customHeight="1" x14ac:dyDescent="0.2">
      <c r="A182" s="108">
        <v>90000053670</v>
      </c>
      <c r="B182" s="241" t="s">
        <v>281</v>
      </c>
      <c r="C182" s="285" t="s">
        <v>247</v>
      </c>
      <c r="D182" s="80">
        <f t="shared" si="521"/>
        <v>555675</v>
      </c>
      <c r="E182" s="295">
        <f t="shared" si="522"/>
        <v>577606</v>
      </c>
      <c r="F182" s="81">
        <v>322431</v>
      </c>
      <c r="G182" s="81">
        <f t="shared" si="523"/>
        <v>322431</v>
      </c>
      <c r="H182" s="81">
        <f t="shared" si="524"/>
        <v>0</v>
      </c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>
        <v>161796</v>
      </c>
      <c r="AA182" s="81">
        <f t="shared" si="525"/>
        <v>187236</v>
      </c>
      <c r="AB182" s="81">
        <f t="shared" si="526"/>
        <v>25440</v>
      </c>
      <c r="AC182" s="81"/>
      <c r="AD182" s="81">
        <f>24592+848</f>
        <v>25440</v>
      </c>
      <c r="AE182" s="81"/>
      <c r="AF182" s="81"/>
      <c r="AG182" s="81"/>
      <c r="AH182" s="81"/>
      <c r="AI182" s="81"/>
      <c r="AJ182" s="81"/>
      <c r="AK182" s="81"/>
      <c r="AL182" s="81"/>
      <c r="AM182" s="81">
        <v>71448</v>
      </c>
      <c r="AN182" s="81">
        <f t="shared" si="527"/>
        <v>67939</v>
      </c>
      <c r="AO182" s="81">
        <f t="shared" si="528"/>
        <v>-3509</v>
      </c>
      <c r="AP182" s="81">
        <v>-3957</v>
      </c>
      <c r="AQ182" s="81"/>
      <c r="AR182" s="81"/>
      <c r="AS182" s="81"/>
      <c r="AT182" s="81"/>
      <c r="AU182" s="81"/>
      <c r="AV182" s="81">
        <v>448</v>
      </c>
      <c r="AW182" s="81"/>
      <c r="AX182" s="81"/>
      <c r="AY182" s="81"/>
      <c r="AZ182" s="81">
        <v>0</v>
      </c>
      <c r="BA182" s="81">
        <f t="shared" si="529"/>
        <v>0</v>
      </c>
      <c r="BB182" s="98">
        <f t="shared" si="530"/>
        <v>0</v>
      </c>
      <c r="BC182" s="98"/>
      <c r="BD182" s="98"/>
      <c r="BE182" s="98"/>
      <c r="BF182" s="98"/>
      <c r="BG182" s="98"/>
      <c r="BH182" s="81"/>
      <c r="BI182" s="81">
        <f t="shared" si="531"/>
        <v>0</v>
      </c>
      <c r="BJ182" s="81">
        <f t="shared" si="532"/>
        <v>0</v>
      </c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82" t="s">
        <v>384</v>
      </c>
      <c r="BV182" s="85"/>
      <c r="BW182" s="24"/>
    </row>
    <row r="183" spans="1:75" s="130" customFormat="1" x14ac:dyDescent="0.2">
      <c r="A183" s="108"/>
      <c r="B183" s="242"/>
      <c r="C183" s="285" t="s">
        <v>240</v>
      </c>
      <c r="D183" s="80">
        <f t="shared" si="521"/>
        <v>16070</v>
      </c>
      <c r="E183" s="295">
        <f t="shared" si="522"/>
        <v>16070</v>
      </c>
      <c r="F183" s="81">
        <v>16070</v>
      </c>
      <c r="G183" s="81">
        <f t="shared" si="523"/>
        <v>16070</v>
      </c>
      <c r="H183" s="81">
        <f t="shared" si="524"/>
        <v>0</v>
      </c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>
        <v>0</v>
      </c>
      <c r="AA183" s="81">
        <f t="shared" si="525"/>
        <v>0</v>
      </c>
      <c r="AB183" s="81">
        <f t="shared" si="526"/>
        <v>0</v>
      </c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>
        <v>0</v>
      </c>
      <c r="AN183" s="81">
        <f t="shared" si="527"/>
        <v>0</v>
      </c>
      <c r="AO183" s="81">
        <f t="shared" si="528"/>
        <v>0</v>
      </c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>
        <v>0</v>
      </c>
      <c r="BA183" s="81">
        <f t="shared" si="529"/>
        <v>0</v>
      </c>
      <c r="BB183" s="98">
        <f t="shared" si="530"/>
        <v>0</v>
      </c>
      <c r="BC183" s="98"/>
      <c r="BD183" s="98"/>
      <c r="BE183" s="98"/>
      <c r="BF183" s="98"/>
      <c r="BG183" s="98"/>
      <c r="BH183" s="81"/>
      <c r="BI183" s="81">
        <f t="shared" si="531"/>
        <v>0</v>
      </c>
      <c r="BJ183" s="81">
        <f t="shared" si="532"/>
        <v>0</v>
      </c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82" t="s">
        <v>386</v>
      </c>
      <c r="BV183" s="85"/>
      <c r="BW183" s="24"/>
    </row>
    <row r="184" spans="1:75" s="198" customFormat="1" ht="48" x14ac:dyDescent="0.2">
      <c r="A184" s="108"/>
      <c r="B184" s="242"/>
      <c r="C184" s="353" t="s">
        <v>789</v>
      </c>
      <c r="D184" s="80">
        <f t="shared" ref="D184" si="617">F184+Z184+AM184+AZ184+BH184</f>
        <v>0</v>
      </c>
      <c r="E184" s="295">
        <f t="shared" ref="E184" si="618">G184+AA184+AN184+BA184+BI184</f>
        <v>1553</v>
      </c>
      <c r="F184" s="81"/>
      <c r="G184" s="81">
        <f t="shared" ref="G184" si="619">F184+H184</f>
        <v>1553</v>
      </c>
      <c r="H184" s="81">
        <f t="shared" ref="H184" si="620">SUM(I184:Y184)</f>
        <v>1553</v>
      </c>
      <c r="I184" s="81"/>
      <c r="J184" s="81"/>
      <c r="K184" s="81"/>
      <c r="L184" s="81">
        <v>1553</v>
      </c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>
        <f t="shared" ref="AA184" si="621">Z184+AB184</f>
        <v>0</v>
      </c>
      <c r="AB184" s="81">
        <f t="shared" ref="AB184" si="622">SUM(AC184:AL184)</f>
        <v>0</v>
      </c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>
        <f t="shared" ref="AN184" si="623">AM184+AO184</f>
        <v>0</v>
      </c>
      <c r="AO184" s="81">
        <f t="shared" ref="AO184" si="624">SUM(AP184:AY184)</f>
        <v>0</v>
      </c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>
        <f t="shared" ref="BA184" si="625">AZ184+BB184</f>
        <v>0</v>
      </c>
      <c r="BB184" s="98">
        <f t="shared" ref="BB184" si="626">SUM(BC184:BG184)</f>
        <v>0</v>
      </c>
      <c r="BC184" s="98"/>
      <c r="BD184" s="98"/>
      <c r="BE184" s="98"/>
      <c r="BF184" s="98"/>
      <c r="BG184" s="98"/>
      <c r="BH184" s="81"/>
      <c r="BI184" s="81">
        <f t="shared" ref="BI184" si="627">BH184+BJ184</f>
        <v>0</v>
      </c>
      <c r="BJ184" s="81">
        <f t="shared" ref="BJ184" si="628">SUM(BK184:BT184)</f>
        <v>0</v>
      </c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82" t="s">
        <v>788</v>
      </c>
      <c r="BV184" s="85"/>
      <c r="BW184" s="24"/>
    </row>
    <row r="185" spans="1:75" ht="24" x14ac:dyDescent="0.2">
      <c r="A185" s="108">
        <v>90000051595</v>
      </c>
      <c r="B185" s="241" t="s">
        <v>153</v>
      </c>
      <c r="C185" s="285" t="s">
        <v>227</v>
      </c>
      <c r="D185" s="80">
        <f t="shared" si="521"/>
        <v>1153842</v>
      </c>
      <c r="E185" s="295">
        <f t="shared" si="522"/>
        <v>1167722</v>
      </c>
      <c r="F185" s="81">
        <v>556776</v>
      </c>
      <c r="G185" s="81">
        <f t="shared" si="523"/>
        <v>551375</v>
      </c>
      <c r="H185" s="81">
        <f t="shared" si="524"/>
        <v>-5401</v>
      </c>
      <c r="I185" s="81"/>
      <c r="J185" s="81"/>
      <c r="K185" s="81">
        <v>-5401</v>
      </c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>
        <v>580160</v>
      </c>
      <c r="AA185" s="81">
        <f t="shared" si="525"/>
        <v>593920</v>
      </c>
      <c r="AB185" s="81">
        <f t="shared" si="526"/>
        <v>13760</v>
      </c>
      <c r="AC185" s="81">
        <f>3213+1291</f>
        <v>4504</v>
      </c>
      <c r="AD185" s="81">
        <v>9256</v>
      </c>
      <c r="AE185" s="81"/>
      <c r="AF185" s="81"/>
      <c r="AG185" s="81"/>
      <c r="AH185" s="81"/>
      <c r="AI185" s="81"/>
      <c r="AJ185" s="81"/>
      <c r="AK185" s="81"/>
      <c r="AL185" s="81"/>
      <c r="AM185" s="81">
        <v>16906</v>
      </c>
      <c r="AN185" s="81">
        <f t="shared" si="527"/>
        <v>22427</v>
      </c>
      <c r="AO185" s="81">
        <f t="shared" si="528"/>
        <v>5521</v>
      </c>
      <c r="AP185" s="81">
        <v>5521</v>
      </c>
      <c r="AQ185" s="81"/>
      <c r="AR185" s="81"/>
      <c r="AS185" s="81"/>
      <c r="AT185" s="81"/>
      <c r="AU185" s="81"/>
      <c r="AV185" s="81"/>
      <c r="AW185" s="81"/>
      <c r="AX185" s="81"/>
      <c r="AY185" s="81"/>
      <c r="AZ185" s="81">
        <v>0</v>
      </c>
      <c r="BA185" s="81">
        <f t="shared" si="529"/>
        <v>0</v>
      </c>
      <c r="BB185" s="98">
        <f t="shared" si="530"/>
        <v>0</v>
      </c>
      <c r="BC185" s="98"/>
      <c r="BD185" s="98"/>
      <c r="BE185" s="98"/>
      <c r="BF185" s="98"/>
      <c r="BG185" s="98"/>
      <c r="BH185" s="81"/>
      <c r="BI185" s="81">
        <f t="shared" si="531"/>
        <v>0</v>
      </c>
      <c r="BJ185" s="81">
        <f t="shared" si="532"/>
        <v>0</v>
      </c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82" t="s">
        <v>387</v>
      </c>
      <c r="BV185" s="85"/>
      <c r="BW185" s="24"/>
    </row>
    <row r="186" spans="1:75" x14ac:dyDescent="0.2">
      <c r="A186" s="108"/>
      <c r="B186" s="242"/>
      <c r="C186" s="285" t="s">
        <v>240</v>
      </c>
      <c r="D186" s="80">
        <f t="shared" si="521"/>
        <v>149962</v>
      </c>
      <c r="E186" s="295">
        <f t="shared" si="522"/>
        <v>149962</v>
      </c>
      <c r="F186" s="81">
        <v>109536</v>
      </c>
      <c r="G186" s="81">
        <f t="shared" si="523"/>
        <v>109536</v>
      </c>
      <c r="H186" s="81">
        <f t="shared" si="524"/>
        <v>0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>
        <v>40426</v>
      </c>
      <c r="AA186" s="81">
        <f t="shared" si="525"/>
        <v>40426</v>
      </c>
      <c r="AB186" s="81">
        <f t="shared" si="526"/>
        <v>0</v>
      </c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>
        <v>0</v>
      </c>
      <c r="AN186" s="81">
        <f t="shared" si="527"/>
        <v>0</v>
      </c>
      <c r="AO186" s="81">
        <f t="shared" si="528"/>
        <v>0</v>
      </c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>
        <v>0</v>
      </c>
      <c r="BA186" s="81">
        <f t="shared" si="529"/>
        <v>0</v>
      </c>
      <c r="BB186" s="98">
        <f t="shared" si="530"/>
        <v>0</v>
      </c>
      <c r="BC186" s="98"/>
      <c r="BD186" s="98"/>
      <c r="BE186" s="98"/>
      <c r="BF186" s="98"/>
      <c r="BG186" s="98"/>
      <c r="BH186" s="81"/>
      <c r="BI186" s="81">
        <f t="shared" si="531"/>
        <v>0</v>
      </c>
      <c r="BJ186" s="81">
        <f t="shared" si="532"/>
        <v>0</v>
      </c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82" t="s">
        <v>385</v>
      </c>
      <c r="BV186" s="85"/>
      <c r="BW186" s="24"/>
    </row>
    <row r="187" spans="1:75" s="198" customFormat="1" x14ac:dyDescent="0.2">
      <c r="A187" s="108"/>
      <c r="B187" s="242"/>
      <c r="C187" s="285" t="s">
        <v>638</v>
      </c>
      <c r="D187" s="80">
        <f t="shared" si="521"/>
        <v>9990</v>
      </c>
      <c r="E187" s="295">
        <f t="shared" si="522"/>
        <v>15703</v>
      </c>
      <c r="F187" s="81">
        <v>9990</v>
      </c>
      <c r="G187" s="81">
        <f t="shared" si="523"/>
        <v>15703</v>
      </c>
      <c r="H187" s="81">
        <f t="shared" si="524"/>
        <v>5713</v>
      </c>
      <c r="I187" s="81"/>
      <c r="J187" s="81"/>
      <c r="K187" s="81">
        <v>5713</v>
      </c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>
        <v>0</v>
      </c>
      <c r="AA187" s="81">
        <f t="shared" si="525"/>
        <v>0</v>
      </c>
      <c r="AB187" s="81">
        <f t="shared" si="526"/>
        <v>0</v>
      </c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>
        <v>0</v>
      </c>
      <c r="AN187" s="81">
        <f t="shared" si="527"/>
        <v>0</v>
      </c>
      <c r="AO187" s="81">
        <f t="shared" si="528"/>
        <v>0</v>
      </c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>
        <v>0</v>
      </c>
      <c r="BA187" s="81">
        <f t="shared" si="529"/>
        <v>0</v>
      </c>
      <c r="BB187" s="98">
        <f t="shared" si="530"/>
        <v>0</v>
      </c>
      <c r="BC187" s="98"/>
      <c r="BD187" s="98"/>
      <c r="BE187" s="98"/>
      <c r="BF187" s="98"/>
      <c r="BG187" s="98"/>
      <c r="BH187" s="81"/>
      <c r="BI187" s="81">
        <f t="shared" si="531"/>
        <v>0</v>
      </c>
      <c r="BJ187" s="81">
        <f t="shared" si="532"/>
        <v>0</v>
      </c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82" t="s">
        <v>553</v>
      </c>
      <c r="BV187" s="85"/>
      <c r="BW187" s="24"/>
    </row>
    <row r="188" spans="1:75" s="193" customFormat="1" ht="24" x14ac:dyDescent="0.2">
      <c r="A188" s="108"/>
      <c r="B188" s="243"/>
      <c r="C188" s="285" t="s">
        <v>543</v>
      </c>
      <c r="D188" s="80">
        <f t="shared" si="521"/>
        <v>6266</v>
      </c>
      <c r="E188" s="295">
        <f t="shared" si="522"/>
        <v>8354</v>
      </c>
      <c r="F188" s="81">
        <v>6266</v>
      </c>
      <c r="G188" s="81">
        <f t="shared" si="523"/>
        <v>8354</v>
      </c>
      <c r="H188" s="81">
        <f t="shared" si="524"/>
        <v>2088</v>
      </c>
      <c r="I188" s="81"/>
      <c r="J188" s="81"/>
      <c r="K188" s="81">
        <v>2088</v>
      </c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>
        <v>0</v>
      </c>
      <c r="AA188" s="81">
        <f t="shared" si="525"/>
        <v>0</v>
      </c>
      <c r="AB188" s="81">
        <f t="shared" si="526"/>
        <v>0</v>
      </c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>
        <v>0</v>
      </c>
      <c r="AN188" s="81">
        <f t="shared" si="527"/>
        <v>0</v>
      </c>
      <c r="AO188" s="81">
        <f t="shared" si="528"/>
        <v>0</v>
      </c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>
        <v>0</v>
      </c>
      <c r="BA188" s="81">
        <f t="shared" si="529"/>
        <v>0</v>
      </c>
      <c r="BB188" s="98">
        <f t="shared" si="530"/>
        <v>0</v>
      </c>
      <c r="BC188" s="98"/>
      <c r="BD188" s="98"/>
      <c r="BE188" s="98"/>
      <c r="BF188" s="98"/>
      <c r="BG188" s="98"/>
      <c r="BH188" s="81"/>
      <c r="BI188" s="81">
        <f t="shared" si="531"/>
        <v>0</v>
      </c>
      <c r="BJ188" s="81">
        <f t="shared" si="532"/>
        <v>0</v>
      </c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82" t="s">
        <v>689</v>
      </c>
      <c r="BV188" s="85"/>
      <c r="BW188" s="24"/>
    </row>
    <row r="189" spans="1:75" s="198" customFormat="1" ht="24" x14ac:dyDescent="0.2">
      <c r="A189" s="108"/>
      <c r="B189" s="243"/>
      <c r="C189" s="285" t="s">
        <v>639</v>
      </c>
      <c r="D189" s="80">
        <f t="shared" si="521"/>
        <v>3590</v>
      </c>
      <c r="E189" s="295">
        <f t="shared" si="522"/>
        <v>4340</v>
      </c>
      <c r="F189" s="81">
        <v>3590</v>
      </c>
      <c r="G189" s="81">
        <f t="shared" si="523"/>
        <v>4340</v>
      </c>
      <c r="H189" s="81">
        <f t="shared" si="524"/>
        <v>750</v>
      </c>
      <c r="I189" s="81"/>
      <c r="J189" s="81"/>
      <c r="K189" s="81">
        <v>750</v>
      </c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>
        <v>0</v>
      </c>
      <c r="AA189" s="81">
        <f t="shared" si="525"/>
        <v>0</v>
      </c>
      <c r="AB189" s="81">
        <f t="shared" si="526"/>
        <v>0</v>
      </c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>
        <v>0</v>
      </c>
      <c r="AN189" s="81">
        <f t="shared" si="527"/>
        <v>0</v>
      </c>
      <c r="AO189" s="81">
        <f t="shared" si="528"/>
        <v>0</v>
      </c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>
        <v>0</v>
      </c>
      <c r="BA189" s="81">
        <f t="shared" si="529"/>
        <v>0</v>
      </c>
      <c r="BB189" s="98">
        <f t="shared" si="530"/>
        <v>0</v>
      </c>
      <c r="BC189" s="98"/>
      <c r="BD189" s="98"/>
      <c r="BE189" s="98"/>
      <c r="BF189" s="98"/>
      <c r="BG189" s="98"/>
      <c r="BH189" s="81"/>
      <c r="BI189" s="81">
        <f t="shared" si="531"/>
        <v>0</v>
      </c>
      <c r="BJ189" s="81">
        <f t="shared" si="532"/>
        <v>0</v>
      </c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82" t="s">
        <v>690</v>
      </c>
      <c r="BV189" s="85"/>
      <c r="BW189" s="24"/>
    </row>
    <row r="190" spans="1:75" ht="24" customHeight="1" x14ac:dyDescent="0.2">
      <c r="A190" s="108">
        <v>90000056465</v>
      </c>
      <c r="B190" s="241" t="s">
        <v>282</v>
      </c>
      <c r="C190" s="285" t="s">
        <v>242</v>
      </c>
      <c r="D190" s="80">
        <f t="shared" si="521"/>
        <v>1093712</v>
      </c>
      <c r="E190" s="295">
        <f t="shared" si="522"/>
        <v>1201406</v>
      </c>
      <c r="F190" s="81">
        <v>549670</v>
      </c>
      <c r="G190" s="81">
        <f t="shared" si="523"/>
        <v>600951</v>
      </c>
      <c r="H190" s="81">
        <f t="shared" si="524"/>
        <v>51281</v>
      </c>
      <c r="I190" s="81"/>
      <c r="J190" s="81"/>
      <c r="K190" s="81">
        <v>69281</v>
      </c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>
        <v>-18000</v>
      </c>
      <c r="X190" s="81"/>
      <c r="Y190" s="81"/>
      <c r="Z190" s="81">
        <v>446030</v>
      </c>
      <c r="AA190" s="81">
        <f t="shared" si="525"/>
        <v>494776</v>
      </c>
      <c r="AB190" s="81">
        <f t="shared" si="526"/>
        <v>48746</v>
      </c>
      <c r="AC190" s="81"/>
      <c r="AD190" s="81">
        <f>48097+7</f>
        <v>48104</v>
      </c>
      <c r="AE190" s="81"/>
      <c r="AF190" s="81">
        <v>642</v>
      </c>
      <c r="AG190" s="81"/>
      <c r="AH190" s="81"/>
      <c r="AI190" s="81"/>
      <c r="AJ190" s="81"/>
      <c r="AK190" s="81"/>
      <c r="AL190" s="81"/>
      <c r="AM190" s="81">
        <v>98012</v>
      </c>
      <c r="AN190" s="81">
        <f t="shared" si="527"/>
        <v>105649</v>
      </c>
      <c r="AO190" s="81">
        <f t="shared" si="528"/>
        <v>7637</v>
      </c>
      <c r="AP190" s="81">
        <v>6078</v>
      </c>
      <c r="AQ190" s="81"/>
      <c r="AR190" s="81"/>
      <c r="AS190" s="81"/>
      <c r="AT190" s="81"/>
      <c r="AU190" s="81"/>
      <c r="AV190" s="81">
        <v>1559</v>
      </c>
      <c r="AW190" s="81"/>
      <c r="AX190" s="81"/>
      <c r="AY190" s="81"/>
      <c r="AZ190" s="81">
        <v>0</v>
      </c>
      <c r="BA190" s="81">
        <f t="shared" si="529"/>
        <v>30</v>
      </c>
      <c r="BB190" s="98">
        <f t="shared" si="530"/>
        <v>30</v>
      </c>
      <c r="BC190" s="98">
        <v>30</v>
      </c>
      <c r="BD190" s="98"/>
      <c r="BE190" s="98"/>
      <c r="BF190" s="98"/>
      <c r="BG190" s="98"/>
      <c r="BH190" s="81"/>
      <c r="BI190" s="81">
        <f t="shared" si="531"/>
        <v>0</v>
      </c>
      <c r="BJ190" s="81">
        <f t="shared" si="532"/>
        <v>0</v>
      </c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82" t="s">
        <v>388</v>
      </c>
      <c r="BV190" s="85"/>
      <c r="BW190" s="24"/>
    </row>
    <row r="191" spans="1:75" s="198" customFormat="1" ht="24" customHeight="1" x14ac:dyDescent="0.2">
      <c r="A191" s="108"/>
      <c r="B191" s="241"/>
      <c r="C191" s="353" t="s">
        <v>786</v>
      </c>
      <c r="D191" s="80">
        <f t="shared" ref="D191" si="629">F191+Z191+AM191+AZ191+BH191</f>
        <v>0</v>
      </c>
      <c r="E191" s="295">
        <f t="shared" ref="E191" si="630">G191+AA191+AN191+BA191+BI191</f>
        <v>1050</v>
      </c>
      <c r="F191" s="81"/>
      <c r="G191" s="81">
        <f t="shared" ref="G191" si="631">F191+H191</f>
        <v>1050</v>
      </c>
      <c r="H191" s="81">
        <f t="shared" ref="H191" si="632">SUM(I191:Y191)</f>
        <v>1050</v>
      </c>
      <c r="I191" s="81"/>
      <c r="J191" s="81"/>
      <c r="K191" s="81"/>
      <c r="L191" s="81">
        <v>1050</v>
      </c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>
        <f t="shared" ref="AA191" si="633">Z191+AB191</f>
        <v>0</v>
      </c>
      <c r="AB191" s="81">
        <f t="shared" ref="AB191" si="634">SUM(AC191:AL191)</f>
        <v>0</v>
      </c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>
        <f t="shared" ref="AN191" si="635">AM191+AO191</f>
        <v>0</v>
      </c>
      <c r="AO191" s="81">
        <f t="shared" ref="AO191" si="636">SUM(AP191:AY191)</f>
        <v>0</v>
      </c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81">
        <f t="shared" ref="BA191" si="637">AZ191+BB191</f>
        <v>0</v>
      </c>
      <c r="BB191" s="98">
        <f t="shared" ref="BB191" si="638">SUM(BC191:BG191)</f>
        <v>0</v>
      </c>
      <c r="BC191" s="98"/>
      <c r="BD191" s="98"/>
      <c r="BE191" s="98"/>
      <c r="BF191" s="98"/>
      <c r="BG191" s="98"/>
      <c r="BH191" s="81"/>
      <c r="BI191" s="81">
        <f t="shared" ref="BI191" si="639">BH191+BJ191</f>
        <v>0</v>
      </c>
      <c r="BJ191" s="81">
        <f t="shared" ref="BJ191" si="640">SUM(BK191:BT191)</f>
        <v>0</v>
      </c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82" t="s">
        <v>787</v>
      </c>
      <c r="BV191" s="85"/>
      <c r="BW191" s="24"/>
    </row>
    <row r="192" spans="1:75" ht="24" customHeight="1" x14ac:dyDescent="0.2">
      <c r="A192" s="108">
        <v>90009249140</v>
      </c>
      <c r="B192" s="241" t="s">
        <v>513</v>
      </c>
      <c r="C192" s="285" t="s">
        <v>228</v>
      </c>
      <c r="D192" s="80">
        <f t="shared" si="521"/>
        <v>352406</v>
      </c>
      <c r="E192" s="295">
        <f t="shared" si="522"/>
        <v>353045</v>
      </c>
      <c r="F192" s="81">
        <v>325959</v>
      </c>
      <c r="G192" s="81">
        <f t="shared" si="523"/>
        <v>325959</v>
      </c>
      <c r="H192" s="81">
        <f t="shared" si="524"/>
        <v>0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>
        <v>25411</v>
      </c>
      <c r="AA192" s="81">
        <f t="shared" si="525"/>
        <v>26038</v>
      </c>
      <c r="AB192" s="81">
        <f t="shared" si="526"/>
        <v>627</v>
      </c>
      <c r="AC192" s="81"/>
      <c r="AD192" s="81">
        <v>627</v>
      </c>
      <c r="AE192" s="81"/>
      <c r="AF192" s="81"/>
      <c r="AG192" s="81"/>
      <c r="AH192" s="81"/>
      <c r="AI192" s="81"/>
      <c r="AJ192" s="81"/>
      <c r="AK192" s="81"/>
      <c r="AL192" s="81"/>
      <c r="AM192" s="81">
        <v>1036</v>
      </c>
      <c r="AN192" s="98">
        <f t="shared" si="527"/>
        <v>1048</v>
      </c>
      <c r="AO192" s="98">
        <f t="shared" si="528"/>
        <v>12</v>
      </c>
      <c r="AP192" s="98">
        <v>12</v>
      </c>
      <c r="AQ192" s="98"/>
      <c r="AR192" s="98"/>
      <c r="AS192" s="98"/>
      <c r="AT192" s="98"/>
      <c r="AU192" s="98"/>
      <c r="AV192" s="98"/>
      <c r="AW192" s="98"/>
      <c r="AX192" s="98"/>
      <c r="AY192" s="98"/>
      <c r="AZ192" s="98">
        <v>0</v>
      </c>
      <c r="BA192" s="81">
        <f t="shared" si="529"/>
        <v>0</v>
      </c>
      <c r="BB192" s="98">
        <f t="shared" si="530"/>
        <v>0</v>
      </c>
      <c r="BC192" s="98"/>
      <c r="BD192" s="98"/>
      <c r="BE192" s="98"/>
      <c r="BF192" s="98"/>
      <c r="BG192" s="98"/>
      <c r="BH192" s="81"/>
      <c r="BI192" s="81">
        <f t="shared" si="531"/>
        <v>0</v>
      </c>
      <c r="BJ192" s="81">
        <f t="shared" si="532"/>
        <v>0</v>
      </c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82" t="s">
        <v>389</v>
      </c>
      <c r="BV192" s="85"/>
      <c r="BW192" s="24"/>
    </row>
    <row r="193" spans="1:75" x14ac:dyDescent="0.2">
      <c r="A193" s="108"/>
      <c r="B193" s="242"/>
      <c r="C193" s="285" t="s">
        <v>240</v>
      </c>
      <c r="D193" s="80">
        <f t="shared" si="521"/>
        <v>34395</v>
      </c>
      <c r="E193" s="295">
        <f t="shared" si="522"/>
        <v>34395</v>
      </c>
      <c r="F193" s="81">
        <v>34395</v>
      </c>
      <c r="G193" s="81">
        <f t="shared" si="523"/>
        <v>34395</v>
      </c>
      <c r="H193" s="81">
        <f t="shared" si="524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>
        <v>0</v>
      </c>
      <c r="AA193" s="81">
        <f t="shared" si="525"/>
        <v>0</v>
      </c>
      <c r="AB193" s="81">
        <f t="shared" si="526"/>
        <v>0</v>
      </c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>
        <v>0</v>
      </c>
      <c r="AN193" s="81">
        <f t="shared" si="527"/>
        <v>0</v>
      </c>
      <c r="AO193" s="81">
        <f t="shared" si="528"/>
        <v>0</v>
      </c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>
        <v>0</v>
      </c>
      <c r="BA193" s="81">
        <f t="shared" si="529"/>
        <v>0</v>
      </c>
      <c r="BB193" s="98">
        <f t="shared" si="530"/>
        <v>0</v>
      </c>
      <c r="BC193" s="98"/>
      <c r="BD193" s="98"/>
      <c r="BE193" s="98"/>
      <c r="BF193" s="98"/>
      <c r="BG193" s="98"/>
      <c r="BH193" s="81"/>
      <c r="BI193" s="81">
        <f t="shared" si="531"/>
        <v>0</v>
      </c>
      <c r="BJ193" s="81">
        <f t="shared" si="532"/>
        <v>0</v>
      </c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82" t="s">
        <v>390</v>
      </c>
      <c r="BV193" s="85"/>
      <c r="BW193" s="24"/>
    </row>
    <row r="194" spans="1:75" ht="24" customHeight="1" x14ac:dyDescent="0.2">
      <c r="A194" s="108">
        <v>90009249210</v>
      </c>
      <c r="B194" s="241" t="s">
        <v>514</v>
      </c>
      <c r="C194" s="285" t="s">
        <v>228</v>
      </c>
      <c r="D194" s="80">
        <f t="shared" si="521"/>
        <v>428030</v>
      </c>
      <c r="E194" s="295">
        <f t="shared" si="522"/>
        <v>428638</v>
      </c>
      <c r="F194" s="81">
        <v>402703</v>
      </c>
      <c r="G194" s="81">
        <f t="shared" si="523"/>
        <v>402627</v>
      </c>
      <c r="H194" s="81">
        <f t="shared" si="524"/>
        <v>-76</v>
      </c>
      <c r="I194" s="81"/>
      <c r="J194" s="81"/>
      <c r="K194" s="81">
        <v>-76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>
        <v>25327</v>
      </c>
      <c r="AA194" s="81">
        <f t="shared" si="525"/>
        <v>25935</v>
      </c>
      <c r="AB194" s="81">
        <f t="shared" si="526"/>
        <v>608</v>
      </c>
      <c r="AC194" s="81"/>
      <c r="AD194" s="81">
        <v>608</v>
      </c>
      <c r="AE194" s="81"/>
      <c r="AF194" s="81"/>
      <c r="AG194" s="81"/>
      <c r="AH194" s="81"/>
      <c r="AI194" s="81"/>
      <c r="AJ194" s="81"/>
      <c r="AK194" s="81"/>
      <c r="AL194" s="81"/>
      <c r="AM194" s="81">
        <v>0</v>
      </c>
      <c r="AN194" s="81">
        <f t="shared" si="527"/>
        <v>76</v>
      </c>
      <c r="AO194" s="81">
        <f t="shared" si="528"/>
        <v>76</v>
      </c>
      <c r="AP194" s="81">
        <v>76</v>
      </c>
      <c r="AQ194" s="81"/>
      <c r="AR194" s="81"/>
      <c r="AS194" s="81"/>
      <c r="AT194" s="81"/>
      <c r="AU194" s="81"/>
      <c r="AV194" s="81"/>
      <c r="AW194" s="81"/>
      <c r="AX194" s="81"/>
      <c r="AY194" s="81"/>
      <c r="AZ194" s="81">
        <v>0</v>
      </c>
      <c r="BA194" s="81">
        <f t="shared" si="529"/>
        <v>0</v>
      </c>
      <c r="BB194" s="98">
        <f t="shared" si="530"/>
        <v>0</v>
      </c>
      <c r="BC194" s="98"/>
      <c r="BD194" s="98"/>
      <c r="BE194" s="98"/>
      <c r="BF194" s="98"/>
      <c r="BG194" s="98"/>
      <c r="BH194" s="81"/>
      <c r="BI194" s="81">
        <f t="shared" si="531"/>
        <v>0</v>
      </c>
      <c r="BJ194" s="81">
        <f t="shared" si="532"/>
        <v>0</v>
      </c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82" t="s">
        <v>391</v>
      </c>
      <c r="BV194" s="85"/>
      <c r="BW194" s="24"/>
    </row>
    <row r="195" spans="1:75" x14ac:dyDescent="0.2">
      <c r="A195" s="108"/>
      <c r="B195" s="242"/>
      <c r="C195" s="285" t="s">
        <v>240</v>
      </c>
      <c r="D195" s="80">
        <f t="shared" si="521"/>
        <v>40312</v>
      </c>
      <c r="E195" s="295">
        <f t="shared" si="522"/>
        <v>40312</v>
      </c>
      <c r="F195" s="81">
        <v>40312</v>
      </c>
      <c r="G195" s="81">
        <f t="shared" si="523"/>
        <v>40312</v>
      </c>
      <c r="H195" s="81">
        <f t="shared" si="524"/>
        <v>0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>
        <v>0</v>
      </c>
      <c r="AA195" s="81">
        <f t="shared" si="525"/>
        <v>0</v>
      </c>
      <c r="AB195" s="81">
        <f t="shared" si="526"/>
        <v>0</v>
      </c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>
        <v>0</v>
      </c>
      <c r="AN195" s="81">
        <f t="shared" si="527"/>
        <v>0</v>
      </c>
      <c r="AO195" s="81">
        <f t="shared" si="528"/>
        <v>0</v>
      </c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>
        <v>0</v>
      </c>
      <c r="BA195" s="81">
        <f t="shared" si="529"/>
        <v>0</v>
      </c>
      <c r="BB195" s="98">
        <f t="shared" si="530"/>
        <v>0</v>
      </c>
      <c r="BC195" s="98"/>
      <c r="BD195" s="98"/>
      <c r="BE195" s="98"/>
      <c r="BF195" s="98"/>
      <c r="BG195" s="98"/>
      <c r="BH195" s="81"/>
      <c r="BI195" s="81">
        <f t="shared" si="531"/>
        <v>0</v>
      </c>
      <c r="BJ195" s="81">
        <f t="shared" si="532"/>
        <v>0</v>
      </c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82" t="s">
        <v>392</v>
      </c>
      <c r="BV195" s="85"/>
      <c r="BW195" s="24"/>
    </row>
    <row r="196" spans="1:75" ht="24" customHeight="1" x14ac:dyDescent="0.2">
      <c r="A196" s="108">
        <v>90009249155</v>
      </c>
      <c r="B196" s="241" t="s">
        <v>515</v>
      </c>
      <c r="C196" s="285" t="s">
        <v>228</v>
      </c>
      <c r="D196" s="80">
        <f t="shared" si="521"/>
        <v>379137</v>
      </c>
      <c r="E196" s="295">
        <f t="shared" si="522"/>
        <v>379653</v>
      </c>
      <c r="F196" s="81">
        <v>358203</v>
      </c>
      <c r="G196" s="81">
        <f t="shared" si="523"/>
        <v>358203</v>
      </c>
      <c r="H196" s="81">
        <f t="shared" si="524"/>
        <v>0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>
        <v>20929</v>
      </c>
      <c r="AA196" s="81">
        <f t="shared" si="525"/>
        <v>21445</v>
      </c>
      <c r="AB196" s="81">
        <f t="shared" si="526"/>
        <v>516</v>
      </c>
      <c r="AC196" s="81"/>
      <c r="AD196" s="81">
        <v>516</v>
      </c>
      <c r="AE196" s="81"/>
      <c r="AF196" s="81"/>
      <c r="AG196" s="81"/>
      <c r="AH196" s="81"/>
      <c r="AI196" s="81"/>
      <c r="AJ196" s="81"/>
      <c r="AK196" s="81"/>
      <c r="AL196" s="81"/>
      <c r="AM196" s="81">
        <v>5</v>
      </c>
      <c r="AN196" s="81">
        <f t="shared" si="527"/>
        <v>5</v>
      </c>
      <c r="AO196" s="81">
        <f t="shared" si="528"/>
        <v>0</v>
      </c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>
        <v>0</v>
      </c>
      <c r="BA196" s="81">
        <f t="shared" si="529"/>
        <v>0</v>
      </c>
      <c r="BB196" s="98">
        <f t="shared" si="530"/>
        <v>0</v>
      </c>
      <c r="BC196" s="98"/>
      <c r="BD196" s="98"/>
      <c r="BE196" s="98"/>
      <c r="BF196" s="98"/>
      <c r="BG196" s="98"/>
      <c r="BH196" s="81"/>
      <c r="BI196" s="81">
        <f t="shared" si="531"/>
        <v>0</v>
      </c>
      <c r="BJ196" s="81">
        <f t="shared" si="532"/>
        <v>0</v>
      </c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82" t="s">
        <v>393</v>
      </c>
      <c r="BV196" s="85"/>
      <c r="BW196" s="24"/>
    </row>
    <row r="197" spans="1:75" x14ac:dyDescent="0.2">
      <c r="A197" s="108"/>
      <c r="B197" s="242"/>
      <c r="C197" s="285" t="s">
        <v>240</v>
      </c>
      <c r="D197" s="80">
        <f t="shared" si="521"/>
        <v>34395</v>
      </c>
      <c r="E197" s="295">
        <f t="shared" si="522"/>
        <v>34395</v>
      </c>
      <c r="F197" s="81">
        <v>34395</v>
      </c>
      <c r="G197" s="81">
        <f t="shared" si="523"/>
        <v>34395</v>
      </c>
      <c r="H197" s="81">
        <f t="shared" si="524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>
        <v>0</v>
      </c>
      <c r="AA197" s="81">
        <f t="shared" si="525"/>
        <v>0</v>
      </c>
      <c r="AB197" s="81">
        <f t="shared" si="526"/>
        <v>0</v>
      </c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>
        <v>0</v>
      </c>
      <c r="AN197" s="81">
        <f t="shared" si="527"/>
        <v>0</v>
      </c>
      <c r="AO197" s="81">
        <f t="shared" si="528"/>
        <v>0</v>
      </c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>
        <v>0</v>
      </c>
      <c r="BA197" s="81">
        <f t="shared" si="529"/>
        <v>0</v>
      </c>
      <c r="BB197" s="98">
        <f t="shared" si="530"/>
        <v>0</v>
      </c>
      <c r="BC197" s="98"/>
      <c r="BD197" s="98"/>
      <c r="BE197" s="98"/>
      <c r="BF197" s="98"/>
      <c r="BG197" s="98"/>
      <c r="BH197" s="81"/>
      <c r="BI197" s="81">
        <f t="shared" si="531"/>
        <v>0</v>
      </c>
      <c r="BJ197" s="81">
        <f t="shared" si="532"/>
        <v>0</v>
      </c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82" t="s">
        <v>394</v>
      </c>
      <c r="BV197" s="85"/>
      <c r="BW197" s="24"/>
    </row>
    <row r="198" spans="1:75" ht="24" customHeight="1" x14ac:dyDescent="0.2">
      <c r="A198" s="108">
        <v>90009249259</v>
      </c>
      <c r="B198" s="241" t="s">
        <v>516</v>
      </c>
      <c r="C198" s="285" t="s">
        <v>228</v>
      </c>
      <c r="D198" s="80">
        <f t="shared" si="521"/>
        <v>660915</v>
      </c>
      <c r="E198" s="295">
        <f t="shared" si="522"/>
        <v>663019</v>
      </c>
      <c r="F198" s="81">
        <v>591153</v>
      </c>
      <c r="G198" s="81">
        <f t="shared" si="523"/>
        <v>591153</v>
      </c>
      <c r="H198" s="81">
        <f t="shared" si="524"/>
        <v>0</v>
      </c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>
        <v>64030</v>
      </c>
      <c r="AA198" s="81">
        <f t="shared" si="525"/>
        <v>65542</v>
      </c>
      <c r="AB198" s="81">
        <f t="shared" si="526"/>
        <v>1512</v>
      </c>
      <c r="AC198" s="81"/>
      <c r="AD198" s="81">
        <v>1512</v>
      </c>
      <c r="AE198" s="81"/>
      <c r="AF198" s="81"/>
      <c r="AG198" s="81"/>
      <c r="AH198" s="81"/>
      <c r="AI198" s="81"/>
      <c r="AJ198" s="81"/>
      <c r="AK198" s="81"/>
      <c r="AL198" s="81"/>
      <c r="AM198" s="81">
        <v>5732</v>
      </c>
      <c r="AN198" s="81">
        <f t="shared" si="527"/>
        <v>6324</v>
      </c>
      <c r="AO198" s="81">
        <f t="shared" si="528"/>
        <v>592</v>
      </c>
      <c r="AP198" s="81">
        <v>592</v>
      </c>
      <c r="AQ198" s="81"/>
      <c r="AR198" s="81"/>
      <c r="AS198" s="81"/>
      <c r="AT198" s="81"/>
      <c r="AU198" s="81"/>
      <c r="AV198" s="81"/>
      <c r="AW198" s="81"/>
      <c r="AX198" s="81"/>
      <c r="AY198" s="81"/>
      <c r="AZ198" s="81">
        <v>0</v>
      </c>
      <c r="BA198" s="81">
        <f t="shared" si="529"/>
        <v>0</v>
      </c>
      <c r="BB198" s="98">
        <f t="shared" si="530"/>
        <v>0</v>
      </c>
      <c r="BC198" s="98"/>
      <c r="BD198" s="98"/>
      <c r="BE198" s="98"/>
      <c r="BF198" s="98"/>
      <c r="BG198" s="98"/>
      <c r="BH198" s="81"/>
      <c r="BI198" s="81">
        <f t="shared" si="531"/>
        <v>0</v>
      </c>
      <c r="BJ198" s="81">
        <f t="shared" si="532"/>
        <v>0</v>
      </c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82" t="s">
        <v>395</v>
      </c>
      <c r="BV198" s="85"/>
      <c r="BW198" s="24"/>
    </row>
    <row r="199" spans="1:75" x14ac:dyDescent="0.2">
      <c r="A199" s="108"/>
      <c r="B199" s="242"/>
      <c r="C199" s="285" t="s">
        <v>240</v>
      </c>
      <c r="D199" s="80">
        <f t="shared" si="521"/>
        <v>90451</v>
      </c>
      <c r="E199" s="295">
        <f t="shared" si="522"/>
        <v>90451</v>
      </c>
      <c r="F199" s="81">
        <v>83953</v>
      </c>
      <c r="G199" s="81">
        <f t="shared" si="523"/>
        <v>83953</v>
      </c>
      <c r="H199" s="81">
        <f t="shared" si="524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>
        <v>0</v>
      </c>
      <c r="AA199" s="81">
        <f t="shared" si="525"/>
        <v>0</v>
      </c>
      <c r="AB199" s="81">
        <f t="shared" si="526"/>
        <v>0</v>
      </c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>
        <v>6498</v>
      </c>
      <c r="AN199" s="81">
        <f t="shared" si="527"/>
        <v>6498</v>
      </c>
      <c r="AO199" s="81">
        <f t="shared" si="528"/>
        <v>0</v>
      </c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>
        <v>0</v>
      </c>
      <c r="BA199" s="81">
        <f t="shared" si="529"/>
        <v>0</v>
      </c>
      <c r="BB199" s="98">
        <f t="shared" si="530"/>
        <v>0</v>
      </c>
      <c r="BC199" s="98"/>
      <c r="BD199" s="98"/>
      <c r="BE199" s="98"/>
      <c r="BF199" s="98"/>
      <c r="BG199" s="98"/>
      <c r="BH199" s="81"/>
      <c r="BI199" s="81">
        <f t="shared" si="531"/>
        <v>0</v>
      </c>
      <c r="BJ199" s="81">
        <f t="shared" si="532"/>
        <v>0</v>
      </c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82" t="s">
        <v>396</v>
      </c>
      <c r="BV199" s="85"/>
      <c r="BW199" s="24"/>
    </row>
    <row r="200" spans="1:75" ht="24" customHeight="1" x14ac:dyDescent="0.2">
      <c r="A200" s="108">
        <v>90009249314</v>
      </c>
      <c r="B200" s="241" t="s">
        <v>517</v>
      </c>
      <c r="C200" s="285" t="s">
        <v>228</v>
      </c>
      <c r="D200" s="80">
        <f t="shared" si="521"/>
        <v>671803</v>
      </c>
      <c r="E200" s="295">
        <f t="shared" si="522"/>
        <v>673525</v>
      </c>
      <c r="F200" s="81">
        <v>580135</v>
      </c>
      <c r="G200" s="81">
        <f t="shared" si="523"/>
        <v>580135</v>
      </c>
      <c r="H200" s="81">
        <f t="shared" si="524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>
        <v>83701</v>
      </c>
      <c r="AA200" s="81">
        <f t="shared" si="525"/>
        <v>85342</v>
      </c>
      <c r="AB200" s="81">
        <f t="shared" si="526"/>
        <v>1641</v>
      </c>
      <c r="AC200" s="81"/>
      <c r="AD200" s="81">
        <v>1641</v>
      </c>
      <c r="AE200" s="81"/>
      <c r="AF200" s="81"/>
      <c r="AG200" s="81"/>
      <c r="AH200" s="81"/>
      <c r="AI200" s="81"/>
      <c r="AJ200" s="81"/>
      <c r="AK200" s="81"/>
      <c r="AL200" s="81"/>
      <c r="AM200" s="81">
        <v>7967</v>
      </c>
      <c r="AN200" s="81">
        <f t="shared" si="527"/>
        <v>8048</v>
      </c>
      <c r="AO200" s="81">
        <f t="shared" si="528"/>
        <v>81</v>
      </c>
      <c r="AP200" s="81">
        <v>81</v>
      </c>
      <c r="AQ200" s="81"/>
      <c r="AR200" s="81"/>
      <c r="AS200" s="81"/>
      <c r="AT200" s="81"/>
      <c r="AU200" s="81"/>
      <c r="AV200" s="81"/>
      <c r="AW200" s="81"/>
      <c r="AX200" s="81"/>
      <c r="AY200" s="81"/>
      <c r="AZ200" s="81">
        <v>0</v>
      </c>
      <c r="BA200" s="81">
        <f t="shared" si="529"/>
        <v>0</v>
      </c>
      <c r="BB200" s="98">
        <f t="shared" si="530"/>
        <v>0</v>
      </c>
      <c r="BC200" s="98"/>
      <c r="BD200" s="98"/>
      <c r="BE200" s="98"/>
      <c r="BF200" s="98"/>
      <c r="BG200" s="98"/>
      <c r="BH200" s="81"/>
      <c r="BI200" s="81">
        <f t="shared" si="531"/>
        <v>0</v>
      </c>
      <c r="BJ200" s="81">
        <f t="shared" si="532"/>
        <v>0</v>
      </c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82" t="s">
        <v>397</v>
      </c>
      <c r="BV200" s="85"/>
      <c r="BW200" s="24"/>
    </row>
    <row r="201" spans="1:75" x14ac:dyDescent="0.2">
      <c r="A201" s="108"/>
      <c r="B201" s="242"/>
      <c r="C201" s="285" t="s">
        <v>240</v>
      </c>
      <c r="D201" s="80">
        <f t="shared" si="521"/>
        <v>85062</v>
      </c>
      <c r="E201" s="295">
        <f t="shared" si="522"/>
        <v>85062</v>
      </c>
      <c r="F201" s="81">
        <v>85062</v>
      </c>
      <c r="G201" s="81">
        <f t="shared" si="523"/>
        <v>85062</v>
      </c>
      <c r="H201" s="81">
        <f t="shared" si="524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>
        <v>0</v>
      </c>
      <c r="AA201" s="81">
        <f t="shared" si="525"/>
        <v>0</v>
      </c>
      <c r="AB201" s="81">
        <f t="shared" si="526"/>
        <v>0</v>
      </c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>
        <v>0</v>
      </c>
      <c r="AN201" s="81">
        <f t="shared" si="527"/>
        <v>0</v>
      </c>
      <c r="AO201" s="81">
        <f t="shared" si="528"/>
        <v>0</v>
      </c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>
        <v>0</v>
      </c>
      <c r="BA201" s="81">
        <f t="shared" si="529"/>
        <v>0</v>
      </c>
      <c r="BB201" s="98">
        <f t="shared" si="530"/>
        <v>0</v>
      </c>
      <c r="BC201" s="98"/>
      <c r="BD201" s="98"/>
      <c r="BE201" s="98"/>
      <c r="BF201" s="98"/>
      <c r="BG201" s="98"/>
      <c r="BH201" s="81"/>
      <c r="BI201" s="81">
        <f t="shared" si="531"/>
        <v>0</v>
      </c>
      <c r="BJ201" s="81">
        <f t="shared" si="532"/>
        <v>0</v>
      </c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82" t="s">
        <v>398</v>
      </c>
      <c r="BV201" s="85"/>
      <c r="BW201" s="24"/>
    </row>
    <row r="202" spans="1:75" ht="24" customHeight="1" x14ac:dyDescent="0.2">
      <c r="A202" s="108">
        <v>90009249189</v>
      </c>
      <c r="B202" s="241" t="s">
        <v>518</v>
      </c>
      <c r="C202" s="285" t="s">
        <v>228</v>
      </c>
      <c r="D202" s="80">
        <f t="shared" si="521"/>
        <v>644518</v>
      </c>
      <c r="E202" s="295">
        <f t="shared" si="522"/>
        <v>646085</v>
      </c>
      <c r="F202" s="81">
        <v>552680</v>
      </c>
      <c r="G202" s="81">
        <f t="shared" si="523"/>
        <v>552115</v>
      </c>
      <c r="H202" s="81">
        <f t="shared" si="524"/>
        <v>-565</v>
      </c>
      <c r="I202" s="81"/>
      <c r="J202" s="81"/>
      <c r="K202" s="81">
        <v>-565</v>
      </c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>
        <v>85804</v>
      </c>
      <c r="AA202" s="81">
        <f t="shared" si="525"/>
        <v>87371</v>
      </c>
      <c r="AB202" s="81">
        <f t="shared" si="526"/>
        <v>1567</v>
      </c>
      <c r="AC202" s="81"/>
      <c r="AD202" s="81">
        <v>1567</v>
      </c>
      <c r="AE202" s="81"/>
      <c r="AF202" s="81"/>
      <c r="AG202" s="81"/>
      <c r="AH202" s="81"/>
      <c r="AI202" s="81"/>
      <c r="AJ202" s="81"/>
      <c r="AK202" s="81"/>
      <c r="AL202" s="81"/>
      <c r="AM202" s="81">
        <v>6034</v>
      </c>
      <c r="AN202" s="81">
        <f t="shared" si="527"/>
        <v>6599</v>
      </c>
      <c r="AO202" s="81">
        <f t="shared" si="528"/>
        <v>565</v>
      </c>
      <c r="AP202" s="81">
        <v>565</v>
      </c>
      <c r="AQ202" s="81"/>
      <c r="AR202" s="81"/>
      <c r="AS202" s="81"/>
      <c r="AT202" s="81"/>
      <c r="AU202" s="81"/>
      <c r="AV202" s="81"/>
      <c r="AW202" s="81"/>
      <c r="AX202" s="81"/>
      <c r="AY202" s="81"/>
      <c r="AZ202" s="81">
        <v>0</v>
      </c>
      <c r="BA202" s="81">
        <f t="shared" si="529"/>
        <v>0</v>
      </c>
      <c r="BB202" s="98">
        <f t="shared" si="530"/>
        <v>0</v>
      </c>
      <c r="BC202" s="98"/>
      <c r="BD202" s="98"/>
      <c r="BE202" s="98"/>
      <c r="BF202" s="98"/>
      <c r="BG202" s="98"/>
      <c r="BH202" s="81"/>
      <c r="BI202" s="81">
        <f t="shared" si="531"/>
        <v>0</v>
      </c>
      <c r="BJ202" s="81">
        <f t="shared" si="532"/>
        <v>0</v>
      </c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82" t="s">
        <v>399</v>
      </c>
      <c r="BV202" s="85"/>
      <c r="BW202" s="24"/>
    </row>
    <row r="203" spans="1:75" x14ac:dyDescent="0.2">
      <c r="A203" s="108"/>
      <c r="B203" s="242"/>
      <c r="C203" s="285" t="s">
        <v>240</v>
      </c>
      <c r="D203" s="80">
        <f t="shared" si="521"/>
        <v>84561</v>
      </c>
      <c r="E203" s="295">
        <f t="shared" si="522"/>
        <v>84561</v>
      </c>
      <c r="F203" s="81">
        <v>78405</v>
      </c>
      <c r="G203" s="81">
        <f t="shared" si="523"/>
        <v>78405</v>
      </c>
      <c r="H203" s="81">
        <f t="shared" si="524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>
        <v>0</v>
      </c>
      <c r="AA203" s="81">
        <f t="shared" si="525"/>
        <v>0</v>
      </c>
      <c r="AB203" s="81">
        <f t="shared" si="526"/>
        <v>0</v>
      </c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>
        <v>6156</v>
      </c>
      <c r="AN203" s="81">
        <f t="shared" si="527"/>
        <v>6156</v>
      </c>
      <c r="AO203" s="81">
        <f t="shared" si="528"/>
        <v>0</v>
      </c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>
        <v>0</v>
      </c>
      <c r="BA203" s="81">
        <f t="shared" si="529"/>
        <v>0</v>
      </c>
      <c r="BB203" s="98">
        <f t="shared" si="530"/>
        <v>0</v>
      </c>
      <c r="BC203" s="98"/>
      <c r="BD203" s="98"/>
      <c r="BE203" s="98"/>
      <c r="BF203" s="98"/>
      <c r="BG203" s="98"/>
      <c r="BH203" s="81"/>
      <c r="BI203" s="81">
        <f t="shared" si="531"/>
        <v>0</v>
      </c>
      <c r="BJ203" s="81">
        <f t="shared" si="532"/>
        <v>0</v>
      </c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82" t="s">
        <v>400</v>
      </c>
      <c r="BV203" s="85"/>
      <c r="BW203" s="24"/>
    </row>
    <row r="204" spans="1:75" ht="24" customHeight="1" x14ac:dyDescent="0.2">
      <c r="A204" s="108">
        <v>90009249136</v>
      </c>
      <c r="B204" s="241" t="s">
        <v>519</v>
      </c>
      <c r="C204" s="285" t="s">
        <v>228</v>
      </c>
      <c r="D204" s="80">
        <f t="shared" si="521"/>
        <v>331285</v>
      </c>
      <c r="E204" s="295">
        <f t="shared" si="522"/>
        <v>331691</v>
      </c>
      <c r="F204" s="81">
        <v>314523</v>
      </c>
      <c r="G204" s="81">
        <f t="shared" si="523"/>
        <v>314483</v>
      </c>
      <c r="H204" s="81">
        <f t="shared" si="524"/>
        <v>-40</v>
      </c>
      <c r="I204" s="81"/>
      <c r="J204" s="81"/>
      <c r="K204" s="81">
        <v>-40</v>
      </c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>
        <v>16669</v>
      </c>
      <c r="AA204" s="81">
        <f t="shared" si="525"/>
        <v>17075</v>
      </c>
      <c r="AB204" s="81">
        <f t="shared" si="526"/>
        <v>406</v>
      </c>
      <c r="AC204" s="81"/>
      <c r="AD204" s="81">
        <v>406</v>
      </c>
      <c r="AE204" s="81"/>
      <c r="AF204" s="81"/>
      <c r="AG204" s="81"/>
      <c r="AH204" s="81"/>
      <c r="AI204" s="81"/>
      <c r="AJ204" s="81"/>
      <c r="AK204" s="81"/>
      <c r="AL204" s="81"/>
      <c r="AM204" s="81">
        <v>93</v>
      </c>
      <c r="AN204" s="81">
        <f t="shared" si="527"/>
        <v>133</v>
      </c>
      <c r="AO204" s="81">
        <f t="shared" si="528"/>
        <v>40</v>
      </c>
      <c r="AP204" s="81">
        <v>40</v>
      </c>
      <c r="AQ204" s="81"/>
      <c r="AR204" s="81"/>
      <c r="AS204" s="81"/>
      <c r="AT204" s="81"/>
      <c r="AU204" s="81"/>
      <c r="AV204" s="81"/>
      <c r="AW204" s="81"/>
      <c r="AX204" s="81"/>
      <c r="AY204" s="81"/>
      <c r="AZ204" s="81">
        <v>0</v>
      </c>
      <c r="BA204" s="81">
        <f t="shared" si="529"/>
        <v>0</v>
      </c>
      <c r="BB204" s="98">
        <f t="shared" si="530"/>
        <v>0</v>
      </c>
      <c r="BC204" s="98"/>
      <c r="BD204" s="98"/>
      <c r="BE204" s="98"/>
      <c r="BF204" s="98"/>
      <c r="BG204" s="98"/>
      <c r="BH204" s="81"/>
      <c r="BI204" s="81">
        <f t="shared" si="531"/>
        <v>0</v>
      </c>
      <c r="BJ204" s="81">
        <f t="shared" si="532"/>
        <v>0</v>
      </c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82" t="s">
        <v>401</v>
      </c>
      <c r="BV204" s="85"/>
      <c r="BW204" s="24"/>
    </row>
    <row r="205" spans="1:75" x14ac:dyDescent="0.2">
      <c r="A205" s="108"/>
      <c r="B205" s="242"/>
      <c r="C205" s="285" t="s">
        <v>240</v>
      </c>
      <c r="D205" s="80">
        <f t="shared" si="521"/>
        <v>31436</v>
      </c>
      <c r="E205" s="295">
        <f t="shared" si="522"/>
        <v>31436</v>
      </c>
      <c r="F205" s="81">
        <v>31436</v>
      </c>
      <c r="G205" s="81">
        <f t="shared" si="523"/>
        <v>31436</v>
      </c>
      <c r="H205" s="81">
        <f t="shared" si="524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>
        <v>0</v>
      </c>
      <c r="AA205" s="81">
        <f t="shared" si="525"/>
        <v>0</v>
      </c>
      <c r="AB205" s="81">
        <f t="shared" si="526"/>
        <v>0</v>
      </c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>
        <v>0</v>
      </c>
      <c r="AN205" s="81">
        <f t="shared" si="527"/>
        <v>0</v>
      </c>
      <c r="AO205" s="81">
        <f t="shared" si="528"/>
        <v>0</v>
      </c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>
        <v>0</v>
      </c>
      <c r="BA205" s="81">
        <f t="shared" si="529"/>
        <v>0</v>
      </c>
      <c r="BB205" s="98">
        <f t="shared" si="530"/>
        <v>0</v>
      </c>
      <c r="BC205" s="98"/>
      <c r="BD205" s="98"/>
      <c r="BE205" s="98"/>
      <c r="BF205" s="98"/>
      <c r="BG205" s="98"/>
      <c r="BH205" s="81"/>
      <c r="BI205" s="81">
        <f t="shared" si="531"/>
        <v>0</v>
      </c>
      <c r="BJ205" s="81">
        <f t="shared" si="532"/>
        <v>0</v>
      </c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82" t="s">
        <v>402</v>
      </c>
      <c r="BV205" s="85"/>
      <c r="BW205" s="24"/>
    </row>
    <row r="206" spans="1:75" ht="24" customHeight="1" x14ac:dyDescent="0.2">
      <c r="A206" s="108">
        <v>90009563202</v>
      </c>
      <c r="B206" s="241" t="s">
        <v>520</v>
      </c>
      <c r="C206" s="285" t="s">
        <v>228</v>
      </c>
      <c r="D206" s="80">
        <f t="shared" si="521"/>
        <v>335953</v>
      </c>
      <c r="E206" s="295">
        <f t="shared" si="522"/>
        <v>341151</v>
      </c>
      <c r="F206" s="81">
        <v>166947</v>
      </c>
      <c r="G206" s="81">
        <f t="shared" si="523"/>
        <v>166947</v>
      </c>
      <c r="H206" s="81">
        <f t="shared" si="524"/>
        <v>0</v>
      </c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>
        <v>168028</v>
      </c>
      <c r="AA206" s="81">
        <f t="shared" si="525"/>
        <v>173226</v>
      </c>
      <c r="AB206" s="81">
        <f t="shared" si="526"/>
        <v>5198</v>
      </c>
      <c r="AC206" s="81"/>
      <c r="AD206" s="81">
        <f>516+4682</f>
        <v>5198</v>
      </c>
      <c r="AE206" s="81"/>
      <c r="AF206" s="81"/>
      <c r="AG206" s="81"/>
      <c r="AH206" s="81"/>
      <c r="AI206" s="81"/>
      <c r="AJ206" s="81"/>
      <c r="AK206" s="81"/>
      <c r="AL206" s="81"/>
      <c r="AM206" s="81">
        <v>978</v>
      </c>
      <c r="AN206" s="81">
        <f t="shared" si="527"/>
        <v>978</v>
      </c>
      <c r="AO206" s="81">
        <f t="shared" si="528"/>
        <v>0</v>
      </c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>
        <v>0</v>
      </c>
      <c r="BA206" s="81">
        <f t="shared" si="529"/>
        <v>0</v>
      </c>
      <c r="BB206" s="98">
        <f t="shared" si="530"/>
        <v>0</v>
      </c>
      <c r="BC206" s="98"/>
      <c r="BD206" s="98"/>
      <c r="BE206" s="98"/>
      <c r="BF206" s="98"/>
      <c r="BG206" s="98"/>
      <c r="BH206" s="81"/>
      <c r="BI206" s="81">
        <f t="shared" si="531"/>
        <v>0</v>
      </c>
      <c r="BJ206" s="81">
        <f t="shared" si="532"/>
        <v>0</v>
      </c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82" t="s">
        <v>403</v>
      </c>
      <c r="BV206" s="85"/>
      <c r="BW206" s="24"/>
    </row>
    <row r="207" spans="1:75" s="169" customFormat="1" x14ac:dyDescent="0.2">
      <c r="A207" s="108"/>
      <c r="B207" s="242"/>
      <c r="C207" s="285" t="s">
        <v>240</v>
      </c>
      <c r="D207" s="80">
        <f t="shared" si="521"/>
        <v>21081</v>
      </c>
      <c r="E207" s="295">
        <f t="shared" si="522"/>
        <v>21081</v>
      </c>
      <c r="F207" s="81">
        <v>21081</v>
      </c>
      <c r="G207" s="81">
        <f t="shared" si="523"/>
        <v>21081</v>
      </c>
      <c r="H207" s="81">
        <f t="shared" si="524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>
        <v>0</v>
      </c>
      <c r="AA207" s="81">
        <f t="shared" si="525"/>
        <v>0</v>
      </c>
      <c r="AB207" s="81">
        <f t="shared" si="526"/>
        <v>0</v>
      </c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>
        <v>0</v>
      </c>
      <c r="AN207" s="81">
        <f t="shared" si="527"/>
        <v>0</v>
      </c>
      <c r="AO207" s="81">
        <f t="shared" si="528"/>
        <v>0</v>
      </c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>
        <v>0</v>
      </c>
      <c r="BA207" s="81">
        <f t="shared" si="529"/>
        <v>0</v>
      </c>
      <c r="BB207" s="98">
        <f t="shared" si="530"/>
        <v>0</v>
      </c>
      <c r="BC207" s="98"/>
      <c r="BD207" s="98"/>
      <c r="BE207" s="98"/>
      <c r="BF207" s="98"/>
      <c r="BG207" s="98"/>
      <c r="BH207" s="81"/>
      <c r="BI207" s="81">
        <f t="shared" si="531"/>
        <v>0</v>
      </c>
      <c r="BJ207" s="81">
        <f t="shared" si="532"/>
        <v>0</v>
      </c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82" t="s">
        <v>497</v>
      </c>
      <c r="BV207" s="85"/>
      <c r="BW207" s="24"/>
    </row>
    <row r="208" spans="1:75" ht="24" customHeight="1" x14ac:dyDescent="0.2">
      <c r="A208" s="108">
        <v>90009249206</v>
      </c>
      <c r="B208" s="241" t="s">
        <v>521</v>
      </c>
      <c r="C208" s="285" t="s">
        <v>228</v>
      </c>
      <c r="D208" s="80">
        <f t="shared" ref="D208:D237" si="641">F208+Z208+AM208+AZ208+BH208</f>
        <v>662588</v>
      </c>
      <c r="E208" s="295">
        <f t="shared" ref="E208:E237" si="642">G208+AA208+AN208+BA208+BI208</f>
        <v>663639</v>
      </c>
      <c r="F208" s="81">
        <v>613785</v>
      </c>
      <c r="G208" s="81">
        <f t="shared" ref="G208:G237" si="643">F208+H208</f>
        <v>613625</v>
      </c>
      <c r="H208" s="81">
        <f t="shared" ref="H208:H237" si="644">SUM(I208:Y208)</f>
        <v>-160</v>
      </c>
      <c r="I208" s="81"/>
      <c r="J208" s="81"/>
      <c r="K208" s="81">
        <v>-160</v>
      </c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>
        <v>42602</v>
      </c>
      <c r="AA208" s="81">
        <f t="shared" ref="AA208:AA237" si="645">Z208+AB208</f>
        <v>43653</v>
      </c>
      <c r="AB208" s="81">
        <f t="shared" ref="AB208:AB237" si="646">SUM(AC208:AL208)</f>
        <v>1051</v>
      </c>
      <c r="AC208" s="81"/>
      <c r="AD208" s="81">
        <v>1051</v>
      </c>
      <c r="AE208" s="81"/>
      <c r="AF208" s="81"/>
      <c r="AG208" s="81"/>
      <c r="AH208" s="81"/>
      <c r="AI208" s="81"/>
      <c r="AJ208" s="81"/>
      <c r="AK208" s="81"/>
      <c r="AL208" s="81"/>
      <c r="AM208" s="81">
        <v>6201</v>
      </c>
      <c r="AN208" s="81">
        <f t="shared" ref="AN208:AN237" si="647">AM208+AO208</f>
        <v>6361</v>
      </c>
      <c r="AO208" s="81">
        <f t="shared" ref="AO208:AO237" si="648">SUM(AP208:AY208)</f>
        <v>160</v>
      </c>
      <c r="AP208" s="81">
        <v>160</v>
      </c>
      <c r="AQ208" s="81"/>
      <c r="AR208" s="81"/>
      <c r="AS208" s="81"/>
      <c r="AT208" s="81"/>
      <c r="AU208" s="81"/>
      <c r="AV208" s="81"/>
      <c r="AW208" s="81"/>
      <c r="AX208" s="81"/>
      <c r="AY208" s="81"/>
      <c r="AZ208" s="81">
        <v>0</v>
      </c>
      <c r="BA208" s="81">
        <f t="shared" ref="BA208:BA237" si="649">AZ208+BB208</f>
        <v>0</v>
      </c>
      <c r="BB208" s="98">
        <f t="shared" ref="BB208:BB237" si="650">SUM(BC208:BG208)</f>
        <v>0</v>
      </c>
      <c r="BC208" s="98"/>
      <c r="BD208" s="98"/>
      <c r="BE208" s="98"/>
      <c r="BF208" s="98"/>
      <c r="BG208" s="98"/>
      <c r="BH208" s="81"/>
      <c r="BI208" s="81">
        <f t="shared" ref="BI208:BI237" si="651">BH208+BJ208</f>
        <v>0</v>
      </c>
      <c r="BJ208" s="81">
        <f t="shared" ref="BJ208:BJ237" si="652">SUM(BK208:BT208)</f>
        <v>0</v>
      </c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82" t="s">
        <v>404</v>
      </c>
      <c r="BV208" s="85"/>
      <c r="BW208" s="24"/>
    </row>
    <row r="209" spans="1:75" x14ac:dyDescent="0.2">
      <c r="A209" s="108"/>
      <c r="B209" s="242"/>
      <c r="C209" s="285" t="s">
        <v>240</v>
      </c>
      <c r="D209" s="80">
        <f t="shared" si="641"/>
        <v>79884</v>
      </c>
      <c r="E209" s="295">
        <f t="shared" si="642"/>
        <v>79884</v>
      </c>
      <c r="F209" s="81">
        <v>79884</v>
      </c>
      <c r="G209" s="81">
        <f t="shared" si="643"/>
        <v>79884</v>
      </c>
      <c r="H209" s="81">
        <f t="shared" si="644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>
        <v>0</v>
      </c>
      <c r="AA209" s="81">
        <f t="shared" si="645"/>
        <v>0</v>
      </c>
      <c r="AB209" s="81">
        <f t="shared" si="646"/>
        <v>0</v>
      </c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>
        <v>0</v>
      </c>
      <c r="AN209" s="81">
        <f t="shared" si="647"/>
        <v>0</v>
      </c>
      <c r="AO209" s="81">
        <f t="shared" si="648"/>
        <v>0</v>
      </c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>
        <v>0</v>
      </c>
      <c r="BA209" s="81">
        <f t="shared" si="649"/>
        <v>0</v>
      </c>
      <c r="BB209" s="98">
        <f t="shared" si="650"/>
        <v>0</v>
      </c>
      <c r="BC209" s="98"/>
      <c r="BD209" s="98"/>
      <c r="BE209" s="98"/>
      <c r="BF209" s="98"/>
      <c r="BG209" s="98"/>
      <c r="BH209" s="81"/>
      <c r="BI209" s="81">
        <f t="shared" si="651"/>
        <v>0</v>
      </c>
      <c r="BJ209" s="81">
        <f t="shared" si="652"/>
        <v>0</v>
      </c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82" t="s">
        <v>405</v>
      </c>
      <c r="BV209" s="85"/>
      <c r="BW209" s="24"/>
    </row>
    <row r="210" spans="1:75" ht="24" customHeight="1" x14ac:dyDescent="0.2">
      <c r="A210" s="108">
        <v>90009251357</v>
      </c>
      <c r="B210" s="241" t="s">
        <v>522</v>
      </c>
      <c r="C210" s="285" t="s">
        <v>228</v>
      </c>
      <c r="D210" s="80">
        <f t="shared" si="641"/>
        <v>407798</v>
      </c>
      <c r="E210" s="295">
        <f t="shared" si="642"/>
        <v>408554</v>
      </c>
      <c r="F210" s="81">
        <v>375064</v>
      </c>
      <c r="G210" s="81">
        <f t="shared" si="643"/>
        <v>375064</v>
      </c>
      <c r="H210" s="81">
        <f t="shared" si="644"/>
        <v>0</v>
      </c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>
        <v>30638</v>
      </c>
      <c r="AA210" s="81">
        <f t="shared" si="645"/>
        <v>31394</v>
      </c>
      <c r="AB210" s="81">
        <f t="shared" si="646"/>
        <v>756</v>
      </c>
      <c r="AC210" s="81"/>
      <c r="AD210" s="81">
        <v>756</v>
      </c>
      <c r="AE210" s="81"/>
      <c r="AF210" s="81"/>
      <c r="AG210" s="81"/>
      <c r="AH210" s="81"/>
      <c r="AI210" s="81"/>
      <c r="AJ210" s="81"/>
      <c r="AK210" s="81"/>
      <c r="AL210" s="81"/>
      <c r="AM210" s="81">
        <v>2096</v>
      </c>
      <c r="AN210" s="81">
        <f t="shared" si="647"/>
        <v>2096</v>
      </c>
      <c r="AO210" s="81">
        <f t="shared" si="648"/>
        <v>0</v>
      </c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>
        <v>0</v>
      </c>
      <c r="BA210" s="81">
        <f t="shared" si="649"/>
        <v>0</v>
      </c>
      <c r="BB210" s="98">
        <f t="shared" si="650"/>
        <v>0</v>
      </c>
      <c r="BC210" s="98"/>
      <c r="BD210" s="98"/>
      <c r="BE210" s="98"/>
      <c r="BF210" s="98"/>
      <c r="BG210" s="98"/>
      <c r="BH210" s="81"/>
      <c r="BI210" s="81">
        <f t="shared" si="651"/>
        <v>0</v>
      </c>
      <c r="BJ210" s="81">
        <f t="shared" si="652"/>
        <v>0</v>
      </c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82" t="s">
        <v>406</v>
      </c>
      <c r="BV210" s="85"/>
      <c r="BW210" s="24"/>
    </row>
    <row r="211" spans="1:75" ht="12.75" x14ac:dyDescent="0.2">
      <c r="A211" s="108"/>
      <c r="B211" s="243"/>
      <c r="C211" s="285" t="s">
        <v>240</v>
      </c>
      <c r="D211" s="80">
        <f t="shared" si="641"/>
        <v>49455</v>
      </c>
      <c r="E211" s="295">
        <f t="shared" si="642"/>
        <v>49981</v>
      </c>
      <c r="F211" s="81">
        <v>43641</v>
      </c>
      <c r="G211" s="81">
        <f t="shared" si="643"/>
        <v>43641</v>
      </c>
      <c r="H211" s="81">
        <f t="shared" si="644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>
        <v>0</v>
      </c>
      <c r="AA211" s="81">
        <f t="shared" si="645"/>
        <v>0</v>
      </c>
      <c r="AB211" s="81">
        <f t="shared" si="646"/>
        <v>0</v>
      </c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>
        <v>5814</v>
      </c>
      <c r="AN211" s="81">
        <f t="shared" si="647"/>
        <v>6340</v>
      </c>
      <c r="AO211" s="81">
        <f t="shared" si="648"/>
        <v>526</v>
      </c>
      <c r="AP211" s="81">
        <v>526</v>
      </c>
      <c r="AQ211" s="81"/>
      <c r="AR211" s="81"/>
      <c r="AS211" s="81"/>
      <c r="AT211" s="81"/>
      <c r="AU211" s="81"/>
      <c r="AV211" s="81"/>
      <c r="AW211" s="81"/>
      <c r="AX211" s="81"/>
      <c r="AY211" s="81"/>
      <c r="AZ211" s="81">
        <v>0</v>
      </c>
      <c r="BA211" s="81">
        <f t="shared" si="649"/>
        <v>0</v>
      </c>
      <c r="BB211" s="98">
        <f t="shared" si="650"/>
        <v>0</v>
      </c>
      <c r="BC211" s="98"/>
      <c r="BD211" s="98"/>
      <c r="BE211" s="98"/>
      <c r="BF211" s="98"/>
      <c r="BG211" s="98"/>
      <c r="BH211" s="81"/>
      <c r="BI211" s="81">
        <f t="shared" si="651"/>
        <v>0</v>
      </c>
      <c r="BJ211" s="81">
        <f t="shared" si="652"/>
        <v>0</v>
      </c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82" t="s">
        <v>407</v>
      </c>
      <c r="BV211" s="85"/>
      <c r="BW211" s="24"/>
    </row>
    <row r="212" spans="1:75" ht="24" customHeight="1" x14ac:dyDescent="0.2">
      <c r="A212" s="108">
        <v>90000051542</v>
      </c>
      <c r="B212" s="241" t="s">
        <v>20</v>
      </c>
      <c r="C212" s="285" t="s">
        <v>227</v>
      </c>
      <c r="D212" s="80">
        <f t="shared" si="641"/>
        <v>1500893</v>
      </c>
      <c r="E212" s="295">
        <f t="shared" si="642"/>
        <v>1527139</v>
      </c>
      <c r="F212" s="81">
        <v>506018</v>
      </c>
      <c r="G212" s="81">
        <f t="shared" si="643"/>
        <v>508856</v>
      </c>
      <c r="H212" s="81">
        <f t="shared" si="644"/>
        <v>2838</v>
      </c>
      <c r="I212" s="81"/>
      <c r="J212" s="81"/>
      <c r="K212" s="81">
        <v>-8429</v>
      </c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>
        <v>11267</v>
      </c>
      <c r="X212" s="81"/>
      <c r="Y212" s="81"/>
      <c r="Z212" s="81">
        <v>962055</v>
      </c>
      <c r="AA212" s="81">
        <f t="shared" si="645"/>
        <v>977034</v>
      </c>
      <c r="AB212" s="81">
        <f t="shared" si="646"/>
        <v>14979</v>
      </c>
      <c r="AC212" s="81">
        <f>4130-1291</f>
        <v>2839</v>
      </c>
      <c r="AD212" s="81">
        <f>11580+855+599</f>
        <v>13034</v>
      </c>
      <c r="AE212" s="81"/>
      <c r="AF212" s="81"/>
      <c r="AG212" s="81">
        <v>-894</v>
      </c>
      <c r="AH212" s="81"/>
      <c r="AI212" s="81"/>
      <c r="AJ212" s="81"/>
      <c r="AK212" s="81"/>
      <c r="AL212" s="81"/>
      <c r="AM212" s="81">
        <v>32820</v>
      </c>
      <c r="AN212" s="81">
        <f t="shared" si="647"/>
        <v>41249</v>
      </c>
      <c r="AO212" s="81">
        <f t="shared" si="648"/>
        <v>8429</v>
      </c>
      <c r="AP212" s="81">
        <v>8429</v>
      </c>
      <c r="AQ212" s="81"/>
      <c r="AR212" s="81"/>
      <c r="AS212" s="81"/>
      <c r="AT212" s="81"/>
      <c r="AU212" s="81"/>
      <c r="AV212" s="81"/>
      <c r="AW212" s="81"/>
      <c r="AX212" s="81"/>
      <c r="AY212" s="81"/>
      <c r="AZ212" s="81">
        <v>0</v>
      </c>
      <c r="BA212" s="81">
        <f t="shared" si="649"/>
        <v>0</v>
      </c>
      <c r="BB212" s="98">
        <f t="shared" si="650"/>
        <v>0</v>
      </c>
      <c r="BC212" s="98"/>
      <c r="BD212" s="98"/>
      <c r="BE212" s="98"/>
      <c r="BF212" s="98"/>
      <c r="BG212" s="98"/>
      <c r="BH212" s="81"/>
      <c r="BI212" s="81">
        <f t="shared" si="651"/>
        <v>0</v>
      </c>
      <c r="BJ212" s="81">
        <f t="shared" si="652"/>
        <v>0</v>
      </c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82" t="s">
        <v>408</v>
      </c>
      <c r="BV212" s="85"/>
      <c r="BW212" s="24"/>
    </row>
    <row r="213" spans="1:75" x14ac:dyDescent="0.2">
      <c r="A213" s="108"/>
      <c r="B213" s="242"/>
      <c r="C213" s="285" t="s">
        <v>240</v>
      </c>
      <c r="D213" s="80">
        <f t="shared" si="641"/>
        <v>171927</v>
      </c>
      <c r="E213" s="295">
        <f t="shared" si="642"/>
        <v>171927</v>
      </c>
      <c r="F213" s="81">
        <v>123908</v>
      </c>
      <c r="G213" s="81">
        <f t="shared" si="643"/>
        <v>123908</v>
      </c>
      <c r="H213" s="81">
        <f t="shared" si="644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>
        <v>48019</v>
      </c>
      <c r="AA213" s="81">
        <f t="shared" si="645"/>
        <v>48019</v>
      </c>
      <c r="AB213" s="81">
        <f t="shared" si="646"/>
        <v>0</v>
      </c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>
        <v>0</v>
      </c>
      <c r="AN213" s="81">
        <f t="shared" si="647"/>
        <v>0</v>
      </c>
      <c r="AO213" s="81">
        <f t="shared" si="648"/>
        <v>0</v>
      </c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>
        <v>0</v>
      </c>
      <c r="BA213" s="81">
        <f t="shared" si="649"/>
        <v>0</v>
      </c>
      <c r="BB213" s="98">
        <f t="shared" si="650"/>
        <v>0</v>
      </c>
      <c r="BC213" s="98"/>
      <c r="BD213" s="98"/>
      <c r="BE213" s="98"/>
      <c r="BF213" s="98"/>
      <c r="BG213" s="98"/>
      <c r="BH213" s="81"/>
      <c r="BI213" s="81">
        <f t="shared" si="651"/>
        <v>0</v>
      </c>
      <c r="BJ213" s="81">
        <f t="shared" si="652"/>
        <v>0</v>
      </c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82" t="s">
        <v>409</v>
      </c>
      <c r="BV213" s="85"/>
      <c r="BW213" s="24"/>
    </row>
    <row r="214" spans="1:75" s="192" customFormat="1" x14ac:dyDescent="0.2">
      <c r="A214" s="108"/>
      <c r="B214" s="242"/>
      <c r="C214" s="285" t="s">
        <v>539</v>
      </c>
      <c r="D214" s="80">
        <f t="shared" si="641"/>
        <v>0</v>
      </c>
      <c r="E214" s="295">
        <f t="shared" si="642"/>
        <v>0</v>
      </c>
      <c r="F214" s="81">
        <v>1</v>
      </c>
      <c r="G214" s="81">
        <f t="shared" si="643"/>
        <v>0</v>
      </c>
      <c r="H214" s="81">
        <f t="shared" si="644"/>
        <v>-1</v>
      </c>
      <c r="I214" s="81"/>
      <c r="J214" s="81"/>
      <c r="K214" s="81">
        <v>-1</v>
      </c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>
        <v>0</v>
      </c>
      <c r="AA214" s="81">
        <f t="shared" si="645"/>
        <v>0</v>
      </c>
      <c r="AB214" s="81">
        <f t="shared" si="646"/>
        <v>0</v>
      </c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>
        <v>0</v>
      </c>
      <c r="AN214" s="81">
        <f t="shared" si="647"/>
        <v>0</v>
      </c>
      <c r="AO214" s="81">
        <f t="shared" si="648"/>
        <v>0</v>
      </c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>
        <v>0</v>
      </c>
      <c r="BA214" s="81">
        <f t="shared" si="649"/>
        <v>0</v>
      </c>
      <c r="BB214" s="98">
        <f t="shared" si="650"/>
        <v>0</v>
      </c>
      <c r="BC214" s="98"/>
      <c r="BD214" s="98"/>
      <c r="BE214" s="98"/>
      <c r="BF214" s="98"/>
      <c r="BG214" s="98"/>
      <c r="BH214" s="81">
        <v>-1</v>
      </c>
      <c r="BI214" s="81">
        <f t="shared" si="651"/>
        <v>0</v>
      </c>
      <c r="BJ214" s="81">
        <f t="shared" si="652"/>
        <v>1</v>
      </c>
      <c r="BK214" s="98"/>
      <c r="BL214" s="98">
        <v>1</v>
      </c>
      <c r="BM214" s="98"/>
      <c r="BN214" s="98"/>
      <c r="BO214" s="98"/>
      <c r="BP214" s="98"/>
      <c r="BQ214" s="98"/>
      <c r="BR214" s="98"/>
      <c r="BS214" s="98"/>
      <c r="BT214" s="98"/>
      <c r="BU214" s="82" t="s">
        <v>691</v>
      </c>
      <c r="BV214" s="85"/>
      <c r="BW214" s="24"/>
    </row>
    <row r="215" spans="1:75" s="198" customFormat="1" x14ac:dyDescent="0.2">
      <c r="A215" s="108"/>
      <c r="B215" s="242"/>
      <c r="C215" s="285" t="s">
        <v>640</v>
      </c>
      <c r="D215" s="80">
        <f t="shared" si="641"/>
        <v>12640</v>
      </c>
      <c r="E215" s="295">
        <f t="shared" si="642"/>
        <v>12640</v>
      </c>
      <c r="F215" s="81">
        <v>12640</v>
      </c>
      <c r="G215" s="81">
        <f t="shared" si="643"/>
        <v>12640</v>
      </c>
      <c r="H215" s="81">
        <f t="shared" si="644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>
        <v>0</v>
      </c>
      <c r="AA215" s="81">
        <f t="shared" si="645"/>
        <v>0</v>
      </c>
      <c r="AB215" s="81">
        <f t="shared" si="646"/>
        <v>0</v>
      </c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>
        <v>0</v>
      </c>
      <c r="AN215" s="81">
        <f t="shared" si="647"/>
        <v>0</v>
      </c>
      <c r="AO215" s="81">
        <f t="shared" si="648"/>
        <v>0</v>
      </c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>
        <v>0</v>
      </c>
      <c r="BA215" s="81">
        <f t="shared" si="649"/>
        <v>0</v>
      </c>
      <c r="BB215" s="98">
        <f t="shared" si="650"/>
        <v>0</v>
      </c>
      <c r="BC215" s="98"/>
      <c r="BD215" s="98"/>
      <c r="BE215" s="98"/>
      <c r="BF215" s="98"/>
      <c r="BG215" s="98"/>
      <c r="BH215" s="81"/>
      <c r="BI215" s="81">
        <f t="shared" si="651"/>
        <v>0</v>
      </c>
      <c r="BJ215" s="81">
        <f t="shared" si="652"/>
        <v>0</v>
      </c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82" t="s">
        <v>554</v>
      </c>
      <c r="BV215" s="85"/>
      <c r="BW215" s="24"/>
    </row>
    <row r="216" spans="1:75" s="198" customFormat="1" x14ac:dyDescent="0.2">
      <c r="A216" s="108"/>
      <c r="B216" s="242"/>
      <c r="C216" s="391" t="s">
        <v>828</v>
      </c>
      <c r="D216" s="80">
        <f t="shared" si="641"/>
        <v>0</v>
      </c>
      <c r="E216" s="295">
        <f t="shared" si="642"/>
        <v>17000</v>
      </c>
      <c r="F216" s="81"/>
      <c r="G216" s="81">
        <f t="shared" si="643"/>
        <v>17000</v>
      </c>
      <c r="H216" s="81">
        <f t="shared" si="644"/>
        <v>17000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>
        <v>17000</v>
      </c>
      <c r="V216" s="81"/>
      <c r="W216" s="81"/>
      <c r="X216" s="81"/>
      <c r="Y216" s="81"/>
      <c r="Z216" s="81"/>
      <c r="AA216" s="81">
        <f t="shared" si="645"/>
        <v>0</v>
      </c>
      <c r="AB216" s="81">
        <f t="shared" si="646"/>
        <v>0</v>
      </c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>
        <f t="shared" si="647"/>
        <v>0</v>
      </c>
      <c r="AO216" s="81">
        <f t="shared" si="648"/>
        <v>0</v>
      </c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>
        <f t="shared" si="649"/>
        <v>0</v>
      </c>
      <c r="BB216" s="98">
        <f t="shared" si="650"/>
        <v>0</v>
      </c>
      <c r="BC216" s="98"/>
      <c r="BD216" s="98"/>
      <c r="BE216" s="98"/>
      <c r="BF216" s="98"/>
      <c r="BG216" s="98"/>
      <c r="BH216" s="81"/>
      <c r="BI216" s="81">
        <f t="shared" si="651"/>
        <v>0</v>
      </c>
      <c r="BJ216" s="81">
        <f t="shared" si="652"/>
        <v>0</v>
      </c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82" t="s">
        <v>827</v>
      </c>
      <c r="BV216" s="85"/>
      <c r="BW216" s="24"/>
    </row>
    <row r="217" spans="1:75" ht="24" customHeight="1" x14ac:dyDescent="0.2">
      <c r="A217" s="108">
        <v>90001175873</v>
      </c>
      <c r="B217" s="241" t="s">
        <v>154</v>
      </c>
      <c r="C217" s="285" t="s">
        <v>227</v>
      </c>
      <c r="D217" s="80">
        <f t="shared" si="641"/>
        <v>733944</v>
      </c>
      <c r="E217" s="295">
        <f t="shared" si="642"/>
        <v>742626</v>
      </c>
      <c r="F217" s="81">
        <v>311113</v>
      </c>
      <c r="G217" s="81">
        <f t="shared" si="643"/>
        <v>310281</v>
      </c>
      <c r="H217" s="81">
        <f t="shared" si="644"/>
        <v>-832</v>
      </c>
      <c r="I217" s="81"/>
      <c r="J217" s="81"/>
      <c r="K217" s="81">
        <v>-832</v>
      </c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>
        <v>410406</v>
      </c>
      <c r="AA217" s="81">
        <f t="shared" si="645"/>
        <v>419088</v>
      </c>
      <c r="AB217" s="81">
        <f t="shared" si="646"/>
        <v>8682</v>
      </c>
      <c r="AC217" s="81">
        <v>2394</v>
      </c>
      <c r="AD217" s="81">
        <v>6306</v>
      </c>
      <c r="AE217" s="81"/>
      <c r="AF217" s="81"/>
      <c r="AG217" s="81">
        <v>-18</v>
      </c>
      <c r="AH217" s="81"/>
      <c r="AI217" s="81"/>
      <c r="AJ217" s="81"/>
      <c r="AK217" s="81"/>
      <c r="AL217" s="81"/>
      <c r="AM217" s="81">
        <v>12425</v>
      </c>
      <c r="AN217" s="81">
        <f t="shared" si="647"/>
        <v>13257</v>
      </c>
      <c r="AO217" s="81">
        <f t="shared" si="648"/>
        <v>832</v>
      </c>
      <c r="AP217" s="81">
        <v>832</v>
      </c>
      <c r="AQ217" s="81"/>
      <c r="AR217" s="81"/>
      <c r="AS217" s="81"/>
      <c r="AT217" s="81"/>
      <c r="AU217" s="81"/>
      <c r="AV217" s="81"/>
      <c r="AW217" s="81"/>
      <c r="AX217" s="81"/>
      <c r="AY217" s="81"/>
      <c r="AZ217" s="81">
        <v>0</v>
      </c>
      <c r="BA217" s="81">
        <f t="shared" si="649"/>
        <v>0</v>
      </c>
      <c r="BB217" s="98">
        <f t="shared" si="650"/>
        <v>0</v>
      </c>
      <c r="BC217" s="98"/>
      <c r="BD217" s="98"/>
      <c r="BE217" s="98"/>
      <c r="BF217" s="98"/>
      <c r="BG217" s="98"/>
      <c r="BH217" s="81"/>
      <c r="BI217" s="81">
        <f t="shared" si="651"/>
        <v>0</v>
      </c>
      <c r="BJ217" s="81">
        <f t="shared" si="652"/>
        <v>0</v>
      </c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82" t="s">
        <v>410</v>
      </c>
      <c r="BV217" s="85"/>
      <c r="BW217" s="24"/>
    </row>
    <row r="218" spans="1:75" x14ac:dyDescent="0.2">
      <c r="A218" s="108"/>
      <c r="B218" s="242"/>
      <c r="C218" s="285" t="s">
        <v>240</v>
      </c>
      <c r="D218" s="80">
        <f t="shared" si="641"/>
        <v>89615</v>
      </c>
      <c r="E218" s="295">
        <f t="shared" si="642"/>
        <v>93998</v>
      </c>
      <c r="F218" s="81">
        <v>33816</v>
      </c>
      <c r="G218" s="81">
        <f t="shared" si="643"/>
        <v>33816</v>
      </c>
      <c r="H218" s="81">
        <f t="shared" si="644"/>
        <v>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>
        <v>55799</v>
      </c>
      <c r="AA218" s="81">
        <f t="shared" si="645"/>
        <v>60182</v>
      </c>
      <c r="AB218" s="81">
        <f t="shared" si="646"/>
        <v>4383</v>
      </c>
      <c r="AC218" s="81"/>
      <c r="AD218" s="81">
        <v>4383</v>
      </c>
      <c r="AE218" s="81"/>
      <c r="AF218" s="81"/>
      <c r="AG218" s="81"/>
      <c r="AH218" s="81"/>
      <c r="AI218" s="81"/>
      <c r="AJ218" s="81"/>
      <c r="AK218" s="81"/>
      <c r="AL218" s="81"/>
      <c r="AM218" s="81">
        <v>0</v>
      </c>
      <c r="AN218" s="81">
        <f t="shared" si="647"/>
        <v>0</v>
      </c>
      <c r="AO218" s="81">
        <f t="shared" si="648"/>
        <v>0</v>
      </c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>
        <v>0</v>
      </c>
      <c r="BA218" s="81">
        <f t="shared" si="649"/>
        <v>0</v>
      </c>
      <c r="BB218" s="98">
        <f t="shared" si="650"/>
        <v>0</v>
      </c>
      <c r="BC218" s="98"/>
      <c r="BD218" s="98"/>
      <c r="BE218" s="98"/>
      <c r="BF218" s="98"/>
      <c r="BG218" s="98"/>
      <c r="BH218" s="81"/>
      <c r="BI218" s="81">
        <f t="shared" si="651"/>
        <v>0</v>
      </c>
      <c r="BJ218" s="81">
        <f t="shared" si="652"/>
        <v>0</v>
      </c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82" t="s">
        <v>411</v>
      </c>
      <c r="BV218" s="85"/>
      <c r="BW218" s="24"/>
    </row>
    <row r="219" spans="1:75" s="193" customFormat="1" ht="24" x14ac:dyDescent="0.2">
      <c r="A219" s="108"/>
      <c r="B219" s="242"/>
      <c r="C219" s="285" t="s">
        <v>543</v>
      </c>
      <c r="D219" s="80">
        <f t="shared" si="641"/>
        <v>4731</v>
      </c>
      <c r="E219" s="295">
        <f t="shared" si="642"/>
        <v>6307</v>
      </c>
      <c r="F219" s="81">
        <v>4731</v>
      </c>
      <c r="G219" s="81">
        <f t="shared" si="643"/>
        <v>6307</v>
      </c>
      <c r="H219" s="81">
        <f t="shared" si="644"/>
        <v>1576</v>
      </c>
      <c r="I219" s="81"/>
      <c r="J219" s="81"/>
      <c r="K219" s="81">
        <v>1576</v>
      </c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>
        <v>0</v>
      </c>
      <c r="AA219" s="81">
        <f t="shared" si="645"/>
        <v>0</v>
      </c>
      <c r="AB219" s="81">
        <f t="shared" si="646"/>
        <v>0</v>
      </c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>
        <v>0</v>
      </c>
      <c r="AN219" s="81">
        <f t="shared" si="647"/>
        <v>0</v>
      </c>
      <c r="AO219" s="81">
        <f t="shared" si="648"/>
        <v>0</v>
      </c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>
        <v>0</v>
      </c>
      <c r="BA219" s="81">
        <f t="shared" si="649"/>
        <v>0</v>
      </c>
      <c r="BB219" s="98">
        <f t="shared" si="650"/>
        <v>0</v>
      </c>
      <c r="BC219" s="98"/>
      <c r="BD219" s="98"/>
      <c r="BE219" s="98"/>
      <c r="BF219" s="98"/>
      <c r="BG219" s="98"/>
      <c r="BH219" s="81"/>
      <c r="BI219" s="81">
        <f t="shared" si="651"/>
        <v>0</v>
      </c>
      <c r="BJ219" s="81">
        <f t="shared" si="652"/>
        <v>0</v>
      </c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82" t="s">
        <v>555</v>
      </c>
      <c r="BV219" s="85"/>
      <c r="BW219" s="24"/>
    </row>
    <row r="220" spans="1:75" ht="24" customHeight="1" x14ac:dyDescent="0.2">
      <c r="A220" s="108">
        <v>90009251361</v>
      </c>
      <c r="B220" s="241" t="s">
        <v>199</v>
      </c>
      <c r="C220" s="285" t="s">
        <v>227</v>
      </c>
      <c r="D220" s="80">
        <f t="shared" si="641"/>
        <v>718678</v>
      </c>
      <c r="E220" s="295">
        <f t="shared" si="642"/>
        <v>725059</v>
      </c>
      <c r="F220" s="81">
        <v>529234</v>
      </c>
      <c r="G220" s="81">
        <f t="shared" si="643"/>
        <v>529234</v>
      </c>
      <c r="H220" s="81">
        <f t="shared" si="644"/>
        <v>0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>
        <v>170083</v>
      </c>
      <c r="AA220" s="81">
        <f t="shared" si="645"/>
        <v>173686</v>
      </c>
      <c r="AB220" s="81">
        <f t="shared" si="646"/>
        <v>3603</v>
      </c>
      <c r="AC220" s="81">
        <v>679</v>
      </c>
      <c r="AD220" s="81">
        <v>2969</v>
      </c>
      <c r="AE220" s="81"/>
      <c r="AF220" s="81"/>
      <c r="AG220" s="81">
        <v>-45</v>
      </c>
      <c r="AH220" s="81"/>
      <c r="AI220" s="81"/>
      <c r="AJ220" s="81"/>
      <c r="AK220" s="81"/>
      <c r="AL220" s="81"/>
      <c r="AM220" s="81">
        <v>19361</v>
      </c>
      <c r="AN220" s="81">
        <f t="shared" si="647"/>
        <v>22139</v>
      </c>
      <c r="AO220" s="81">
        <f t="shared" si="648"/>
        <v>2778</v>
      </c>
      <c r="AP220" s="81">
        <v>2778</v>
      </c>
      <c r="AQ220" s="81"/>
      <c r="AR220" s="81"/>
      <c r="AS220" s="81"/>
      <c r="AT220" s="81"/>
      <c r="AU220" s="81"/>
      <c r="AV220" s="81"/>
      <c r="AW220" s="81"/>
      <c r="AX220" s="81"/>
      <c r="AY220" s="81"/>
      <c r="AZ220" s="81">
        <v>0</v>
      </c>
      <c r="BA220" s="81">
        <f t="shared" si="649"/>
        <v>0</v>
      </c>
      <c r="BB220" s="98">
        <f t="shared" si="650"/>
        <v>0</v>
      </c>
      <c r="BC220" s="98"/>
      <c r="BD220" s="98"/>
      <c r="BE220" s="98"/>
      <c r="BF220" s="98"/>
      <c r="BG220" s="98"/>
      <c r="BH220" s="81"/>
      <c r="BI220" s="81">
        <f t="shared" si="651"/>
        <v>0</v>
      </c>
      <c r="BJ220" s="81">
        <f t="shared" si="652"/>
        <v>0</v>
      </c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82" t="s">
        <v>412</v>
      </c>
      <c r="BV220" s="85"/>
      <c r="BW220" s="24"/>
    </row>
    <row r="221" spans="1:75" x14ac:dyDescent="0.2">
      <c r="A221" s="108"/>
      <c r="B221" s="242"/>
      <c r="C221" s="285" t="s">
        <v>240</v>
      </c>
      <c r="D221" s="80">
        <f t="shared" si="641"/>
        <v>78286</v>
      </c>
      <c r="E221" s="295">
        <f t="shared" si="642"/>
        <v>78286</v>
      </c>
      <c r="F221" s="81">
        <v>54736</v>
      </c>
      <c r="G221" s="81">
        <f t="shared" si="643"/>
        <v>54736</v>
      </c>
      <c r="H221" s="81">
        <f t="shared" si="644"/>
        <v>0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>
        <v>23550</v>
      </c>
      <c r="AA221" s="81">
        <f t="shared" si="645"/>
        <v>23550</v>
      </c>
      <c r="AB221" s="81">
        <f t="shared" si="646"/>
        <v>0</v>
      </c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>
        <v>0</v>
      </c>
      <c r="AN221" s="81">
        <f t="shared" si="647"/>
        <v>0</v>
      </c>
      <c r="AO221" s="81">
        <f t="shared" si="648"/>
        <v>0</v>
      </c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>
        <v>0</v>
      </c>
      <c r="BA221" s="81">
        <f t="shared" si="649"/>
        <v>0</v>
      </c>
      <c r="BB221" s="98">
        <f t="shared" si="650"/>
        <v>0</v>
      </c>
      <c r="BC221" s="98"/>
      <c r="BD221" s="98"/>
      <c r="BE221" s="98"/>
      <c r="BF221" s="98"/>
      <c r="BG221" s="98"/>
      <c r="BH221" s="81"/>
      <c r="BI221" s="81">
        <f t="shared" si="651"/>
        <v>0</v>
      </c>
      <c r="BJ221" s="81">
        <f t="shared" si="652"/>
        <v>0</v>
      </c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82" t="s">
        <v>413</v>
      </c>
      <c r="BV221" s="85"/>
      <c r="BW221" s="24"/>
    </row>
    <row r="222" spans="1:75" ht="24" x14ac:dyDescent="0.2">
      <c r="A222" s="108">
        <v>90000051699</v>
      </c>
      <c r="B222" s="241" t="s">
        <v>200</v>
      </c>
      <c r="C222" s="285" t="s">
        <v>227</v>
      </c>
      <c r="D222" s="80">
        <f t="shared" si="641"/>
        <v>723915</v>
      </c>
      <c r="E222" s="295">
        <f t="shared" si="642"/>
        <v>728498</v>
      </c>
      <c r="F222" s="81">
        <v>481090</v>
      </c>
      <c r="G222" s="81">
        <f t="shared" si="643"/>
        <v>481090</v>
      </c>
      <c r="H222" s="81">
        <f t="shared" si="644"/>
        <v>0</v>
      </c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>
        <v>214249</v>
      </c>
      <c r="AA222" s="81">
        <f t="shared" si="645"/>
        <v>218666</v>
      </c>
      <c r="AB222" s="81">
        <f t="shared" si="646"/>
        <v>4417</v>
      </c>
      <c r="AC222" s="81">
        <v>987</v>
      </c>
      <c r="AD222" s="81">
        <v>3430</v>
      </c>
      <c r="AE222" s="81"/>
      <c r="AF222" s="81"/>
      <c r="AG222" s="81"/>
      <c r="AH222" s="81"/>
      <c r="AI222" s="81"/>
      <c r="AJ222" s="81"/>
      <c r="AK222" s="81"/>
      <c r="AL222" s="81"/>
      <c r="AM222" s="81">
        <v>28576</v>
      </c>
      <c r="AN222" s="81">
        <f t="shared" si="647"/>
        <v>28742</v>
      </c>
      <c r="AO222" s="81">
        <f t="shared" si="648"/>
        <v>166</v>
      </c>
      <c r="AP222" s="81">
        <v>166</v>
      </c>
      <c r="AQ222" s="81"/>
      <c r="AR222" s="81"/>
      <c r="AS222" s="81"/>
      <c r="AT222" s="81"/>
      <c r="AU222" s="81"/>
      <c r="AV222" s="81"/>
      <c r="AW222" s="81"/>
      <c r="AX222" s="81"/>
      <c r="AY222" s="81"/>
      <c r="AZ222" s="81">
        <v>0</v>
      </c>
      <c r="BA222" s="81">
        <f t="shared" si="649"/>
        <v>0</v>
      </c>
      <c r="BB222" s="98">
        <f t="shared" si="650"/>
        <v>0</v>
      </c>
      <c r="BC222" s="98"/>
      <c r="BD222" s="98"/>
      <c r="BE222" s="98"/>
      <c r="BF222" s="98"/>
      <c r="BG222" s="98"/>
      <c r="BH222" s="81"/>
      <c r="BI222" s="81">
        <f t="shared" si="651"/>
        <v>0</v>
      </c>
      <c r="BJ222" s="81">
        <f t="shared" si="652"/>
        <v>0</v>
      </c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82" t="s">
        <v>414</v>
      </c>
      <c r="BV222" s="85"/>
      <c r="BW222" s="24"/>
    </row>
    <row r="223" spans="1:75" x14ac:dyDescent="0.2">
      <c r="A223" s="108"/>
      <c r="B223" s="242"/>
      <c r="C223" s="285" t="s">
        <v>240</v>
      </c>
      <c r="D223" s="80">
        <f t="shared" si="641"/>
        <v>77345</v>
      </c>
      <c r="E223" s="295">
        <f t="shared" si="642"/>
        <v>77345</v>
      </c>
      <c r="F223" s="81">
        <v>54793</v>
      </c>
      <c r="G223" s="81">
        <f t="shared" si="643"/>
        <v>54793</v>
      </c>
      <c r="H223" s="81">
        <f t="shared" si="644"/>
        <v>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>
        <v>22552</v>
      </c>
      <c r="AA223" s="81">
        <f t="shared" si="645"/>
        <v>22552</v>
      </c>
      <c r="AB223" s="81">
        <f t="shared" si="646"/>
        <v>0</v>
      </c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>
        <v>0</v>
      </c>
      <c r="AN223" s="81">
        <f t="shared" si="647"/>
        <v>0</v>
      </c>
      <c r="AO223" s="81">
        <f t="shared" si="648"/>
        <v>0</v>
      </c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>
        <v>0</v>
      </c>
      <c r="BA223" s="81">
        <f t="shared" si="649"/>
        <v>0</v>
      </c>
      <c r="BB223" s="98">
        <f t="shared" si="650"/>
        <v>0</v>
      </c>
      <c r="BC223" s="98"/>
      <c r="BD223" s="98"/>
      <c r="BE223" s="98"/>
      <c r="BF223" s="98"/>
      <c r="BG223" s="98"/>
      <c r="BH223" s="81"/>
      <c r="BI223" s="81">
        <f t="shared" si="651"/>
        <v>0</v>
      </c>
      <c r="BJ223" s="81">
        <f t="shared" si="652"/>
        <v>0</v>
      </c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82" t="s">
        <v>415</v>
      </c>
      <c r="BV223" s="85"/>
      <c r="BW223" s="24"/>
    </row>
    <row r="224" spans="1:75" ht="24" x14ac:dyDescent="0.2">
      <c r="A224" s="108">
        <v>90000051612</v>
      </c>
      <c r="B224" s="241" t="s">
        <v>201</v>
      </c>
      <c r="C224" s="285" t="s">
        <v>227</v>
      </c>
      <c r="D224" s="80">
        <f t="shared" si="641"/>
        <v>679780</v>
      </c>
      <c r="E224" s="295">
        <f t="shared" si="642"/>
        <v>689590</v>
      </c>
      <c r="F224" s="81">
        <v>348549</v>
      </c>
      <c r="G224" s="81">
        <f t="shared" si="643"/>
        <v>348549</v>
      </c>
      <c r="H224" s="81">
        <f t="shared" si="644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>
        <v>320525</v>
      </c>
      <c r="AA224" s="81">
        <f t="shared" si="645"/>
        <v>328315</v>
      </c>
      <c r="AB224" s="81">
        <f t="shared" si="646"/>
        <v>7790</v>
      </c>
      <c r="AC224" s="81">
        <v>1995</v>
      </c>
      <c r="AD224" s="81">
        <f>5255+562</f>
        <v>5817</v>
      </c>
      <c r="AE224" s="81"/>
      <c r="AF224" s="81"/>
      <c r="AG224" s="81">
        <v>-22</v>
      </c>
      <c r="AH224" s="81"/>
      <c r="AI224" s="81"/>
      <c r="AJ224" s="81"/>
      <c r="AK224" s="81"/>
      <c r="AL224" s="81"/>
      <c r="AM224" s="81">
        <v>10706</v>
      </c>
      <c r="AN224" s="81">
        <f t="shared" si="647"/>
        <v>12726</v>
      </c>
      <c r="AO224" s="81">
        <f t="shared" si="648"/>
        <v>2020</v>
      </c>
      <c r="AP224" s="81">
        <v>2020</v>
      </c>
      <c r="AQ224" s="81"/>
      <c r="AR224" s="81"/>
      <c r="AS224" s="81"/>
      <c r="AT224" s="81"/>
      <c r="AU224" s="81"/>
      <c r="AV224" s="81"/>
      <c r="AW224" s="81"/>
      <c r="AX224" s="81"/>
      <c r="AY224" s="81"/>
      <c r="AZ224" s="81">
        <v>0</v>
      </c>
      <c r="BA224" s="81">
        <f t="shared" si="649"/>
        <v>0</v>
      </c>
      <c r="BB224" s="98">
        <f t="shared" si="650"/>
        <v>0</v>
      </c>
      <c r="BC224" s="98"/>
      <c r="BD224" s="98"/>
      <c r="BE224" s="98"/>
      <c r="BF224" s="98"/>
      <c r="BG224" s="98"/>
      <c r="BH224" s="81"/>
      <c r="BI224" s="81">
        <f t="shared" si="651"/>
        <v>0</v>
      </c>
      <c r="BJ224" s="81">
        <f t="shared" si="652"/>
        <v>0</v>
      </c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82" t="s">
        <v>416</v>
      </c>
      <c r="BV224" s="85"/>
      <c r="BW224" s="24"/>
    </row>
    <row r="225" spans="1:75" x14ac:dyDescent="0.2">
      <c r="A225" s="108"/>
      <c r="B225" s="242"/>
      <c r="C225" s="285" t="s">
        <v>240</v>
      </c>
      <c r="D225" s="80">
        <f t="shared" si="641"/>
        <v>74836</v>
      </c>
      <c r="E225" s="295">
        <f t="shared" si="642"/>
        <v>78378</v>
      </c>
      <c r="F225" s="81">
        <v>45934</v>
      </c>
      <c r="G225" s="81">
        <f t="shared" si="643"/>
        <v>45934</v>
      </c>
      <c r="H225" s="81">
        <f t="shared" si="644"/>
        <v>0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>
        <v>28902</v>
      </c>
      <c r="AA225" s="81">
        <f t="shared" si="645"/>
        <v>32444</v>
      </c>
      <c r="AB225" s="81">
        <f t="shared" si="646"/>
        <v>3542</v>
      </c>
      <c r="AC225" s="81"/>
      <c r="AD225" s="81">
        <v>3542</v>
      </c>
      <c r="AE225" s="81"/>
      <c r="AF225" s="81"/>
      <c r="AG225" s="81"/>
      <c r="AH225" s="81"/>
      <c r="AI225" s="81"/>
      <c r="AJ225" s="81"/>
      <c r="AK225" s="81"/>
      <c r="AL225" s="81"/>
      <c r="AM225" s="81">
        <v>0</v>
      </c>
      <c r="AN225" s="81">
        <f t="shared" si="647"/>
        <v>0</v>
      </c>
      <c r="AO225" s="81">
        <f t="shared" si="648"/>
        <v>0</v>
      </c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>
        <v>0</v>
      </c>
      <c r="BA225" s="81">
        <f t="shared" si="649"/>
        <v>0</v>
      </c>
      <c r="BB225" s="98">
        <f t="shared" si="650"/>
        <v>0</v>
      </c>
      <c r="BC225" s="98"/>
      <c r="BD225" s="98"/>
      <c r="BE225" s="98"/>
      <c r="BF225" s="98"/>
      <c r="BG225" s="98"/>
      <c r="BH225" s="81"/>
      <c r="BI225" s="81">
        <f t="shared" si="651"/>
        <v>0</v>
      </c>
      <c r="BJ225" s="81">
        <f t="shared" si="652"/>
        <v>0</v>
      </c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82" t="s">
        <v>417</v>
      </c>
      <c r="BV225" s="85"/>
      <c r="BW225" s="24"/>
    </row>
    <row r="226" spans="1:75" s="193" customFormat="1" ht="24" x14ac:dyDescent="0.2">
      <c r="A226" s="108"/>
      <c r="B226" s="242"/>
      <c r="C226" s="285" t="s">
        <v>543</v>
      </c>
      <c r="D226" s="80">
        <f t="shared" si="641"/>
        <v>3937</v>
      </c>
      <c r="E226" s="295">
        <f t="shared" si="642"/>
        <v>5277</v>
      </c>
      <c r="F226" s="81">
        <v>3937</v>
      </c>
      <c r="G226" s="81">
        <f t="shared" si="643"/>
        <v>5277</v>
      </c>
      <c r="H226" s="81">
        <f t="shared" si="644"/>
        <v>1340</v>
      </c>
      <c r="I226" s="81"/>
      <c r="J226" s="81"/>
      <c r="K226" s="81">
        <v>1340</v>
      </c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>
        <v>0</v>
      </c>
      <c r="AA226" s="81">
        <f t="shared" si="645"/>
        <v>0</v>
      </c>
      <c r="AB226" s="81">
        <f t="shared" si="646"/>
        <v>0</v>
      </c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>
        <v>0</v>
      </c>
      <c r="AN226" s="81">
        <f t="shared" si="647"/>
        <v>0</v>
      </c>
      <c r="AO226" s="81">
        <f t="shared" si="648"/>
        <v>0</v>
      </c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>
        <v>0</v>
      </c>
      <c r="BA226" s="81">
        <f t="shared" si="649"/>
        <v>0</v>
      </c>
      <c r="BB226" s="98">
        <f t="shared" si="650"/>
        <v>0</v>
      </c>
      <c r="BC226" s="98"/>
      <c r="BD226" s="98"/>
      <c r="BE226" s="98"/>
      <c r="BF226" s="98"/>
      <c r="BG226" s="98"/>
      <c r="BH226" s="81"/>
      <c r="BI226" s="81">
        <f t="shared" si="651"/>
        <v>0</v>
      </c>
      <c r="BJ226" s="81">
        <f t="shared" si="652"/>
        <v>0</v>
      </c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82" t="s">
        <v>556</v>
      </c>
      <c r="BV226" s="85"/>
      <c r="BW226" s="24"/>
    </row>
    <row r="227" spans="1:75" ht="24" x14ac:dyDescent="0.2">
      <c r="A227" s="108">
        <v>90009251342</v>
      </c>
      <c r="B227" s="241" t="s">
        <v>825</v>
      </c>
      <c r="C227" s="285" t="s">
        <v>227</v>
      </c>
      <c r="D227" s="80">
        <f t="shared" si="641"/>
        <v>882099</v>
      </c>
      <c r="E227" s="295">
        <f t="shared" si="642"/>
        <v>887039</v>
      </c>
      <c r="F227" s="81">
        <v>53302</v>
      </c>
      <c r="G227" s="81">
        <f t="shared" si="643"/>
        <v>53302</v>
      </c>
      <c r="H227" s="81">
        <f t="shared" si="644"/>
        <v>0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>
        <v>824224</v>
      </c>
      <c r="AA227" s="81">
        <f t="shared" si="645"/>
        <v>829164</v>
      </c>
      <c r="AB227" s="81">
        <f t="shared" si="646"/>
        <v>4940</v>
      </c>
      <c r="AC227" s="81">
        <v>735</v>
      </c>
      <c r="AD227" s="81">
        <v>1003</v>
      </c>
      <c r="AE227" s="81"/>
      <c r="AF227" s="81"/>
      <c r="AG227" s="81">
        <f>3688-486</f>
        <v>3202</v>
      </c>
      <c r="AH227" s="81"/>
      <c r="AI227" s="81"/>
      <c r="AJ227" s="81"/>
      <c r="AK227" s="81"/>
      <c r="AL227" s="81"/>
      <c r="AM227" s="81">
        <v>4573</v>
      </c>
      <c r="AN227" s="81">
        <f t="shared" si="647"/>
        <v>4573</v>
      </c>
      <c r="AO227" s="81">
        <f t="shared" si="648"/>
        <v>0</v>
      </c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>
        <v>0</v>
      </c>
      <c r="BA227" s="81">
        <f t="shared" si="649"/>
        <v>0</v>
      </c>
      <c r="BB227" s="98">
        <f t="shared" si="650"/>
        <v>0</v>
      </c>
      <c r="BC227" s="98"/>
      <c r="BD227" s="98"/>
      <c r="BE227" s="98"/>
      <c r="BF227" s="98"/>
      <c r="BG227" s="98"/>
      <c r="BH227" s="81"/>
      <c r="BI227" s="81">
        <f t="shared" si="651"/>
        <v>0</v>
      </c>
      <c r="BJ227" s="81">
        <f t="shared" si="652"/>
        <v>0</v>
      </c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82" t="s">
        <v>418</v>
      </c>
      <c r="BV227" s="85"/>
      <c r="BW227" s="24"/>
    </row>
    <row r="228" spans="1:75" ht="24" customHeight="1" x14ac:dyDescent="0.2">
      <c r="A228" s="108">
        <v>90009249367</v>
      </c>
      <c r="B228" s="241" t="s">
        <v>283</v>
      </c>
      <c r="C228" s="285" t="s">
        <v>241</v>
      </c>
      <c r="D228" s="80">
        <f t="shared" si="641"/>
        <v>1449676</v>
      </c>
      <c r="E228" s="295">
        <f t="shared" si="642"/>
        <v>1463863</v>
      </c>
      <c r="F228" s="81">
        <v>959808</v>
      </c>
      <c r="G228" s="81">
        <f t="shared" si="643"/>
        <v>959808</v>
      </c>
      <c r="H228" s="81">
        <f t="shared" si="644"/>
        <v>0</v>
      </c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>
        <v>460786</v>
      </c>
      <c r="AA228" s="81">
        <f t="shared" si="645"/>
        <v>474151</v>
      </c>
      <c r="AB228" s="81">
        <f t="shared" si="646"/>
        <v>13365</v>
      </c>
      <c r="AC228" s="81"/>
      <c r="AD228" s="81">
        <f>11004+2361</f>
        <v>13365</v>
      </c>
      <c r="AE228" s="81"/>
      <c r="AF228" s="81"/>
      <c r="AG228" s="81"/>
      <c r="AH228" s="81"/>
      <c r="AI228" s="81"/>
      <c r="AJ228" s="81"/>
      <c r="AK228" s="81"/>
      <c r="AL228" s="81"/>
      <c r="AM228" s="81">
        <v>29082</v>
      </c>
      <c r="AN228" s="81">
        <f t="shared" si="647"/>
        <v>29904</v>
      </c>
      <c r="AO228" s="81">
        <f t="shared" si="648"/>
        <v>822</v>
      </c>
      <c r="AP228" s="81">
        <v>822</v>
      </c>
      <c r="AQ228" s="81"/>
      <c r="AR228" s="81"/>
      <c r="AS228" s="81"/>
      <c r="AT228" s="81"/>
      <c r="AU228" s="81"/>
      <c r="AV228" s="81"/>
      <c r="AW228" s="81"/>
      <c r="AX228" s="81"/>
      <c r="AY228" s="81"/>
      <c r="AZ228" s="81">
        <v>0</v>
      </c>
      <c r="BA228" s="81">
        <f t="shared" si="649"/>
        <v>0</v>
      </c>
      <c r="BB228" s="98">
        <f t="shared" si="650"/>
        <v>0</v>
      </c>
      <c r="BC228" s="98"/>
      <c r="BD228" s="98"/>
      <c r="BE228" s="98"/>
      <c r="BF228" s="98"/>
      <c r="BG228" s="98"/>
      <c r="BH228" s="81"/>
      <c r="BI228" s="81">
        <f t="shared" si="651"/>
        <v>0</v>
      </c>
      <c r="BJ228" s="81">
        <f t="shared" si="652"/>
        <v>0</v>
      </c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82" t="s">
        <v>419</v>
      </c>
      <c r="BV228" s="85"/>
      <c r="BW228" s="24"/>
    </row>
    <row r="229" spans="1:75" s="104" customFormat="1" x14ac:dyDescent="0.2">
      <c r="A229" s="108"/>
      <c r="B229" s="242"/>
      <c r="C229" s="285" t="s">
        <v>248</v>
      </c>
      <c r="D229" s="80">
        <f t="shared" si="641"/>
        <v>186939</v>
      </c>
      <c r="E229" s="295">
        <f t="shared" si="642"/>
        <v>274767</v>
      </c>
      <c r="F229" s="81">
        <v>186939</v>
      </c>
      <c r="G229" s="81">
        <f t="shared" si="643"/>
        <v>274767</v>
      </c>
      <c r="H229" s="81">
        <f>SUM(I229:Y229)</f>
        <v>87828</v>
      </c>
      <c r="I229" s="81">
        <v>407</v>
      </c>
      <c r="J229" s="81"/>
      <c r="K229" s="81">
        <v>1516</v>
      </c>
      <c r="L229" s="81">
        <v>60780</v>
      </c>
      <c r="M229" s="81"/>
      <c r="N229" s="81">
        <v>2025</v>
      </c>
      <c r="O229" s="81"/>
      <c r="P229" s="81"/>
      <c r="Q229" s="81"/>
      <c r="R229" s="81"/>
      <c r="S229" s="81"/>
      <c r="T229" s="81"/>
      <c r="U229" s="81"/>
      <c r="V229" s="81"/>
      <c r="W229" s="81">
        <v>23100</v>
      </c>
      <c r="X229" s="81"/>
      <c r="Y229" s="81"/>
      <c r="Z229" s="81">
        <v>0</v>
      </c>
      <c r="AA229" s="81">
        <f t="shared" si="645"/>
        <v>0</v>
      </c>
      <c r="AB229" s="81">
        <f t="shared" si="646"/>
        <v>0</v>
      </c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>
        <v>0</v>
      </c>
      <c r="AN229" s="81">
        <f t="shared" si="647"/>
        <v>0</v>
      </c>
      <c r="AO229" s="81">
        <f t="shared" si="648"/>
        <v>0</v>
      </c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>
        <v>0</v>
      </c>
      <c r="BA229" s="81">
        <f t="shared" si="649"/>
        <v>0</v>
      </c>
      <c r="BB229" s="98">
        <f t="shared" si="650"/>
        <v>0</v>
      </c>
      <c r="BC229" s="98"/>
      <c r="BD229" s="98"/>
      <c r="BE229" s="98"/>
      <c r="BF229" s="98"/>
      <c r="BG229" s="98"/>
      <c r="BH229" s="81"/>
      <c r="BI229" s="81">
        <f t="shared" si="651"/>
        <v>0</v>
      </c>
      <c r="BJ229" s="81">
        <f t="shared" si="652"/>
        <v>0</v>
      </c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82" t="s">
        <v>420</v>
      </c>
      <c r="BV229" s="85" t="s">
        <v>505</v>
      </c>
      <c r="BW229" s="24"/>
    </row>
    <row r="230" spans="1:75" ht="24" customHeight="1" x14ac:dyDescent="0.2">
      <c r="A230" s="108">
        <v>90000783949</v>
      </c>
      <c r="B230" s="241" t="s">
        <v>19</v>
      </c>
      <c r="C230" s="285" t="s">
        <v>227</v>
      </c>
      <c r="D230" s="80">
        <f t="shared" si="641"/>
        <v>655619</v>
      </c>
      <c r="E230" s="295">
        <f t="shared" si="642"/>
        <v>666512</v>
      </c>
      <c r="F230" s="81">
        <v>317042</v>
      </c>
      <c r="G230" s="81">
        <f t="shared" si="643"/>
        <v>319598</v>
      </c>
      <c r="H230" s="81">
        <f t="shared" si="644"/>
        <v>2556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>
        <v>2556</v>
      </c>
      <c r="X230" s="81"/>
      <c r="Y230" s="81"/>
      <c r="Z230" s="81">
        <v>334942</v>
      </c>
      <c r="AA230" s="81">
        <f t="shared" si="645"/>
        <v>343290</v>
      </c>
      <c r="AB230" s="81">
        <f t="shared" si="646"/>
        <v>8348</v>
      </c>
      <c r="AC230" s="81">
        <v>1001</v>
      </c>
      <c r="AD230" s="81">
        <f>3061+3+4283</f>
        <v>7347</v>
      </c>
      <c r="AE230" s="81"/>
      <c r="AF230" s="81"/>
      <c r="AG230" s="81"/>
      <c r="AH230" s="81"/>
      <c r="AI230" s="81"/>
      <c r="AJ230" s="81"/>
      <c r="AK230" s="81"/>
      <c r="AL230" s="81"/>
      <c r="AM230" s="81">
        <v>3635</v>
      </c>
      <c r="AN230" s="81">
        <f t="shared" si="647"/>
        <v>3623</v>
      </c>
      <c r="AO230" s="81">
        <f t="shared" si="648"/>
        <v>-12</v>
      </c>
      <c r="AP230" s="81">
        <v>100</v>
      </c>
      <c r="AQ230" s="81"/>
      <c r="AR230" s="81"/>
      <c r="AS230" s="81"/>
      <c r="AT230" s="81"/>
      <c r="AU230" s="81"/>
      <c r="AV230" s="81">
        <v>-112</v>
      </c>
      <c r="AW230" s="81"/>
      <c r="AX230" s="81"/>
      <c r="AY230" s="81"/>
      <c r="AZ230" s="81">
        <v>0</v>
      </c>
      <c r="BA230" s="81">
        <f t="shared" si="649"/>
        <v>1</v>
      </c>
      <c r="BB230" s="98">
        <f t="shared" si="650"/>
        <v>1</v>
      </c>
      <c r="BC230" s="98">
        <v>1</v>
      </c>
      <c r="BD230" s="98"/>
      <c r="BE230" s="98"/>
      <c r="BF230" s="98"/>
      <c r="BG230" s="98"/>
      <c r="BH230" s="81"/>
      <c r="BI230" s="81">
        <f t="shared" si="651"/>
        <v>0</v>
      </c>
      <c r="BJ230" s="81">
        <f t="shared" si="652"/>
        <v>0</v>
      </c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82" t="s">
        <v>697</v>
      </c>
      <c r="BV230" s="85"/>
      <c r="BW230" s="24"/>
    </row>
    <row r="231" spans="1:75" ht="12.75" x14ac:dyDescent="0.2">
      <c r="A231" s="108"/>
      <c r="B231" s="243"/>
      <c r="C231" s="285" t="s">
        <v>240</v>
      </c>
      <c r="D231" s="80">
        <f t="shared" si="641"/>
        <v>52319</v>
      </c>
      <c r="E231" s="295">
        <f t="shared" si="642"/>
        <v>52319</v>
      </c>
      <c r="F231" s="81">
        <v>38971</v>
      </c>
      <c r="G231" s="81">
        <f t="shared" si="643"/>
        <v>38971</v>
      </c>
      <c r="H231" s="81">
        <f t="shared" si="644"/>
        <v>0</v>
      </c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>
        <v>13348</v>
      </c>
      <c r="AA231" s="81">
        <f t="shared" si="645"/>
        <v>13348</v>
      </c>
      <c r="AB231" s="81">
        <f t="shared" si="646"/>
        <v>0</v>
      </c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>
        <v>0</v>
      </c>
      <c r="AN231" s="81">
        <f t="shared" si="647"/>
        <v>0</v>
      </c>
      <c r="AO231" s="81">
        <f t="shared" si="648"/>
        <v>0</v>
      </c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>
        <v>0</v>
      </c>
      <c r="BA231" s="81">
        <f t="shared" si="649"/>
        <v>0</v>
      </c>
      <c r="BB231" s="98">
        <f t="shared" si="650"/>
        <v>0</v>
      </c>
      <c r="BC231" s="98"/>
      <c r="BD231" s="98"/>
      <c r="BE231" s="98"/>
      <c r="BF231" s="98"/>
      <c r="BG231" s="98"/>
      <c r="BH231" s="81"/>
      <c r="BI231" s="81">
        <f t="shared" si="651"/>
        <v>0</v>
      </c>
      <c r="BJ231" s="81">
        <f t="shared" si="652"/>
        <v>0</v>
      </c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82" t="s">
        <v>698</v>
      </c>
      <c r="BV231" s="85"/>
      <c r="BW231" s="24"/>
    </row>
    <row r="232" spans="1:75" s="192" customFormat="1" ht="36" x14ac:dyDescent="0.2">
      <c r="A232" s="108"/>
      <c r="B232" s="243"/>
      <c r="C232" s="285" t="s">
        <v>540</v>
      </c>
      <c r="D232" s="80">
        <f t="shared" si="641"/>
        <v>13004</v>
      </c>
      <c r="E232" s="295">
        <f t="shared" si="642"/>
        <v>13007</v>
      </c>
      <c r="F232" s="81">
        <v>13004</v>
      </c>
      <c r="G232" s="81">
        <f t="shared" si="643"/>
        <v>13007</v>
      </c>
      <c r="H232" s="81">
        <f t="shared" si="644"/>
        <v>3</v>
      </c>
      <c r="I232" s="81"/>
      <c r="J232" s="81"/>
      <c r="K232" s="81">
        <v>3</v>
      </c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>
        <v>0</v>
      </c>
      <c r="AA232" s="81">
        <f t="shared" si="645"/>
        <v>0</v>
      </c>
      <c r="AB232" s="81">
        <f t="shared" si="646"/>
        <v>0</v>
      </c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>
        <v>0</v>
      </c>
      <c r="AN232" s="81">
        <f t="shared" si="647"/>
        <v>0</v>
      </c>
      <c r="AO232" s="81">
        <f t="shared" si="648"/>
        <v>0</v>
      </c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>
        <v>0</v>
      </c>
      <c r="BA232" s="81">
        <f t="shared" si="649"/>
        <v>0</v>
      </c>
      <c r="BB232" s="98">
        <f t="shared" si="650"/>
        <v>0</v>
      </c>
      <c r="BC232" s="98"/>
      <c r="BD232" s="98"/>
      <c r="BE232" s="98"/>
      <c r="BF232" s="98"/>
      <c r="BG232" s="98"/>
      <c r="BH232" s="81"/>
      <c r="BI232" s="81">
        <f t="shared" si="651"/>
        <v>0</v>
      </c>
      <c r="BJ232" s="81">
        <f t="shared" si="652"/>
        <v>0</v>
      </c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82" t="s">
        <v>699</v>
      </c>
      <c r="BV232" s="85"/>
      <c r="BW232" s="24"/>
    </row>
    <row r="233" spans="1:75" s="198" customFormat="1" ht="24" x14ac:dyDescent="0.2">
      <c r="A233" s="108"/>
      <c r="B233" s="243"/>
      <c r="C233" s="334" t="s">
        <v>736</v>
      </c>
      <c r="D233" s="80">
        <f t="shared" ref="D233" si="653">F233+Z233+AM233+AZ233+BH233</f>
        <v>0</v>
      </c>
      <c r="E233" s="295">
        <f t="shared" ref="E233" si="654">G233+AA233+AN233+BA233+BI233</f>
        <v>13592</v>
      </c>
      <c r="F233" s="81"/>
      <c r="G233" s="81">
        <f t="shared" ref="G233:G234" si="655">F233+H233</f>
        <v>13592</v>
      </c>
      <c r="H233" s="81">
        <f t="shared" ref="H233:H234" si="656">SUM(I233:Y233)</f>
        <v>13592</v>
      </c>
      <c r="I233" s="81">
        <v>13592</v>
      </c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>
        <f t="shared" ref="AA233" si="657">Z233+AB233</f>
        <v>0</v>
      </c>
      <c r="AB233" s="81">
        <f t="shared" ref="AB233" si="658">SUM(AC233:AL233)</f>
        <v>0</v>
      </c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>
        <f t="shared" ref="AN233" si="659">AM233+AO233</f>
        <v>0</v>
      </c>
      <c r="AO233" s="81">
        <f t="shared" ref="AO233" si="660">SUM(AP233:AY233)</f>
        <v>0</v>
      </c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>
        <f t="shared" ref="BA233" si="661">AZ233+BB233</f>
        <v>0</v>
      </c>
      <c r="BB233" s="98">
        <f t="shared" ref="BB233" si="662">SUM(BC233:BG233)</f>
        <v>0</v>
      </c>
      <c r="BC233" s="98"/>
      <c r="BD233" s="98"/>
      <c r="BE233" s="98"/>
      <c r="BF233" s="98"/>
      <c r="BG233" s="98"/>
      <c r="BH233" s="81"/>
      <c r="BI233" s="81">
        <f t="shared" ref="BI233:BI234" si="663">BH233+BJ233</f>
        <v>0</v>
      </c>
      <c r="BJ233" s="81">
        <f t="shared" ref="BJ233:BJ234" si="664">SUM(BK233:BT233)</f>
        <v>0</v>
      </c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82" t="s">
        <v>737</v>
      </c>
      <c r="BV233" s="85"/>
      <c r="BW233" s="24"/>
    </row>
    <row r="234" spans="1:75" s="198" customFormat="1" ht="24" x14ac:dyDescent="0.2">
      <c r="A234" s="108"/>
      <c r="B234" s="243"/>
      <c r="C234" s="353" t="s">
        <v>784</v>
      </c>
      <c r="D234" s="80">
        <f t="shared" ref="D234" si="665">F234+Z234+AM234+AZ234+BH234</f>
        <v>0</v>
      </c>
      <c r="E234" s="295">
        <f t="shared" ref="E234" si="666">G234+AA234+AN234+BA234+BI234</f>
        <v>1204</v>
      </c>
      <c r="F234" s="81"/>
      <c r="G234" s="81">
        <f t="shared" si="655"/>
        <v>1204</v>
      </c>
      <c r="H234" s="81">
        <f t="shared" si="656"/>
        <v>1204</v>
      </c>
      <c r="I234" s="81"/>
      <c r="J234" s="81"/>
      <c r="K234" s="81"/>
      <c r="L234" s="81">
        <v>1204</v>
      </c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>
        <f t="shared" ref="AA234" si="667">Z234+AB234</f>
        <v>0</v>
      </c>
      <c r="AB234" s="81">
        <f t="shared" ref="AB234" si="668">SUM(AC234:AL234)</f>
        <v>0</v>
      </c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>
        <f t="shared" ref="AN234" si="669">AM234+AO234</f>
        <v>0</v>
      </c>
      <c r="AO234" s="81">
        <f t="shared" ref="AO234" si="670">SUM(AP234:AY234)</f>
        <v>0</v>
      </c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>
        <f t="shared" ref="BA234" si="671">AZ234+BB234</f>
        <v>0</v>
      </c>
      <c r="BB234" s="98">
        <f t="shared" ref="BB234" si="672">SUM(BC234:BG234)</f>
        <v>0</v>
      </c>
      <c r="BC234" s="98"/>
      <c r="BD234" s="98"/>
      <c r="BE234" s="98"/>
      <c r="BF234" s="98"/>
      <c r="BG234" s="98"/>
      <c r="BH234" s="81"/>
      <c r="BI234" s="81">
        <f t="shared" si="663"/>
        <v>0</v>
      </c>
      <c r="BJ234" s="81">
        <f t="shared" si="664"/>
        <v>0</v>
      </c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82" t="s">
        <v>785</v>
      </c>
      <c r="BV234" s="85"/>
      <c r="BW234" s="24"/>
    </row>
    <row r="235" spans="1:75" ht="24" customHeight="1" x14ac:dyDescent="0.2">
      <c r="A235" s="108">
        <v>90000051646</v>
      </c>
      <c r="B235" s="241" t="s">
        <v>155</v>
      </c>
      <c r="C235" s="285" t="s">
        <v>227</v>
      </c>
      <c r="D235" s="80">
        <f t="shared" si="641"/>
        <v>247167</v>
      </c>
      <c r="E235" s="295">
        <f t="shared" si="642"/>
        <v>202331</v>
      </c>
      <c r="F235" s="81">
        <v>92620</v>
      </c>
      <c r="G235" s="81">
        <f t="shared" si="643"/>
        <v>74161</v>
      </c>
      <c r="H235" s="81">
        <f t="shared" si="644"/>
        <v>-18459</v>
      </c>
      <c r="I235" s="81"/>
      <c r="J235" s="81"/>
      <c r="K235" s="81">
        <v>4511</v>
      </c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>
        <v>-22970</v>
      </c>
      <c r="X235" s="81"/>
      <c r="Y235" s="81"/>
      <c r="Z235" s="81">
        <v>154507</v>
      </c>
      <c r="AA235" s="81">
        <f t="shared" si="645"/>
        <v>128130</v>
      </c>
      <c r="AB235" s="81">
        <f t="shared" si="646"/>
        <v>-26377</v>
      </c>
      <c r="AC235" s="81">
        <v>210</v>
      </c>
      <c r="AD235" s="81">
        <f>3153-12984</f>
        <v>-9831</v>
      </c>
      <c r="AE235" s="81"/>
      <c r="AF235" s="81"/>
      <c r="AG235" s="81">
        <v>-210</v>
      </c>
      <c r="AH235" s="81">
        <v>-16546</v>
      </c>
      <c r="AI235" s="81"/>
      <c r="AJ235" s="81"/>
      <c r="AK235" s="81"/>
      <c r="AL235" s="81"/>
      <c r="AM235" s="81">
        <v>40</v>
      </c>
      <c r="AN235" s="81">
        <f t="shared" si="647"/>
        <v>40</v>
      </c>
      <c r="AO235" s="81">
        <f t="shared" si="648"/>
        <v>0</v>
      </c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>
        <v>0</v>
      </c>
      <c r="BA235" s="81">
        <f t="shared" si="649"/>
        <v>0</v>
      </c>
      <c r="BB235" s="98">
        <f t="shared" si="650"/>
        <v>0</v>
      </c>
      <c r="BC235" s="98"/>
      <c r="BD235" s="98"/>
      <c r="BE235" s="98"/>
      <c r="BF235" s="98"/>
      <c r="BG235" s="98"/>
      <c r="BH235" s="81"/>
      <c r="BI235" s="81">
        <f t="shared" si="651"/>
        <v>0</v>
      </c>
      <c r="BJ235" s="81">
        <f t="shared" si="652"/>
        <v>0</v>
      </c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82" t="s">
        <v>421</v>
      </c>
      <c r="BV235" s="85"/>
      <c r="BW235" s="24"/>
    </row>
    <row r="236" spans="1:75" s="103" customFormat="1" x14ac:dyDescent="0.2">
      <c r="A236" s="108"/>
      <c r="B236" s="242"/>
      <c r="C236" s="285" t="s">
        <v>240</v>
      </c>
      <c r="D236" s="80">
        <f t="shared" si="641"/>
        <v>45000</v>
      </c>
      <c r="E236" s="295">
        <f t="shared" si="642"/>
        <v>45000</v>
      </c>
      <c r="F236" s="81">
        <v>45000</v>
      </c>
      <c r="G236" s="81">
        <f t="shared" si="643"/>
        <v>45000</v>
      </c>
      <c r="H236" s="81">
        <f t="shared" si="644"/>
        <v>0</v>
      </c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>
        <v>0</v>
      </c>
      <c r="AA236" s="81">
        <f t="shared" si="645"/>
        <v>0</v>
      </c>
      <c r="AB236" s="81">
        <f t="shared" si="646"/>
        <v>0</v>
      </c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>
        <v>0</v>
      </c>
      <c r="AN236" s="81">
        <f t="shared" si="647"/>
        <v>0</v>
      </c>
      <c r="AO236" s="81">
        <f t="shared" si="648"/>
        <v>0</v>
      </c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>
        <v>0</v>
      </c>
      <c r="BA236" s="81">
        <f t="shared" si="649"/>
        <v>0</v>
      </c>
      <c r="BB236" s="98">
        <f t="shared" si="650"/>
        <v>0</v>
      </c>
      <c r="BC236" s="98"/>
      <c r="BD236" s="98"/>
      <c r="BE236" s="98"/>
      <c r="BF236" s="98"/>
      <c r="BG236" s="98"/>
      <c r="BH236" s="81"/>
      <c r="BI236" s="81">
        <f t="shared" si="651"/>
        <v>0</v>
      </c>
      <c r="BJ236" s="81">
        <f t="shared" si="652"/>
        <v>0</v>
      </c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82" t="s">
        <v>422</v>
      </c>
      <c r="BV236" s="85"/>
      <c r="BW236" s="24"/>
    </row>
    <row r="237" spans="1:75" s="107" customFormat="1" ht="24" x14ac:dyDescent="0.2">
      <c r="A237" s="108">
        <v>40008006745</v>
      </c>
      <c r="B237" s="241" t="s">
        <v>304</v>
      </c>
      <c r="C237" s="285" t="s">
        <v>240</v>
      </c>
      <c r="D237" s="80">
        <f t="shared" si="641"/>
        <v>30087</v>
      </c>
      <c r="E237" s="295">
        <f t="shared" si="642"/>
        <v>30087</v>
      </c>
      <c r="F237" s="81">
        <v>0</v>
      </c>
      <c r="G237" s="81">
        <f t="shared" si="643"/>
        <v>0</v>
      </c>
      <c r="H237" s="81">
        <f t="shared" si="644"/>
        <v>0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>
        <v>30087</v>
      </c>
      <c r="AA237" s="81">
        <f t="shared" si="645"/>
        <v>30087</v>
      </c>
      <c r="AB237" s="81">
        <f t="shared" si="646"/>
        <v>0</v>
      </c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>
        <v>0</v>
      </c>
      <c r="AN237" s="81">
        <f t="shared" si="647"/>
        <v>0</v>
      </c>
      <c r="AO237" s="81">
        <f t="shared" si="648"/>
        <v>0</v>
      </c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>
        <v>0</v>
      </c>
      <c r="BA237" s="81">
        <f t="shared" si="649"/>
        <v>0</v>
      </c>
      <c r="BB237" s="98">
        <f t="shared" si="650"/>
        <v>0</v>
      </c>
      <c r="BC237" s="98"/>
      <c r="BD237" s="98"/>
      <c r="BE237" s="98"/>
      <c r="BF237" s="98"/>
      <c r="BG237" s="98"/>
      <c r="BH237" s="81"/>
      <c r="BI237" s="81">
        <f t="shared" si="651"/>
        <v>0</v>
      </c>
      <c r="BJ237" s="81">
        <f t="shared" si="652"/>
        <v>0</v>
      </c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82" t="s">
        <v>423</v>
      </c>
      <c r="BV237" s="85"/>
      <c r="BW237" s="24"/>
    </row>
    <row r="238" spans="1:75" ht="16.5" customHeight="1" thickBot="1" x14ac:dyDescent="0.25">
      <c r="A238" s="368"/>
      <c r="B238" s="217"/>
      <c r="C238" s="369"/>
      <c r="D238" s="370"/>
      <c r="E238" s="371"/>
      <c r="F238" s="372"/>
      <c r="G238" s="372"/>
      <c r="H238" s="372"/>
      <c r="I238" s="372"/>
      <c r="J238" s="372"/>
      <c r="K238" s="372"/>
      <c r="L238" s="372"/>
      <c r="M238" s="372"/>
      <c r="N238" s="372"/>
      <c r="O238" s="372"/>
      <c r="P238" s="372"/>
      <c r="Q238" s="372"/>
      <c r="R238" s="372"/>
      <c r="S238" s="372"/>
      <c r="T238" s="372"/>
      <c r="U238" s="372"/>
      <c r="V238" s="372"/>
      <c r="W238" s="372"/>
      <c r="X238" s="372"/>
      <c r="Y238" s="372"/>
      <c r="Z238" s="372"/>
      <c r="AA238" s="372"/>
      <c r="AB238" s="372"/>
      <c r="AC238" s="372"/>
      <c r="AD238" s="372"/>
      <c r="AE238" s="372"/>
      <c r="AF238" s="372"/>
      <c r="AG238" s="372"/>
      <c r="AH238" s="372"/>
      <c r="AI238" s="372"/>
      <c r="AJ238" s="372"/>
      <c r="AK238" s="372"/>
      <c r="AL238" s="372"/>
      <c r="AM238" s="372"/>
      <c r="AN238" s="373"/>
      <c r="AO238" s="373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3"/>
      <c r="BA238" s="372"/>
      <c r="BB238" s="373"/>
      <c r="BC238" s="373"/>
      <c r="BD238" s="373"/>
      <c r="BE238" s="373"/>
      <c r="BF238" s="373"/>
      <c r="BG238" s="373"/>
      <c r="BH238" s="372"/>
      <c r="BI238" s="374"/>
      <c r="BJ238" s="373"/>
      <c r="BK238" s="373"/>
      <c r="BL238" s="373"/>
      <c r="BM238" s="373"/>
      <c r="BN238" s="373"/>
      <c r="BO238" s="373"/>
      <c r="BP238" s="373"/>
      <c r="BQ238" s="373"/>
      <c r="BR238" s="373"/>
      <c r="BS238" s="373"/>
      <c r="BT238" s="373"/>
      <c r="BU238" s="375"/>
      <c r="BV238" s="376"/>
      <c r="BW238" s="24"/>
    </row>
    <row r="239" spans="1:75" ht="16.5" customHeight="1" thickBot="1" x14ac:dyDescent="0.25">
      <c r="A239" s="214">
        <v>10</v>
      </c>
      <c r="B239" s="125" t="s">
        <v>21</v>
      </c>
      <c r="C239" s="321"/>
      <c r="D239" s="11">
        <f>SUM(D240:D261)</f>
        <v>8070154</v>
      </c>
      <c r="E239" s="297">
        <f>SUM(E240:E261)</f>
        <v>7993073</v>
      </c>
      <c r="F239" s="9">
        <f>SUM(F240:F261)</f>
        <v>7166248</v>
      </c>
      <c r="G239" s="9">
        <f t="shared" ref="G239:Y239" si="673">SUM(G240:G261)</f>
        <v>7060011</v>
      </c>
      <c r="H239" s="9">
        <f t="shared" si="673"/>
        <v>-106237</v>
      </c>
      <c r="I239" s="9">
        <f t="shared" si="673"/>
        <v>0</v>
      </c>
      <c r="J239" s="9">
        <f t="shared" ref="J239" si="674">SUM(J240:J261)</f>
        <v>0</v>
      </c>
      <c r="K239" s="9">
        <f t="shared" si="673"/>
        <v>71263</v>
      </c>
      <c r="L239" s="9">
        <f t="shared" si="673"/>
        <v>0</v>
      </c>
      <c r="M239" s="9">
        <f t="shared" si="673"/>
        <v>14835</v>
      </c>
      <c r="N239" s="9">
        <f t="shared" si="673"/>
        <v>0</v>
      </c>
      <c r="O239" s="9">
        <f t="shared" si="673"/>
        <v>0</v>
      </c>
      <c r="P239" s="9">
        <f t="shared" si="673"/>
        <v>0</v>
      </c>
      <c r="Q239" s="9">
        <f t="shared" si="673"/>
        <v>4029</v>
      </c>
      <c r="R239" s="9">
        <f t="shared" si="673"/>
        <v>0</v>
      </c>
      <c r="S239" s="9">
        <f t="shared" si="673"/>
        <v>-36075</v>
      </c>
      <c r="T239" s="9"/>
      <c r="U239" s="9">
        <f t="shared" si="673"/>
        <v>0</v>
      </c>
      <c r="V239" s="9"/>
      <c r="W239" s="9">
        <f t="shared" si="673"/>
        <v>-160289</v>
      </c>
      <c r="X239" s="9">
        <f t="shared" si="673"/>
        <v>0</v>
      </c>
      <c r="Y239" s="9">
        <f t="shared" si="673"/>
        <v>0</v>
      </c>
      <c r="Z239" s="9">
        <f>SUM(Z240:Z261)</f>
        <v>302033</v>
      </c>
      <c r="AA239" s="9">
        <f t="shared" ref="AA239" si="675">SUM(AA240:AA261)</f>
        <v>340269</v>
      </c>
      <c r="AB239" s="9">
        <f t="shared" ref="AB239" si="676">SUM(AB240:AB261)</f>
        <v>38236</v>
      </c>
      <c r="AC239" s="9">
        <f t="shared" ref="AC239" si="677">SUM(AC240:AC261)</f>
        <v>0</v>
      </c>
      <c r="AD239" s="9">
        <f t="shared" ref="AD239" si="678">SUM(AD240:AD261)</f>
        <v>3196</v>
      </c>
      <c r="AE239" s="9">
        <f t="shared" ref="AE239" si="679">SUM(AE240:AE261)</f>
        <v>0</v>
      </c>
      <c r="AF239" s="9">
        <f t="shared" ref="AF239" si="680">SUM(AF240:AF261)</f>
        <v>0</v>
      </c>
      <c r="AG239" s="9">
        <f t="shared" ref="AG239" si="681">SUM(AG240:AG261)</f>
        <v>0</v>
      </c>
      <c r="AH239" s="9">
        <f t="shared" ref="AH239" si="682">SUM(AH240:AH261)</f>
        <v>35040</v>
      </c>
      <c r="AI239" s="9">
        <f t="shared" ref="AI239" si="683">SUM(AI240:AI261)</f>
        <v>0</v>
      </c>
      <c r="AJ239" s="9">
        <f t="shared" ref="AJ239" si="684">SUM(AJ240:AJ261)</f>
        <v>0</v>
      </c>
      <c r="AK239" s="9">
        <f t="shared" ref="AK239" si="685">SUM(AK240:AK261)</f>
        <v>0</v>
      </c>
      <c r="AL239" s="9">
        <f t="shared" ref="AL239" si="686">SUM(AL240:AL261)</f>
        <v>0</v>
      </c>
      <c r="AM239" s="9">
        <f>SUM(AM240:AM261)</f>
        <v>601335</v>
      </c>
      <c r="AN239" s="96">
        <f t="shared" ref="AN239" si="687">SUM(AN240:AN261)</f>
        <v>618496</v>
      </c>
      <c r="AO239" s="96">
        <f t="shared" ref="AO239" si="688">SUM(AO240:AO261)</f>
        <v>17161</v>
      </c>
      <c r="AP239" s="96">
        <f t="shared" ref="AP239" si="689">SUM(AP240:AP261)</f>
        <v>25255</v>
      </c>
      <c r="AQ239" s="96">
        <f t="shared" ref="AQ239" si="690">SUM(AQ240:AQ261)</f>
        <v>0</v>
      </c>
      <c r="AR239" s="96">
        <f t="shared" ref="AR239" si="691">SUM(AR240:AR261)</f>
        <v>111</v>
      </c>
      <c r="AS239" s="96">
        <f t="shared" ref="AS239" si="692">SUM(AS240:AS261)</f>
        <v>0</v>
      </c>
      <c r="AT239" s="96">
        <f t="shared" ref="AT239" si="693">SUM(AT240:AT261)</f>
        <v>0</v>
      </c>
      <c r="AU239" s="96">
        <f t="shared" ref="AU239" si="694">SUM(AU240:AU261)</f>
        <v>0</v>
      </c>
      <c r="AV239" s="96">
        <f t="shared" ref="AV239" si="695">SUM(AV240:AV261)</f>
        <v>-8205</v>
      </c>
      <c r="AW239" s="96">
        <f t="shared" ref="AW239" si="696">SUM(AW240:AW261)</f>
        <v>0</v>
      </c>
      <c r="AX239" s="96">
        <f t="shared" ref="AX239" si="697">SUM(AX240:AX261)</f>
        <v>0</v>
      </c>
      <c r="AY239" s="96">
        <f t="shared" ref="AY239" si="698">SUM(AY240:AY261)</f>
        <v>0</v>
      </c>
      <c r="AZ239" s="96">
        <f>SUM(AZ240:AZ261)</f>
        <v>538</v>
      </c>
      <c r="BA239" s="9">
        <f t="shared" ref="BA239" si="699">SUM(BA240:BA261)</f>
        <v>538</v>
      </c>
      <c r="BB239" s="96">
        <f t="shared" ref="BB239" si="700">SUM(BB240:BB261)</f>
        <v>0</v>
      </c>
      <c r="BC239" s="96">
        <f t="shared" ref="BC239" si="701">SUM(BC240:BC261)</f>
        <v>0</v>
      </c>
      <c r="BD239" s="96">
        <f t="shared" ref="BD239" si="702">SUM(BD240:BD261)</f>
        <v>0</v>
      </c>
      <c r="BE239" s="96">
        <f t="shared" ref="BE239" si="703">SUM(BE240:BE261)</f>
        <v>0</v>
      </c>
      <c r="BF239" s="96">
        <f t="shared" ref="BF239" si="704">SUM(BF240:BF261)</f>
        <v>0</v>
      </c>
      <c r="BG239" s="96">
        <f t="shared" ref="BG239" si="705">SUM(BG240:BG261)</f>
        <v>0</v>
      </c>
      <c r="BH239" s="9">
        <f>SUM(BH240:BH261)</f>
        <v>0</v>
      </c>
      <c r="BI239" s="310">
        <f t="shared" ref="BI239" si="706">SUM(BI240:BI261)</f>
        <v>-26241</v>
      </c>
      <c r="BJ239" s="96">
        <f t="shared" ref="BJ239" si="707">SUM(BJ240:BJ261)</f>
        <v>-26241</v>
      </c>
      <c r="BK239" s="96">
        <f t="shared" ref="BK239" si="708">SUM(BK240:BK261)</f>
        <v>0</v>
      </c>
      <c r="BL239" s="96">
        <f t="shared" ref="BL239" si="709">SUM(BL240:BL261)</f>
        <v>-25858</v>
      </c>
      <c r="BM239" s="96">
        <f t="shared" ref="BM239" si="710">SUM(BM240:BM261)</f>
        <v>0</v>
      </c>
      <c r="BN239" s="96">
        <f t="shared" ref="BN239" si="711">SUM(BN240:BN261)</f>
        <v>-111</v>
      </c>
      <c r="BO239" s="96">
        <f t="shared" ref="BO239" si="712">SUM(BO240:BO261)</f>
        <v>0</v>
      </c>
      <c r="BP239" s="96">
        <f t="shared" ref="BP239" si="713">SUM(BP240:BP261)</f>
        <v>0</v>
      </c>
      <c r="BQ239" s="96">
        <f t="shared" ref="BQ239" si="714">SUM(BQ240:BQ261)</f>
        <v>0</v>
      </c>
      <c r="BR239" s="96">
        <f t="shared" ref="BR239" si="715">SUM(BR240:BR261)</f>
        <v>-272</v>
      </c>
      <c r="BS239" s="96">
        <f t="shared" ref="BS239" si="716">SUM(BS240:BS261)</f>
        <v>0</v>
      </c>
      <c r="BT239" s="96">
        <f t="shared" ref="BT239" si="717">SUM(BT240:BT261)</f>
        <v>0</v>
      </c>
      <c r="BU239" s="12"/>
      <c r="BV239" s="87"/>
      <c r="BW239" s="24"/>
    </row>
    <row r="240" spans="1:75" s="122" customFormat="1" ht="24.75" customHeight="1" thickTop="1" x14ac:dyDescent="0.2">
      <c r="A240" s="108">
        <v>90000056357</v>
      </c>
      <c r="B240" s="247" t="s">
        <v>5</v>
      </c>
      <c r="C240" s="324" t="s">
        <v>457</v>
      </c>
      <c r="D240" s="80">
        <f t="shared" ref="D240:D260" si="718">F240+Z240+AM240+AZ240+BH240</f>
        <v>1040651</v>
      </c>
      <c r="E240" s="295">
        <f t="shared" ref="E240:E260" si="719">G240+AA240+AN240+BA240+BI240</f>
        <v>1017475</v>
      </c>
      <c r="F240" s="170">
        <v>1040651</v>
      </c>
      <c r="G240" s="170">
        <f t="shared" ref="G240:G260" si="720">F240+H240</f>
        <v>1017475</v>
      </c>
      <c r="H240" s="170">
        <f t="shared" ref="H240:H260" si="721">SUM(I240:Y240)</f>
        <v>-23176</v>
      </c>
      <c r="I240" s="170"/>
      <c r="J240" s="170"/>
      <c r="K240" s="170">
        <v>8897</v>
      </c>
      <c r="L240" s="170"/>
      <c r="M240" s="170">
        <f>11665+1646</f>
        <v>13311</v>
      </c>
      <c r="N240" s="170"/>
      <c r="O240" s="170"/>
      <c r="P240" s="170"/>
      <c r="Q240" s="170">
        <f>-10479+14508</f>
        <v>4029</v>
      </c>
      <c r="R240" s="170"/>
      <c r="S240" s="170">
        <v>-47775</v>
      </c>
      <c r="T240" s="170"/>
      <c r="U240" s="170"/>
      <c r="V240" s="170"/>
      <c r="W240" s="170">
        <v>-1638</v>
      </c>
      <c r="X240" s="170"/>
      <c r="Y240" s="170"/>
      <c r="Z240" s="170">
        <v>0</v>
      </c>
      <c r="AA240" s="170">
        <f t="shared" ref="AA240:AA260" si="722">Z240+AB240</f>
        <v>0</v>
      </c>
      <c r="AB240" s="170">
        <f t="shared" ref="AB240:AB260" si="723">SUM(AC240:AL240)</f>
        <v>0</v>
      </c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0">
        <v>0</v>
      </c>
      <c r="AN240" s="170">
        <f t="shared" ref="AN240:AN260" si="724">AM240+AO240</f>
        <v>0</v>
      </c>
      <c r="AO240" s="170">
        <f t="shared" ref="AO240:AO260" si="725">SUM(AP240:AY240)</f>
        <v>0</v>
      </c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>
        <v>0</v>
      </c>
      <c r="BA240" s="81">
        <f t="shared" ref="BA240:BA260" si="726">AZ240+BB240</f>
        <v>0</v>
      </c>
      <c r="BB240" s="98">
        <f t="shared" ref="BB240:BB260" si="727">SUM(BC240:BG240)</f>
        <v>0</v>
      </c>
      <c r="BC240" s="203"/>
      <c r="BD240" s="203"/>
      <c r="BE240" s="203"/>
      <c r="BF240" s="203"/>
      <c r="BG240" s="203"/>
      <c r="BH240" s="170"/>
      <c r="BI240" s="81">
        <f t="shared" ref="BI240:BI260" si="728">BH240+BJ240</f>
        <v>0</v>
      </c>
      <c r="BJ240" s="81">
        <f t="shared" ref="BJ240:BJ260" si="729">SUM(BK240:BT240)</f>
        <v>0</v>
      </c>
      <c r="BK240" s="203"/>
      <c r="BL240" s="203"/>
      <c r="BM240" s="203"/>
      <c r="BN240" s="203"/>
      <c r="BO240" s="203"/>
      <c r="BP240" s="203"/>
      <c r="BQ240" s="203"/>
      <c r="BR240" s="203"/>
      <c r="BS240" s="203"/>
      <c r="BT240" s="203"/>
      <c r="BU240" s="204" t="s">
        <v>565</v>
      </c>
      <c r="BV240" s="86" t="s">
        <v>672</v>
      </c>
      <c r="BW240" s="24"/>
    </row>
    <row r="241" spans="1:75" ht="25.5" customHeight="1" x14ac:dyDescent="0.2">
      <c r="A241" s="108">
        <v>90000594245</v>
      </c>
      <c r="B241" s="241" t="s">
        <v>524</v>
      </c>
      <c r="C241" s="285" t="s">
        <v>182</v>
      </c>
      <c r="D241" s="80">
        <f t="shared" si="718"/>
        <v>820099</v>
      </c>
      <c r="E241" s="295">
        <f t="shared" si="719"/>
        <v>831799</v>
      </c>
      <c r="F241" s="81">
        <v>815668</v>
      </c>
      <c r="G241" s="81">
        <f t="shared" si="720"/>
        <v>827368</v>
      </c>
      <c r="H241" s="81">
        <f t="shared" si="721"/>
        <v>11700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>
        <v>11700</v>
      </c>
      <c r="T241" s="81"/>
      <c r="U241" s="81"/>
      <c r="V241" s="81"/>
      <c r="W241" s="81"/>
      <c r="X241" s="81"/>
      <c r="Y241" s="81"/>
      <c r="Z241" s="81">
        <v>4371</v>
      </c>
      <c r="AA241" s="81">
        <f t="shared" si="722"/>
        <v>4371</v>
      </c>
      <c r="AB241" s="81">
        <f t="shared" si="723"/>
        <v>0</v>
      </c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>
        <v>60</v>
      </c>
      <c r="AN241" s="81">
        <f t="shared" si="724"/>
        <v>171</v>
      </c>
      <c r="AO241" s="81">
        <f t="shared" si="725"/>
        <v>111</v>
      </c>
      <c r="AP241" s="81"/>
      <c r="AQ241" s="81"/>
      <c r="AR241" s="81">
        <v>111</v>
      </c>
      <c r="AS241" s="81"/>
      <c r="AT241" s="81"/>
      <c r="AU241" s="81"/>
      <c r="AV241" s="81"/>
      <c r="AW241" s="81"/>
      <c r="AX241" s="81"/>
      <c r="AY241" s="81"/>
      <c r="AZ241" s="81">
        <v>0</v>
      </c>
      <c r="BA241" s="81">
        <f t="shared" si="726"/>
        <v>0</v>
      </c>
      <c r="BB241" s="98">
        <f t="shared" si="727"/>
        <v>0</v>
      </c>
      <c r="BC241" s="98"/>
      <c r="BD241" s="98"/>
      <c r="BE241" s="98"/>
      <c r="BF241" s="98"/>
      <c r="BG241" s="98"/>
      <c r="BH241" s="81"/>
      <c r="BI241" s="81">
        <f t="shared" si="728"/>
        <v>-111</v>
      </c>
      <c r="BJ241" s="81">
        <f t="shared" si="729"/>
        <v>-111</v>
      </c>
      <c r="BK241" s="98"/>
      <c r="BL241" s="98"/>
      <c r="BM241" s="98"/>
      <c r="BN241" s="98">
        <v>-111</v>
      </c>
      <c r="BO241" s="98"/>
      <c r="BP241" s="98"/>
      <c r="BQ241" s="98"/>
      <c r="BR241" s="98"/>
      <c r="BS241" s="98"/>
      <c r="BT241" s="98"/>
      <c r="BU241" s="82" t="s">
        <v>424</v>
      </c>
      <c r="BV241" s="85"/>
      <c r="BW241" s="24"/>
    </row>
    <row r="242" spans="1:75" s="122" customFormat="1" ht="20.25" customHeight="1" x14ac:dyDescent="0.2">
      <c r="A242" s="108"/>
      <c r="B242" s="242"/>
      <c r="C242" s="285" t="s">
        <v>205</v>
      </c>
      <c r="D242" s="80">
        <f t="shared" si="718"/>
        <v>224841</v>
      </c>
      <c r="E242" s="295">
        <f t="shared" si="719"/>
        <v>245320</v>
      </c>
      <c r="F242" s="81">
        <v>13834</v>
      </c>
      <c r="G242" s="81">
        <f t="shared" si="720"/>
        <v>14624</v>
      </c>
      <c r="H242" s="81">
        <f t="shared" si="721"/>
        <v>790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>
        <v>790</v>
      </c>
      <c r="X242" s="81"/>
      <c r="Y242" s="81"/>
      <c r="Z242" s="81">
        <v>211007</v>
      </c>
      <c r="AA242" s="81">
        <f t="shared" si="722"/>
        <v>230696</v>
      </c>
      <c r="AB242" s="81">
        <f t="shared" si="723"/>
        <v>19689</v>
      </c>
      <c r="AC242" s="81"/>
      <c r="AD242" s="81"/>
      <c r="AE242" s="81"/>
      <c r="AF242" s="81"/>
      <c r="AG242" s="81"/>
      <c r="AH242" s="81">
        <v>19689</v>
      </c>
      <c r="AI242" s="81"/>
      <c r="AJ242" s="81"/>
      <c r="AK242" s="81"/>
      <c r="AL242" s="81"/>
      <c r="AM242" s="81">
        <v>0</v>
      </c>
      <c r="AN242" s="81">
        <f t="shared" si="724"/>
        <v>0</v>
      </c>
      <c r="AO242" s="81">
        <f t="shared" si="725"/>
        <v>0</v>
      </c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>
        <v>0</v>
      </c>
      <c r="BA242" s="81">
        <f t="shared" si="726"/>
        <v>0</v>
      </c>
      <c r="BB242" s="98">
        <f t="shared" si="727"/>
        <v>0</v>
      </c>
      <c r="BC242" s="98"/>
      <c r="BD242" s="98"/>
      <c r="BE242" s="98"/>
      <c r="BF242" s="98"/>
      <c r="BG242" s="98"/>
      <c r="BH242" s="81"/>
      <c r="BI242" s="81">
        <f t="shared" si="728"/>
        <v>0</v>
      </c>
      <c r="BJ242" s="81">
        <f t="shared" si="729"/>
        <v>0</v>
      </c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82" t="s">
        <v>425</v>
      </c>
      <c r="BV242" s="85" t="s">
        <v>693</v>
      </c>
      <c r="BW242" s="24"/>
    </row>
    <row r="243" spans="1:75" ht="18" customHeight="1" x14ac:dyDescent="0.2">
      <c r="A243" s="108"/>
      <c r="B243" s="242"/>
      <c r="C243" s="285" t="s">
        <v>206</v>
      </c>
      <c r="D243" s="80">
        <f t="shared" si="718"/>
        <v>680382</v>
      </c>
      <c r="E243" s="295">
        <f t="shared" si="719"/>
        <v>688032</v>
      </c>
      <c r="F243" s="81">
        <v>676112</v>
      </c>
      <c r="G243" s="81">
        <f t="shared" si="720"/>
        <v>682812</v>
      </c>
      <c r="H243" s="81">
        <f t="shared" si="721"/>
        <v>6700</v>
      </c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>
        <v>6700</v>
      </c>
      <c r="X243" s="81"/>
      <c r="Y243" s="81"/>
      <c r="Z243" s="81">
        <v>4270</v>
      </c>
      <c r="AA243" s="81">
        <f t="shared" si="722"/>
        <v>5220</v>
      </c>
      <c r="AB243" s="81">
        <f t="shared" si="723"/>
        <v>950</v>
      </c>
      <c r="AC243" s="81"/>
      <c r="AD243" s="81"/>
      <c r="AE243" s="81"/>
      <c r="AF243" s="81"/>
      <c r="AG243" s="81"/>
      <c r="AH243" s="81">
        <v>950</v>
      </c>
      <c r="AI243" s="81"/>
      <c r="AJ243" s="81"/>
      <c r="AK243" s="81"/>
      <c r="AL243" s="81"/>
      <c r="AM243" s="81">
        <v>0</v>
      </c>
      <c r="AN243" s="81">
        <f t="shared" si="724"/>
        <v>0</v>
      </c>
      <c r="AO243" s="81">
        <f t="shared" si="725"/>
        <v>0</v>
      </c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>
        <v>0</v>
      </c>
      <c r="BA243" s="81">
        <f t="shared" si="726"/>
        <v>0</v>
      </c>
      <c r="BB243" s="98">
        <f t="shared" si="727"/>
        <v>0</v>
      </c>
      <c r="BC243" s="98"/>
      <c r="BD243" s="98"/>
      <c r="BE243" s="98"/>
      <c r="BF243" s="98"/>
      <c r="BG243" s="98"/>
      <c r="BH243" s="81"/>
      <c r="BI243" s="81">
        <f t="shared" si="728"/>
        <v>0</v>
      </c>
      <c r="BJ243" s="81">
        <f t="shared" si="729"/>
        <v>0</v>
      </c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82" t="s">
        <v>426</v>
      </c>
      <c r="BV243" s="85" t="s">
        <v>693</v>
      </c>
      <c r="BW243" s="24"/>
    </row>
    <row r="244" spans="1:75" ht="19.5" customHeight="1" x14ac:dyDescent="0.2">
      <c r="A244" s="108"/>
      <c r="B244" s="242"/>
      <c r="C244" s="285" t="s">
        <v>207</v>
      </c>
      <c r="D244" s="80">
        <f t="shared" si="718"/>
        <v>464770</v>
      </c>
      <c r="E244" s="295">
        <f t="shared" si="719"/>
        <v>446624</v>
      </c>
      <c r="F244" s="81">
        <v>462492</v>
      </c>
      <c r="G244" s="81">
        <f t="shared" si="720"/>
        <v>444346</v>
      </c>
      <c r="H244" s="81">
        <f t="shared" si="721"/>
        <v>-18146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>
        <v>-18146</v>
      </c>
      <c r="X244" s="81"/>
      <c r="Y244" s="81"/>
      <c r="Z244" s="81">
        <v>0</v>
      </c>
      <c r="AA244" s="81">
        <f t="shared" si="722"/>
        <v>0</v>
      </c>
      <c r="AB244" s="81">
        <f t="shared" si="723"/>
        <v>0</v>
      </c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>
        <v>2278</v>
      </c>
      <c r="AN244" s="81">
        <f t="shared" si="724"/>
        <v>2278</v>
      </c>
      <c r="AO244" s="81">
        <f t="shared" si="725"/>
        <v>0</v>
      </c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>
        <v>0</v>
      </c>
      <c r="BA244" s="81">
        <f t="shared" si="726"/>
        <v>0</v>
      </c>
      <c r="BB244" s="98">
        <f t="shared" si="727"/>
        <v>0</v>
      </c>
      <c r="BC244" s="98"/>
      <c r="BD244" s="98"/>
      <c r="BE244" s="98"/>
      <c r="BF244" s="98"/>
      <c r="BG244" s="98"/>
      <c r="BH244" s="81"/>
      <c r="BI244" s="81">
        <f t="shared" si="728"/>
        <v>0</v>
      </c>
      <c r="BJ244" s="81">
        <f t="shared" si="729"/>
        <v>0</v>
      </c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82" t="s">
        <v>427</v>
      </c>
      <c r="BV244" s="85" t="s">
        <v>694</v>
      </c>
      <c r="BW244" s="24"/>
    </row>
    <row r="245" spans="1:75" ht="24" x14ac:dyDescent="0.2">
      <c r="A245" s="108"/>
      <c r="B245" s="242"/>
      <c r="C245" s="285" t="s">
        <v>208</v>
      </c>
      <c r="D245" s="80">
        <f t="shared" si="718"/>
        <v>283800</v>
      </c>
      <c r="E245" s="295">
        <f t="shared" si="719"/>
        <v>293874</v>
      </c>
      <c r="F245" s="81">
        <v>283800</v>
      </c>
      <c r="G245" s="81">
        <f t="shared" si="720"/>
        <v>293874</v>
      </c>
      <c r="H245" s="81">
        <f t="shared" si="721"/>
        <v>10074</v>
      </c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>
        <v>10074</v>
      </c>
      <c r="X245" s="81"/>
      <c r="Y245" s="81"/>
      <c r="Z245" s="81">
        <v>0</v>
      </c>
      <c r="AA245" s="81">
        <f t="shared" si="722"/>
        <v>0</v>
      </c>
      <c r="AB245" s="81">
        <f t="shared" si="723"/>
        <v>0</v>
      </c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>
        <v>0</v>
      </c>
      <c r="AN245" s="81">
        <f t="shared" si="724"/>
        <v>0</v>
      </c>
      <c r="AO245" s="81">
        <f t="shared" si="725"/>
        <v>0</v>
      </c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>
        <v>0</v>
      </c>
      <c r="BA245" s="81">
        <f t="shared" si="726"/>
        <v>0</v>
      </c>
      <c r="BB245" s="98">
        <f t="shared" si="727"/>
        <v>0</v>
      </c>
      <c r="BC245" s="98"/>
      <c r="BD245" s="98"/>
      <c r="BE245" s="98"/>
      <c r="BF245" s="98"/>
      <c r="BG245" s="98"/>
      <c r="BH245" s="81"/>
      <c r="BI245" s="81">
        <f t="shared" si="728"/>
        <v>0</v>
      </c>
      <c r="BJ245" s="81">
        <f t="shared" si="729"/>
        <v>0</v>
      </c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82" t="s">
        <v>428</v>
      </c>
      <c r="BV245" s="85" t="s">
        <v>695</v>
      </c>
      <c r="BW245" s="24"/>
    </row>
    <row r="246" spans="1:75" ht="27.75" customHeight="1" x14ac:dyDescent="0.2">
      <c r="A246" s="108"/>
      <c r="B246" s="242"/>
      <c r="C246" s="285" t="s">
        <v>273</v>
      </c>
      <c r="D246" s="80">
        <f t="shared" si="718"/>
        <v>341522</v>
      </c>
      <c r="E246" s="295">
        <f t="shared" si="719"/>
        <v>339337</v>
      </c>
      <c r="F246" s="81">
        <v>341522</v>
      </c>
      <c r="G246" s="81">
        <f t="shared" si="720"/>
        <v>339337</v>
      </c>
      <c r="H246" s="81">
        <f t="shared" si="721"/>
        <v>-2185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>
        <v>-2185</v>
      </c>
      <c r="X246" s="81"/>
      <c r="Y246" s="81"/>
      <c r="Z246" s="81">
        <v>0</v>
      </c>
      <c r="AA246" s="81">
        <f t="shared" si="722"/>
        <v>0</v>
      </c>
      <c r="AB246" s="81">
        <f t="shared" si="723"/>
        <v>0</v>
      </c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>
        <v>0</v>
      </c>
      <c r="AN246" s="81">
        <f t="shared" si="724"/>
        <v>0</v>
      </c>
      <c r="AO246" s="81">
        <f t="shared" si="725"/>
        <v>0</v>
      </c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>
        <v>0</v>
      </c>
      <c r="BA246" s="81">
        <f t="shared" si="726"/>
        <v>0</v>
      </c>
      <c r="BB246" s="98">
        <f t="shared" si="727"/>
        <v>0</v>
      </c>
      <c r="BC246" s="98"/>
      <c r="BD246" s="98"/>
      <c r="BE246" s="98"/>
      <c r="BF246" s="98"/>
      <c r="BG246" s="98"/>
      <c r="BH246" s="81"/>
      <c r="BI246" s="81">
        <f t="shared" si="728"/>
        <v>0</v>
      </c>
      <c r="BJ246" s="81">
        <f t="shared" si="729"/>
        <v>0</v>
      </c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82" t="s">
        <v>429</v>
      </c>
      <c r="BV246" s="85" t="s">
        <v>512</v>
      </c>
      <c r="BW246" s="24"/>
    </row>
    <row r="247" spans="1:75" s="122" customFormat="1" ht="25.5" customHeight="1" x14ac:dyDescent="0.2">
      <c r="A247" s="108"/>
      <c r="B247" s="242"/>
      <c r="C247" s="285" t="s">
        <v>272</v>
      </c>
      <c r="D247" s="80">
        <f t="shared" si="718"/>
        <v>608322</v>
      </c>
      <c r="E247" s="295">
        <f t="shared" si="719"/>
        <v>605050</v>
      </c>
      <c r="F247" s="81">
        <v>606562</v>
      </c>
      <c r="G247" s="81">
        <f t="shared" si="720"/>
        <v>603290</v>
      </c>
      <c r="H247" s="81">
        <f t="shared" si="721"/>
        <v>-3272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>
        <v>-3272</v>
      </c>
      <c r="X247" s="81"/>
      <c r="Y247" s="81"/>
      <c r="Z247" s="81">
        <v>1760</v>
      </c>
      <c r="AA247" s="81">
        <f t="shared" si="722"/>
        <v>1760</v>
      </c>
      <c r="AB247" s="81">
        <f t="shared" si="723"/>
        <v>0</v>
      </c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>
        <v>0</v>
      </c>
      <c r="AN247" s="81">
        <f t="shared" si="724"/>
        <v>0</v>
      </c>
      <c r="AO247" s="81">
        <f t="shared" si="725"/>
        <v>0</v>
      </c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>
        <v>0</v>
      </c>
      <c r="BA247" s="81">
        <f t="shared" si="726"/>
        <v>0</v>
      </c>
      <c r="BB247" s="98">
        <f t="shared" si="727"/>
        <v>0</v>
      </c>
      <c r="BC247" s="98"/>
      <c r="BD247" s="98"/>
      <c r="BE247" s="98"/>
      <c r="BF247" s="98"/>
      <c r="BG247" s="98"/>
      <c r="BH247" s="81"/>
      <c r="BI247" s="81">
        <f t="shared" si="728"/>
        <v>0</v>
      </c>
      <c r="BJ247" s="81">
        <f t="shared" si="729"/>
        <v>0</v>
      </c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82" t="s">
        <v>430</v>
      </c>
      <c r="BV247" s="85" t="s">
        <v>695</v>
      </c>
      <c r="BW247" s="24"/>
    </row>
    <row r="248" spans="1:75" ht="24" x14ac:dyDescent="0.2">
      <c r="A248" s="108"/>
      <c r="B248" s="242"/>
      <c r="C248" s="285" t="s">
        <v>486</v>
      </c>
      <c r="D248" s="80">
        <f t="shared" si="718"/>
        <v>122402</v>
      </c>
      <c r="E248" s="295">
        <f t="shared" si="719"/>
        <v>126256</v>
      </c>
      <c r="F248" s="81">
        <v>122402</v>
      </c>
      <c r="G248" s="81">
        <f t="shared" si="720"/>
        <v>126256</v>
      </c>
      <c r="H248" s="81">
        <f t="shared" si="721"/>
        <v>3854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>
        <v>3854</v>
      </c>
      <c r="X248" s="81"/>
      <c r="Y248" s="81"/>
      <c r="Z248" s="81">
        <v>0</v>
      </c>
      <c r="AA248" s="81">
        <f t="shared" si="722"/>
        <v>0</v>
      </c>
      <c r="AB248" s="81">
        <f t="shared" si="723"/>
        <v>0</v>
      </c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>
        <v>0</v>
      </c>
      <c r="AN248" s="81">
        <f t="shared" si="724"/>
        <v>0</v>
      </c>
      <c r="AO248" s="81">
        <f t="shared" si="725"/>
        <v>0</v>
      </c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>
        <v>0</v>
      </c>
      <c r="BA248" s="81">
        <f t="shared" si="726"/>
        <v>0</v>
      </c>
      <c r="BB248" s="98">
        <f t="shared" si="727"/>
        <v>0</v>
      </c>
      <c r="BC248" s="98"/>
      <c r="BD248" s="98"/>
      <c r="BE248" s="98"/>
      <c r="BF248" s="98"/>
      <c r="BG248" s="98"/>
      <c r="BH248" s="81"/>
      <c r="BI248" s="81">
        <f t="shared" si="728"/>
        <v>0</v>
      </c>
      <c r="BJ248" s="81">
        <f t="shared" si="729"/>
        <v>0</v>
      </c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82" t="s">
        <v>431</v>
      </c>
      <c r="BV248" s="85"/>
      <c r="BW248" s="24"/>
    </row>
    <row r="249" spans="1:75" s="192" customFormat="1" ht="28.5" customHeight="1" x14ac:dyDescent="0.2">
      <c r="A249" s="108"/>
      <c r="B249" s="242"/>
      <c r="C249" s="285" t="s">
        <v>541</v>
      </c>
      <c r="D249" s="80">
        <f t="shared" si="718"/>
        <v>267228</v>
      </c>
      <c r="E249" s="295">
        <f t="shared" si="719"/>
        <v>114770</v>
      </c>
      <c r="F249" s="81">
        <v>267228</v>
      </c>
      <c r="G249" s="81">
        <f t="shared" si="720"/>
        <v>114770</v>
      </c>
      <c r="H249" s="81">
        <f t="shared" si="721"/>
        <v>-152458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>
        <v>-152458</v>
      </c>
      <c r="X249" s="81"/>
      <c r="Y249" s="81"/>
      <c r="Z249" s="81">
        <v>0</v>
      </c>
      <c r="AA249" s="81">
        <f t="shared" si="722"/>
        <v>0</v>
      </c>
      <c r="AB249" s="81">
        <f t="shared" si="723"/>
        <v>0</v>
      </c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>
        <v>0</v>
      </c>
      <c r="AN249" s="81">
        <f t="shared" si="724"/>
        <v>0</v>
      </c>
      <c r="AO249" s="81">
        <f t="shared" si="725"/>
        <v>0</v>
      </c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>
        <v>0</v>
      </c>
      <c r="BA249" s="81">
        <f t="shared" si="726"/>
        <v>0</v>
      </c>
      <c r="BB249" s="98">
        <f t="shared" si="727"/>
        <v>0</v>
      </c>
      <c r="BC249" s="98"/>
      <c r="BD249" s="98"/>
      <c r="BE249" s="98"/>
      <c r="BF249" s="98"/>
      <c r="BG249" s="98"/>
      <c r="BH249" s="81"/>
      <c r="BI249" s="81">
        <f t="shared" si="728"/>
        <v>0</v>
      </c>
      <c r="BJ249" s="81">
        <f t="shared" si="729"/>
        <v>0</v>
      </c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82" t="s">
        <v>503</v>
      </c>
      <c r="BV249" s="85"/>
      <c r="BW249" s="24"/>
    </row>
    <row r="250" spans="1:75" s="192" customFormat="1" ht="27" customHeight="1" x14ac:dyDescent="0.2">
      <c r="A250" s="108"/>
      <c r="B250" s="242"/>
      <c r="C250" s="285" t="s">
        <v>542</v>
      </c>
      <c r="D250" s="80">
        <f t="shared" si="718"/>
        <v>12753</v>
      </c>
      <c r="E250" s="295">
        <f t="shared" si="719"/>
        <v>12526</v>
      </c>
      <c r="F250" s="81">
        <v>12753</v>
      </c>
      <c r="G250" s="81">
        <f t="shared" si="720"/>
        <v>12526</v>
      </c>
      <c r="H250" s="81">
        <f t="shared" si="721"/>
        <v>-227</v>
      </c>
      <c r="I250" s="81"/>
      <c r="J250" s="81"/>
      <c r="K250" s="81">
        <v>-227</v>
      </c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>
        <v>0</v>
      </c>
      <c r="AA250" s="81">
        <f t="shared" si="722"/>
        <v>0</v>
      </c>
      <c r="AB250" s="81">
        <f t="shared" si="723"/>
        <v>0</v>
      </c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>
        <v>0</v>
      </c>
      <c r="AN250" s="81">
        <f t="shared" si="724"/>
        <v>0</v>
      </c>
      <c r="AO250" s="81">
        <f t="shared" si="725"/>
        <v>0</v>
      </c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>
        <v>0</v>
      </c>
      <c r="BA250" s="81">
        <f t="shared" si="726"/>
        <v>0</v>
      </c>
      <c r="BB250" s="98">
        <f t="shared" si="727"/>
        <v>0</v>
      </c>
      <c r="BC250" s="98"/>
      <c r="BD250" s="98"/>
      <c r="BE250" s="98"/>
      <c r="BF250" s="98"/>
      <c r="BG250" s="98"/>
      <c r="BH250" s="81"/>
      <c r="BI250" s="81">
        <f t="shared" si="728"/>
        <v>0</v>
      </c>
      <c r="BJ250" s="81">
        <f t="shared" si="729"/>
        <v>0</v>
      </c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82" t="s">
        <v>692</v>
      </c>
      <c r="BV250" s="85"/>
      <c r="BW250" s="24"/>
    </row>
    <row r="251" spans="1:75" s="198" customFormat="1" x14ac:dyDescent="0.2">
      <c r="A251" s="108"/>
      <c r="B251" s="242"/>
      <c r="C251" s="340" t="s">
        <v>762</v>
      </c>
      <c r="D251" s="80">
        <f t="shared" ref="D251" si="730">F251+Z251+AM251+AZ251+BH251</f>
        <v>0</v>
      </c>
      <c r="E251" s="295">
        <f t="shared" ref="E251" si="731">G251+AA251+AN251+BA251+BI251</f>
        <v>358</v>
      </c>
      <c r="F251" s="81"/>
      <c r="G251" s="81">
        <f t="shared" ref="G251" si="732">F251+H251</f>
        <v>26203</v>
      </c>
      <c r="H251" s="81">
        <f t="shared" ref="H251" si="733">SUM(I251:Y251)</f>
        <v>26203</v>
      </c>
      <c r="I251" s="81"/>
      <c r="J251" s="81"/>
      <c r="K251" s="81">
        <v>26203</v>
      </c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>
        <f t="shared" ref="AA251" si="734">Z251+AB251</f>
        <v>0</v>
      </c>
      <c r="AB251" s="81">
        <f t="shared" ref="AB251" si="735">SUM(AC251:AL251)</f>
        <v>0</v>
      </c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>
        <f t="shared" ref="AN251" si="736">AM251+AO251</f>
        <v>0</v>
      </c>
      <c r="AO251" s="81">
        <f t="shared" ref="AO251" si="737">SUM(AP251:AY251)</f>
        <v>0</v>
      </c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>
        <f t="shared" ref="BA251" si="738">AZ251+BB251</f>
        <v>0</v>
      </c>
      <c r="BB251" s="98">
        <f t="shared" ref="BB251" si="739">SUM(BC251:BG251)</f>
        <v>0</v>
      </c>
      <c r="BC251" s="98"/>
      <c r="BD251" s="98"/>
      <c r="BE251" s="98"/>
      <c r="BF251" s="98"/>
      <c r="BG251" s="98"/>
      <c r="BH251" s="81"/>
      <c r="BI251" s="81">
        <f t="shared" ref="BI251" si="740">BH251+BJ251</f>
        <v>-25845</v>
      </c>
      <c r="BJ251" s="81">
        <f t="shared" ref="BJ251" si="741">SUM(BK251:BT251)</f>
        <v>-25845</v>
      </c>
      <c r="BK251" s="98"/>
      <c r="BL251" s="98">
        <v>-25845</v>
      </c>
      <c r="BM251" s="98"/>
      <c r="BN251" s="98"/>
      <c r="BO251" s="98"/>
      <c r="BP251" s="98"/>
      <c r="BQ251" s="98"/>
      <c r="BR251" s="98"/>
      <c r="BS251" s="98"/>
      <c r="BT251" s="98"/>
      <c r="BU251" s="82" t="s">
        <v>763</v>
      </c>
      <c r="BV251" s="85"/>
      <c r="BW251" s="24"/>
    </row>
    <row r="252" spans="1:75" ht="48" x14ac:dyDescent="0.2">
      <c r="A252" s="108">
        <v>90010991438</v>
      </c>
      <c r="B252" s="241" t="s">
        <v>472</v>
      </c>
      <c r="C252" s="285" t="s">
        <v>210</v>
      </c>
      <c r="D252" s="80">
        <f t="shared" si="718"/>
        <v>1431668</v>
      </c>
      <c r="E252" s="295">
        <f t="shared" si="719"/>
        <v>1447496</v>
      </c>
      <c r="F252" s="81">
        <v>766939</v>
      </c>
      <c r="G252" s="81">
        <f t="shared" si="720"/>
        <v>748405</v>
      </c>
      <c r="H252" s="81">
        <f t="shared" si="721"/>
        <v>-18534</v>
      </c>
      <c r="I252" s="81"/>
      <c r="J252" s="81"/>
      <c r="K252" s="81">
        <v>-12610</v>
      </c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>
        <v>-5924</v>
      </c>
      <c r="X252" s="81"/>
      <c r="Y252" s="81"/>
      <c r="Z252" s="81">
        <v>80625</v>
      </c>
      <c r="AA252" s="81">
        <f t="shared" si="722"/>
        <v>98222</v>
      </c>
      <c r="AB252" s="81">
        <f t="shared" si="723"/>
        <v>17597</v>
      </c>
      <c r="AC252" s="81"/>
      <c r="AD252" s="81">
        <v>3196</v>
      </c>
      <c r="AE252" s="81"/>
      <c r="AF252" s="81"/>
      <c r="AG252" s="81"/>
      <c r="AH252" s="81">
        <v>14401</v>
      </c>
      <c r="AI252" s="81"/>
      <c r="AJ252" s="81"/>
      <c r="AK252" s="81"/>
      <c r="AL252" s="81"/>
      <c r="AM252" s="81">
        <v>584104</v>
      </c>
      <c r="AN252" s="81">
        <f t="shared" si="724"/>
        <v>600869</v>
      </c>
      <c r="AO252" s="81">
        <f t="shared" si="725"/>
        <v>16765</v>
      </c>
      <c r="AP252" s="81">
        <v>25242</v>
      </c>
      <c r="AQ252" s="81"/>
      <c r="AR252" s="81"/>
      <c r="AS252" s="81"/>
      <c r="AT252" s="81"/>
      <c r="AU252" s="81"/>
      <c r="AV252" s="81">
        <v>-8477</v>
      </c>
      <c r="AW252" s="81"/>
      <c r="AX252" s="81"/>
      <c r="AY252" s="81"/>
      <c r="AZ252" s="81">
        <v>0</v>
      </c>
      <c r="BA252" s="81">
        <f t="shared" si="726"/>
        <v>0</v>
      </c>
      <c r="BB252" s="98">
        <f t="shared" si="727"/>
        <v>0</v>
      </c>
      <c r="BC252" s="98"/>
      <c r="BD252" s="98"/>
      <c r="BE252" s="98"/>
      <c r="BF252" s="98"/>
      <c r="BG252" s="98"/>
      <c r="BH252" s="81"/>
      <c r="BI252" s="81">
        <f t="shared" si="728"/>
        <v>0</v>
      </c>
      <c r="BJ252" s="81">
        <f t="shared" si="729"/>
        <v>0</v>
      </c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82" t="s">
        <v>558</v>
      </c>
      <c r="BV252" s="85"/>
      <c r="BW252" s="24"/>
    </row>
    <row r="253" spans="1:75" ht="24" x14ac:dyDescent="0.2">
      <c r="A253" s="108"/>
      <c r="B253" s="243"/>
      <c r="C253" s="285" t="s">
        <v>487</v>
      </c>
      <c r="D253" s="80">
        <f t="shared" si="718"/>
        <v>46530</v>
      </c>
      <c r="E253" s="295">
        <f t="shared" si="719"/>
        <v>46962</v>
      </c>
      <c r="F253" s="81">
        <v>46530</v>
      </c>
      <c r="G253" s="81">
        <f t="shared" si="720"/>
        <v>46962</v>
      </c>
      <c r="H253" s="81">
        <f t="shared" si="721"/>
        <v>432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>
        <v>432</v>
      </c>
      <c r="X253" s="81"/>
      <c r="Y253" s="81"/>
      <c r="Z253" s="81">
        <v>0</v>
      </c>
      <c r="AA253" s="81">
        <f t="shared" si="722"/>
        <v>0</v>
      </c>
      <c r="AB253" s="81">
        <f t="shared" si="723"/>
        <v>0</v>
      </c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>
        <v>0</v>
      </c>
      <c r="AN253" s="81">
        <f t="shared" si="724"/>
        <v>0</v>
      </c>
      <c r="AO253" s="81">
        <f t="shared" si="725"/>
        <v>0</v>
      </c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>
        <v>0</v>
      </c>
      <c r="BA253" s="81">
        <f t="shared" si="726"/>
        <v>0</v>
      </c>
      <c r="BB253" s="98">
        <f t="shared" si="727"/>
        <v>0</v>
      </c>
      <c r="BC253" s="98"/>
      <c r="BD253" s="98"/>
      <c r="BE253" s="98"/>
      <c r="BF253" s="98"/>
      <c r="BG253" s="98"/>
      <c r="BH253" s="81"/>
      <c r="BI253" s="81">
        <f t="shared" si="728"/>
        <v>0</v>
      </c>
      <c r="BJ253" s="81">
        <f t="shared" si="729"/>
        <v>0</v>
      </c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82" t="s">
        <v>504</v>
      </c>
      <c r="BV253" s="85"/>
      <c r="BW253" s="24"/>
    </row>
    <row r="254" spans="1:75" ht="12.75" x14ac:dyDescent="0.2">
      <c r="A254" s="108"/>
      <c r="B254" s="243"/>
      <c r="C254" s="285" t="s">
        <v>212</v>
      </c>
      <c r="D254" s="80">
        <f t="shared" si="718"/>
        <v>3544</v>
      </c>
      <c r="E254" s="295">
        <f t="shared" si="719"/>
        <v>3544</v>
      </c>
      <c r="F254" s="81">
        <v>3544</v>
      </c>
      <c r="G254" s="81">
        <f t="shared" si="720"/>
        <v>3544</v>
      </c>
      <c r="H254" s="81">
        <f t="shared" si="721"/>
        <v>0</v>
      </c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>
        <v>0</v>
      </c>
      <c r="AA254" s="81">
        <f t="shared" si="722"/>
        <v>0</v>
      </c>
      <c r="AB254" s="81">
        <f t="shared" si="723"/>
        <v>0</v>
      </c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>
        <v>0</v>
      </c>
      <c r="AN254" s="81">
        <f t="shared" si="724"/>
        <v>0</v>
      </c>
      <c r="AO254" s="81">
        <f t="shared" si="725"/>
        <v>0</v>
      </c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>
        <v>0</v>
      </c>
      <c r="BA254" s="81">
        <f t="shared" si="726"/>
        <v>0</v>
      </c>
      <c r="BB254" s="98">
        <f t="shared" si="727"/>
        <v>0</v>
      </c>
      <c r="BC254" s="98"/>
      <c r="BD254" s="98"/>
      <c r="BE254" s="98"/>
      <c r="BF254" s="98"/>
      <c r="BG254" s="98"/>
      <c r="BH254" s="81"/>
      <c r="BI254" s="81">
        <f t="shared" si="728"/>
        <v>0</v>
      </c>
      <c r="BJ254" s="81">
        <f t="shared" si="729"/>
        <v>0</v>
      </c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82" t="s">
        <v>432</v>
      </c>
      <c r="BV254" s="85"/>
      <c r="BW254" s="24"/>
    </row>
    <row r="255" spans="1:75" ht="12.75" x14ac:dyDescent="0.2">
      <c r="A255" s="108"/>
      <c r="B255" s="243"/>
      <c r="C255" s="285" t="s">
        <v>211</v>
      </c>
      <c r="D255" s="80">
        <f t="shared" si="718"/>
        <v>125141</v>
      </c>
      <c r="E255" s="295">
        <f t="shared" si="719"/>
        <v>125141</v>
      </c>
      <c r="F255" s="81">
        <v>125141</v>
      </c>
      <c r="G255" s="81">
        <f t="shared" si="720"/>
        <v>125141</v>
      </c>
      <c r="H255" s="81">
        <f t="shared" si="721"/>
        <v>0</v>
      </c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>
        <v>0</v>
      </c>
      <c r="AA255" s="81">
        <f t="shared" si="722"/>
        <v>0</v>
      </c>
      <c r="AB255" s="81">
        <f t="shared" si="723"/>
        <v>0</v>
      </c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>
        <v>0</v>
      </c>
      <c r="AN255" s="81">
        <f t="shared" si="724"/>
        <v>0</v>
      </c>
      <c r="AO255" s="81">
        <f t="shared" si="725"/>
        <v>0</v>
      </c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>
        <v>0</v>
      </c>
      <c r="BA255" s="81">
        <f t="shared" si="726"/>
        <v>0</v>
      </c>
      <c r="BB255" s="98">
        <f t="shared" si="727"/>
        <v>0</v>
      </c>
      <c r="BC255" s="98"/>
      <c r="BD255" s="98"/>
      <c r="BE255" s="98"/>
      <c r="BF255" s="98"/>
      <c r="BG255" s="98"/>
      <c r="BH255" s="81"/>
      <c r="BI255" s="81">
        <f t="shared" si="728"/>
        <v>0</v>
      </c>
      <c r="BJ255" s="81">
        <f t="shared" si="729"/>
        <v>0</v>
      </c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82" t="s">
        <v>433</v>
      </c>
      <c r="BV255" s="85"/>
      <c r="BW255" s="24"/>
    </row>
    <row r="256" spans="1:75" ht="25.5" customHeight="1" x14ac:dyDescent="0.2">
      <c r="A256" s="108"/>
      <c r="B256" s="243"/>
      <c r="C256" s="285" t="s">
        <v>276</v>
      </c>
      <c r="D256" s="80">
        <f t="shared" si="718"/>
        <v>415036</v>
      </c>
      <c r="E256" s="295">
        <f t="shared" si="719"/>
        <v>415036</v>
      </c>
      <c r="F256" s="81">
        <v>401771</v>
      </c>
      <c r="G256" s="81">
        <f t="shared" si="720"/>
        <v>401771</v>
      </c>
      <c r="H256" s="81">
        <f t="shared" si="721"/>
        <v>0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>
        <v>0</v>
      </c>
      <c r="AA256" s="81">
        <f t="shared" si="722"/>
        <v>0</v>
      </c>
      <c r="AB256" s="81">
        <f t="shared" si="723"/>
        <v>0</v>
      </c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>
        <v>13265</v>
      </c>
      <c r="AN256" s="81">
        <f t="shared" si="724"/>
        <v>13265</v>
      </c>
      <c r="AO256" s="81">
        <f t="shared" si="725"/>
        <v>0</v>
      </c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>
        <v>0</v>
      </c>
      <c r="BA256" s="81">
        <f t="shared" si="726"/>
        <v>0</v>
      </c>
      <c r="BB256" s="98">
        <f t="shared" si="727"/>
        <v>0</v>
      </c>
      <c r="BC256" s="98"/>
      <c r="BD256" s="98"/>
      <c r="BE256" s="98"/>
      <c r="BF256" s="98"/>
      <c r="BG256" s="98"/>
      <c r="BH256" s="81"/>
      <c r="BI256" s="81">
        <f t="shared" si="728"/>
        <v>0</v>
      </c>
      <c r="BJ256" s="81">
        <f t="shared" si="729"/>
        <v>0</v>
      </c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82" t="s">
        <v>434</v>
      </c>
      <c r="BV256" s="85"/>
      <c r="BW256" s="24"/>
    </row>
    <row r="257" spans="1:75" ht="12.75" x14ac:dyDescent="0.2">
      <c r="A257" s="108"/>
      <c r="B257" s="243"/>
      <c r="C257" s="285" t="s">
        <v>488</v>
      </c>
      <c r="D257" s="80">
        <f t="shared" si="718"/>
        <v>67046</v>
      </c>
      <c r="E257" s="295">
        <f t="shared" si="719"/>
        <v>117570</v>
      </c>
      <c r="F257" s="81">
        <v>67046</v>
      </c>
      <c r="G257" s="81">
        <f t="shared" si="720"/>
        <v>117570</v>
      </c>
      <c r="H257" s="81">
        <f t="shared" si="721"/>
        <v>50524</v>
      </c>
      <c r="I257" s="81"/>
      <c r="J257" s="81"/>
      <c r="K257" s="81">
        <v>49000</v>
      </c>
      <c r="L257" s="81"/>
      <c r="M257" s="81">
        <v>1524</v>
      </c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>
        <v>0</v>
      </c>
      <c r="AA257" s="81">
        <f t="shared" si="722"/>
        <v>0</v>
      </c>
      <c r="AB257" s="81">
        <f t="shared" si="723"/>
        <v>0</v>
      </c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>
        <v>0</v>
      </c>
      <c r="AN257" s="81">
        <f t="shared" si="724"/>
        <v>0</v>
      </c>
      <c r="AO257" s="81">
        <f t="shared" si="725"/>
        <v>0</v>
      </c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>
        <v>0</v>
      </c>
      <c r="BA257" s="81">
        <f t="shared" si="726"/>
        <v>0</v>
      </c>
      <c r="BB257" s="98">
        <f t="shared" si="727"/>
        <v>0</v>
      </c>
      <c r="BC257" s="98"/>
      <c r="BD257" s="98"/>
      <c r="BE257" s="98"/>
      <c r="BF257" s="98"/>
      <c r="BG257" s="98"/>
      <c r="BH257" s="81"/>
      <c r="BI257" s="81">
        <f t="shared" si="728"/>
        <v>0</v>
      </c>
      <c r="BJ257" s="81">
        <f t="shared" si="729"/>
        <v>0</v>
      </c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82" t="s">
        <v>435</v>
      </c>
      <c r="BV257" s="85"/>
      <c r="BW257" s="24"/>
    </row>
    <row r="258" spans="1:75" s="105" customFormat="1" ht="26.25" customHeight="1" x14ac:dyDescent="0.2">
      <c r="A258" s="108"/>
      <c r="B258" s="243"/>
      <c r="C258" s="285" t="s">
        <v>509</v>
      </c>
      <c r="D258" s="80">
        <f t="shared" si="718"/>
        <v>360284</v>
      </c>
      <c r="E258" s="295">
        <f t="shared" si="719"/>
        <v>360284</v>
      </c>
      <c r="F258" s="81">
        <v>360284</v>
      </c>
      <c r="G258" s="81">
        <f t="shared" si="720"/>
        <v>360284</v>
      </c>
      <c r="H258" s="81">
        <f t="shared" si="721"/>
        <v>0</v>
      </c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>
        <v>0</v>
      </c>
      <c r="AA258" s="81">
        <f t="shared" si="722"/>
        <v>0</v>
      </c>
      <c r="AB258" s="81">
        <f t="shared" si="723"/>
        <v>0</v>
      </c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>
        <v>0</v>
      </c>
      <c r="AN258" s="81">
        <f t="shared" si="724"/>
        <v>0</v>
      </c>
      <c r="AO258" s="81">
        <f t="shared" si="725"/>
        <v>0</v>
      </c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>
        <v>0</v>
      </c>
      <c r="BA258" s="81">
        <f t="shared" si="726"/>
        <v>0</v>
      </c>
      <c r="BB258" s="98">
        <f t="shared" si="727"/>
        <v>0</v>
      </c>
      <c r="BC258" s="98"/>
      <c r="BD258" s="98"/>
      <c r="BE258" s="98"/>
      <c r="BF258" s="98"/>
      <c r="BG258" s="98"/>
      <c r="BH258" s="81"/>
      <c r="BI258" s="81">
        <f t="shared" si="728"/>
        <v>0</v>
      </c>
      <c r="BJ258" s="81">
        <f t="shared" si="729"/>
        <v>0</v>
      </c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82" t="s">
        <v>557</v>
      </c>
      <c r="BV258" s="85"/>
      <c r="BW258" s="24"/>
    </row>
    <row r="259" spans="1:75" ht="26.25" customHeight="1" x14ac:dyDescent="0.2">
      <c r="A259" s="108">
        <v>90001868844</v>
      </c>
      <c r="B259" s="241" t="s">
        <v>305</v>
      </c>
      <c r="C259" s="285" t="s">
        <v>190</v>
      </c>
      <c r="D259" s="80">
        <f t="shared" si="718"/>
        <v>583593</v>
      </c>
      <c r="E259" s="295">
        <f t="shared" si="719"/>
        <v>585077</v>
      </c>
      <c r="F259" s="81">
        <v>581435</v>
      </c>
      <c r="G259" s="81">
        <f t="shared" si="720"/>
        <v>582919</v>
      </c>
      <c r="H259" s="81">
        <f t="shared" si="721"/>
        <v>1484</v>
      </c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>
        <v>1484</v>
      </c>
      <c r="X259" s="81"/>
      <c r="Y259" s="81"/>
      <c r="Z259" s="81">
        <v>0</v>
      </c>
      <c r="AA259" s="81">
        <f t="shared" si="722"/>
        <v>0</v>
      </c>
      <c r="AB259" s="81">
        <f t="shared" si="723"/>
        <v>0</v>
      </c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>
        <v>1620</v>
      </c>
      <c r="AN259" s="81">
        <f t="shared" si="724"/>
        <v>1620</v>
      </c>
      <c r="AO259" s="81">
        <f t="shared" si="725"/>
        <v>0</v>
      </c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>
        <v>538</v>
      </c>
      <c r="BA259" s="81">
        <f t="shared" si="726"/>
        <v>538</v>
      </c>
      <c r="BB259" s="98">
        <f t="shared" si="727"/>
        <v>0</v>
      </c>
      <c r="BC259" s="98"/>
      <c r="BD259" s="98"/>
      <c r="BE259" s="98"/>
      <c r="BF259" s="98"/>
      <c r="BG259" s="98"/>
      <c r="BH259" s="81"/>
      <c r="BI259" s="81">
        <f t="shared" si="728"/>
        <v>0</v>
      </c>
      <c r="BJ259" s="81">
        <f t="shared" si="729"/>
        <v>0</v>
      </c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82" t="s">
        <v>436</v>
      </c>
      <c r="BV259" s="85"/>
      <c r="BW259" s="24"/>
    </row>
    <row r="260" spans="1:75" ht="12" customHeight="1" x14ac:dyDescent="0.2">
      <c r="A260" s="108">
        <v>90000091456</v>
      </c>
      <c r="B260" s="241" t="s">
        <v>197</v>
      </c>
      <c r="C260" s="285" t="s">
        <v>191</v>
      </c>
      <c r="D260" s="80">
        <f t="shared" si="718"/>
        <v>170542</v>
      </c>
      <c r="E260" s="295">
        <f t="shared" si="719"/>
        <v>170542</v>
      </c>
      <c r="F260" s="81">
        <v>170534</v>
      </c>
      <c r="G260" s="81">
        <f t="shared" si="720"/>
        <v>170534</v>
      </c>
      <c r="H260" s="81">
        <f t="shared" si="721"/>
        <v>0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>
        <v>0</v>
      </c>
      <c r="AA260" s="81">
        <f t="shared" si="722"/>
        <v>0</v>
      </c>
      <c r="AB260" s="81">
        <f t="shared" si="723"/>
        <v>0</v>
      </c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>
        <v>8</v>
      </c>
      <c r="AN260" s="81">
        <f t="shared" si="724"/>
        <v>293</v>
      </c>
      <c r="AO260" s="81">
        <f t="shared" si="725"/>
        <v>285</v>
      </c>
      <c r="AP260" s="81">
        <v>13</v>
      </c>
      <c r="AQ260" s="81"/>
      <c r="AR260" s="81"/>
      <c r="AS260" s="81"/>
      <c r="AT260" s="81"/>
      <c r="AU260" s="81"/>
      <c r="AV260" s="81">
        <v>272</v>
      </c>
      <c r="AW260" s="81"/>
      <c r="AX260" s="81"/>
      <c r="AY260" s="81"/>
      <c r="AZ260" s="81">
        <v>0</v>
      </c>
      <c r="BA260" s="81">
        <f t="shared" si="726"/>
        <v>0</v>
      </c>
      <c r="BB260" s="98">
        <f t="shared" si="727"/>
        <v>0</v>
      </c>
      <c r="BC260" s="98"/>
      <c r="BD260" s="98"/>
      <c r="BE260" s="98"/>
      <c r="BF260" s="98"/>
      <c r="BG260" s="98"/>
      <c r="BH260" s="81"/>
      <c r="BI260" s="81">
        <f t="shared" si="728"/>
        <v>-285</v>
      </c>
      <c r="BJ260" s="81">
        <f t="shared" si="729"/>
        <v>-285</v>
      </c>
      <c r="BK260" s="98"/>
      <c r="BL260" s="98">
        <v>-13</v>
      </c>
      <c r="BM260" s="98"/>
      <c r="BN260" s="98"/>
      <c r="BO260" s="98"/>
      <c r="BP260" s="98"/>
      <c r="BQ260" s="98"/>
      <c r="BR260" s="98">
        <v>-272</v>
      </c>
      <c r="BS260" s="98"/>
      <c r="BT260" s="98"/>
      <c r="BU260" s="82" t="s">
        <v>437</v>
      </c>
      <c r="BV260" s="85"/>
      <c r="BW260" s="24"/>
    </row>
    <row r="261" spans="1:75" ht="14.25" customHeight="1" thickBot="1" x14ac:dyDescent="0.25">
      <c r="A261" s="102"/>
      <c r="B261" s="218"/>
      <c r="C261" s="323"/>
      <c r="D261" s="71"/>
      <c r="E261" s="296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72"/>
      <c r="BB261" s="97"/>
      <c r="BC261" s="97"/>
      <c r="BD261" s="97"/>
      <c r="BE261" s="97"/>
      <c r="BF261" s="97"/>
      <c r="BG261" s="97"/>
      <c r="BH261" s="72"/>
      <c r="BI261" s="264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73"/>
      <c r="BV261" s="202"/>
    </row>
    <row r="262" spans="1:75" s="194" customFormat="1" ht="30" customHeight="1" thickTop="1" thickBot="1" x14ac:dyDescent="0.25">
      <c r="A262" s="219"/>
      <c r="B262" s="425" t="s">
        <v>602</v>
      </c>
      <c r="C262" s="426"/>
      <c r="D262" s="14">
        <f t="shared" ref="D262:AO262" si="742">D11+D28+D36+D64+D74+D86+D93+D133+D239</f>
        <v>103094119</v>
      </c>
      <c r="E262" s="300">
        <f t="shared" si="742"/>
        <v>104590014</v>
      </c>
      <c r="F262" s="210">
        <f t="shared" si="742"/>
        <v>90502352</v>
      </c>
      <c r="G262" s="210">
        <f t="shared" si="742"/>
        <v>91622587</v>
      </c>
      <c r="H262" s="210">
        <f t="shared" si="742"/>
        <v>1120235</v>
      </c>
      <c r="I262" s="210">
        <f t="shared" si="742"/>
        <v>69591</v>
      </c>
      <c r="J262" s="210">
        <f t="shared" si="742"/>
        <v>0</v>
      </c>
      <c r="K262" s="210">
        <f t="shared" si="742"/>
        <v>4368942</v>
      </c>
      <c r="L262" s="210">
        <f t="shared" si="742"/>
        <v>817244</v>
      </c>
      <c r="M262" s="210">
        <f t="shared" si="742"/>
        <v>517943</v>
      </c>
      <c r="N262" s="210">
        <f t="shared" si="742"/>
        <v>4781</v>
      </c>
      <c r="O262" s="210">
        <f t="shared" si="742"/>
        <v>121283</v>
      </c>
      <c r="P262" s="210">
        <f t="shared" si="742"/>
        <v>0</v>
      </c>
      <c r="Q262" s="210">
        <f t="shared" si="742"/>
        <v>-245485</v>
      </c>
      <c r="R262" s="210">
        <f t="shared" si="742"/>
        <v>0</v>
      </c>
      <c r="S262" s="210">
        <f t="shared" si="742"/>
        <v>-5310734</v>
      </c>
      <c r="T262" s="210"/>
      <c r="U262" s="210">
        <f t="shared" si="742"/>
        <v>1861091</v>
      </c>
      <c r="V262" s="210"/>
      <c r="W262" s="210">
        <f t="shared" si="742"/>
        <v>-1084421</v>
      </c>
      <c r="X262" s="210">
        <f t="shared" si="742"/>
        <v>0</v>
      </c>
      <c r="Y262" s="210">
        <f t="shared" si="742"/>
        <v>0</v>
      </c>
      <c r="Z262" s="210">
        <f t="shared" si="742"/>
        <v>10871636</v>
      </c>
      <c r="AA262" s="210">
        <f t="shared" si="742"/>
        <v>11283602</v>
      </c>
      <c r="AB262" s="210">
        <f t="shared" si="742"/>
        <v>411966</v>
      </c>
      <c r="AC262" s="210">
        <f t="shared" si="742"/>
        <v>30354</v>
      </c>
      <c r="AD262" s="210">
        <f t="shared" si="742"/>
        <v>237791</v>
      </c>
      <c r="AE262" s="210">
        <f t="shared" si="742"/>
        <v>41239</v>
      </c>
      <c r="AF262" s="210">
        <f t="shared" si="742"/>
        <v>27633</v>
      </c>
      <c r="AG262" s="210">
        <f t="shared" si="742"/>
        <v>1798</v>
      </c>
      <c r="AH262" s="210">
        <f t="shared" si="742"/>
        <v>73151</v>
      </c>
      <c r="AI262" s="210">
        <f t="shared" si="742"/>
        <v>0</v>
      </c>
      <c r="AJ262" s="210">
        <f t="shared" si="742"/>
        <v>0</v>
      </c>
      <c r="AK262" s="210">
        <f t="shared" si="742"/>
        <v>0</v>
      </c>
      <c r="AL262" s="210">
        <f t="shared" si="742"/>
        <v>0</v>
      </c>
      <c r="AM262" s="210">
        <f t="shared" si="742"/>
        <v>1744907</v>
      </c>
      <c r="AN262" s="211">
        <f t="shared" si="742"/>
        <v>1803724</v>
      </c>
      <c r="AO262" s="211">
        <f t="shared" si="742"/>
        <v>58817</v>
      </c>
      <c r="AP262" s="211">
        <f t="shared" ref="AP262:BT262" si="743">AP11+AP28+AP36+AP64+AP74+AP86+AP93+AP133+AP239</f>
        <v>159230</v>
      </c>
      <c r="AQ262" s="211">
        <f t="shared" si="743"/>
        <v>-99908</v>
      </c>
      <c r="AR262" s="211">
        <f t="shared" si="743"/>
        <v>111</v>
      </c>
      <c r="AS262" s="211">
        <f t="shared" si="743"/>
        <v>2875</v>
      </c>
      <c r="AT262" s="211">
        <f t="shared" si="743"/>
        <v>100</v>
      </c>
      <c r="AU262" s="211">
        <f t="shared" si="743"/>
        <v>1514</v>
      </c>
      <c r="AV262" s="211">
        <f t="shared" si="743"/>
        <v>-5105</v>
      </c>
      <c r="AW262" s="211">
        <f t="shared" si="743"/>
        <v>0</v>
      </c>
      <c r="AX262" s="211">
        <f t="shared" si="743"/>
        <v>0</v>
      </c>
      <c r="AY262" s="211">
        <f t="shared" si="743"/>
        <v>0</v>
      </c>
      <c r="AZ262" s="211">
        <f t="shared" si="743"/>
        <v>538</v>
      </c>
      <c r="BA262" s="210">
        <f t="shared" si="743"/>
        <v>569</v>
      </c>
      <c r="BB262" s="211">
        <f t="shared" si="743"/>
        <v>31</v>
      </c>
      <c r="BC262" s="211">
        <f t="shared" si="743"/>
        <v>31</v>
      </c>
      <c r="BD262" s="211">
        <f t="shared" si="743"/>
        <v>0</v>
      </c>
      <c r="BE262" s="211">
        <f t="shared" si="743"/>
        <v>0</v>
      </c>
      <c r="BF262" s="211">
        <f t="shared" si="743"/>
        <v>0</v>
      </c>
      <c r="BG262" s="211">
        <f t="shared" si="743"/>
        <v>0</v>
      </c>
      <c r="BH262" s="210">
        <f t="shared" si="743"/>
        <v>-25314</v>
      </c>
      <c r="BI262" s="312">
        <f t="shared" si="743"/>
        <v>-120468</v>
      </c>
      <c r="BJ262" s="211">
        <f t="shared" si="743"/>
        <v>-95154</v>
      </c>
      <c r="BK262" s="211">
        <f t="shared" si="743"/>
        <v>0</v>
      </c>
      <c r="BL262" s="211">
        <f t="shared" si="743"/>
        <v>-93670</v>
      </c>
      <c r="BM262" s="211">
        <f t="shared" si="743"/>
        <v>-1038</v>
      </c>
      <c r="BN262" s="211">
        <f t="shared" si="743"/>
        <v>-111</v>
      </c>
      <c r="BO262" s="211">
        <f t="shared" si="743"/>
        <v>0</v>
      </c>
      <c r="BP262" s="211">
        <f t="shared" si="743"/>
        <v>0</v>
      </c>
      <c r="BQ262" s="211">
        <f t="shared" si="743"/>
        <v>0</v>
      </c>
      <c r="BR262" s="211">
        <f t="shared" si="743"/>
        <v>-335</v>
      </c>
      <c r="BS262" s="211">
        <f t="shared" si="743"/>
        <v>0</v>
      </c>
      <c r="BT262" s="211">
        <f t="shared" si="743"/>
        <v>0</v>
      </c>
      <c r="BU262" s="15"/>
      <c r="BV262" s="90"/>
    </row>
    <row r="263" spans="1:75" ht="13.5" customHeight="1" thickTop="1" thickBot="1" x14ac:dyDescent="0.25">
      <c r="A263" s="129" t="s">
        <v>605</v>
      </c>
      <c r="B263" s="221" t="s">
        <v>125</v>
      </c>
      <c r="C263" s="222"/>
      <c r="D263" s="207">
        <f t="shared" ref="D263:AO263" si="744">SUM(D264:D291)</f>
        <v>507869</v>
      </c>
      <c r="E263" s="301">
        <f t="shared" si="744"/>
        <v>3158349</v>
      </c>
      <c r="F263" s="208">
        <f t="shared" si="744"/>
        <v>1476869</v>
      </c>
      <c r="G263" s="208">
        <f t="shared" si="744"/>
        <v>4092430</v>
      </c>
      <c r="H263" s="208">
        <f t="shared" si="744"/>
        <v>2615561</v>
      </c>
      <c r="I263" s="208">
        <f t="shared" si="744"/>
        <v>22973</v>
      </c>
      <c r="J263" s="208">
        <f t="shared" si="744"/>
        <v>0</v>
      </c>
      <c r="K263" s="208">
        <f t="shared" si="744"/>
        <v>1701293</v>
      </c>
      <c r="L263" s="208">
        <f t="shared" si="744"/>
        <v>-154648</v>
      </c>
      <c r="M263" s="208">
        <f t="shared" si="744"/>
        <v>38700</v>
      </c>
      <c r="N263" s="208">
        <f t="shared" si="744"/>
        <v>-4781</v>
      </c>
      <c r="O263" s="208">
        <f t="shared" si="744"/>
        <v>-121283</v>
      </c>
      <c r="P263" s="208">
        <f t="shared" si="744"/>
        <v>0</v>
      </c>
      <c r="Q263" s="208">
        <f t="shared" si="744"/>
        <v>-252982</v>
      </c>
      <c r="R263" s="208">
        <f t="shared" si="744"/>
        <v>0</v>
      </c>
      <c r="S263" s="208">
        <f t="shared" si="744"/>
        <v>-617773</v>
      </c>
      <c r="T263" s="208"/>
      <c r="U263" s="208">
        <f t="shared" si="744"/>
        <v>1667295</v>
      </c>
      <c r="V263" s="208"/>
      <c r="W263" s="208">
        <f t="shared" si="744"/>
        <v>336767</v>
      </c>
      <c r="X263" s="208">
        <f t="shared" si="744"/>
        <v>0</v>
      </c>
      <c r="Y263" s="208">
        <f t="shared" si="744"/>
        <v>0</v>
      </c>
      <c r="Z263" s="208">
        <f t="shared" si="744"/>
        <v>51272</v>
      </c>
      <c r="AA263" s="208">
        <f t="shared" si="744"/>
        <v>159729</v>
      </c>
      <c r="AB263" s="208">
        <f t="shared" si="744"/>
        <v>108457</v>
      </c>
      <c r="AC263" s="208">
        <f t="shared" si="744"/>
        <v>-86</v>
      </c>
      <c r="AD263" s="208">
        <f t="shared" si="744"/>
        <v>144776</v>
      </c>
      <c r="AE263" s="208">
        <f t="shared" si="744"/>
        <v>0</v>
      </c>
      <c r="AF263" s="208">
        <f t="shared" si="744"/>
        <v>0</v>
      </c>
      <c r="AG263" s="208">
        <f t="shared" si="744"/>
        <v>3775</v>
      </c>
      <c r="AH263" s="208">
        <f t="shared" si="744"/>
        <v>-40008</v>
      </c>
      <c r="AI263" s="208">
        <f t="shared" si="744"/>
        <v>0</v>
      </c>
      <c r="AJ263" s="208">
        <f t="shared" si="744"/>
        <v>0</v>
      </c>
      <c r="AK263" s="208">
        <f t="shared" si="744"/>
        <v>0</v>
      </c>
      <c r="AL263" s="208">
        <f t="shared" si="744"/>
        <v>0</v>
      </c>
      <c r="AM263" s="208">
        <f t="shared" si="744"/>
        <v>1642</v>
      </c>
      <c r="AN263" s="209">
        <f t="shared" si="744"/>
        <v>12968</v>
      </c>
      <c r="AO263" s="209">
        <f t="shared" si="744"/>
        <v>11326</v>
      </c>
      <c r="AP263" s="209">
        <f t="shared" ref="AP263:BT263" si="745">SUM(AP264:AP291)</f>
        <v>240</v>
      </c>
      <c r="AQ263" s="209">
        <f t="shared" si="745"/>
        <v>0</v>
      </c>
      <c r="AR263" s="209">
        <f t="shared" si="745"/>
        <v>0</v>
      </c>
      <c r="AS263" s="209">
        <f t="shared" si="745"/>
        <v>0</v>
      </c>
      <c r="AT263" s="209">
        <f t="shared" si="745"/>
        <v>0</v>
      </c>
      <c r="AU263" s="209">
        <f t="shared" si="745"/>
        <v>0</v>
      </c>
      <c r="AV263" s="209">
        <f t="shared" si="745"/>
        <v>11086</v>
      </c>
      <c r="AW263" s="209">
        <f t="shared" si="745"/>
        <v>0</v>
      </c>
      <c r="AX263" s="209">
        <f t="shared" si="745"/>
        <v>0</v>
      </c>
      <c r="AY263" s="209">
        <f t="shared" si="745"/>
        <v>0</v>
      </c>
      <c r="AZ263" s="209">
        <f t="shared" si="745"/>
        <v>0</v>
      </c>
      <c r="BA263" s="208">
        <f t="shared" si="745"/>
        <v>0</v>
      </c>
      <c r="BB263" s="209">
        <f t="shared" si="745"/>
        <v>0</v>
      </c>
      <c r="BC263" s="209">
        <f t="shared" si="745"/>
        <v>0</v>
      </c>
      <c r="BD263" s="209">
        <f t="shared" si="745"/>
        <v>0</v>
      </c>
      <c r="BE263" s="209">
        <f t="shared" si="745"/>
        <v>0</v>
      </c>
      <c r="BF263" s="209">
        <f t="shared" si="745"/>
        <v>0</v>
      </c>
      <c r="BG263" s="209">
        <f t="shared" si="745"/>
        <v>0</v>
      </c>
      <c r="BH263" s="208">
        <f t="shared" si="745"/>
        <v>-1021914</v>
      </c>
      <c r="BI263" s="313">
        <f t="shared" si="745"/>
        <v>-1106778</v>
      </c>
      <c r="BJ263" s="209">
        <f t="shared" si="745"/>
        <v>-84864</v>
      </c>
      <c r="BK263" s="209">
        <f t="shared" si="745"/>
        <v>-11045</v>
      </c>
      <c r="BL263" s="209">
        <f t="shared" si="745"/>
        <v>-112853</v>
      </c>
      <c r="BM263" s="209">
        <f t="shared" si="745"/>
        <v>-17640</v>
      </c>
      <c r="BN263" s="209">
        <f t="shared" si="745"/>
        <v>45269</v>
      </c>
      <c r="BO263" s="209">
        <f t="shared" si="745"/>
        <v>-7681</v>
      </c>
      <c r="BP263" s="209">
        <f t="shared" si="745"/>
        <v>20825</v>
      </c>
      <c r="BQ263" s="209">
        <f t="shared" si="745"/>
        <v>-1738</v>
      </c>
      <c r="BR263" s="209">
        <f t="shared" si="745"/>
        <v>-1</v>
      </c>
      <c r="BS263" s="209">
        <f t="shared" si="745"/>
        <v>0</v>
      </c>
      <c r="BT263" s="209">
        <f t="shared" si="745"/>
        <v>0</v>
      </c>
      <c r="BU263" s="223"/>
      <c r="BV263" s="206"/>
    </row>
    <row r="264" spans="1:75" s="194" customFormat="1" hidden="1" outlineLevel="1" x14ac:dyDescent="0.2">
      <c r="A264" s="137"/>
      <c r="B264" s="438" t="s">
        <v>577</v>
      </c>
      <c r="C264" s="439"/>
      <c r="D264" s="80">
        <f t="shared" ref="D264:D290" si="746">F264+Z264+AM264+AZ264+BH264</f>
        <v>194000</v>
      </c>
      <c r="E264" s="295">
        <f t="shared" ref="E264:E290" si="747">G264+AA264+AN264+BA264+BI264</f>
        <v>194000</v>
      </c>
      <c r="F264" s="163">
        <v>194000</v>
      </c>
      <c r="G264" s="163">
        <f t="shared" ref="G264:G290" si="748">F264+H264</f>
        <v>194000</v>
      </c>
      <c r="H264" s="163">
        <f t="shared" ref="H264:H290" si="749">SUM(I264:Y264)</f>
        <v>0</v>
      </c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>
        <f t="shared" ref="AA264:AA290" si="750">Z264+AB264</f>
        <v>0</v>
      </c>
      <c r="AB264" s="163">
        <f t="shared" ref="AB264:AB290" si="751">SUM(AC264:AL264)</f>
        <v>0</v>
      </c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99">
        <f t="shared" ref="AN264:AN291" si="752">AM264+AO264</f>
        <v>0</v>
      </c>
      <c r="AO264" s="199">
        <f t="shared" ref="AO264:AO291" si="753">SUM(AP264:AY264)</f>
        <v>0</v>
      </c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81">
        <f t="shared" ref="BA264:BA290" si="754">AZ264+BB264</f>
        <v>0</v>
      </c>
      <c r="BB264" s="98">
        <f>SUM(BC264:BG264)</f>
        <v>0</v>
      </c>
      <c r="BC264" s="199"/>
      <c r="BD264" s="199"/>
      <c r="BE264" s="199"/>
      <c r="BF264" s="199"/>
      <c r="BG264" s="199"/>
      <c r="BH264" s="163"/>
      <c r="BI264" s="81">
        <f t="shared" ref="BI264:BI290" si="755">BH264+BJ264</f>
        <v>0</v>
      </c>
      <c r="BJ264" s="81">
        <f t="shared" ref="BJ264:BJ290" si="756">SUM(BK264:BT264)</f>
        <v>0</v>
      </c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199"/>
      <c r="BU264" s="220"/>
      <c r="BV264" s="200"/>
    </row>
    <row r="265" spans="1:75" s="194" customFormat="1" hidden="1" outlineLevel="1" x14ac:dyDescent="0.2">
      <c r="A265" s="137"/>
      <c r="B265" s="412" t="s">
        <v>463</v>
      </c>
      <c r="C265" s="411"/>
      <c r="D265" s="80">
        <f t="shared" si="746"/>
        <v>185314</v>
      </c>
      <c r="E265" s="295">
        <f t="shared" si="747"/>
        <v>1587883</v>
      </c>
      <c r="F265" s="81">
        <f>324000+25314-164000</f>
        <v>185314</v>
      </c>
      <c r="G265" s="81">
        <f t="shared" si="748"/>
        <v>1587884</v>
      </c>
      <c r="H265" s="81">
        <f t="shared" si="749"/>
        <v>1402570</v>
      </c>
      <c r="I265" s="81">
        <f>6</f>
        <v>6</v>
      </c>
      <c r="J265" s="81"/>
      <c r="K265" s="81">
        <f>-61396-25000+5760+1583+10066+1510-4511+8429-69281-1516-55134+5401+4761+832+76+40+160+565-72130-2400-8457-83277-710+1222-13063-5107-3582-8897+12610-49000+1689958+10268+623+2751-150000+40075-1132-6169-8852-132+132</f>
        <v>1167076</v>
      </c>
      <c r="L265" s="81">
        <f>-29999-100-81409-60780</f>
        <v>-172288</v>
      </c>
      <c r="M265" s="81">
        <f>-13785-1357-12541-1524-33254-1714-284-56180-11665-1646-50000-10804-19100-1280+8591-14158+5567-568+7489</f>
        <v>-208213</v>
      </c>
      <c r="N265" s="81">
        <f>-2025-2756+5000-5000</f>
        <v>-4781</v>
      </c>
      <c r="O265" s="81">
        <v>-121283</v>
      </c>
      <c r="P265" s="81">
        <f>-544+544</f>
        <v>0</v>
      </c>
      <c r="Q265" s="81">
        <f>-107022-1278-740+10479-180983</f>
        <v>-279544</v>
      </c>
      <c r="R265" s="81">
        <f>2104-2104</f>
        <v>0</v>
      </c>
      <c r="S265" s="81">
        <f>-5000+5000+347000+30000+10000-49244-282993-261116-31711-1209375+140000-327994+2000000-11700+20825+18599+9489+169645-88045+27398-16500-10268-1148816-66663-140778+93059+60196-407685-20075-2550+300000+20075+2550+67375+19000+13400+7910</f>
        <v>-718992</v>
      </c>
      <c r="T265" s="81"/>
      <c r="U265" s="81">
        <f>261116+31711+1209375-7000-2200+2200+428-7+3-12193+12193+965-965+5549-5549-27844-3</f>
        <v>1467779</v>
      </c>
      <c r="V265" s="81">
        <f>3185-3185</f>
        <v>0</v>
      </c>
      <c r="W265" s="81">
        <f>5924-432-185-2000+400-400-790-6700+18146-10074+2185+3272-3854-1484-11267-2556-32024-1200+59-4555-1954+1500-23100-196+18000-5241-4826-34920+432+17677-17257+22970-10000+20000+6500-2000-14500-2915+1277+1638-773+1-37949+364488+7157+14336+4879+15121-20000+350-350+1307+1857+1057-4221+489288-489288</f>
        <v>272810</v>
      </c>
      <c r="X265" s="81"/>
      <c r="Y265" s="81"/>
      <c r="Z265" s="81"/>
      <c r="AA265" s="81">
        <f t="shared" si="750"/>
        <v>0</v>
      </c>
      <c r="AB265" s="81">
        <f t="shared" si="751"/>
        <v>0</v>
      </c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98">
        <f t="shared" si="752"/>
        <v>0</v>
      </c>
      <c r="AO265" s="98">
        <f t="shared" si="753"/>
        <v>0</v>
      </c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81">
        <f>AZ265+BB265</f>
        <v>0</v>
      </c>
      <c r="BB265" s="98">
        <f t="shared" ref="BB265:BB290" si="757">SUM(BC265:BG265)</f>
        <v>0</v>
      </c>
      <c r="BC265" s="98"/>
      <c r="BD265" s="98"/>
      <c r="BE265" s="98"/>
      <c r="BF265" s="98"/>
      <c r="BG265" s="98"/>
      <c r="BH265" s="81"/>
      <c r="BI265" s="81">
        <f>BH265+BJ265</f>
        <v>-1</v>
      </c>
      <c r="BJ265" s="81">
        <f t="shared" si="756"/>
        <v>-1</v>
      </c>
      <c r="BK265" s="98"/>
      <c r="BL265" s="98"/>
      <c r="BM265" s="98"/>
      <c r="BN265" s="98"/>
      <c r="BO265" s="98"/>
      <c r="BP265" s="98"/>
      <c r="BQ265" s="98"/>
      <c r="BR265" s="98">
        <v>-1</v>
      </c>
      <c r="BS265" s="98"/>
      <c r="BT265" s="98"/>
      <c r="BU265" s="82"/>
      <c r="BV265" s="85"/>
    </row>
    <row r="266" spans="1:75" s="198" customFormat="1" ht="12.75" hidden="1" customHeight="1" outlineLevel="1" x14ac:dyDescent="0.2">
      <c r="A266" s="137"/>
      <c r="B266" s="410" t="s">
        <v>735</v>
      </c>
      <c r="C266" s="411"/>
      <c r="D266" s="80">
        <f>F266+Z266+AM266+AZ266+BH266</f>
        <v>0</v>
      </c>
      <c r="E266" s="295">
        <f>G266+AA266+AN266+BA266+BI266</f>
        <v>152554</v>
      </c>
      <c r="F266" s="81"/>
      <c r="G266" s="81">
        <f>F266+H266</f>
        <v>152554</v>
      </c>
      <c r="H266" s="81">
        <f>SUM(I266:Y266)</f>
        <v>152554</v>
      </c>
      <c r="I266" s="81">
        <f>750+2719+7576</f>
        <v>11045</v>
      </c>
      <c r="J266" s="81"/>
      <c r="K266" s="81">
        <f>1-1+101+6450-2088-1447-1339-1576+37949+1+13+25845+3777+4897+85145+113+19033+23199</f>
        <v>200073</v>
      </c>
      <c r="L266" s="81"/>
      <c r="M266" s="81">
        <f>21968-7251-59986</f>
        <v>-45269</v>
      </c>
      <c r="N266" s="81"/>
      <c r="O266" s="81"/>
      <c r="P266" s="81"/>
      <c r="Q266" s="81">
        <v>7681</v>
      </c>
      <c r="R266" s="81"/>
      <c r="S266" s="81">
        <v>-20825</v>
      </c>
      <c r="T266" s="81"/>
      <c r="U266" s="81">
        <v>-151</v>
      </c>
      <c r="V266" s="81"/>
      <c r="W266" s="81"/>
      <c r="X266" s="81"/>
      <c r="Y266" s="81"/>
      <c r="Z266" s="81"/>
      <c r="AA266" s="81">
        <f>Z266+AB266</f>
        <v>1889</v>
      </c>
      <c r="AB266" s="81">
        <f>SUM(AC266:AL266)</f>
        <v>1889</v>
      </c>
      <c r="AC266" s="81"/>
      <c r="AD266" s="81"/>
      <c r="AE266" s="81"/>
      <c r="AF266" s="81"/>
      <c r="AG266" s="81">
        <f>22+486+895+4+64+138+210+1+5+19+45</f>
        <v>1889</v>
      </c>
      <c r="AH266" s="81"/>
      <c r="AI266" s="81"/>
      <c r="AJ266" s="81"/>
      <c r="AK266" s="81"/>
      <c r="AL266" s="81"/>
      <c r="AM266" s="81"/>
      <c r="AN266" s="98">
        <f>AM266+AO266</f>
        <v>0</v>
      </c>
      <c r="AO266" s="98">
        <f>SUM(AP266:AY266)</f>
        <v>0</v>
      </c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81">
        <f>AZ266+BB266</f>
        <v>0</v>
      </c>
      <c r="BB266" s="98">
        <f>SUM(BC266:BG266)</f>
        <v>0</v>
      </c>
      <c r="BC266" s="98"/>
      <c r="BD266" s="98"/>
      <c r="BE266" s="98"/>
      <c r="BF266" s="98"/>
      <c r="BG266" s="98"/>
      <c r="BH266" s="81"/>
      <c r="BI266" s="81">
        <f>BH266+BJ266</f>
        <v>-1889</v>
      </c>
      <c r="BJ266" s="81">
        <f>SUM(BK266:BT266)</f>
        <v>-1889</v>
      </c>
      <c r="BK266" s="98"/>
      <c r="BL266" s="98"/>
      <c r="BM266" s="98"/>
      <c r="BN266" s="98"/>
      <c r="BO266" s="98"/>
      <c r="BP266" s="98"/>
      <c r="BQ266" s="98">
        <f>-22-486-895-4-64-138-210-1-5-19-45</f>
        <v>-1889</v>
      </c>
      <c r="BR266" s="98"/>
      <c r="BS266" s="98"/>
      <c r="BT266" s="98"/>
      <c r="BU266" s="82"/>
      <c r="BV266" s="85"/>
    </row>
    <row r="267" spans="1:75" s="198" customFormat="1" ht="12.75" hidden="1" customHeight="1" outlineLevel="1" x14ac:dyDescent="0.2">
      <c r="A267" s="137"/>
      <c r="B267" s="410" t="s">
        <v>753</v>
      </c>
      <c r="C267" s="411"/>
      <c r="D267" s="80">
        <f t="shared" ref="D267:D268" si="758">F267+Z267+AM267+AZ267+BH267</f>
        <v>0</v>
      </c>
      <c r="E267" s="295">
        <f t="shared" ref="E267:E268" si="759">G267+AA267+AN267+BA267+BI267</f>
        <v>0</v>
      </c>
      <c r="F267" s="81">
        <v>995567</v>
      </c>
      <c r="G267" s="81">
        <f t="shared" ref="G267:G269" si="760">F267+H267</f>
        <v>1064363</v>
      </c>
      <c r="H267" s="81">
        <f t="shared" ref="H267:H269" si="761">SUM(I267:Y267)</f>
        <v>68796</v>
      </c>
      <c r="I267" s="81">
        <f>750+7576</f>
        <v>8326</v>
      </c>
      <c r="J267" s="81"/>
      <c r="K267" s="81">
        <f>4897+85145+19033</f>
        <v>109075</v>
      </c>
      <c r="L267" s="81">
        <v>17640</v>
      </c>
      <c r="M267" s="81">
        <f>-7251+21968-59986</f>
        <v>-45269</v>
      </c>
      <c r="N267" s="81"/>
      <c r="O267" s="81"/>
      <c r="P267" s="81"/>
      <c r="Q267" s="81"/>
      <c r="R267" s="81"/>
      <c r="S267" s="81">
        <v>-20825</v>
      </c>
      <c r="T267" s="81"/>
      <c r="U267" s="81">
        <v>-151</v>
      </c>
      <c r="V267" s="81"/>
      <c r="W267" s="81"/>
      <c r="X267" s="81"/>
      <c r="Y267" s="81"/>
      <c r="Z267" s="81"/>
      <c r="AA267" s="81">
        <f t="shared" ref="AA267:AA268" si="762">Z267+AB267</f>
        <v>0</v>
      </c>
      <c r="AB267" s="81">
        <f t="shared" ref="AB267:AB268" si="763">SUM(AC267:AL267)</f>
        <v>0</v>
      </c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98">
        <f t="shared" ref="AN267:AN268" si="764">AM267+AO267</f>
        <v>0</v>
      </c>
      <c r="AO267" s="98">
        <f t="shared" ref="AO267:AO268" si="765">SUM(AP267:AY267)</f>
        <v>0</v>
      </c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81">
        <f t="shared" ref="BA267:BA268" si="766">AZ267+BB267</f>
        <v>0</v>
      </c>
      <c r="BB267" s="98">
        <f t="shared" ref="BB267:BB268" si="767">SUM(BC267:BG267)</f>
        <v>0</v>
      </c>
      <c r="BC267" s="98"/>
      <c r="BD267" s="98"/>
      <c r="BE267" s="98"/>
      <c r="BF267" s="98"/>
      <c r="BG267" s="98"/>
      <c r="BH267" s="81">
        <v>-995567</v>
      </c>
      <c r="BI267" s="81">
        <f t="shared" ref="BI267:BI268" si="768">BH267+BJ267</f>
        <v>-1064363</v>
      </c>
      <c r="BJ267" s="81">
        <f t="shared" ref="BJ267:BJ268" si="769">SUM(BK267:BT267)</f>
        <v>-68796</v>
      </c>
      <c r="BK267" s="98">
        <f>-750-7576</f>
        <v>-8326</v>
      </c>
      <c r="BL267" s="98">
        <f>-4897-85145-19033</f>
        <v>-109075</v>
      </c>
      <c r="BM267" s="98">
        <v>-17640</v>
      </c>
      <c r="BN267" s="98">
        <f>7251-21968+59986</f>
        <v>45269</v>
      </c>
      <c r="BO267" s="98"/>
      <c r="BP267" s="98">
        <v>20825</v>
      </c>
      <c r="BQ267" s="98">
        <v>151</v>
      </c>
      <c r="BR267" s="98"/>
      <c r="BS267" s="98"/>
      <c r="BT267" s="98"/>
      <c r="BU267" s="82"/>
      <c r="BV267" s="85"/>
    </row>
    <row r="268" spans="1:75" s="198" customFormat="1" ht="12.75" hidden="1" customHeight="1" outlineLevel="1" x14ac:dyDescent="0.2">
      <c r="A268" s="137"/>
      <c r="B268" s="410" t="s">
        <v>754</v>
      </c>
      <c r="C268" s="411"/>
      <c r="D268" s="80">
        <f t="shared" si="758"/>
        <v>0</v>
      </c>
      <c r="E268" s="295">
        <f t="shared" si="759"/>
        <v>0</v>
      </c>
      <c r="F268" s="81">
        <v>26347</v>
      </c>
      <c r="G268" s="81">
        <f t="shared" si="760"/>
        <v>40525</v>
      </c>
      <c r="H268" s="81">
        <f t="shared" si="761"/>
        <v>14178</v>
      </c>
      <c r="I268" s="81">
        <v>2719</v>
      </c>
      <c r="J268" s="81"/>
      <c r="K268" s="81">
        <f>1+3777</f>
        <v>3778</v>
      </c>
      <c r="L268" s="81"/>
      <c r="M268" s="81"/>
      <c r="N268" s="81"/>
      <c r="O268" s="81"/>
      <c r="P268" s="81"/>
      <c r="Q268" s="81">
        <v>7681</v>
      </c>
      <c r="R268" s="81"/>
      <c r="S268" s="81"/>
      <c r="T268" s="81"/>
      <c r="U268" s="81"/>
      <c r="V268" s="81"/>
      <c r="W268" s="81"/>
      <c r="X268" s="81"/>
      <c r="Y268" s="81"/>
      <c r="Z268" s="81"/>
      <c r="AA268" s="81">
        <f t="shared" si="762"/>
        <v>0</v>
      </c>
      <c r="AB268" s="81">
        <f t="shared" si="763"/>
        <v>0</v>
      </c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98">
        <f t="shared" si="764"/>
        <v>0</v>
      </c>
      <c r="AO268" s="98">
        <f t="shared" si="765"/>
        <v>0</v>
      </c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81">
        <f t="shared" si="766"/>
        <v>0</v>
      </c>
      <c r="BB268" s="98">
        <f t="shared" si="767"/>
        <v>0</v>
      </c>
      <c r="BC268" s="98"/>
      <c r="BD268" s="98"/>
      <c r="BE268" s="98"/>
      <c r="BF268" s="98"/>
      <c r="BG268" s="98"/>
      <c r="BH268" s="81">
        <v>-26347</v>
      </c>
      <c r="BI268" s="81">
        <f t="shared" si="768"/>
        <v>-40525</v>
      </c>
      <c r="BJ268" s="81">
        <f t="shared" si="769"/>
        <v>-14178</v>
      </c>
      <c r="BK268" s="98">
        <v>-2719</v>
      </c>
      <c r="BL268" s="98">
        <f>-1-3777</f>
        <v>-3778</v>
      </c>
      <c r="BM268" s="98"/>
      <c r="BN268" s="98"/>
      <c r="BO268" s="98">
        <v>-7681</v>
      </c>
      <c r="BP268" s="98"/>
      <c r="BQ268" s="98"/>
      <c r="BR268" s="98"/>
      <c r="BS268" s="98"/>
      <c r="BT268" s="98"/>
      <c r="BU268" s="82"/>
      <c r="BV268" s="85"/>
    </row>
    <row r="269" spans="1:75" s="198" customFormat="1" ht="12.75" hidden="1" customHeight="1" outlineLevel="1" x14ac:dyDescent="0.2">
      <c r="A269" s="137"/>
      <c r="B269" s="410" t="s">
        <v>822</v>
      </c>
      <c r="C269" s="411"/>
      <c r="D269" s="80">
        <f t="shared" ref="D269" si="770">F269+Z269+AM269+AZ269+BH269</f>
        <v>0</v>
      </c>
      <c r="E269" s="295">
        <f t="shared" ref="E269" si="771">G269+AA269+AN269+BA269+BI269</f>
        <v>160212</v>
      </c>
      <c r="F269" s="81"/>
      <c r="G269" s="81">
        <f t="shared" si="760"/>
        <v>160212</v>
      </c>
      <c r="H269" s="81">
        <f t="shared" si="761"/>
        <v>160212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>
        <f>16200+20377+88045</f>
        <v>124622</v>
      </c>
      <c r="T269" s="81"/>
      <c r="U269" s="81"/>
      <c r="V269" s="81"/>
      <c r="W269" s="81">
        <f>233+4130+1227+30000</f>
        <v>35590</v>
      </c>
      <c r="X269" s="81"/>
      <c r="Y269" s="81"/>
      <c r="Z269" s="81"/>
      <c r="AA269" s="81">
        <f t="shared" ref="AA269" si="772">Z269+AB269</f>
        <v>0</v>
      </c>
      <c r="AB269" s="81">
        <f t="shared" ref="AB269" si="773">SUM(AC269:AL269)</f>
        <v>0</v>
      </c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98">
        <f t="shared" ref="AN269" si="774">AM269+AO269</f>
        <v>0</v>
      </c>
      <c r="AO269" s="98">
        <f t="shared" ref="AO269" si="775">SUM(AP269:AY269)</f>
        <v>0</v>
      </c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81">
        <f t="shared" ref="BA269" si="776">AZ269+BB269</f>
        <v>0</v>
      </c>
      <c r="BB269" s="98">
        <f t="shared" ref="BB269" si="777">SUM(BC269:BG269)</f>
        <v>0</v>
      </c>
      <c r="BC269" s="98"/>
      <c r="BD269" s="98"/>
      <c r="BE269" s="98"/>
      <c r="BF269" s="98"/>
      <c r="BG269" s="98"/>
      <c r="BH269" s="81"/>
      <c r="BI269" s="81">
        <f t="shared" ref="BI269" si="778">BH269+BJ269</f>
        <v>0</v>
      </c>
      <c r="BJ269" s="81">
        <f t="shared" ref="BJ269" si="779">SUM(BK269:BT269)</f>
        <v>0</v>
      </c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82"/>
      <c r="BV269" s="85"/>
    </row>
    <row r="270" spans="1:75" s="194" customFormat="1" hidden="1" outlineLevel="1" x14ac:dyDescent="0.2">
      <c r="A270" s="137"/>
      <c r="B270" s="412" t="s">
        <v>578</v>
      </c>
      <c r="C270" s="411"/>
      <c r="D270" s="80">
        <f t="shared" si="746"/>
        <v>62204</v>
      </c>
      <c r="E270" s="295">
        <f>G270+AA270+AN270+BA270+BI270</f>
        <v>707368</v>
      </c>
      <c r="F270" s="81">
        <v>62204</v>
      </c>
      <c r="G270" s="81">
        <f>F270+H270</f>
        <v>707368</v>
      </c>
      <c r="H270" s="81">
        <f t="shared" si="749"/>
        <v>645164</v>
      </c>
      <c r="I270" s="81">
        <f>877</f>
        <v>877</v>
      </c>
      <c r="J270" s="81"/>
      <c r="K270" s="81">
        <f>2352-12169+5351+22638+235-243+147145+53792</f>
        <v>219101</v>
      </c>
      <c r="L270" s="81"/>
      <c r="M270" s="81">
        <v>337451</v>
      </c>
      <c r="N270" s="81"/>
      <c r="O270" s="81"/>
      <c r="P270" s="81"/>
      <c r="Q270" s="81">
        <f>-147145-22638</f>
        <v>-169783</v>
      </c>
      <c r="R270" s="81"/>
      <c r="S270" s="81">
        <f>30597-53792+91780</f>
        <v>68585</v>
      </c>
      <c r="T270" s="81"/>
      <c r="U270" s="81">
        <f>185947+1210</f>
        <v>187157</v>
      </c>
      <c r="V270" s="81"/>
      <c r="W270" s="81">
        <f>371+1405</f>
        <v>1776</v>
      </c>
      <c r="X270" s="81"/>
      <c r="Y270" s="81"/>
      <c r="Z270" s="81"/>
      <c r="AA270" s="81">
        <f t="shared" si="750"/>
        <v>0</v>
      </c>
      <c r="AB270" s="81">
        <f t="shared" si="751"/>
        <v>0</v>
      </c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98">
        <f t="shared" si="752"/>
        <v>0</v>
      </c>
      <c r="AO270" s="98">
        <f t="shared" si="753"/>
        <v>0</v>
      </c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81">
        <f t="shared" ref="BA270" si="780">AZ270+BB270</f>
        <v>0</v>
      </c>
      <c r="BB270" s="98">
        <f t="shared" si="757"/>
        <v>0</v>
      </c>
      <c r="BC270" s="98"/>
      <c r="BD270" s="98"/>
      <c r="BE270" s="98"/>
      <c r="BF270" s="98"/>
      <c r="BG270" s="98"/>
      <c r="BH270" s="81"/>
      <c r="BI270" s="81">
        <f t="shared" si="755"/>
        <v>0</v>
      </c>
      <c r="BJ270" s="81">
        <f t="shared" si="756"/>
        <v>0</v>
      </c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82"/>
      <c r="BV270" s="85"/>
    </row>
    <row r="271" spans="1:75" s="194" customFormat="1" hidden="1" outlineLevel="1" x14ac:dyDescent="0.2">
      <c r="A271" s="137"/>
      <c r="B271" s="412" t="s">
        <v>579</v>
      </c>
      <c r="C271" s="411"/>
      <c r="D271" s="80">
        <f t="shared" si="746"/>
        <v>13437</v>
      </c>
      <c r="E271" s="295">
        <f t="shared" si="747"/>
        <v>46481</v>
      </c>
      <c r="F271" s="81">
        <v>13437</v>
      </c>
      <c r="G271" s="81">
        <f t="shared" si="748"/>
        <v>46481</v>
      </c>
      <c r="H271" s="81">
        <f t="shared" si="749"/>
        <v>33044</v>
      </c>
      <c r="I271" s="81"/>
      <c r="J271" s="81"/>
      <c r="K271" s="81">
        <f>-3454-2751</f>
        <v>-6205</v>
      </c>
      <c r="L271" s="81"/>
      <c r="M271" s="81"/>
      <c r="N271" s="81"/>
      <c r="O271" s="81"/>
      <c r="P271" s="81"/>
      <c r="Q271" s="81"/>
      <c r="R271" s="81"/>
      <c r="S271" s="81"/>
      <c r="T271" s="81"/>
      <c r="U271" s="81">
        <f>13291-633</f>
        <v>12658</v>
      </c>
      <c r="V271" s="81"/>
      <c r="W271" s="81">
        <v>26591</v>
      </c>
      <c r="X271" s="81"/>
      <c r="Y271" s="81"/>
      <c r="Z271" s="81"/>
      <c r="AA271" s="81">
        <f t="shared" si="750"/>
        <v>0</v>
      </c>
      <c r="AB271" s="81">
        <f t="shared" si="751"/>
        <v>0</v>
      </c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98">
        <f t="shared" si="752"/>
        <v>0</v>
      </c>
      <c r="AO271" s="98">
        <f t="shared" si="753"/>
        <v>0</v>
      </c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81">
        <f t="shared" si="754"/>
        <v>0</v>
      </c>
      <c r="BB271" s="98">
        <f t="shared" si="757"/>
        <v>0</v>
      </c>
      <c r="BC271" s="98"/>
      <c r="BD271" s="98"/>
      <c r="BE271" s="98"/>
      <c r="BF271" s="98"/>
      <c r="BG271" s="98"/>
      <c r="BH271" s="81"/>
      <c r="BI271" s="81">
        <f>BH271+BJ271</f>
        <v>0</v>
      </c>
      <c r="BJ271" s="81">
        <f t="shared" si="756"/>
        <v>0</v>
      </c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82"/>
      <c r="BV271" s="85"/>
    </row>
    <row r="272" spans="1:75" s="194" customFormat="1" hidden="1" outlineLevel="1" x14ac:dyDescent="0.2">
      <c r="A272" s="137"/>
      <c r="B272" s="412" t="s">
        <v>580</v>
      </c>
      <c r="C272" s="411"/>
      <c r="D272" s="80">
        <f t="shared" si="746"/>
        <v>0</v>
      </c>
      <c r="E272" s="295">
        <f t="shared" si="747"/>
        <v>11336</v>
      </c>
      <c r="F272" s="81"/>
      <c r="G272" s="81">
        <f t="shared" si="748"/>
        <v>0</v>
      </c>
      <c r="H272" s="81">
        <f t="shared" si="749"/>
        <v>0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>
        <f t="shared" si="750"/>
        <v>0</v>
      </c>
      <c r="AB272" s="81">
        <f t="shared" si="751"/>
        <v>0</v>
      </c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>
        <v>0</v>
      </c>
      <c r="AN272" s="98">
        <f t="shared" si="752"/>
        <v>11336</v>
      </c>
      <c r="AO272" s="98">
        <f t="shared" si="753"/>
        <v>11336</v>
      </c>
      <c r="AP272" s="98">
        <v>250</v>
      </c>
      <c r="AQ272" s="98"/>
      <c r="AR272" s="98"/>
      <c r="AS272" s="98"/>
      <c r="AT272" s="98"/>
      <c r="AU272" s="98"/>
      <c r="AV272" s="98">
        <v>11086</v>
      </c>
      <c r="AW272" s="98"/>
      <c r="AX272" s="98"/>
      <c r="AY272" s="98"/>
      <c r="AZ272" s="98"/>
      <c r="BA272" s="81">
        <f t="shared" si="754"/>
        <v>0</v>
      </c>
      <c r="BB272" s="98">
        <f t="shared" si="757"/>
        <v>0</v>
      </c>
      <c r="BC272" s="98"/>
      <c r="BD272" s="98"/>
      <c r="BE272" s="98"/>
      <c r="BF272" s="98"/>
      <c r="BG272" s="98"/>
      <c r="BH272" s="81"/>
      <c r="BI272" s="81">
        <f t="shared" si="755"/>
        <v>0</v>
      </c>
      <c r="BJ272" s="81">
        <f t="shared" si="756"/>
        <v>0</v>
      </c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82"/>
      <c r="BV272" s="85"/>
    </row>
    <row r="273" spans="1:74" s="194" customFormat="1" hidden="1" outlineLevel="1" x14ac:dyDescent="0.2">
      <c r="A273" s="137"/>
      <c r="B273" s="412" t="s">
        <v>581</v>
      </c>
      <c r="C273" s="411"/>
      <c r="D273" s="80">
        <f t="shared" si="746"/>
        <v>1642</v>
      </c>
      <c r="E273" s="295">
        <f t="shared" si="747"/>
        <v>1632</v>
      </c>
      <c r="F273" s="81"/>
      <c r="G273" s="81">
        <f t="shared" si="748"/>
        <v>0</v>
      </c>
      <c r="H273" s="81">
        <f t="shared" si="749"/>
        <v>0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>
        <f t="shared" si="750"/>
        <v>0</v>
      </c>
      <c r="AB273" s="81">
        <f t="shared" si="751"/>
        <v>0</v>
      </c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>
        <v>1642</v>
      </c>
      <c r="AN273" s="98">
        <f t="shared" si="752"/>
        <v>1632</v>
      </c>
      <c r="AO273" s="98">
        <f t="shared" si="753"/>
        <v>-10</v>
      </c>
      <c r="AP273" s="98">
        <v>-10</v>
      </c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81">
        <f t="shared" si="754"/>
        <v>0</v>
      </c>
      <c r="BB273" s="98">
        <f t="shared" si="757"/>
        <v>0</v>
      </c>
      <c r="BC273" s="98"/>
      <c r="BD273" s="98"/>
      <c r="BE273" s="98"/>
      <c r="BF273" s="98"/>
      <c r="BG273" s="98"/>
      <c r="BH273" s="81"/>
      <c r="BI273" s="81">
        <f t="shared" si="755"/>
        <v>0</v>
      </c>
      <c r="BJ273" s="81">
        <f t="shared" si="756"/>
        <v>0</v>
      </c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82"/>
      <c r="BV273" s="85"/>
    </row>
    <row r="274" spans="1:74" s="194" customFormat="1" hidden="1" outlineLevel="1" x14ac:dyDescent="0.2">
      <c r="A274" s="137"/>
      <c r="B274" s="412" t="s">
        <v>54</v>
      </c>
      <c r="C274" s="411"/>
      <c r="D274" s="80">
        <f t="shared" si="746"/>
        <v>0</v>
      </c>
      <c r="E274" s="295">
        <f t="shared" si="747"/>
        <v>0</v>
      </c>
      <c r="F274" s="81"/>
      <c r="G274" s="81">
        <f t="shared" si="748"/>
        <v>0</v>
      </c>
      <c r="H274" s="81">
        <f t="shared" si="749"/>
        <v>0</v>
      </c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>
        <f t="shared" si="750"/>
        <v>0</v>
      </c>
      <c r="AB274" s="81">
        <f t="shared" si="751"/>
        <v>0</v>
      </c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98">
        <f t="shared" si="752"/>
        <v>0</v>
      </c>
      <c r="AO274" s="98">
        <f t="shared" si="753"/>
        <v>0</v>
      </c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81">
        <f t="shared" si="754"/>
        <v>0</v>
      </c>
      <c r="BB274" s="98">
        <f t="shared" si="757"/>
        <v>0</v>
      </c>
      <c r="BC274" s="98"/>
      <c r="BD274" s="98"/>
      <c r="BE274" s="98"/>
      <c r="BF274" s="98"/>
      <c r="BG274" s="98"/>
      <c r="BH274" s="81"/>
      <c r="BI274" s="81">
        <f t="shared" si="755"/>
        <v>0</v>
      </c>
      <c r="BJ274" s="81">
        <f t="shared" si="756"/>
        <v>0</v>
      </c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82"/>
      <c r="BV274" s="85"/>
    </row>
    <row r="275" spans="1:74" s="194" customFormat="1" hidden="1" outlineLevel="1" x14ac:dyDescent="0.2">
      <c r="A275" s="137"/>
      <c r="B275" s="412" t="s">
        <v>582</v>
      </c>
      <c r="C275" s="411"/>
      <c r="D275" s="80">
        <f t="shared" si="746"/>
        <v>0</v>
      </c>
      <c r="E275" s="295">
        <f t="shared" si="747"/>
        <v>0</v>
      </c>
      <c r="F275" s="81"/>
      <c r="G275" s="81">
        <f t="shared" si="748"/>
        <v>0</v>
      </c>
      <c r="H275" s="81">
        <f t="shared" si="749"/>
        <v>0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>
        <f t="shared" si="750"/>
        <v>0</v>
      </c>
      <c r="AB275" s="81">
        <f t="shared" si="751"/>
        <v>0</v>
      </c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98">
        <f t="shared" si="752"/>
        <v>0</v>
      </c>
      <c r="AO275" s="98">
        <f t="shared" si="753"/>
        <v>0</v>
      </c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81">
        <f t="shared" si="754"/>
        <v>0</v>
      </c>
      <c r="BB275" s="98">
        <f t="shared" si="757"/>
        <v>0</v>
      </c>
      <c r="BC275" s="98"/>
      <c r="BD275" s="98"/>
      <c r="BE275" s="98"/>
      <c r="BF275" s="98"/>
      <c r="BG275" s="98"/>
      <c r="BH275" s="81"/>
      <c r="BI275" s="81">
        <f t="shared" si="755"/>
        <v>0</v>
      </c>
      <c r="BJ275" s="81">
        <f t="shared" si="756"/>
        <v>0</v>
      </c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82"/>
      <c r="BV275" s="85"/>
    </row>
    <row r="276" spans="1:74" s="198" customFormat="1" hidden="1" outlineLevel="1" x14ac:dyDescent="0.2">
      <c r="A276" s="137"/>
      <c r="B276" s="410" t="s">
        <v>826</v>
      </c>
      <c r="C276" s="411"/>
      <c r="D276" s="80">
        <f t="shared" si="746"/>
        <v>0</v>
      </c>
      <c r="E276" s="295">
        <f t="shared" si="747"/>
        <v>3</v>
      </c>
      <c r="F276" s="81"/>
      <c r="G276" s="81">
        <f t="shared" si="748"/>
        <v>3</v>
      </c>
      <c r="H276" s="81">
        <f t="shared" si="749"/>
        <v>3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>
        <v>3</v>
      </c>
      <c r="V276" s="81"/>
      <c r="W276" s="81"/>
      <c r="X276" s="81"/>
      <c r="Y276" s="81"/>
      <c r="Z276" s="81"/>
      <c r="AA276" s="81">
        <f t="shared" si="750"/>
        <v>0</v>
      </c>
      <c r="AB276" s="81">
        <f t="shared" si="751"/>
        <v>0</v>
      </c>
      <c r="AC276" s="81"/>
      <c r="AD276" s="81"/>
      <c r="AE276" s="81"/>
      <c r="AF276" s="81"/>
      <c r="AG276" s="81">
        <f>22+486+895+4+64+138+210+1+5+19+45-3</f>
        <v>1886</v>
      </c>
      <c r="AH276" s="81">
        <v>-1886</v>
      </c>
      <c r="AI276" s="81"/>
      <c r="AJ276" s="81"/>
      <c r="AK276" s="81"/>
      <c r="AL276" s="81"/>
      <c r="AM276" s="81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81"/>
      <c r="BB276" s="98"/>
      <c r="BC276" s="98"/>
      <c r="BD276" s="98"/>
      <c r="BE276" s="98"/>
      <c r="BF276" s="98"/>
      <c r="BG276" s="98"/>
      <c r="BH276" s="81"/>
      <c r="BI276" s="81">
        <f t="shared" si="755"/>
        <v>0</v>
      </c>
      <c r="BJ276" s="81">
        <f t="shared" si="756"/>
        <v>0</v>
      </c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82"/>
      <c r="BV276" s="85"/>
    </row>
    <row r="277" spans="1:74" s="194" customFormat="1" hidden="1" outlineLevel="1" x14ac:dyDescent="0.2">
      <c r="A277" s="137"/>
      <c r="B277" s="412" t="s">
        <v>583</v>
      </c>
      <c r="C277" s="411"/>
      <c r="D277" s="80">
        <f t="shared" si="746"/>
        <v>41531</v>
      </c>
      <c r="E277" s="295">
        <f t="shared" si="747"/>
        <v>100742</v>
      </c>
      <c r="F277" s="81"/>
      <c r="G277" s="81">
        <f t="shared" si="748"/>
        <v>0</v>
      </c>
      <c r="H277" s="81">
        <f t="shared" si="749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>
        <v>41531</v>
      </c>
      <c r="AA277" s="81">
        <f t="shared" si="750"/>
        <v>100742</v>
      </c>
      <c r="AB277" s="81">
        <f t="shared" si="751"/>
        <v>59211</v>
      </c>
      <c r="AC277" s="81">
        <v>-86</v>
      </c>
      <c r="AD277" s="81">
        <f>12984+84722-287</f>
        <v>97419</v>
      </c>
      <c r="AE277" s="81"/>
      <c r="AF277" s="81"/>
      <c r="AG277" s="81"/>
      <c r="AH277" s="81">
        <v>-38122</v>
      </c>
      <c r="AI277" s="81"/>
      <c r="AJ277" s="81"/>
      <c r="AK277" s="81"/>
      <c r="AL277" s="81"/>
      <c r="AM277" s="81"/>
      <c r="AN277" s="98">
        <f t="shared" si="752"/>
        <v>0</v>
      </c>
      <c r="AO277" s="98">
        <f t="shared" si="753"/>
        <v>0</v>
      </c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81">
        <f t="shared" si="754"/>
        <v>0</v>
      </c>
      <c r="BB277" s="98">
        <f t="shared" si="757"/>
        <v>0</v>
      </c>
      <c r="BC277" s="98"/>
      <c r="BD277" s="98"/>
      <c r="BE277" s="98"/>
      <c r="BF277" s="98"/>
      <c r="BG277" s="98"/>
      <c r="BH277" s="81"/>
      <c r="BI277" s="81">
        <f t="shared" si="755"/>
        <v>0</v>
      </c>
      <c r="BJ277" s="81">
        <f t="shared" si="756"/>
        <v>0</v>
      </c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82"/>
      <c r="BV277" s="85"/>
    </row>
    <row r="278" spans="1:74" s="194" customFormat="1" hidden="1" outlineLevel="1" x14ac:dyDescent="0.2">
      <c r="A278" s="137"/>
      <c r="B278" s="421" t="s">
        <v>584</v>
      </c>
      <c r="C278" s="422"/>
      <c r="D278" s="80">
        <f t="shared" si="746"/>
        <v>9691</v>
      </c>
      <c r="E278" s="295">
        <f t="shared" si="747"/>
        <v>40469</v>
      </c>
      <c r="F278" s="81"/>
      <c r="G278" s="81">
        <f t="shared" si="748"/>
        <v>0</v>
      </c>
      <c r="H278" s="81">
        <f t="shared" si="749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>
        <v>9691</v>
      </c>
      <c r="AA278" s="81">
        <f t="shared" si="750"/>
        <v>40469</v>
      </c>
      <c r="AB278" s="81">
        <f t="shared" si="751"/>
        <v>30778</v>
      </c>
      <c r="AC278" s="81"/>
      <c r="AD278" s="81">
        <f>-1315+31806+287</f>
        <v>30778</v>
      </c>
      <c r="AE278" s="81"/>
      <c r="AF278" s="81"/>
      <c r="AG278" s="81"/>
      <c r="AH278" s="81"/>
      <c r="AI278" s="81"/>
      <c r="AJ278" s="81"/>
      <c r="AK278" s="81"/>
      <c r="AL278" s="81"/>
      <c r="AM278" s="81"/>
      <c r="AN278" s="98">
        <f t="shared" si="752"/>
        <v>0</v>
      </c>
      <c r="AO278" s="98">
        <f t="shared" si="753"/>
        <v>0</v>
      </c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81">
        <f t="shared" si="754"/>
        <v>0</v>
      </c>
      <c r="BB278" s="98">
        <f t="shared" si="757"/>
        <v>0</v>
      </c>
      <c r="BC278" s="98"/>
      <c r="BD278" s="98"/>
      <c r="BE278" s="98"/>
      <c r="BF278" s="98"/>
      <c r="BG278" s="98"/>
      <c r="BH278" s="81"/>
      <c r="BI278" s="81">
        <f t="shared" si="755"/>
        <v>0</v>
      </c>
      <c r="BJ278" s="81">
        <f t="shared" si="756"/>
        <v>0</v>
      </c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82"/>
      <c r="BV278" s="85"/>
    </row>
    <row r="279" spans="1:74" s="194" customFormat="1" hidden="1" outlineLevel="1" x14ac:dyDescent="0.2">
      <c r="A279" s="137"/>
      <c r="B279" s="412" t="s">
        <v>585</v>
      </c>
      <c r="C279" s="411"/>
      <c r="D279" s="80">
        <f t="shared" si="746"/>
        <v>50</v>
      </c>
      <c r="E279" s="295">
        <f t="shared" si="747"/>
        <v>16629</v>
      </c>
      <c r="F279" s="81"/>
      <c r="G279" s="81">
        <f t="shared" si="748"/>
        <v>0</v>
      </c>
      <c r="H279" s="81">
        <f t="shared" si="749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>
        <v>50</v>
      </c>
      <c r="AA279" s="81">
        <f t="shared" si="750"/>
        <v>16629</v>
      </c>
      <c r="AB279" s="81">
        <f t="shared" si="751"/>
        <v>16579</v>
      </c>
      <c r="AC279" s="81"/>
      <c r="AD279" s="81">
        <v>16579</v>
      </c>
      <c r="AE279" s="81"/>
      <c r="AF279" s="81"/>
      <c r="AG279" s="81"/>
      <c r="AH279" s="81"/>
      <c r="AI279" s="81"/>
      <c r="AJ279" s="81"/>
      <c r="AK279" s="81"/>
      <c r="AL279" s="81"/>
      <c r="AM279" s="81"/>
      <c r="AN279" s="98">
        <f t="shared" si="752"/>
        <v>0</v>
      </c>
      <c r="AO279" s="98">
        <f t="shared" si="753"/>
        <v>0</v>
      </c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81">
        <f t="shared" si="754"/>
        <v>0</v>
      </c>
      <c r="BB279" s="98">
        <f t="shared" si="757"/>
        <v>0</v>
      </c>
      <c r="BC279" s="98"/>
      <c r="BD279" s="98"/>
      <c r="BE279" s="98"/>
      <c r="BF279" s="98"/>
      <c r="BG279" s="98"/>
      <c r="BH279" s="81"/>
      <c r="BI279" s="81">
        <f t="shared" si="755"/>
        <v>0</v>
      </c>
      <c r="BJ279" s="81">
        <f t="shared" si="756"/>
        <v>0</v>
      </c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82"/>
      <c r="BV279" s="85"/>
    </row>
    <row r="280" spans="1:74" s="194" customFormat="1" hidden="1" outlineLevel="1" x14ac:dyDescent="0.2">
      <c r="A280" s="137"/>
      <c r="B280" s="412" t="s">
        <v>586</v>
      </c>
      <c r="C280" s="411"/>
      <c r="D280" s="80">
        <f t="shared" si="746"/>
        <v>0</v>
      </c>
      <c r="E280" s="295">
        <f t="shared" si="747"/>
        <v>0</v>
      </c>
      <c r="F280" s="81"/>
      <c r="G280" s="81">
        <f t="shared" si="748"/>
        <v>0</v>
      </c>
      <c r="H280" s="81">
        <f t="shared" si="749"/>
        <v>0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>
        <f t="shared" si="750"/>
        <v>0</v>
      </c>
      <c r="AB280" s="81">
        <f t="shared" si="751"/>
        <v>0</v>
      </c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98">
        <f t="shared" si="752"/>
        <v>0</v>
      </c>
      <c r="AO280" s="98">
        <f t="shared" si="753"/>
        <v>0</v>
      </c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81">
        <f t="shared" si="754"/>
        <v>0</v>
      </c>
      <c r="BB280" s="98">
        <f t="shared" si="757"/>
        <v>0</v>
      </c>
      <c r="BC280" s="98"/>
      <c r="BD280" s="98"/>
      <c r="BE280" s="98"/>
      <c r="BF280" s="98"/>
      <c r="BG280" s="98"/>
      <c r="BH280" s="81"/>
      <c r="BI280" s="81">
        <f t="shared" si="755"/>
        <v>0</v>
      </c>
      <c r="BJ280" s="81">
        <f t="shared" si="756"/>
        <v>0</v>
      </c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82"/>
      <c r="BV280" s="85"/>
    </row>
    <row r="281" spans="1:74" s="194" customFormat="1" hidden="1" outlineLevel="1" x14ac:dyDescent="0.2">
      <c r="A281" s="137"/>
      <c r="B281" s="412" t="s">
        <v>587</v>
      </c>
      <c r="C281" s="411"/>
      <c r="D281" s="80">
        <f t="shared" si="746"/>
        <v>0</v>
      </c>
      <c r="E281" s="295">
        <f t="shared" si="747"/>
        <v>0</v>
      </c>
      <c r="F281" s="81"/>
      <c r="G281" s="81">
        <f t="shared" si="748"/>
        <v>0</v>
      </c>
      <c r="H281" s="81">
        <f t="shared" si="749"/>
        <v>0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>
        <f t="shared" si="750"/>
        <v>0</v>
      </c>
      <c r="AB281" s="81">
        <f t="shared" si="751"/>
        <v>0</v>
      </c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98">
        <f t="shared" si="752"/>
        <v>0</v>
      </c>
      <c r="AO281" s="98">
        <f t="shared" si="753"/>
        <v>0</v>
      </c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81">
        <f t="shared" si="754"/>
        <v>0</v>
      </c>
      <c r="BB281" s="98">
        <f t="shared" si="757"/>
        <v>0</v>
      </c>
      <c r="BC281" s="98"/>
      <c r="BD281" s="98"/>
      <c r="BE281" s="98"/>
      <c r="BF281" s="98"/>
      <c r="BG281" s="98"/>
      <c r="BH281" s="81"/>
      <c r="BI281" s="81">
        <f t="shared" si="755"/>
        <v>0</v>
      </c>
      <c r="BJ281" s="81">
        <f t="shared" si="756"/>
        <v>0</v>
      </c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82"/>
      <c r="BV281" s="85"/>
    </row>
    <row r="282" spans="1:74" s="194" customFormat="1" hidden="1" outlineLevel="1" x14ac:dyDescent="0.2">
      <c r="A282" s="137"/>
      <c r="B282" s="412" t="s">
        <v>588</v>
      </c>
      <c r="C282" s="411"/>
      <c r="D282" s="80">
        <f t="shared" si="746"/>
        <v>0</v>
      </c>
      <c r="E282" s="295">
        <f t="shared" si="747"/>
        <v>0</v>
      </c>
      <c r="F282" s="81"/>
      <c r="G282" s="81">
        <f t="shared" si="748"/>
        <v>0</v>
      </c>
      <c r="H282" s="81">
        <f t="shared" si="749"/>
        <v>0</v>
      </c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>
        <f t="shared" si="750"/>
        <v>0</v>
      </c>
      <c r="AB282" s="81">
        <f t="shared" si="751"/>
        <v>0</v>
      </c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98">
        <f t="shared" si="752"/>
        <v>0</v>
      </c>
      <c r="AO282" s="98">
        <f t="shared" si="753"/>
        <v>0</v>
      </c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81">
        <f t="shared" si="754"/>
        <v>0</v>
      </c>
      <c r="BB282" s="98">
        <f t="shared" si="757"/>
        <v>0</v>
      </c>
      <c r="BC282" s="98"/>
      <c r="BD282" s="98"/>
      <c r="BE282" s="98"/>
      <c r="BF282" s="98"/>
      <c r="BG282" s="98"/>
      <c r="BH282" s="81"/>
      <c r="BI282" s="81">
        <f t="shared" si="755"/>
        <v>0</v>
      </c>
      <c r="BJ282" s="81">
        <f t="shared" si="756"/>
        <v>0</v>
      </c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82"/>
      <c r="BV282" s="85"/>
    </row>
    <row r="283" spans="1:74" s="194" customFormat="1" hidden="1" outlineLevel="1" x14ac:dyDescent="0.2">
      <c r="A283" s="137"/>
      <c r="B283" s="412" t="s">
        <v>589</v>
      </c>
      <c r="C283" s="411"/>
      <c r="D283" s="80">
        <f t="shared" si="746"/>
        <v>0</v>
      </c>
      <c r="E283" s="295">
        <f t="shared" si="747"/>
        <v>0</v>
      </c>
      <c r="F283" s="81"/>
      <c r="G283" s="81">
        <f t="shared" si="748"/>
        <v>0</v>
      </c>
      <c r="H283" s="81">
        <f t="shared" si="749"/>
        <v>0</v>
      </c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>
        <f t="shared" si="750"/>
        <v>0</v>
      </c>
      <c r="AB283" s="81">
        <f t="shared" si="751"/>
        <v>0</v>
      </c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98">
        <f t="shared" si="752"/>
        <v>0</v>
      </c>
      <c r="AO283" s="98">
        <f t="shared" si="753"/>
        <v>0</v>
      </c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81">
        <f t="shared" si="754"/>
        <v>0</v>
      </c>
      <c r="BB283" s="98">
        <f t="shared" si="757"/>
        <v>0</v>
      </c>
      <c r="BC283" s="98"/>
      <c r="BD283" s="98"/>
      <c r="BE283" s="98"/>
      <c r="BF283" s="98"/>
      <c r="BG283" s="98"/>
      <c r="BH283" s="81"/>
      <c r="BI283" s="81">
        <f t="shared" si="755"/>
        <v>0</v>
      </c>
      <c r="BJ283" s="81">
        <f t="shared" si="756"/>
        <v>0</v>
      </c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82"/>
      <c r="BV283" s="85"/>
    </row>
    <row r="284" spans="1:74" s="198" customFormat="1" ht="12.75" hidden="1" customHeight="1" outlineLevel="1" x14ac:dyDescent="0.2">
      <c r="A284" s="137"/>
      <c r="B284" s="410" t="s">
        <v>817</v>
      </c>
      <c r="C284" s="411"/>
      <c r="D284" s="80">
        <f t="shared" ref="D284" si="781">F284+Z284+AM284+AZ284+BH284</f>
        <v>0</v>
      </c>
      <c r="E284" s="295">
        <f t="shared" ref="E284" si="782">G284+AA284+AN284+BA284+BI284</f>
        <v>137371</v>
      </c>
      <c r="F284" s="81"/>
      <c r="G284" s="81">
        <f t="shared" ref="G284" si="783">F284+H284</f>
        <v>137371</v>
      </c>
      <c r="H284" s="81">
        <f t="shared" ref="H284" si="784">SUM(I284:Y284)</f>
        <v>137371</v>
      </c>
      <c r="I284" s="81"/>
      <c r="J284" s="81"/>
      <c r="K284" s="81">
        <f>6726+132-132</f>
        <v>6726</v>
      </c>
      <c r="L284" s="81"/>
      <c r="M284" s="81"/>
      <c r="N284" s="81"/>
      <c r="O284" s="81"/>
      <c r="P284" s="81"/>
      <c r="Q284" s="81">
        <v>180983</v>
      </c>
      <c r="R284" s="81"/>
      <c r="S284" s="81">
        <v>-50338</v>
      </c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81"/>
      <c r="BB284" s="98"/>
      <c r="BC284" s="98"/>
      <c r="BD284" s="98"/>
      <c r="BE284" s="98"/>
      <c r="BF284" s="98"/>
      <c r="BG284" s="98"/>
      <c r="BH284" s="81"/>
      <c r="BI284" s="81"/>
      <c r="BJ284" s="81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82"/>
      <c r="BV284" s="85"/>
    </row>
    <row r="285" spans="1:74" s="194" customFormat="1" hidden="1" outlineLevel="1" x14ac:dyDescent="0.2">
      <c r="A285" s="137"/>
      <c r="B285" s="412" t="s">
        <v>590</v>
      </c>
      <c r="C285" s="411"/>
      <c r="D285" s="80">
        <f t="shared" si="746"/>
        <v>0</v>
      </c>
      <c r="E285" s="295">
        <f t="shared" si="747"/>
        <v>0</v>
      </c>
      <c r="F285" s="81"/>
      <c r="G285" s="81">
        <f t="shared" si="748"/>
        <v>0</v>
      </c>
      <c r="H285" s="81">
        <f t="shared" si="749"/>
        <v>0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>
        <f t="shared" si="750"/>
        <v>0</v>
      </c>
      <c r="AB285" s="81">
        <f t="shared" si="751"/>
        <v>0</v>
      </c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98">
        <f t="shared" si="752"/>
        <v>0</v>
      </c>
      <c r="AO285" s="98">
        <f t="shared" si="753"/>
        <v>0</v>
      </c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81">
        <f t="shared" si="754"/>
        <v>0</v>
      </c>
      <c r="BB285" s="98">
        <f t="shared" si="757"/>
        <v>0</v>
      </c>
      <c r="BC285" s="98"/>
      <c r="BD285" s="98"/>
      <c r="BE285" s="98"/>
      <c r="BF285" s="98"/>
      <c r="BG285" s="98"/>
      <c r="BH285" s="81"/>
      <c r="BI285" s="81">
        <f t="shared" si="755"/>
        <v>0</v>
      </c>
      <c r="BJ285" s="81">
        <f t="shared" si="756"/>
        <v>0</v>
      </c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82"/>
      <c r="BV285" s="85"/>
    </row>
    <row r="286" spans="1:74" s="194" customFormat="1" hidden="1" outlineLevel="1" x14ac:dyDescent="0.2">
      <c r="A286" s="137"/>
      <c r="B286" s="412" t="s">
        <v>491</v>
      </c>
      <c r="C286" s="411"/>
      <c r="D286" s="80">
        <f t="shared" si="746"/>
        <v>0</v>
      </c>
      <c r="E286" s="295">
        <f t="shared" si="747"/>
        <v>0</v>
      </c>
      <c r="F286" s="81"/>
      <c r="G286" s="81">
        <f t="shared" si="748"/>
        <v>0</v>
      </c>
      <c r="H286" s="81">
        <f t="shared" si="749"/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>
        <f t="shared" si="750"/>
        <v>0</v>
      </c>
      <c r="AB286" s="81">
        <f t="shared" si="751"/>
        <v>0</v>
      </c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98">
        <f t="shared" si="752"/>
        <v>0</v>
      </c>
      <c r="AO286" s="98">
        <f t="shared" si="753"/>
        <v>0</v>
      </c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81">
        <f t="shared" si="754"/>
        <v>0</v>
      </c>
      <c r="BB286" s="98">
        <f t="shared" si="757"/>
        <v>0</v>
      </c>
      <c r="BC286" s="98"/>
      <c r="BD286" s="98"/>
      <c r="BE286" s="98"/>
      <c r="BF286" s="98"/>
      <c r="BG286" s="98"/>
      <c r="BH286" s="81"/>
      <c r="BI286" s="81">
        <f t="shared" si="755"/>
        <v>0</v>
      </c>
      <c r="BJ286" s="81">
        <f t="shared" si="756"/>
        <v>0</v>
      </c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82"/>
      <c r="BV286" s="85"/>
    </row>
    <row r="287" spans="1:74" s="194" customFormat="1" hidden="1" outlineLevel="1" x14ac:dyDescent="0.2">
      <c r="A287" s="137"/>
      <c r="B287" s="412" t="s">
        <v>591</v>
      </c>
      <c r="C287" s="411"/>
      <c r="D287" s="80">
        <f t="shared" si="746"/>
        <v>0</v>
      </c>
      <c r="E287" s="295">
        <f t="shared" si="747"/>
        <v>0</v>
      </c>
      <c r="F287" s="81"/>
      <c r="G287" s="81">
        <f t="shared" si="748"/>
        <v>0</v>
      </c>
      <c r="H287" s="81">
        <f t="shared" si="749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>
        <f t="shared" si="750"/>
        <v>0</v>
      </c>
      <c r="AB287" s="81">
        <f t="shared" si="751"/>
        <v>0</v>
      </c>
      <c r="AC287" s="81"/>
      <c r="AD287" s="81"/>
      <c r="AE287" s="81"/>
      <c r="AF287" s="81">
        <f>93059-93059</f>
        <v>0</v>
      </c>
      <c r="AG287" s="81"/>
      <c r="AH287" s="81"/>
      <c r="AI287" s="81"/>
      <c r="AJ287" s="81"/>
      <c r="AK287" s="81"/>
      <c r="AL287" s="81"/>
      <c r="AM287" s="81"/>
      <c r="AN287" s="98">
        <f t="shared" si="752"/>
        <v>0</v>
      </c>
      <c r="AO287" s="98">
        <f t="shared" si="753"/>
        <v>0</v>
      </c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81">
        <f t="shared" si="754"/>
        <v>0</v>
      </c>
      <c r="BB287" s="98">
        <f t="shared" si="757"/>
        <v>0</v>
      </c>
      <c r="BC287" s="98"/>
      <c r="BD287" s="98"/>
      <c r="BE287" s="98"/>
      <c r="BF287" s="98"/>
      <c r="BG287" s="98"/>
      <c r="BH287" s="81"/>
      <c r="BI287" s="81">
        <f t="shared" si="755"/>
        <v>0</v>
      </c>
      <c r="BJ287" s="81">
        <f t="shared" si="756"/>
        <v>0</v>
      </c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82"/>
      <c r="BV287" s="85"/>
    </row>
    <row r="288" spans="1:74" s="194" customFormat="1" hidden="1" outlineLevel="1" x14ac:dyDescent="0.2">
      <c r="A288" s="137"/>
      <c r="B288" s="412" t="s">
        <v>147</v>
      </c>
      <c r="C288" s="411"/>
      <c r="D288" s="80">
        <f t="shared" si="746"/>
        <v>0</v>
      </c>
      <c r="E288" s="295">
        <f t="shared" si="747"/>
        <v>0</v>
      </c>
      <c r="F288" s="81"/>
      <c r="G288" s="81">
        <f t="shared" si="748"/>
        <v>0</v>
      </c>
      <c r="H288" s="81">
        <f t="shared" si="749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>
        <f t="shared" si="750"/>
        <v>0</v>
      </c>
      <c r="AB288" s="81">
        <f t="shared" si="751"/>
        <v>0</v>
      </c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98">
        <f t="shared" si="752"/>
        <v>0</v>
      </c>
      <c r="AO288" s="98">
        <f t="shared" si="753"/>
        <v>0</v>
      </c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81">
        <f t="shared" si="754"/>
        <v>0</v>
      </c>
      <c r="BB288" s="98">
        <f t="shared" si="757"/>
        <v>0</v>
      </c>
      <c r="BC288" s="98"/>
      <c r="BD288" s="98"/>
      <c r="BE288" s="98"/>
      <c r="BF288" s="98"/>
      <c r="BG288" s="98"/>
      <c r="BH288" s="81"/>
      <c r="BI288" s="81">
        <f t="shared" si="755"/>
        <v>0</v>
      </c>
      <c r="BJ288" s="81">
        <f t="shared" si="756"/>
        <v>0</v>
      </c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82"/>
      <c r="BV288" s="85"/>
    </row>
    <row r="289" spans="1:74" s="194" customFormat="1" hidden="1" outlineLevel="1" x14ac:dyDescent="0.2">
      <c r="A289" s="137"/>
      <c r="B289" s="412" t="s">
        <v>143</v>
      </c>
      <c r="C289" s="411"/>
      <c r="D289" s="80">
        <f t="shared" si="746"/>
        <v>0</v>
      </c>
      <c r="E289" s="295">
        <f t="shared" si="747"/>
        <v>0</v>
      </c>
      <c r="F289" s="81"/>
      <c r="G289" s="81">
        <f t="shared" si="748"/>
        <v>0</v>
      </c>
      <c r="H289" s="81">
        <f t="shared" si="749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>
        <f t="shared" si="750"/>
        <v>0</v>
      </c>
      <c r="AB289" s="81">
        <f t="shared" si="751"/>
        <v>0</v>
      </c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98">
        <f t="shared" si="752"/>
        <v>0</v>
      </c>
      <c r="AO289" s="98">
        <f t="shared" si="753"/>
        <v>0</v>
      </c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81">
        <f t="shared" si="754"/>
        <v>0</v>
      </c>
      <c r="BB289" s="98">
        <f t="shared" si="757"/>
        <v>0</v>
      </c>
      <c r="BC289" s="98"/>
      <c r="BD289" s="98"/>
      <c r="BE289" s="98"/>
      <c r="BF289" s="98"/>
      <c r="BG289" s="98"/>
      <c r="BH289" s="81"/>
      <c r="BI289" s="81">
        <f t="shared" si="755"/>
        <v>0</v>
      </c>
      <c r="BJ289" s="81">
        <f t="shared" si="756"/>
        <v>0</v>
      </c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82"/>
      <c r="BV289" s="85"/>
    </row>
    <row r="290" spans="1:74" s="194" customFormat="1" hidden="1" outlineLevel="1" x14ac:dyDescent="0.2">
      <c r="A290" s="137"/>
      <c r="B290" s="412" t="s">
        <v>169</v>
      </c>
      <c r="C290" s="411"/>
      <c r="D290" s="80">
        <f t="shared" si="746"/>
        <v>0</v>
      </c>
      <c r="E290" s="295">
        <f t="shared" si="747"/>
        <v>1669</v>
      </c>
      <c r="F290" s="81"/>
      <c r="G290" s="81">
        <f t="shared" si="748"/>
        <v>1669</v>
      </c>
      <c r="H290" s="81">
        <f t="shared" si="749"/>
        <v>1669</v>
      </c>
      <c r="I290" s="81"/>
      <c r="J290" s="81"/>
      <c r="K290" s="81">
        <v>1669</v>
      </c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>
        <f t="shared" si="750"/>
        <v>0</v>
      </c>
      <c r="AB290" s="81">
        <f t="shared" si="751"/>
        <v>0</v>
      </c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98">
        <f t="shared" si="752"/>
        <v>0</v>
      </c>
      <c r="AO290" s="98">
        <f t="shared" si="753"/>
        <v>0</v>
      </c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81">
        <f t="shared" si="754"/>
        <v>0</v>
      </c>
      <c r="BB290" s="98">
        <f t="shared" si="757"/>
        <v>0</v>
      </c>
      <c r="BC290" s="98"/>
      <c r="BD290" s="98"/>
      <c r="BE290" s="98"/>
      <c r="BF290" s="98"/>
      <c r="BG290" s="98"/>
      <c r="BH290" s="81"/>
      <c r="BI290" s="81">
        <f t="shared" si="755"/>
        <v>0</v>
      </c>
      <c r="BJ290" s="81">
        <f t="shared" si="756"/>
        <v>0</v>
      </c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82"/>
      <c r="BV290" s="85"/>
    </row>
    <row r="291" spans="1:74" s="194" customFormat="1" ht="13.5" hidden="1" outlineLevel="1" thickBot="1" x14ac:dyDescent="0.25">
      <c r="A291" s="137"/>
      <c r="B291" s="404"/>
      <c r="C291" s="405"/>
      <c r="D291" s="139"/>
      <c r="E291" s="299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203">
        <f t="shared" si="752"/>
        <v>0</v>
      </c>
      <c r="AO291" s="203">
        <f t="shared" si="753"/>
        <v>0</v>
      </c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3"/>
      <c r="BA291" s="170"/>
      <c r="BB291" s="203"/>
      <c r="BC291" s="203"/>
      <c r="BD291" s="203"/>
      <c r="BE291" s="203"/>
      <c r="BF291" s="203"/>
      <c r="BG291" s="203"/>
      <c r="BH291" s="170"/>
      <c r="BI291" s="311"/>
      <c r="BJ291" s="203"/>
      <c r="BK291" s="203"/>
      <c r="BL291" s="203"/>
      <c r="BM291" s="203"/>
      <c r="BN291" s="203"/>
      <c r="BO291" s="203"/>
      <c r="BP291" s="203"/>
      <c r="BQ291" s="203"/>
      <c r="BR291" s="203"/>
      <c r="BS291" s="203"/>
      <c r="BT291" s="203"/>
      <c r="BU291" s="204"/>
      <c r="BV291" s="88"/>
    </row>
    <row r="292" spans="1:74" s="194" customFormat="1" ht="13.5" customHeight="1" collapsed="1" thickTop="1" x14ac:dyDescent="0.2">
      <c r="A292" s="224" t="s">
        <v>606</v>
      </c>
      <c r="B292" s="225" t="s">
        <v>607</v>
      </c>
      <c r="C292" s="328"/>
      <c r="D292" s="226">
        <f t="shared" ref="D292:E292" si="785">D293+D295+D300+D304+D308</f>
        <v>5245096</v>
      </c>
      <c r="E292" s="302">
        <f t="shared" si="785"/>
        <v>5283045</v>
      </c>
      <c r="F292" s="227">
        <f t="shared" ref="F292:BT292" si="786">F293+F295+F300+F304+F308</f>
        <v>5010096</v>
      </c>
      <c r="G292" s="227">
        <f t="shared" si="786"/>
        <v>5048045</v>
      </c>
      <c r="H292" s="227">
        <f t="shared" ref="H292" si="787">H293+H295+H300+H304+H308</f>
        <v>37949</v>
      </c>
      <c r="I292" s="227">
        <f t="shared" si="786"/>
        <v>0</v>
      </c>
      <c r="J292" s="227">
        <f t="shared" ref="J292" si="788">J293+J295+J300+J304+J308</f>
        <v>0</v>
      </c>
      <c r="K292" s="227">
        <f t="shared" si="786"/>
        <v>0</v>
      </c>
      <c r="L292" s="227">
        <f t="shared" si="786"/>
        <v>0</v>
      </c>
      <c r="M292" s="227">
        <f t="shared" si="786"/>
        <v>0</v>
      </c>
      <c r="N292" s="227">
        <f t="shared" si="786"/>
        <v>0</v>
      </c>
      <c r="O292" s="227">
        <f t="shared" si="786"/>
        <v>0</v>
      </c>
      <c r="P292" s="227">
        <f t="shared" si="786"/>
        <v>0</v>
      </c>
      <c r="Q292" s="227">
        <f t="shared" si="786"/>
        <v>0</v>
      </c>
      <c r="R292" s="227">
        <f t="shared" si="786"/>
        <v>0</v>
      </c>
      <c r="S292" s="227">
        <f t="shared" si="786"/>
        <v>0</v>
      </c>
      <c r="T292" s="227"/>
      <c r="U292" s="227">
        <f t="shared" si="786"/>
        <v>0</v>
      </c>
      <c r="V292" s="227"/>
      <c r="W292" s="227">
        <f t="shared" si="786"/>
        <v>37949</v>
      </c>
      <c r="X292" s="227">
        <f t="shared" si="786"/>
        <v>0</v>
      </c>
      <c r="Y292" s="227">
        <f t="shared" si="786"/>
        <v>0</v>
      </c>
      <c r="Z292" s="227">
        <f t="shared" si="786"/>
        <v>235000</v>
      </c>
      <c r="AA292" s="227">
        <f t="shared" ref="AA292:AL292" si="789">AA293+AA295+AA300+AA304+AA308</f>
        <v>235000</v>
      </c>
      <c r="AB292" s="227">
        <f t="shared" si="789"/>
        <v>0</v>
      </c>
      <c r="AC292" s="227">
        <f t="shared" si="789"/>
        <v>0</v>
      </c>
      <c r="AD292" s="227">
        <f t="shared" si="789"/>
        <v>0</v>
      </c>
      <c r="AE292" s="227">
        <f t="shared" si="789"/>
        <v>0</v>
      </c>
      <c r="AF292" s="227">
        <f t="shared" si="789"/>
        <v>0</v>
      </c>
      <c r="AG292" s="227">
        <f t="shared" si="789"/>
        <v>0</v>
      </c>
      <c r="AH292" s="227">
        <f t="shared" si="789"/>
        <v>0</v>
      </c>
      <c r="AI292" s="227">
        <f t="shared" si="789"/>
        <v>0</v>
      </c>
      <c r="AJ292" s="227">
        <f t="shared" si="789"/>
        <v>0</v>
      </c>
      <c r="AK292" s="227">
        <f t="shared" si="789"/>
        <v>0</v>
      </c>
      <c r="AL292" s="227">
        <f t="shared" si="789"/>
        <v>0</v>
      </c>
      <c r="AM292" s="227">
        <f t="shared" si="786"/>
        <v>0</v>
      </c>
      <c r="AN292" s="228">
        <f t="shared" si="786"/>
        <v>0</v>
      </c>
      <c r="AO292" s="228">
        <f t="shared" si="786"/>
        <v>0</v>
      </c>
      <c r="AP292" s="228">
        <f t="shared" si="786"/>
        <v>0</v>
      </c>
      <c r="AQ292" s="228">
        <f t="shared" si="786"/>
        <v>0</v>
      </c>
      <c r="AR292" s="228">
        <f t="shared" si="786"/>
        <v>0</v>
      </c>
      <c r="AS292" s="228">
        <f t="shared" si="786"/>
        <v>0</v>
      </c>
      <c r="AT292" s="228">
        <f t="shared" si="786"/>
        <v>0</v>
      </c>
      <c r="AU292" s="228">
        <f t="shared" si="786"/>
        <v>0</v>
      </c>
      <c r="AV292" s="228">
        <f t="shared" si="786"/>
        <v>0</v>
      </c>
      <c r="AW292" s="228">
        <f t="shared" si="786"/>
        <v>0</v>
      </c>
      <c r="AX292" s="228">
        <f t="shared" si="786"/>
        <v>0</v>
      </c>
      <c r="AY292" s="228">
        <f t="shared" si="786"/>
        <v>0</v>
      </c>
      <c r="AZ292" s="228">
        <f t="shared" si="786"/>
        <v>0</v>
      </c>
      <c r="BA292" s="227">
        <f t="shared" ref="BA292:BG292" si="790">BA293+BA295+BA300+BA304+BA308</f>
        <v>0</v>
      </c>
      <c r="BB292" s="228">
        <f t="shared" si="790"/>
        <v>0</v>
      </c>
      <c r="BC292" s="228">
        <f t="shared" si="790"/>
        <v>0</v>
      </c>
      <c r="BD292" s="228">
        <f t="shared" si="790"/>
        <v>0</v>
      </c>
      <c r="BE292" s="228">
        <f t="shared" si="790"/>
        <v>0</v>
      </c>
      <c r="BF292" s="228">
        <f t="shared" si="790"/>
        <v>0</v>
      </c>
      <c r="BG292" s="228">
        <f t="shared" si="790"/>
        <v>0</v>
      </c>
      <c r="BH292" s="227">
        <f t="shared" si="786"/>
        <v>0</v>
      </c>
      <c r="BI292" s="314">
        <f t="shared" si="786"/>
        <v>0</v>
      </c>
      <c r="BJ292" s="228">
        <f t="shared" si="786"/>
        <v>0</v>
      </c>
      <c r="BK292" s="228">
        <f t="shared" si="786"/>
        <v>0</v>
      </c>
      <c r="BL292" s="228">
        <f t="shared" si="786"/>
        <v>0</v>
      </c>
      <c r="BM292" s="228">
        <f t="shared" si="786"/>
        <v>0</v>
      </c>
      <c r="BN292" s="228">
        <f t="shared" si="786"/>
        <v>0</v>
      </c>
      <c r="BO292" s="228">
        <f t="shared" si="786"/>
        <v>0</v>
      </c>
      <c r="BP292" s="228">
        <f t="shared" si="786"/>
        <v>0</v>
      </c>
      <c r="BQ292" s="228">
        <f t="shared" si="786"/>
        <v>0</v>
      </c>
      <c r="BR292" s="228">
        <f t="shared" si="786"/>
        <v>0</v>
      </c>
      <c r="BS292" s="228">
        <f t="shared" si="786"/>
        <v>0</v>
      </c>
      <c r="BT292" s="228">
        <f t="shared" si="786"/>
        <v>0</v>
      </c>
      <c r="BU292" s="229"/>
      <c r="BV292" s="230"/>
    </row>
    <row r="293" spans="1:74" s="198" customFormat="1" ht="13.5" customHeight="1" x14ac:dyDescent="0.2">
      <c r="A293" s="237" t="s">
        <v>7</v>
      </c>
      <c r="B293" s="231" t="s">
        <v>8</v>
      </c>
      <c r="C293" s="329"/>
      <c r="D293" s="232">
        <f t="shared" ref="D293:BT293" si="791">SUM(D294:D294)</f>
        <v>808099</v>
      </c>
      <c r="E293" s="303">
        <f t="shared" si="791"/>
        <v>808099</v>
      </c>
      <c r="F293" s="233">
        <f t="shared" si="791"/>
        <v>573099</v>
      </c>
      <c r="G293" s="233">
        <f t="shared" si="791"/>
        <v>573099</v>
      </c>
      <c r="H293" s="233">
        <f t="shared" si="791"/>
        <v>0</v>
      </c>
      <c r="I293" s="233">
        <f t="shared" si="791"/>
        <v>0</v>
      </c>
      <c r="J293" s="233">
        <f t="shared" si="791"/>
        <v>0</v>
      </c>
      <c r="K293" s="233">
        <f t="shared" si="791"/>
        <v>0</v>
      </c>
      <c r="L293" s="233">
        <f t="shared" si="791"/>
        <v>0</v>
      </c>
      <c r="M293" s="233">
        <f t="shared" si="791"/>
        <v>0</v>
      </c>
      <c r="N293" s="233">
        <f t="shared" si="791"/>
        <v>0</v>
      </c>
      <c r="O293" s="233">
        <f t="shared" si="791"/>
        <v>0</v>
      </c>
      <c r="P293" s="233">
        <f t="shared" si="791"/>
        <v>0</v>
      </c>
      <c r="Q293" s="233">
        <f t="shared" si="791"/>
        <v>0</v>
      </c>
      <c r="R293" s="233">
        <f t="shared" si="791"/>
        <v>0</v>
      </c>
      <c r="S293" s="233">
        <f t="shared" si="791"/>
        <v>0</v>
      </c>
      <c r="T293" s="233"/>
      <c r="U293" s="233">
        <f t="shared" si="791"/>
        <v>0</v>
      </c>
      <c r="V293" s="233"/>
      <c r="W293" s="233">
        <f t="shared" si="791"/>
        <v>0</v>
      </c>
      <c r="X293" s="233">
        <f t="shared" si="791"/>
        <v>0</v>
      </c>
      <c r="Y293" s="233">
        <f t="shared" si="791"/>
        <v>0</v>
      </c>
      <c r="Z293" s="233">
        <f t="shared" si="791"/>
        <v>235000</v>
      </c>
      <c r="AA293" s="233">
        <f t="shared" si="791"/>
        <v>235000</v>
      </c>
      <c r="AB293" s="233">
        <f t="shared" si="791"/>
        <v>0</v>
      </c>
      <c r="AC293" s="233">
        <f t="shared" si="791"/>
        <v>0</v>
      </c>
      <c r="AD293" s="233">
        <f t="shared" si="791"/>
        <v>0</v>
      </c>
      <c r="AE293" s="233">
        <f t="shared" si="791"/>
        <v>0</v>
      </c>
      <c r="AF293" s="233">
        <f t="shared" si="791"/>
        <v>0</v>
      </c>
      <c r="AG293" s="233">
        <f t="shared" si="791"/>
        <v>0</v>
      </c>
      <c r="AH293" s="233">
        <f t="shared" si="791"/>
        <v>0</v>
      </c>
      <c r="AI293" s="233">
        <f t="shared" si="791"/>
        <v>0</v>
      </c>
      <c r="AJ293" s="233">
        <f t="shared" si="791"/>
        <v>0</v>
      </c>
      <c r="AK293" s="233">
        <f t="shared" si="791"/>
        <v>0</v>
      </c>
      <c r="AL293" s="233">
        <f t="shared" si="791"/>
        <v>0</v>
      </c>
      <c r="AM293" s="233">
        <f t="shared" si="791"/>
        <v>0</v>
      </c>
      <c r="AN293" s="234">
        <f t="shared" si="791"/>
        <v>0</v>
      </c>
      <c r="AO293" s="234">
        <f t="shared" si="791"/>
        <v>0</v>
      </c>
      <c r="AP293" s="234">
        <f t="shared" si="791"/>
        <v>0</v>
      </c>
      <c r="AQ293" s="234">
        <f t="shared" si="791"/>
        <v>0</v>
      </c>
      <c r="AR293" s="234">
        <f t="shared" si="791"/>
        <v>0</v>
      </c>
      <c r="AS293" s="234">
        <f t="shared" si="791"/>
        <v>0</v>
      </c>
      <c r="AT293" s="234">
        <f t="shared" si="791"/>
        <v>0</v>
      </c>
      <c r="AU293" s="234">
        <f t="shared" si="791"/>
        <v>0</v>
      </c>
      <c r="AV293" s="234">
        <f t="shared" si="791"/>
        <v>0</v>
      </c>
      <c r="AW293" s="234">
        <f t="shared" si="791"/>
        <v>0</v>
      </c>
      <c r="AX293" s="234">
        <f t="shared" si="791"/>
        <v>0</v>
      </c>
      <c r="AY293" s="234">
        <f t="shared" si="791"/>
        <v>0</v>
      </c>
      <c r="AZ293" s="234">
        <f t="shared" si="791"/>
        <v>0</v>
      </c>
      <c r="BA293" s="233">
        <f t="shared" si="791"/>
        <v>0</v>
      </c>
      <c r="BB293" s="234">
        <f t="shared" si="791"/>
        <v>0</v>
      </c>
      <c r="BC293" s="234">
        <f t="shared" si="791"/>
        <v>0</v>
      </c>
      <c r="BD293" s="234">
        <f t="shared" si="791"/>
        <v>0</v>
      </c>
      <c r="BE293" s="234">
        <f t="shared" si="791"/>
        <v>0</v>
      </c>
      <c r="BF293" s="234">
        <f t="shared" si="791"/>
        <v>0</v>
      </c>
      <c r="BG293" s="234">
        <f t="shared" si="791"/>
        <v>0</v>
      </c>
      <c r="BH293" s="233">
        <f t="shared" si="791"/>
        <v>0</v>
      </c>
      <c r="BI293" s="315">
        <f t="shared" si="791"/>
        <v>0</v>
      </c>
      <c r="BJ293" s="234">
        <f t="shared" si="791"/>
        <v>0</v>
      </c>
      <c r="BK293" s="234">
        <f t="shared" si="791"/>
        <v>0</v>
      </c>
      <c r="BL293" s="234">
        <f t="shared" si="791"/>
        <v>0</v>
      </c>
      <c r="BM293" s="234">
        <f t="shared" si="791"/>
        <v>0</v>
      </c>
      <c r="BN293" s="234">
        <f t="shared" si="791"/>
        <v>0</v>
      </c>
      <c r="BO293" s="234">
        <f t="shared" si="791"/>
        <v>0</v>
      </c>
      <c r="BP293" s="234">
        <f t="shared" si="791"/>
        <v>0</v>
      </c>
      <c r="BQ293" s="234">
        <f t="shared" si="791"/>
        <v>0</v>
      </c>
      <c r="BR293" s="234">
        <f t="shared" si="791"/>
        <v>0</v>
      </c>
      <c r="BS293" s="234">
        <f t="shared" si="791"/>
        <v>0</v>
      </c>
      <c r="BT293" s="234">
        <f t="shared" si="791"/>
        <v>0</v>
      </c>
      <c r="BU293" s="235"/>
      <c r="BV293" s="236"/>
    </row>
    <row r="294" spans="1:74" s="194" customFormat="1" ht="13.5" customHeight="1" x14ac:dyDescent="0.2">
      <c r="A294" s="108"/>
      <c r="B294" s="417" t="s">
        <v>592</v>
      </c>
      <c r="C294" s="418"/>
      <c r="D294" s="80">
        <f>F294+Z294+AM294+AZ294+BH294</f>
        <v>808099</v>
      </c>
      <c r="E294" s="295">
        <f>G294+AA294+AN294+BA294+BI294</f>
        <v>808099</v>
      </c>
      <c r="F294" s="81">
        <v>573099</v>
      </c>
      <c r="G294" s="81">
        <f>F294+H294</f>
        <v>573099</v>
      </c>
      <c r="H294" s="81">
        <f>SUM(I294:Y294)</f>
        <v>0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>
        <v>235000</v>
      </c>
      <c r="AA294" s="81">
        <f>Z294+AB294</f>
        <v>235000</v>
      </c>
      <c r="AB294" s="81">
        <f>SUM(AC294:AL294)</f>
        <v>0</v>
      </c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98">
        <f>AM294+AO294</f>
        <v>0</v>
      </c>
      <c r="AO294" s="98">
        <f>SUM(AP294:AY294)</f>
        <v>0</v>
      </c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81">
        <f>AZ294+BB294</f>
        <v>0</v>
      </c>
      <c r="BB294" s="98">
        <f>SUM(BC294:BG294)</f>
        <v>0</v>
      </c>
      <c r="BC294" s="98"/>
      <c r="BD294" s="98"/>
      <c r="BE294" s="98"/>
      <c r="BF294" s="98"/>
      <c r="BG294" s="98"/>
      <c r="BH294" s="81"/>
      <c r="BI294" s="309">
        <f>BH294+BJ294</f>
        <v>0</v>
      </c>
      <c r="BJ294" s="98">
        <f>SUM(BK294:BT294)</f>
        <v>0</v>
      </c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82"/>
      <c r="BV294" s="85"/>
    </row>
    <row r="295" spans="1:74" s="198" customFormat="1" ht="14.25" customHeight="1" x14ac:dyDescent="0.2">
      <c r="A295" s="237" t="s">
        <v>11</v>
      </c>
      <c r="B295" s="231" t="s">
        <v>166</v>
      </c>
      <c r="C295" s="329"/>
      <c r="D295" s="232">
        <f t="shared" ref="D295:E295" si="792">SUM(D296:D299)</f>
        <v>1719081</v>
      </c>
      <c r="E295" s="303">
        <f t="shared" si="792"/>
        <v>1757030</v>
      </c>
      <c r="F295" s="233">
        <f t="shared" ref="F295:BT295" si="793">SUM(F296:F299)</f>
        <v>1719081</v>
      </c>
      <c r="G295" s="233">
        <f t="shared" si="793"/>
        <v>1757030</v>
      </c>
      <c r="H295" s="233">
        <f t="shared" ref="H295" si="794">SUM(H296:H299)</f>
        <v>37949</v>
      </c>
      <c r="I295" s="233">
        <f t="shared" si="793"/>
        <v>0</v>
      </c>
      <c r="J295" s="233">
        <f t="shared" ref="J295" si="795">SUM(J296:J299)</f>
        <v>0</v>
      </c>
      <c r="K295" s="233">
        <f t="shared" si="793"/>
        <v>0</v>
      </c>
      <c r="L295" s="233">
        <f t="shared" si="793"/>
        <v>0</v>
      </c>
      <c r="M295" s="233">
        <f t="shared" si="793"/>
        <v>0</v>
      </c>
      <c r="N295" s="233">
        <f t="shared" si="793"/>
        <v>0</v>
      </c>
      <c r="O295" s="233">
        <f t="shared" si="793"/>
        <v>0</v>
      </c>
      <c r="P295" s="233">
        <f t="shared" si="793"/>
        <v>0</v>
      </c>
      <c r="Q295" s="233">
        <f t="shared" si="793"/>
        <v>0</v>
      </c>
      <c r="R295" s="233">
        <f t="shared" si="793"/>
        <v>0</v>
      </c>
      <c r="S295" s="233">
        <f t="shared" si="793"/>
        <v>0</v>
      </c>
      <c r="T295" s="233"/>
      <c r="U295" s="233">
        <f t="shared" si="793"/>
        <v>0</v>
      </c>
      <c r="V295" s="233"/>
      <c r="W295" s="233">
        <f t="shared" si="793"/>
        <v>37949</v>
      </c>
      <c r="X295" s="233">
        <f t="shared" si="793"/>
        <v>0</v>
      </c>
      <c r="Y295" s="233">
        <f t="shared" si="793"/>
        <v>0</v>
      </c>
      <c r="Z295" s="233">
        <f t="shared" si="793"/>
        <v>0</v>
      </c>
      <c r="AA295" s="233">
        <f t="shared" ref="AA295:AL295" si="796">SUM(AA296:AA299)</f>
        <v>0</v>
      </c>
      <c r="AB295" s="233">
        <f t="shared" si="796"/>
        <v>0</v>
      </c>
      <c r="AC295" s="233">
        <f t="shared" si="796"/>
        <v>0</v>
      </c>
      <c r="AD295" s="233">
        <f t="shared" si="796"/>
        <v>0</v>
      </c>
      <c r="AE295" s="233">
        <f t="shared" si="796"/>
        <v>0</v>
      </c>
      <c r="AF295" s="233">
        <f t="shared" si="796"/>
        <v>0</v>
      </c>
      <c r="AG295" s="233">
        <f t="shared" si="796"/>
        <v>0</v>
      </c>
      <c r="AH295" s="233">
        <f t="shared" si="796"/>
        <v>0</v>
      </c>
      <c r="AI295" s="233">
        <f t="shared" si="796"/>
        <v>0</v>
      </c>
      <c r="AJ295" s="233">
        <f t="shared" si="796"/>
        <v>0</v>
      </c>
      <c r="AK295" s="233">
        <f t="shared" si="796"/>
        <v>0</v>
      </c>
      <c r="AL295" s="233">
        <f t="shared" si="796"/>
        <v>0</v>
      </c>
      <c r="AM295" s="233">
        <f t="shared" si="793"/>
        <v>0</v>
      </c>
      <c r="AN295" s="234">
        <f t="shared" si="793"/>
        <v>0</v>
      </c>
      <c r="AO295" s="234">
        <f t="shared" si="793"/>
        <v>0</v>
      </c>
      <c r="AP295" s="234">
        <f t="shared" si="793"/>
        <v>0</v>
      </c>
      <c r="AQ295" s="234">
        <f t="shared" si="793"/>
        <v>0</v>
      </c>
      <c r="AR295" s="234">
        <f t="shared" si="793"/>
        <v>0</v>
      </c>
      <c r="AS295" s="234">
        <f t="shared" si="793"/>
        <v>0</v>
      </c>
      <c r="AT295" s="234">
        <f t="shared" si="793"/>
        <v>0</v>
      </c>
      <c r="AU295" s="234">
        <f t="shared" si="793"/>
        <v>0</v>
      </c>
      <c r="AV295" s="234">
        <f t="shared" si="793"/>
        <v>0</v>
      </c>
      <c r="AW295" s="234">
        <f t="shared" si="793"/>
        <v>0</v>
      </c>
      <c r="AX295" s="234">
        <f t="shared" si="793"/>
        <v>0</v>
      </c>
      <c r="AY295" s="234">
        <f t="shared" si="793"/>
        <v>0</v>
      </c>
      <c r="AZ295" s="234">
        <f t="shared" si="793"/>
        <v>0</v>
      </c>
      <c r="BA295" s="233">
        <f t="shared" ref="BA295:BG295" si="797">SUM(BA296:BA299)</f>
        <v>0</v>
      </c>
      <c r="BB295" s="234">
        <f t="shared" si="797"/>
        <v>0</v>
      </c>
      <c r="BC295" s="234">
        <f t="shared" si="797"/>
        <v>0</v>
      </c>
      <c r="BD295" s="234">
        <f t="shared" si="797"/>
        <v>0</v>
      </c>
      <c r="BE295" s="234">
        <f t="shared" si="797"/>
        <v>0</v>
      </c>
      <c r="BF295" s="234">
        <f t="shared" si="797"/>
        <v>0</v>
      </c>
      <c r="BG295" s="234">
        <f t="shared" si="797"/>
        <v>0</v>
      </c>
      <c r="BH295" s="233">
        <f t="shared" si="793"/>
        <v>0</v>
      </c>
      <c r="BI295" s="315">
        <f t="shared" si="793"/>
        <v>0</v>
      </c>
      <c r="BJ295" s="234">
        <f t="shared" si="793"/>
        <v>0</v>
      </c>
      <c r="BK295" s="234">
        <f t="shared" si="793"/>
        <v>0</v>
      </c>
      <c r="BL295" s="234">
        <f t="shared" si="793"/>
        <v>0</v>
      </c>
      <c r="BM295" s="234">
        <f t="shared" si="793"/>
        <v>0</v>
      </c>
      <c r="BN295" s="234">
        <f t="shared" si="793"/>
        <v>0</v>
      </c>
      <c r="BO295" s="234">
        <f t="shared" si="793"/>
        <v>0</v>
      </c>
      <c r="BP295" s="234">
        <f t="shared" si="793"/>
        <v>0</v>
      </c>
      <c r="BQ295" s="234">
        <f t="shared" si="793"/>
        <v>0</v>
      </c>
      <c r="BR295" s="234">
        <f t="shared" si="793"/>
        <v>0</v>
      </c>
      <c r="BS295" s="234">
        <f t="shared" si="793"/>
        <v>0</v>
      </c>
      <c r="BT295" s="234">
        <f t="shared" si="793"/>
        <v>0</v>
      </c>
      <c r="BU295" s="235"/>
      <c r="BV295" s="236"/>
    </row>
    <row r="296" spans="1:74" s="194" customFormat="1" ht="27.75" customHeight="1" x14ac:dyDescent="0.2">
      <c r="A296" s="108"/>
      <c r="B296" s="417" t="s">
        <v>593</v>
      </c>
      <c r="C296" s="418"/>
      <c r="D296" s="80">
        <f t="shared" ref="D296:D299" si="798">F296+Z296+AM296+AZ296+BH296</f>
        <v>650000</v>
      </c>
      <c r="E296" s="295">
        <f t="shared" ref="E296:E299" si="799">G296+AA296+AN296+BA296+BI296</f>
        <v>650000</v>
      </c>
      <c r="F296" s="81">
        <v>650000</v>
      </c>
      <c r="G296" s="81">
        <f t="shared" ref="G296:G299" si="800">F296+H296</f>
        <v>650000</v>
      </c>
      <c r="H296" s="81">
        <f t="shared" ref="H296:H299" si="801">SUM(I296:Y296)</f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>
        <f t="shared" ref="AA296:AA299" si="802">Z296+AB296</f>
        <v>0</v>
      </c>
      <c r="AB296" s="81">
        <f t="shared" ref="AB296:AB299" si="803">SUM(AC296:AL296)</f>
        <v>0</v>
      </c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98">
        <f t="shared" ref="AN296:AN299" si="804">AM296+AO296</f>
        <v>0</v>
      </c>
      <c r="AO296" s="98">
        <f t="shared" ref="AO296:AO299" si="805">SUM(AP296:AY296)</f>
        <v>0</v>
      </c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81">
        <f t="shared" ref="BA296:BA299" si="806">AZ296+BB296</f>
        <v>0</v>
      </c>
      <c r="BB296" s="98">
        <f t="shared" ref="BB296:BB299" si="807">SUM(BC296:BG296)</f>
        <v>0</v>
      </c>
      <c r="BC296" s="98"/>
      <c r="BD296" s="98"/>
      <c r="BE296" s="98"/>
      <c r="BF296" s="98"/>
      <c r="BG296" s="98"/>
      <c r="BH296" s="81"/>
      <c r="BI296" s="309">
        <f t="shared" ref="BI296:BI299" si="808">BH296+BJ296</f>
        <v>0</v>
      </c>
      <c r="BJ296" s="98">
        <f t="shared" ref="BJ296:BJ299" si="809">SUM(BK296:BT296)</f>
        <v>0</v>
      </c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82"/>
      <c r="BV296" s="85"/>
    </row>
    <row r="297" spans="1:74" s="194" customFormat="1" ht="27.75" customHeight="1" x14ac:dyDescent="0.2">
      <c r="A297" s="108"/>
      <c r="B297" s="417" t="s">
        <v>594</v>
      </c>
      <c r="C297" s="418"/>
      <c r="D297" s="80">
        <f t="shared" si="798"/>
        <v>320500</v>
      </c>
      <c r="E297" s="295">
        <f t="shared" si="799"/>
        <v>320500</v>
      </c>
      <c r="F297" s="81">
        <v>320500</v>
      </c>
      <c r="G297" s="81">
        <f t="shared" si="800"/>
        <v>320500</v>
      </c>
      <c r="H297" s="81">
        <f t="shared" si="801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>
        <f t="shared" si="802"/>
        <v>0</v>
      </c>
      <c r="AB297" s="81">
        <f t="shared" si="803"/>
        <v>0</v>
      </c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98">
        <f t="shared" si="804"/>
        <v>0</v>
      </c>
      <c r="AO297" s="98">
        <f t="shared" si="805"/>
        <v>0</v>
      </c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81">
        <f t="shared" si="806"/>
        <v>0</v>
      </c>
      <c r="BB297" s="98">
        <f t="shared" si="807"/>
        <v>0</v>
      </c>
      <c r="BC297" s="98"/>
      <c r="BD297" s="98"/>
      <c r="BE297" s="98"/>
      <c r="BF297" s="98"/>
      <c r="BG297" s="98"/>
      <c r="BH297" s="81"/>
      <c r="BI297" s="309">
        <f t="shared" si="808"/>
        <v>0</v>
      </c>
      <c r="BJ297" s="98">
        <f t="shared" si="809"/>
        <v>0</v>
      </c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82"/>
      <c r="BV297" s="85"/>
    </row>
    <row r="298" spans="1:74" s="194" customFormat="1" ht="37.5" customHeight="1" x14ac:dyDescent="0.2">
      <c r="A298" s="108"/>
      <c r="B298" s="417" t="s">
        <v>595</v>
      </c>
      <c r="C298" s="418"/>
      <c r="D298" s="80">
        <f t="shared" si="798"/>
        <v>202540</v>
      </c>
      <c r="E298" s="295">
        <f t="shared" si="799"/>
        <v>202540</v>
      </c>
      <c r="F298" s="81">
        <v>202540</v>
      </c>
      <c r="G298" s="81">
        <f t="shared" si="800"/>
        <v>202540</v>
      </c>
      <c r="H298" s="81">
        <f t="shared" si="801"/>
        <v>0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>
        <f t="shared" si="802"/>
        <v>0</v>
      </c>
      <c r="AB298" s="81">
        <f t="shared" si="803"/>
        <v>0</v>
      </c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98">
        <f t="shared" si="804"/>
        <v>0</v>
      </c>
      <c r="AO298" s="98">
        <f t="shared" si="805"/>
        <v>0</v>
      </c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81">
        <f t="shared" si="806"/>
        <v>0</v>
      </c>
      <c r="BB298" s="98">
        <f t="shared" si="807"/>
        <v>0</v>
      </c>
      <c r="BC298" s="98"/>
      <c r="BD298" s="98"/>
      <c r="BE298" s="98"/>
      <c r="BF298" s="98"/>
      <c r="BG298" s="98"/>
      <c r="BH298" s="81"/>
      <c r="BI298" s="309">
        <f t="shared" si="808"/>
        <v>0</v>
      </c>
      <c r="BJ298" s="98">
        <f t="shared" si="809"/>
        <v>0</v>
      </c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82"/>
      <c r="BV298" s="85"/>
    </row>
    <row r="299" spans="1:74" s="194" customFormat="1" ht="37.5" customHeight="1" x14ac:dyDescent="0.2">
      <c r="A299" s="108"/>
      <c r="B299" s="417" t="s">
        <v>475</v>
      </c>
      <c r="C299" s="418"/>
      <c r="D299" s="80">
        <f t="shared" si="798"/>
        <v>546041</v>
      </c>
      <c r="E299" s="295">
        <f t="shared" si="799"/>
        <v>583990</v>
      </c>
      <c r="F299" s="81">
        <v>546041</v>
      </c>
      <c r="G299" s="81">
        <f t="shared" si="800"/>
        <v>583990</v>
      </c>
      <c r="H299" s="81">
        <f t="shared" si="801"/>
        <v>37949</v>
      </c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>
        <v>37949</v>
      </c>
      <c r="X299" s="81"/>
      <c r="Y299" s="81"/>
      <c r="Z299" s="81"/>
      <c r="AA299" s="81">
        <f t="shared" si="802"/>
        <v>0</v>
      </c>
      <c r="AB299" s="81">
        <f t="shared" si="803"/>
        <v>0</v>
      </c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98">
        <f t="shared" si="804"/>
        <v>0</v>
      </c>
      <c r="AO299" s="98">
        <f t="shared" si="805"/>
        <v>0</v>
      </c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81">
        <f t="shared" si="806"/>
        <v>0</v>
      </c>
      <c r="BB299" s="98">
        <f t="shared" si="807"/>
        <v>0</v>
      </c>
      <c r="BC299" s="98"/>
      <c r="BD299" s="98"/>
      <c r="BE299" s="98"/>
      <c r="BF299" s="98"/>
      <c r="BG299" s="98"/>
      <c r="BH299" s="81"/>
      <c r="BI299" s="309">
        <f t="shared" si="808"/>
        <v>0</v>
      </c>
      <c r="BJ299" s="98">
        <f t="shared" si="809"/>
        <v>0</v>
      </c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82"/>
      <c r="BV299" s="85"/>
    </row>
    <row r="300" spans="1:74" s="198" customFormat="1" x14ac:dyDescent="0.2">
      <c r="A300" s="237" t="s">
        <v>14</v>
      </c>
      <c r="B300" s="231" t="s">
        <v>15</v>
      </c>
      <c r="C300" s="329"/>
      <c r="D300" s="232">
        <f t="shared" ref="D300:E300" si="810">SUM(D301:D303)</f>
        <v>1678399</v>
      </c>
      <c r="E300" s="303">
        <f t="shared" si="810"/>
        <v>1678399</v>
      </c>
      <c r="F300" s="233">
        <f t="shared" ref="F300:BT300" si="811">SUM(F301:F303)</f>
        <v>1678399</v>
      </c>
      <c r="G300" s="233">
        <f t="shared" si="811"/>
        <v>1678399</v>
      </c>
      <c r="H300" s="233">
        <f t="shared" ref="H300" si="812">SUM(H301:H303)</f>
        <v>0</v>
      </c>
      <c r="I300" s="233">
        <f t="shared" si="811"/>
        <v>0</v>
      </c>
      <c r="J300" s="233">
        <f t="shared" ref="J300" si="813">SUM(J301:J303)</f>
        <v>0</v>
      </c>
      <c r="K300" s="233">
        <f t="shared" si="811"/>
        <v>0</v>
      </c>
      <c r="L300" s="233">
        <f t="shared" si="811"/>
        <v>0</v>
      </c>
      <c r="M300" s="233">
        <f t="shared" si="811"/>
        <v>0</v>
      </c>
      <c r="N300" s="233">
        <f t="shared" si="811"/>
        <v>0</v>
      </c>
      <c r="O300" s="233">
        <f t="shared" si="811"/>
        <v>0</v>
      </c>
      <c r="P300" s="233">
        <f t="shared" si="811"/>
        <v>0</v>
      </c>
      <c r="Q300" s="233">
        <f t="shared" si="811"/>
        <v>0</v>
      </c>
      <c r="R300" s="233">
        <f t="shared" si="811"/>
        <v>0</v>
      </c>
      <c r="S300" s="233">
        <f t="shared" si="811"/>
        <v>0</v>
      </c>
      <c r="T300" s="233"/>
      <c r="U300" s="233">
        <f t="shared" si="811"/>
        <v>0</v>
      </c>
      <c r="V300" s="233"/>
      <c r="W300" s="233">
        <f t="shared" si="811"/>
        <v>0</v>
      </c>
      <c r="X300" s="233">
        <f t="shared" si="811"/>
        <v>0</v>
      </c>
      <c r="Y300" s="233">
        <f t="shared" si="811"/>
        <v>0</v>
      </c>
      <c r="Z300" s="233">
        <f t="shared" si="811"/>
        <v>0</v>
      </c>
      <c r="AA300" s="233">
        <f t="shared" ref="AA300:AL300" si="814">SUM(AA301:AA303)</f>
        <v>0</v>
      </c>
      <c r="AB300" s="233">
        <f t="shared" si="814"/>
        <v>0</v>
      </c>
      <c r="AC300" s="233">
        <f t="shared" si="814"/>
        <v>0</v>
      </c>
      <c r="AD300" s="233">
        <f t="shared" si="814"/>
        <v>0</v>
      </c>
      <c r="AE300" s="233">
        <f t="shared" si="814"/>
        <v>0</v>
      </c>
      <c r="AF300" s="233">
        <f t="shared" si="814"/>
        <v>0</v>
      </c>
      <c r="AG300" s="233">
        <f t="shared" si="814"/>
        <v>0</v>
      </c>
      <c r="AH300" s="233">
        <f t="shared" si="814"/>
        <v>0</v>
      </c>
      <c r="AI300" s="233">
        <f t="shared" si="814"/>
        <v>0</v>
      </c>
      <c r="AJ300" s="233">
        <f t="shared" si="814"/>
        <v>0</v>
      </c>
      <c r="AK300" s="233">
        <f t="shared" si="814"/>
        <v>0</v>
      </c>
      <c r="AL300" s="233">
        <f t="shared" si="814"/>
        <v>0</v>
      </c>
      <c r="AM300" s="233">
        <f t="shared" si="811"/>
        <v>0</v>
      </c>
      <c r="AN300" s="234">
        <f t="shared" si="811"/>
        <v>0</v>
      </c>
      <c r="AO300" s="234">
        <f t="shared" si="811"/>
        <v>0</v>
      </c>
      <c r="AP300" s="234">
        <f t="shared" si="811"/>
        <v>0</v>
      </c>
      <c r="AQ300" s="234">
        <f t="shared" si="811"/>
        <v>0</v>
      </c>
      <c r="AR300" s="234">
        <f t="shared" si="811"/>
        <v>0</v>
      </c>
      <c r="AS300" s="234">
        <f t="shared" si="811"/>
        <v>0</v>
      </c>
      <c r="AT300" s="234">
        <f t="shared" si="811"/>
        <v>0</v>
      </c>
      <c r="AU300" s="234">
        <f t="shared" si="811"/>
        <v>0</v>
      </c>
      <c r="AV300" s="234">
        <f t="shared" si="811"/>
        <v>0</v>
      </c>
      <c r="AW300" s="234">
        <f t="shared" si="811"/>
        <v>0</v>
      </c>
      <c r="AX300" s="234">
        <f t="shared" si="811"/>
        <v>0</v>
      </c>
      <c r="AY300" s="234">
        <f t="shared" si="811"/>
        <v>0</v>
      </c>
      <c r="AZ300" s="234">
        <f t="shared" si="811"/>
        <v>0</v>
      </c>
      <c r="BA300" s="233">
        <f t="shared" ref="BA300:BG300" si="815">SUM(BA301:BA303)</f>
        <v>0</v>
      </c>
      <c r="BB300" s="234">
        <f t="shared" si="815"/>
        <v>0</v>
      </c>
      <c r="BC300" s="234">
        <f t="shared" si="815"/>
        <v>0</v>
      </c>
      <c r="BD300" s="234">
        <f t="shared" si="815"/>
        <v>0</v>
      </c>
      <c r="BE300" s="234">
        <f t="shared" si="815"/>
        <v>0</v>
      </c>
      <c r="BF300" s="234">
        <f t="shared" si="815"/>
        <v>0</v>
      </c>
      <c r="BG300" s="234">
        <f t="shared" si="815"/>
        <v>0</v>
      </c>
      <c r="BH300" s="233">
        <f t="shared" si="811"/>
        <v>0</v>
      </c>
      <c r="BI300" s="315">
        <f t="shared" si="811"/>
        <v>0</v>
      </c>
      <c r="BJ300" s="234">
        <f t="shared" si="811"/>
        <v>0</v>
      </c>
      <c r="BK300" s="234">
        <f t="shared" si="811"/>
        <v>0</v>
      </c>
      <c r="BL300" s="234">
        <f t="shared" si="811"/>
        <v>0</v>
      </c>
      <c r="BM300" s="234">
        <f t="shared" si="811"/>
        <v>0</v>
      </c>
      <c r="BN300" s="234">
        <f t="shared" si="811"/>
        <v>0</v>
      </c>
      <c r="BO300" s="234">
        <f t="shared" si="811"/>
        <v>0</v>
      </c>
      <c r="BP300" s="234">
        <f t="shared" si="811"/>
        <v>0</v>
      </c>
      <c r="BQ300" s="234">
        <f t="shared" si="811"/>
        <v>0</v>
      </c>
      <c r="BR300" s="234">
        <f t="shared" si="811"/>
        <v>0</v>
      </c>
      <c r="BS300" s="234">
        <f t="shared" si="811"/>
        <v>0</v>
      </c>
      <c r="BT300" s="234">
        <f t="shared" si="811"/>
        <v>0</v>
      </c>
      <c r="BU300" s="235"/>
      <c r="BV300" s="236"/>
    </row>
    <row r="301" spans="1:74" s="194" customFormat="1" ht="26.25" customHeight="1" x14ac:dyDescent="0.2">
      <c r="A301" s="108"/>
      <c r="B301" s="417" t="s">
        <v>596</v>
      </c>
      <c r="C301" s="418"/>
      <c r="D301" s="80">
        <f t="shared" ref="D301:D303" si="816">F301+Z301+AM301+AZ301+BH301</f>
        <v>217104</v>
      </c>
      <c r="E301" s="295">
        <f t="shared" ref="E301:E303" si="817">G301+AA301+AN301+BA301+BI301</f>
        <v>217104</v>
      </c>
      <c r="F301" s="81">
        <v>217104</v>
      </c>
      <c r="G301" s="81">
        <f t="shared" ref="G301:G303" si="818">F301+H301</f>
        <v>217104</v>
      </c>
      <c r="H301" s="81">
        <f t="shared" ref="H301:H303" si="819">SUM(I301:Y301)</f>
        <v>0</v>
      </c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>
        <f t="shared" ref="AA301:AA303" si="820">Z301+AB301</f>
        <v>0</v>
      </c>
      <c r="AB301" s="81">
        <f t="shared" ref="AB301:AB303" si="821">SUM(AC301:AL301)</f>
        <v>0</v>
      </c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98">
        <f t="shared" ref="AN301:AN303" si="822">AM301+AO301</f>
        <v>0</v>
      </c>
      <c r="AO301" s="98">
        <f t="shared" ref="AO301:AO303" si="823">SUM(AP301:AY301)</f>
        <v>0</v>
      </c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81">
        <f t="shared" ref="BA301:BA303" si="824">AZ301+BB301</f>
        <v>0</v>
      </c>
      <c r="BB301" s="98">
        <f t="shared" ref="BB301:BB303" si="825">SUM(BC301:BG301)</f>
        <v>0</v>
      </c>
      <c r="BC301" s="98"/>
      <c r="BD301" s="98"/>
      <c r="BE301" s="98"/>
      <c r="BF301" s="98"/>
      <c r="BG301" s="98"/>
      <c r="BH301" s="81"/>
      <c r="BI301" s="309">
        <f t="shared" ref="BI301:BI303" si="826">BH301+BJ301</f>
        <v>0</v>
      </c>
      <c r="BJ301" s="98">
        <f t="shared" ref="BJ301:BJ303" si="827">SUM(BK301:BT301)</f>
        <v>0</v>
      </c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82"/>
      <c r="BV301" s="85"/>
    </row>
    <row r="302" spans="1:74" s="198" customFormat="1" ht="51" customHeight="1" x14ac:dyDescent="0.2">
      <c r="A302" s="108"/>
      <c r="B302" s="443" t="s">
        <v>645</v>
      </c>
      <c r="C302" s="418"/>
      <c r="D302" s="80">
        <f t="shared" si="816"/>
        <v>809607</v>
      </c>
      <c r="E302" s="295">
        <f t="shared" si="817"/>
        <v>809607</v>
      </c>
      <c r="F302" s="81">
        <v>809607</v>
      </c>
      <c r="G302" s="81">
        <f t="shared" si="818"/>
        <v>809607</v>
      </c>
      <c r="H302" s="81">
        <f t="shared" si="819"/>
        <v>0</v>
      </c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>
        <f t="shared" si="820"/>
        <v>0</v>
      </c>
      <c r="AB302" s="81">
        <f t="shared" si="821"/>
        <v>0</v>
      </c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98">
        <f t="shared" si="822"/>
        <v>0</v>
      </c>
      <c r="AO302" s="98">
        <f t="shared" si="823"/>
        <v>0</v>
      </c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81">
        <f t="shared" si="824"/>
        <v>0</v>
      </c>
      <c r="BB302" s="98">
        <f t="shared" si="825"/>
        <v>0</v>
      </c>
      <c r="BC302" s="98"/>
      <c r="BD302" s="98"/>
      <c r="BE302" s="98"/>
      <c r="BF302" s="98"/>
      <c r="BG302" s="98"/>
      <c r="BH302" s="81"/>
      <c r="BI302" s="309">
        <f t="shared" si="826"/>
        <v>0</v>
      </c>
      <c r="BJ302" s="98">
        <f t="shared" si="827"/>
        <v>0</v>
      </c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82"/>
      <c r="BV302" s="85"/>
    </row>
    <row r="303" spans="1:74" s="194" customFormat="1" ht="24" customHeight="1" x14ac:dyDescent="0.2">
      <c r="A303" s="108"/>
      <c r="B303" s="417" t="s">
        <v>597</v>
      </c>
      <c r="C303" s="418"/>
      <c r="D303" s="80">
        <f t="shared" si="816"/>
        <v>651688</v>
      </c>
      <c r="E303" s="295">
        <f t="shared" si="817"/>
        <v>651688</v>
      </c>
      <c r="F303" s="81">
        <v>651688</v>
      </c>
      <c r="G303" s="81">
        <f t="shared" si="818"/>
        <v>651688</v>
      </c>
      <c r="H303" s="81">
        <f t="shared" si="819"/>
        <v>0</v>
      </c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>
        <f t="shared" si="820"/>
        <v>0</v>
      </c>
      <c r="AB303" s="81">
        <f t="shared" si="821"/>
        <v>0</v>
      </c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98">
        <f t="shared" si="822"/>
        <v>0</v>
      </c>
      <c r="AO303" s="98">
        <f t="shared" si="823"/>
        <v>0</v>
      </c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81">
        <f t="shared" si="824"/>
        <v>0</v>
      </c>
      <c r="BB303" s="98">
        <f t="shared" si="825"/>
        <v>0</v>
      </c>
      <c r="BC303" s="98"/>
      <c r="BD303" s="98"/>
      <c r="BE303" s="98"/>
      <c r="BF303" s="98"/>
      <c r="BG303" s="98"/>
      <c r="BH303" s="81"/>
      <c r="BI303" s="309">
        <f t="shared" si="826"/>
        <v>0</v>
      </c>
      <c r="BJ303" s="98">
        <f t="shared" si="827"/>
        <v>0</v>
      </c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82"/>
      <c r="BV303" s="85"/>
    </row>
    <row r="304" spans="1:74" s="198" customFormat="1" x14ac:dyDescent="0.2">
      <c r="A304" s="237" t="s">
        <v>17</v>
      </c>
      <c r="B304" s="231" t="s">
        <v>18</v>
      </c>
      <c r="C304" s="329"/>
      <c r="D304" s="232">
        <f t="shared" ref="D304:E304" si="828">SUM(D305:D307)</f>
        <v>872835</v>
      </c>
      <c r="E304" s="303">
        <f t="shared" si="828"/>
        <v>872835</v>
      </c>
      <c r="F304" s="233">
        <f t="shared" ref="F304:BT304" si="829">SUM(F305:F307)</f>
        <v>872835</v>
      </c>
      <c r="G304" s="233">
        <f t="shared" si="829"/>
        <v>872835</v>
      </c>
      <c r="H304" s="233">
        <f t="shared" ref="H304" si="830">SUM(H305:H307)</f>
        <v>0</v>
      </c>
      <c r="I304" s="233">
        <f t="shared" si="829"/>
        <v>0</v>
      </c>
      <c r="J304" s="233">
        <f t="shared" ref="J304" si="831">SUM(J305:J307)</f>
        <v>0</v>
      </c>
      <c r="K304" s="233">
        <f t="shared" si="829"/>
        <v>0</v>
      </c>
      <c r="L304" s="233">
        <f t="shared" si="829"/>
        <v>0</v>
      </c>
      <c r="M304" s="233">
        <f t="shared" si="829"/>
        <v>0</v>
      </c>
      <c r="N304" s="233">
        <f t="shared" si="829"/>
        <v>0</v>
      </c>
      <c r="O304" s="233">
        <f t="shared" si="829"/>
        <v>0</v>
      </c>
      <c r="P304" s="233">
        <f t="shared" si="829"/>
        <v>0</v>
      </c>
      <c r="Q304" s="233">
        <f t="shared" si="829"/>
        <v>0</v>
      </c>
      <c r="R304" s="233">
        <f t="shared" si="829"/>
        <v>0</v>
      </c>
      <c r="S304" s="233">
        <f t="shared" si="829"/>
        <v>0</v>
      </c>
      <c r="T304" s="233"/>
      <c r="U304" s="233">
        <f t="shared" si="829"/>
        <v>0</v>
      </c>
      <c r="V304" s="233"/>
      <c r="W304" s="233">
        <f t="shared" si="829"/>
        <v>0</v>
      </c>
      <c r="X304" s="233">
        <f t="shared" si="829"/>
        <v>0</v>
      </c>
      <c r="Y304" s="233">
        <f t="shared" si="829"/>
        <v>0</v>
      </c>
      <c r="Z304" s="233">
        <f t="shared" si="829"/>
        <v>0</v>
      </c>
      <c r="AA304" s="233">
        <f t="shared" ref="AA304:AL304" si="832">SUM(AA305:AA307)</f>
        <v>0</v>
      </c>
      <c r="AB304" s="233">
        <f t="shared" si="832"/>
        <v>0</v>
      </c>
      <c r="AC304" s="233">
        <f t="shared" si="832"/>
        <v>0</v>
      </c>
      <c r="AD304" s="233">
        <f t="shared" si="832"/>
        <v>0</v>
      </c>
      <c r="AE304" s="233">
        <f t="shared" si="832"/>
        <v>0</v>
      </c>
      <c r="AF304" s="233">
        <f t="shared" si="832"/>
        <v>0</v>
      </c>
      <c r="AG304" s="233">
        <f t="shared" si="832"/>
        <v>0</v>
      </c>
      <c r="AH304" s="233">
        <f t="shared" si="832"/>
        <v>0</v>
      </c>
      <c r="AI304" s="233">
        <f t="shared" si="832"/>
        <v>0</v>
      </c>
      <c r="AJ304" s="233">
        <f t="shared" si="832"/>
        <v>0</v>
      </c>
      <c r="AK304" s="233">
        <f t="shared" si="832"/>
        <v>0</v>
      </c>
      <c r="AL304" s="233">
        <f t="shared" si="832"/>
        <v>0</v>
      </c>
      <c r="AM304" s="233">
        <f t="shared" si="829"/>
        <v>0</v>
      </c>
      <c r="AN304" s="234">
        <f t="shared" si="829"/>
        <v>0</v>
      </c>
      <c r="AO304" s="234">
        <f t="shared" si="829"/>
        <v>0</v>
      </c>
      <c r="AP304" s="234">
        <f t="shared" si="829"/>
        <v>0</v>
      </c>
      <c r="AQ304" s="234">
        <f t="shared" si="829"/>
        <v>0</v>
      </c>
      <c r="AR304" s="234">
        <f t="shared" si="829"/>
        <v>0</v>
      </c>
      <c r="AS304" s="234">
        <f t="shared" si="829"/>
        <v>0</v>
      </c>
      <c r="AT304" s="234">
        <f t="shared" si="829"/>
        <v>0</v>
      </c>
      <c r="AU304" s="234">
        <f t="shared" si="829"/>
        <v>0</v>
      </c>
      <c r="AV304" s="234">
        <f t="shared" si="829"/>
        <v>0</v>
      </c>
      <c r="AW304" s="234">
        <f t="shared" si="829"/>
        <v>0</v>
      </c>
      <c r="AX304" s="234">
        <f t="shared" si="829"/>
        <v>0</v>
      </c>
      <c r="AY304" s="234">
        <f t="shared" si="829"/>
        <v>0</v>
      </c>
      <c r="AZ304" s="234">
        <f t="shared" si="829"/>
        <v>0</v>
      </c>
      <c r="BA304" s="233">
        <f t="shared" ref="BA304:BG304" si="833">SUM(BA305:BA307)</f>
        <v>0</v>
      </c>
      <c r="BB304" s="234">
        <f t="shared" si="833"/>
        <v>0</v>
      </c>
      <c r="BC304" s="234">
        <f t="shared" si="833"/>
        <v>0</v>
      </c>
      <c r="BD304" s="234">
        <f t="shared" si="833"/>
        <v>0</v>
      </c>
      <c r="BE304" s="234">
        <f t="shared" si="833"/>
        <v>0</v>
      </c>
      <c r="BF304" s="234">
        <f t="shared" si="833"/>
        <v>0</v>
      </c>
      <c r="BG304" s="234">
        <f t="shared" si="833"/>
        <v>0</v>
      </c>
      <c r="BH304" s="233">
        <f t="shared" si="829"/>
        <v>0</v>
      </c>
      <c r="BI304" s="315">
        <f t="shared" si="829"/>
        <v>0</v>
      </c>
      <c r="BJ304" s="234">
        <f t="shared" si="829"/>
        <v>0</v>
      </c>
      <c r="BK304" s="234">
        <f t="shared" si="829"/>
        <v>0</v>
      </c>
      <c r="BL304" s="234">
        <f t="shared" si="829"/>
        <v>0</v>
      </c>
      <c r="BM304" s="234">
        <f t="shared" si="829"/>
        <v>0</v>
      </c>
      <c r="BN304" s="234">
        <f t="shared" si="829"/>
        <v>0</v>
      </c>
      <c r="BO304" s="234">
        <f t="shared" si="829"/>
        <v>0</v>
      </c>
      <c r="BP304" s="234">
        <f t="shared" si="829"/>
        <v>0</v>
      </c>
      <c r="BQ304" s="234">
        <f t="shared" si="829"/>
        <v>0</v>
      </c>
      <c r="BR304" s="234">
        <f t="shared" si="829"/>
        <v>0</v>
      </c>
      <c r="BS304" s="234">
        <f t="shared" si="829"/>
        <v>0</v>
      </c>
      <c r="BT304" s="234">
        <f t="shared" si="829"/>
        <v>0</v>
      </c>
      <c r="BU304" s="235"/>
      <c r="BV304" s="236"/>
    </row>
    <row r="305" spans="1:74" s="194" customFormat="1" ht="27.75" customHeight="1" x14ac:dyDescent="0.2">
      <c r="A305" s="108"/>
      <c r="B305" s="417" t="s">
        <v>237</v>
      </c>
      <c r="C305" s="418"/>
      <c r="D305" s="80">
        <f t="shared" ref="D305:D307" si="834">F305+Z305+AM305+AZ305+BH305</f>
        <v>500500</v>
      </c>
      <c r="E305" s="295">
        <f t="shared" ref="E305:E307" si="835">G305+AA305+AN305+BA305+BI305</f>
        <v>500500</v>
      </c>
      <c r="F305" s="81">
        <v>500500</v>
      </c>
      <c r="G305" s="81">
        <f t="shared" ref="G305:G307" si="836">F305+H305</f>
        <v>500500</v>
      </c>
      <c r="H305" s="81">
        <f t="shared" ref="H305:H307" si="837">SUM(I305:Y305)</f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>
        <f t="shared" ref="AA305:AA307" si="838">Z305+AB305</f>
        <v>0</v>
      </c>
      <c r="AB305" s="81">
        <f t="shared" ref="AB305:AB307" si="839">SUM(AC305:AL305)</f>
        <v>0</v>
      </c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98">
        <f t="shared" ref="AN305:AN307" si="840">AM305+AO305</f>
        <v>0</v>
      </c>
      <c r="AO305" s="98">
        <f t="shared" ref="AO305:AO307" si="841">SUM(AP305:AY305)</f>
        <v>0</v>
      </c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81">
        <f t="shared" ref="BA305:BA307" si="842">AZ305+BB305</f>
        <v>0</v>
      </c>
      <c r="BB305" s="98">
        <f t="shared" ref="BB305:BB307" si="843">SUM(BC305:BG305)</f>
        <v>0</v>
      </c>
      <c r="BC305" s="98"/>
      <c r="BD305" s="98"/>
      <c r="BE305" s="98"/>
      <c r="BF305" s="98"/>
      <c r="BG305" s="98"/>
      <c r="BH305" s="81"/>
      <c r="BI305" s="309">
        <f t="shared" ref="BI305:BI307" si="844">BH305+BJ305</f>
        <v>0</v>
      </c>
      <c r="BJ305" s="98">
        <f t="shared" ref="BJ305:BJ307" si="845">SUM(BK305:BT305)</f>
        <v>0</v>
      </c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82"/>
      <c r="BV305" s="85"/>
    </row>
    <row r="306" spans="1:74" s="194" customFormat="1" x14ac:dyDescent="0.2">
      <c r="A306" s="108"/>
      <c r="B306" s="417" t="s">
        <v>598</v>
      </c>
      <c r="C306" s="418"/>
      <c r="D306" s="80">
        <f t="shared" si="834"/>
        <v>284577</v>
      </c>
      <c r="E306" s="295">
        <f t="shared" si="835"/>
        <v>284577</v>
      </c>
      <c r="F306" s="81">
        <v>284577</v>
      </c>
      <c r="G306" s="81">
        <f t="shared" si="836"/>
        <v>284577</v>
      </c>
      <c r="H306" s="81">
        <f t="shared" si="837"/>
        <v>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>
        <f t="shared" si="838"/>
        <v>0</v>
      </c>
      <c r="AB306" s="81">
        <f t="shared" si="839"/>
        <v>0</v>
      </c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98">
        <f t="shared" si="840"/>
        <v>0</v>
      </c>
      <c r="AO306" s="98">
        <f t="shared" si="841"/>
        <v>0</v>
      </c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81">
        <f t="shared" si="842"/>
        <v>0</v>
      </c>
      <c r="BB306" s="98">
        <f t="shared" si="843"/>
        <v>0</v>
      </c>
      <c r="BC306" s="98"/>
      <c r="BD306" s="98"/>
      <c r="BE306" s="98"/>
      <c r="BF306" s="98"/>
      <c r="BG306" s="98"/>
      <c r="BH306" s="81"/>
      <c r="BI306" s="309">
        <f t="shared" si="844"/>
        <v>0</v>
      </c>
      <c r="BJ306" s="98">
        <f t="shared" si="845"/>
        <v>0</v>
      </c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82"/>
      <c r="BV306" s="85"/>
    </row>
    <row r="307" spans="1:74" s="194" customFormat="1" ht="27.75" customHeight="1" x14ac:dyDescent="0.2">
      <c r="A307" s="108"/>
      <c r="B307" s="417" t="s">
        <v>599</v>
      </c>
      <c r="C307" s="418"/>
      <c r="D307" s="80">
        <f t="shared" si="834"/>
        <v>87758</v>
      </c>
      <c r="E307" s="295">
        <f t="shared" si="835"/>
        <v>87758</v>
      </c>
      <c r="F307" s="81">
        <v>87758</v>
      </c>
      <c r="G307" s="81">
        <f t="shared" si="836"/>
        <v>87758</v>
      </c>
      <c r="H307" s="81">
        <f t="shared" si="837"/>
        <v>0</v>
      </c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>
        <f t="shared" si="838"/>
        <v>0</v>
      </c>
      <c r="AB307" s="81">
        <f t="shared" si="839"/>
        <v>0</v>
      </c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98">
        <f t="shared" si="840"/>
        <v>0</v>
      </c>
      <c r="AO307" s="98">
        <f t="shared" si="841"/>
        <v>0</v>
      </c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81">
        <f t="shared" si="842"/>
        <v>0</v>
      </c>
      <c r="BB307" s="98">
        <f t="shared" si="843"/>
        <v>0</v>
      </c>
      <c r="BC307" s="98"/>
      <c r="BD307" s="98"/>
      <c r="BE307" s="98"/>
      <c r="BF307" s="98"/>
      <c r="BG307" s="98"/>
      <c r="BH307" s="81"/>
      <c r="BI307" s="309">
        <f t="shared" si="844"/>
        <v>0</v>
      </c>
      <c r="BJ307" s="98">
        <f t="shared" si="845"/>
        <v>0</v>
      </c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82"/>
      <c r="BV307" s="85"/>
    </row>
    <row r="308" spans="1:74" s="198" customFormat="1" x14ac:dyDescent="0.2">
      <c r="A308" s="237">
        <v>10</v>
      </c>
      <c r="B308" s="231" t="s">
        <v>21</v>
      </c>
      <c r="C308" s="329"/>
      <c r="D308" s="232">
        <f t="shared" ref="D308:E308" si="846">SUM(D309:D310)</f>
        <v>166682</v>
      </c>
      <c r="E308" s="303">
        <f t="shared" si="846"/>
        <v>166682</v>
      </c>
      <c r="F308" s="233">
        <f t="shared" ref="F308:BT308" si="847">SUM(F309:F310)</f>
        <v>166682</v>
      </c>
      <c r="G308" s="233">
        <f t="shared" si="847"/>
        <v>166682</v>
      </c>
      <c r="H308" s="233">
        <f t="shared" ref="H308" si="848">SUM(H309:H310)</f>
        <v>0</v>
      </c>
      <c r="I308" s="233">
        <f t="shared" si="847"/>
        <v>0</v>
      </c>
      <c r="J308" s="233">
        <f t="shared" ref="J308" si="849">SUM(J309:J310)</f>
        <v>0</v>
      </c>
      <c r="K308" s="233">
        <f t="shared" si="847"/>
        <v>0</v>
      </c>
      <c r="L308" s="233">
        <f t="shared" si="847"/>
        <v>0</v>
      </c>
      <c r="M308" s="233">
        <f t="shared" si="847"/>
        <v>0</v>
      </c>
      <c r="N308" s="233">
        <f t="shared" si="847"/>
        <v>0</v>
      </c>
      <c r="O308" s="233">
        <f t="shared" si="847"/>
        <v>0</v>
      </c>
      <c r="P308" s="233">
        <f t="shared" si="847"/>
        <v>0</v>
      </c>
      <c r="Q308" s="233">
        <f t="shared" si="847"/>
        <v>0</v>
      </c>
      <c r="R308" s="233">
        <f t="shared" si="847"/>
        <v>0</v>
      </c>
      <c r="S308" s="233">
        <f t="shared" si="847"/>
        <v>0</v>
      </c>
      <c r="T308" s="233"/>
      <c r="U308" s="233">
        <f t="shared" si="847"/>
        <v>0</v>
      </c>
      <c r="V308" s="233"/>
      <c r="W308" s="233">
        <f t="shared" si="847"/>
        <v>0</v>
      </c>
      <c r="X308" s="233">
        <f t="shared" si="847"/>
        <v>0</v>
      </c>
      <c r="Y308" s="233">
        <f t="shared" si="847"/>
        <v>0</v>
      </c>
      <c r="Z308" s="233">
        <f t="shared" si="847"/>
        <v>0</v>
      </c>
      <c r="AA308" s="233">
        <f t="shared" ref="AA308:AL308" si="850">SUM(AA309:AA310)</f>
        <v>0</v>
      </c>
      <c r="AB308" s="233">
        <f t="shared" si="850"/>
        <v>0</v>
      </c>
      <c r="AC308" s="233">
        <f t="shared" si="850"/>
        <v>0</v>
      </c>
      <c r="AD308" s="233">
        <f t="shared" si="850"/>
        <v>0</v>
      </c>
      <c r="AE308" s="233">
        <f t="shared" si="850"/>
        <v>0</v>
      </c>
      <c r="AF308" s="233">
        <f t="shared" si="850"/>
        <v>0</v>
      </c>
      <c r="AG308" s="233">
        <f t="shared" si="850"/>
        <v>0</v>
      </c>
      <c r="AH308" s="233">
        <f t="shared" si="850"/>
        <v>0</v>
      </c>
      <c r="AI308" s="233">
        <f t="shared" si="850"/>
        <v>0</v>
      </c>
      <c r="AJ308" s="233">
        <f t="shared" si="850"/>
        <v>0</v>
      </c>
      <c r="AK308" s="233">
        <f t="shared" si="850"/>
        <v>0</v>
      </c>
      <c r="AL308" s="233">
        <f t="shared" si="850"/>
        <v>0</v>
      </c>
      <c r="AM308" s="233">
        <f t="shared" si="847"/>
        <v>0</v>
      </c>
      <c r="AN308" s="234">
        <f t="shared" si="847"/>
        <v>0</v>
      </c>
      <c r="AO308" s="234">
        <f t="shared" si="847"/>
        <v>0</v>
      </c>
      <c r="AP308" s="234">
        <f t="shared" si="847"/>
        <v>0</v>
      </c>
      <c r="AQ308" s="234">
        <f t="shared" si="847"/>
        <v>0</v>
      </c>
      <c r="AR308" s="234">
        <f t="shared" si="847"/>
        <v>0</v>
      </c>
      <c r="AS308" s="234">
        <f t="shared" si="847"/>
        <v>0</v>
      </c>
      <c r="AT308" s="234">
        <f t="shared" si="847"/>
        <v>0</v>
      </c>
      <c r="AU308" s="234">
        <f t="shared" si="847"/>
        <v>0</v>
      </c>
      <c r="AV308" s="234">
        <f t="shared" si="847"/>
        <v>0</v>
      </c>
      <c r="AW308" s="234">
        <f t="shared" si="847"/>
        <v>0</v>
      </c>
      <c r="AX308" s="234">
        <f t="shared" si="847"/>
        <v>0</v>
      </c>
      <c r="AY308" s="234">
        <f t="shared" si="847"/>
        <v>0</v>
      </c>
      <c r="AZ308" s="234">
        <f t="shared" si="847"/>
        <v>0</v>
      </c>
      <c r="BA308" s="233">
        <f t="shared" ref="BA308:BG308" si="851">SUM(BA309:BA310)</f>
        <v>0</v>
      </c>
      <c r="BB308" s="234">
        <f t="shared" si="851"/>
        <v>0</v>
      </c>
      <c r="BC308" s="234">
        <f t="shared" si="851"/>
        <v>0</v>
      </c>
      <c r="BD308" s="234">
        <f t="shared" si="851"/>
        <v>0</v>
      </c>
      <c r="BE308" s="234">
        <f t="shared" si="851"/>
        <v>0</v>
      </c>
      <c r="BF308" s="234">
        <f t="shared" si="851"/>
        <v>0</v>
      </c>
      <c r="BG308" s="234">
        <f t="shared" si="851"/>
        <v>0</v>
      </c>
      <c r="BH308" s="233">
        <f t="shared" si="847"/>
        <v>0</v>
      </c>
      <c r="BI308" s="315">
        <f t="shared" si="847"/>
        <v>0</v>
      </c>
      <c r="BJ308" s="234">
        <f t="shared" si="847"/>
        <v>0</v>
      </c>
      <c r="BK308" s="234">
        <f t="shared" si="847"/>
        <v>0</v>
      </c>
      <c r="BL308" s="234">
        <f t="shared" si="847"/>
        <v>0</v>
      </c>
      <c r="BM308" s="234">
        <f t="shared" si="847"/>
        <v>0</v>
      </c>
      <c r="BN308" s="234">
        <f t="shared" si="847"/>
        <v>0</v>
      </c>
      <c r="BO308" s="234">
        <f t="shared" si="847"/>
        <v>0</v>
      </c>
      <c r="BP308" s="234">
        <f t="shared" si="847"/>
        <v>0</v>
      </c>
      <c r="BQ308" s="234">
        <f t="shared" si="847"/>
        <v>0</v>
      </c>
      <c r="BR308" s="234">
        <f t="shared" si="847"/>
        <v>0</v>
      </c>
      <c r="BS308" s="234">
        <f t="shared" si="847"/>
        <v>0</v>
      </c>
      <c r="BT308" s="234">
        <f t="shared" si="847"/>
        <v>0</v>
      </c>
      <c r="BU308" s="235"/>
      <c r="BV308" s="236"/>
    </row>
    <row r="309" spans="1:74" s="194" customFormat="1" ht="27" customHeight="1" x14ac:dyDescent="0.2">
      <c r="A309" s="108"/>
      <c r="B309" s="417" t="s">
        <v>600</v>
      </c>
      <c r="C309" s="418"/>
      <c r="D309" s="80">
        <f t="shared" ref="D309:D310" si="852">F309+Z309+AM309+AZ309+BH309</f>
        <v>160586</v>
      </c>
      <c r="E309" s="295">
        <f t="shared" ref="E309:E310" si="853">G309+AA309+AN309+BA309+BI309</f>
        <v>160586</v>
      </c>
      <c r="F309" s="81">
        <v>160586</v>
      </c>
      <c r="G309" s="81">
        <f t="shared" ref="G309:G310" si="854">F309+H309</f>
        <v>160586</v>
      </c>
      <c r="H309" s="81">
        <f t="shared" ref="H309:H310" si="855">SUM(I309:Y309)</f>
        <v>0</v>
      </c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>
        <f t="shared" ref="AA309:AA310" si="856">Z309+AB309</f>
        <v>0</v>
      </c>
      <c r="AB309" s="81">
        <f t="shared" ref="AB309:AB310" si="857">SUM(AC309:AL309)</f>
        <v>0</v>
      </c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98">
        <f t="shared" ref="AN309:AN311" si="858">AM309+AO309</f>
        <v>0</v>
      </c>
      <c r="AO309" s="98">
        <f t="shared" ref="AO309:AO311" si="859">SUM(AP309:AY309)</f>
        <v>0</v>
      </c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81">
        <f t="shared" ref="BA309:BA311" si="860">AZ309+BB309</f>
        <v>0</v>
      </c>
      <c r="BB309" s="98">
        <f t="shared" ref="BB309:BB311" si="861">SUM(BC309:BG309)</f>
        <v>0</v>
      </c>
      <c r="BC309" s="98"/>
      <c r="BD309" s="98"/>
      <c r="BE309" s="98"/>
      <c r="BF309" s="98"/>
      <c r="BG309" s="98"/>
      <c r="BH309" s="81"/>
      <c r="BI309" s="309">
        <f t="shared" ref="BI309:BI311" si="862">BH309+BJ309</f>
        <v>0</v>
      </c>
      <c r="BJ309" s="98">
        <f t="shared" ref="BJ309:BJ311" si="863">SUM(BK309:BT309)</f>
        <v>0</v>
      </c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82"/>
      <c r="BV309" s="85"/>
    </row>
    <row r="310" spans="1:74" s="194" customFormat="1" ht="23.25" customHeight="1" x14ac:dyDescent="0.2">
      <c r="A310" s="108"/>
      <c r="B310" s="417" t="s">
        <v>601</v>
      </c>
      <c r="C310" s="418"/>
      <c r="D310" s="80">
        <f t="shared" si="852"/>
        <v>6096</v>
      </c>
      <c r="E310" s="295">
        <f t="shared" si="853"/>
        <v>6096</v>
      </c>
      <c r="F310" s="81">
        <v>6096</v>
      </c>
      <c r="G310" s="81">
        <f t="shared" si="854"/>
        <v>6096</v>
      </c>
      <c r="H310" s="81">
        <f t="shared" si="855"/>
        <v>0</v>
      </c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>
        <f t="shared" si="856"/>
        <v>0</v>
      </c>
      <c r="AB310" s="81">
        <f t="shared" si="857"/>
        <v>0</v>
      </c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98">
        <f t="shared" si="858"/>
        <v>0</v>
      </c>
      <c r="AO310" s="98">
        <f t="shared" si="859"/>
        <v>0</v>
      </c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81">
        <f t="shared" si="860"/>
        <v>0</v>
      </c>
      <c r="BB310" s="98">
        <f t="shared" si="861"/>
        <v>0</v>
      </c>
      <c r="BC310" s="98"/>
      <c r="BD310" s="98"/>
      <c r="BE310" s="98"/>
      <c r="BF310" s="98"/>
      <c r="BG310" s="98"/>
      <c r="BH310" s="81"/>
      <c r="BI310" s="309">
        <f t="shared" si="862"/>
        <v>0</v>
      </c>
      <c r="BJ310" s="98">
        <f t="shared" si="863"/>
        <v>0</v>
      </c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82"/>
      <c r="BV310" s="85"/>
    </row>
    <row r="311" spans="1:74" s="194" customFormat="1" ht="10.5" customHeight="1" thickBot="1" x14ac:dyDescent="0.25">
      <c r="A311" s="102"/>
      <c r="B311" s="287"/>
      <c r="C311" s="327"/>
      <c r="D311" s="139"/>
      <c r="E311" s="299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203">
        <f t="shared" si="858"/>
        <v>0</v>
      </c>
      <c r="AO311" s="203">
        <f t="shared" si="859"/>
        <v>0</v>
      </c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81">
        <f t="shared" si="860"/>
        <v>0</v>
      </c>
      <c r="BB311" s="98">
        <f t="shared" si="861"/>
        <v>0</v>
      </c>
      <c r="BC311" s="203"/>
      <c r="BD311" s="203"/>
      <c r="BE311" s="203"/>
      <c r="BF311" s="203"/>
      <c r="BG311" s="203"/>
      <c r="BH311" s="170"/>
      <c r="BI311" s="311">
        <f t="shared" si="862"/>
        <v>0</v>
      </c>
      <c r="BJ311" s="203">
        <f t="shared" si="863"/>
        <v>0</v>
      </c>
      <c r="BK311" s="203"/>
      <c r="BL311" s="203"/>
      <c r="BM311" s="203"/>
      <c r="BN311" s="203"/>
      <c r="BO311" s="203"/>
      <c r="BP311" s="203"/>
      <c r="BQ311" s="203"/>
      <c r="BR311" s="203"/>
      <c r="BS311" s="203"/>
      <c r="BT311" s="203"/>
      <c r="BU311" s="204"/>
      <c r="BV311" s="88"/>
    </row>
    <row r="312" spans="1:74" s="194" customFormat="1" ht="12.75" thickTop="1" x14ac:dyDescent="0.2">
      <c r="A312" s="129" t="s">
        <v>609</v>
      </c>
      <c r="B312" s="212" t="s">
        <v>458</v>
      </c>
      <c r="C312" s="324"/>
      <c r="D312" s="207">
        <f>SUM(D313:D314)</f>
        <v>73605</v>
      </c>
      <c r="E312" s="208">
        <f t="shared" ref="E312:BP312" si="864">SUM(E313:E314)</f>
        <v>562893</v>
      </c>
      <c r="F312" s="208">
        <f t="shared" si="864"/>
        <v>73605</v>
      </c>
      <c r="G312" s="208">
        <f t="shared" si="864"/>
        <v>562893</v>
      </c>
      <c r="H312" s="208">
        <f t="shared" si="864"/>
        <v>489288</v>
      </c>
      <c r="I312" s="208">
        <f t="shared" si="864"/>
        <v>0</v>
      </c>
      <c r="J312" s="208">
        <f t="shared" si="864"/>
        <v>0</v>
      </c>
      <c r="K312" s="208">
        <f t="shared" si="864"/>
        <v>0</v>
      </c>
      <c r="L312" s="208">
        <f t="shared" si="864"/>
        <v>0</v>
      </c>
      <c r="M312" s="208">
        <f t="shared" si="864"/>
        <v>0</v>
      </c>
      <c r="N312" s="208">
        <f t="shared" si="864"/>
        <v>0</v>
      </c>
      <c r="O312" s="208">
        <f t="shared" si="864"/>
        <v>0</v>
      </c>
      <c r="P312" s="208">
        <f t="shared" si="864"/>
        <v>0</v>
      </c>
      <c r="Q312" s="208">
        <f t="shared" si="864"/>
        <v>0</v>
      </c>
      <c r="R312" s="208">
        <f t="shared" si="864"/>
        <v>0</v>
      </c>
      <c r="S312" s="208">
        <f t="shared" si="864"/>
        <v>0</v>
      </c>
      <c r="T312" s="208">
        <f t="shared" si="864"/>
        <v>0</v>
      </c>
      <c r="U312" s="208">
        <f t="shared" si="864"/>
        <v>0</v>
      </c>
      <c r="V312" s="208">
        <f t="shared" si="864"/>
        <v>0</v>
      </c>
      <c r="W312" s="208">
        <f t="shared" si="864"/>
        <v>489288</v>
      </c>
      <c r="X312" s="208">
        <f t="shared" si="864"/>
        <v>0</v>
      </c>
      <c r="Y312" s="208">
        <f t="shared" si="864"/>
        <v>0</v>
      </c>
      <c r="Z312" s="208">
        <f t="shared" si="864"/>
        <v>0</v>
      </c>
      <c r="AA312" s="208">
        <f t="shared" si="864"/>
        <v>0</v>
      </c>
      <c r="AB312" s="208">
        <f t="shared" si="864"/>
        <v>0</v>
      </c>
      <c r="AC312" s="208">
        <f t="shared" si="864"/>
        <v>0</v>
      </c>
      <c r="AD312" s="208">
        <f t="shared" si="864"/>
        <v>0</v>
      </c>
      <c r="AE312" s="208">
        <f t="shared" si="864"/>
        <v>0</v>
      </c>
      <c r="AF312" s="208">
        <f t="shared" si="864"/>
        <v>0</v>
      </c>
      <c r="AG312" s="208">
        <f t="shared" si="864"/>
        <v>0</v>
      </c>
      <c r="AH312" s="208">
        <f t="shared" si="864"/>
        <v>0</v>
      </c>
      <c r="AI312" s="208">
        <f t="shared" si="864"/>
        <v>0</v>
      </c>
      <c r="AJ312" s="208">
        <f t="shared" si="864"/>
        <v>0</v>
      </c>
      <c r="AK312" s="208">
        <f t="shared" si="864"/>
        <v>0</v>
      </c>
      <c r="AL312" s="208">
        <f t="shared" si="864"/>
        <v>0</v>
      </c>
      <c r="AM312" s="208">
        <f t="shared" si="864"/>
        <v>0</v>
      </c>
      <c r="AN312" s="208">
        <f t="shared" si="864"/>
        <v>0</v>
      </c>
      <c r="AO312" s="208">
        <f t="shared" si="864"/>
        <v>0</v>
      </c>
      <c r="AP312" s="208">
        <f t="shared" si="864"/>
        <v>0</v>
      </c>
      <c r="AQ312" s="208">
        <f t="shared" si="864"/>
        <v>0</v>
      </c>
      <c r="AR312" s="208">
        <f t="shared" si="864"/>
        <v>0</v>
      </c>
      <c r="AS312" s="208">
        <f t="shared" si="864"/>
        <v>0</v>
      </c>
      <c r="AT312" s="208">
        <f t="shared" si="864"/>
        <v>0</v>
      </c>
      <c r="AU312" s="208">
        <f t="shared" si="864"/>
        <v>0</v>
      </c>
      <c r="AV312" s="208">
        <f t="shared" si="864"/>
        <v>0</v>
      </c>
      <c r="AW312" s="208">
        <f t="shared" si="864"/>
        <v>0</v>
      </c>
      <c r="AX312" s="208">
        <f t="shared" si="864"/>
        <v>0</v>
      </c>
      <c r="AY312" s="208">
        <f t="shared" si="864"/>
        <v>0</v>
      </c>
      <c r="AZ312" s="208">
        <f t="shared" si="864"/>
        <v>0</v>
      </c>
      <c r="BA312" s="208">
        <f t="shared" si="864"/>
        <v>0</v>
      </c>
      <c r="BB312" s="208">
        <f t="shared" si="864"/>
        <v>0</v>
      </c>
      <c r="BC312" s="208">
        <f t="shared" si="864"/>
        <v>0</v>
      </c>
      <c r="BD312" s="208">
        <f t="shared" si="864"/>
        <v>0</v>
      </c>
      <c r="BE312" s="208">
        <f t="shared" si="864"/>
        <v>0</v>
      </c>
      <c r="BF312" s="208">
        <f t="shared" si="864"/>
        <v>0</v>
      </c>
      <c r="BG312" s="208">
        <f t="shared" si="864"/>
        <v>0</v>
      </c>
      <c r="BH312" s="208">
        <f t="shared" si="864"/>
        <v>0</v>
      </c>
      <c r="BI312" s="208">
        <f t="shared" si="864"/>
        <v>0</v>
      </c>
      <c r="BJ312" s="208">
        <f t="shared" si="864"/>
        <v>0</v>
      </c>
      <c r="BK312" s="208">
        <f t="shared" si="864"/>
        <v>0</v>
      </c>
      <c r="BL312" s="208">
        <f t="shared" si="864"/>
        <v>0</v>
      </c>
      <c r="BM312" s="208">
        <f t="shared" si="864"/>
        <v>0</v>
      </c>
      <c r="BN312" s="208">
        <f t="shared" si="864"/>
        <v>0</v>
      </c>
      <c r="BO312" s="208">
        <f t="shared" si="864"/>
        <v>0</v>
      </c>
      <c r="BP312" s="208">
        <f t="shared" si="864"/>
        <v>0</v>
      </c>
      <c r="BQ312" s="208">
        <f t="shared" ref="BQ312:BT312" si="865">SUM(BQ313:BQ314)</f>
        <v>0</v>
      </c>
      <c r="BR312" s="208">
        <f t="shared" si="865"/>
        <v>0</v>
      </c>
      <c r="BS312" s="208">
        <f t="shared" si="865"/>
        <v>0</v>
      </c>
      <c r="BT312" s="400">
        <f t="shared" si="865"/>
        <v>0</v>
      </c>
      <c r="BU312" s="205"/>
      <c r="BV312" s="206"/>
    </row>
    <row r="313" spans="1:74" s="194" customFormat="1" ht="24.75" customHeight="1" x14ac:dyDescent="0.2">
      <c r="A313" s="102">
        <v>50003220021</v>
      </c>
      <c r="B313" s="437" t="s">
        <v>508</v>
      </c>
      <c r="C313" s="436"/>
      <c r="D313" s="71">
        <f>F313+Z313+AM313+AZ313+BH313</f>
        <v>73605</v>
      </c>
      <c r="E313" s="296">
        <f>G313+AA313+AN313+BA313+BI313</f>
        <v>73605</v>
      </c>
      <c r="F313" s="72">
        <v>73605</v>
      </c>
      <c r="G313" s="72">
        <f>F313+H313</f>
        <v>73605</v>
      </c>
      <c r="H313" s="72">
        <f>SUM(I313:Y313)</f>
        <v>0</v>
      </c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>
        <f>Z313+AB313</f>
        <v>0</v>
      </c>
      <c r="AB313" s="72">
        <f>SUM(AC313:AL313)</f>
        <v>0</v>
      </c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97">
        <f>AM313+AO313</f>
        <v>0</v>
      </c>
      <c r="AO313" s="97">
        <f>SUM(AP313:AY313)</f>
        <v>0</v>
      </c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81">
        <f>AZ313+BB313</f>
        <v>0</v>
      </c>
      <c r="BB313" s="98">
        <f>SUM(BC313:BG313)</f>
        <v>0</v>
      </c>
      <c r="BC313" s="97"/>
      <c r="BD313" s="97"/>
      <c r="BE313" s="97"/>
      <c r="BF313" s="97"/>
      <c r="BG313" s="97"/>
      <c r="BH313" s="72"/>
      <c r="BI313" s="264">
        <f>BH313+BJ313</f>
        <v>0</v>
      </c>
      <c r="BJ313" s="97">
        <f>SUM(BK313:BT313)</f>
        <v>0</v>
      </c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82" t="s">
        <v>507</v>
      </c>
      <c r="BV313" s="200"/>
    </row>
    <row r="314" spans="1:74" s="198" customFormat="1" ht="12.75" x14ac:dyDescent="0.2">
      <c r="A314" s="102">
        <v>4000327533</v>
      </c>
      <c r="B314" s="435" t="s">
        <v>306</v>
      </c>
      <c r="C314" s="436"/>
      <c r="D314" s="71">
        <f>F314+Z314+AM314+AZ314+BH314</f>
        <v>0</v>
      </c>
      <c r="E314" s="296">
        <f>G314+AA314+AN314+BA314+BI314</f>
        <v>489288</v>
      </c>
      <c r="F314" s="72"/>
      <c r="G314" s="72">
        <f>F314+H314</f>
        <v>489288</v>
      </c>
      <c r="H314" s="72">
        <f>SUM(I314:Y314)</f>
        <v>489288</v>
      </c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>
        <v>489288</v>
      </c>
      <c r="X314" s="72"/>
      <c r="Y314" s="72"/>
      <c r="Z314" s="72"/>
      <c r="AA314" s="72">
        <f>Z314+AB314</f>
        <v>0</v>
      </c>
      <c r="AB314" s="72">
        <f>SUM(AC314:AL314)</f>
        <v>0</v>
      </c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97">
        <f>AM314+AO314</f>
        <v>0</v>
      </c>
      <c r="AO314" s="97">
        <f>SUM(AP314:AY314)</f>
        <v>0</v>
      </c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81">
        <f>AZ314+BB314</f>
        <v>0</v>
      </c>
      <c r="BB314" s="98">
        <f>SUM(BC314:BG314)</f>
        <v>0</v>
      </c>
      <c r="BC314" s="97"/>
      <c r="BD314" s="97"/>
      <c r="BE314" s="97"/>
      <c r="BF314" s="97"/>
      <c r="BG314" s="97"/>
      <c r="BH314" s="72"/>
      <c r="BI314" s="264">
        <f>BH314+BJ314</f>
        <v>0</v>
      </c>
      <c r="BJ314" s="97">
        <f>SUM(BK314:BT314)</f>
        <v>0</v>
      </c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204" t="s">
        <v>839</v>
      </c>
      <c r="BV314" s="86"/>
    </row>
    <row r="315" spans="1:74" s="198" customFormat="1" ht="12.75" x14ac:dyDescent="0.2">
      <c r="A315" s="108" t="s">
        <v>609</v>
      </c>
      <c r="B315" s="257" t="s">
        <v>650</v>
      </c>
      <c r="C315" s="330"/>
      <c r="D315" s="258">
        <f t="shared" ref="D315:BT315" si="866">SUM(D316)</f>
        <v>1</v>
      </c>
      <c r="E315" s="304">
        <f t="shared" si="866"/>
        <v>1</v>
      </c>
      <c r="F315" s="259">
        <f t="shared" ref="F315" si="867">SUM(F316)</f>
        <v>1</v>
      </c>
      <c r="G315" s="259">
        <f t="shared" si="866"/>
        <v>1</v>
      </c>
      <c r="H315" s="259">
        <f t="shared" si="866"/>
        <v>0</v>
      </c>
      <c r="I315" s="259">
        <f t="shared" si="866"/>
        <v>0</v>
      </c>
      <c r="J315" s="259">
        <f t="shared" si="866"/>
        <v>0</v>
      </c>
      <c r="K315" s="259">
        <f t="shared" si="866"/>
        <v>0</v>
      </c>
      <c r="L315" s="259">
        <f t="shared" si="866"/>
        <v>0</v>
      </c>
      <c r="M315" s="259">
        <f t="shared" si="866"/>
        <v>0</v>
      </c>
      <c r="N315" s="259">
        <f t="shared" si="866"/>
        <v>0</v>
      </c>
      <c r="O315" s="259">
        <f t="shared" si="866"/>
        <v>0</v>
      </c>
      <c r="P315" s="259">
        <f t="shared" si="866"/>
        <v>0</v>
      </c>
      <c r="Q315" s="259">
        <f t="shared" si="866"/>
        <v>0</v>
      </c>
      <c r="R315" s="259">
        <f t="shared" si="866"/>
        <v>0</v>
      </c>
      <c r="S315" s="259"/>
      <c r="T315" s="259"/>
      <c r="U315" s="259"/>
      <c r="V315" s="259"/>
      <c r="W315" s="259"/>
      <c r="X315" s="259"/>
      <c r="Y315" s="259">
        <f t="shared" si="866"/>
        <v>0</v>
      </c>
      <c r="Z315" s="259">
        <f t="shared" ref="Z315" si="868">SUM(Z316)</f>
        <v>0</v>
      </c>
      <c r="AA315" s="259">
        <f t="shared" si="866"/>
        <v>0</v>
      </c>
      <c r="AB315" s="259">
        <f t="shared" si="866"/>
        <v>0</v>
      </c>
      <c r="AC315" s="259">
        <f t="shared" si="866"/>
        <v>0</v>
      </c>
      <c r="AD315" s="259">
        <f t="shared" si="866"/>
        <v>0</v>
      </c>
      <c r="AE315" s="259">
        <f t="shared" si="866"/>
        <v>0</v>
      </c>
      <c r="AF315" s="259">
        <f t="shared" si="866"/>
        <v>0</v>
      </c>
      <c r="AG315" s="259">
        <f t="shared" si="866"/>
        <v>0</v>
      </c>
      <c r="AH315" s="259">
        <f t="shared" si="866"/>
        <v>0</v>
      </c>
      <c r="AI315" s="259">
        <f t="shared" si="866"/>
        <v>0</v>
      </c>
      <c r="AJ315" s="259">
        <f t="shared" si="866"/>
        <v>0</v>
      </c>
      <c r="AK315" s="259">
        <f t="shared" si="866"/>
        <v>0</v>
      </c>
      <c r="AL315" s="259">
        <f t="shared" si="866"/>
        <v>0</v>
      </c>
      <c r="AM315" s="259">
        <f t="shared" ref="AM315" si="869">SUM(AM316)</f>
        <v>0</v>
      </c>
      <c r="AN315" s="260">
        <f t="shared" si="866"/>
        <v>0</v>
      </c>
      <c r="AO315" s="260">
        <f t="shared" si="866"/>
        <v>0</v>
      </c>
      <c r="AP315" s="260">
        <f t="shared" si="866"/>
        <v>0</v>
      </c>
      <c r="AQ315" s="260">
        <f t="shared" si="866"/>
        <v>0</v>
      </c>
      <c r="AR315" s="260">
        <f t="shared" si="866"/>
        <v>0</v>
      </c>
      <c r="AS315" s="260">
        <f t="shared" si="866"/>
        <v>0</v>
      </c>
      <c r="AT315" s="260">
        <f t="shared" si="866"/>
        <v>0</v>
      </c>
      <c r="AU315" s="260">
        <f t="shared" si="866"/>
        <v>0</v>
      </c>
      <c r="AV315" s="260">
        <f t="shared" si="866"/>
        <v>0</v>
      </c>
      <c r="AW315" s="260">
        <f t="shared" si="866"/>
        <v>0</v>
      </c>
      <c r="AX315" s="260">
        <f t="shared" si="866"/>
        <v>0</v>
      </c>
      <c r="AY315" s="260">
        <f t="shared" si="866"/>
        <v>0</v>
      </c>
      <c r="AZ315" s="260">
        <f t="shared" ref="AZ315" si="870">SUM(AZ316)</f>
        <v>0</v>
      </c>
      <c r="BA315" s="259">
        <f t="shared" si="866"/>
        <v>0</v>
      </c>
      <c r="BB315" s="260">
        <f t="shared" si="866"/>
        <v>0</v>
      </c>
      <c r="BC315" s="260">
        <f t="shared" si="866"/>
        <v>0</v>
      </c>
      <c r="BD315" s="260">
        <f t="shared" si="866"/>
        <v>0</v>
      </c>
      <c r="BE315" s="260">
        <f t="shared" si="866"/>
        <v>0</v>
      </c>
      <c r="BF315" s="260">
        <f t="shared" si="866"/>
        <v>0</v>
      </c>
      <c r="BG315" s="260">
        <f t="shared" si="866"/>
        <v>0</v>
      </c>
      <c r="BH315" s="259">
        <f t="shared" ref="BH315" si="871">SUM(BH316)</f>
        <v>0</v>
      </c>
      <c r="BI315" s="316">
        <f t="shared" si="866"/>
        <v>0</v>
      </c>
      <c r="BJ315" s="260">
        <f t="shared" si="866"/>
        <v>0</v>
      </c>
      <c r="BK315" s="260">
        <f t="shared" si="866"/>
        <v>0</v>
      </c>
      <c r="BL315" s="260">
        <f t="shared" si="866"/>
        <v>0</v>
      </c>
      <c r="BM315" s="260">
        <f t="shared" si="866"/>
        <v>0</v>
      </c>
      <c r="BN315" s="260">
        <f t="shared" si="866"/>
        <v>0</v>
      </c>
      <c r="BO315" s="260">
        <f t="shared" si="866"/>
        <v>0</v>
      </c>
      <c r="BP315" s="260">
        <f t="shared" si="866"/>
        <v>0</v>
      </c>
      <c r="BQ315" s="260">
        <f t="shared" si="866"/>
        <v>0</v>
      </c>
      <c r="BR315" s="260">
        <f t="shared" si="866"/>
        <v>0</v>
      </c>
      <c r="BS315" s="260">
        <f t="shared" si="866"/>
        <v>0</v>
      </c>
      <c r="BT315" s="260">
        <f t="shared" si="866"/>
        <v>0</v>
      </c>
      <c r="BU315" s="204"/>
      <c r="BV315" s="86"/>
    </row>
    <row r="316" spans="1:74" s="198" customFormat="1" ht="24.75" customHeight="1" x14ac:dyDescent="0.2">
      <c r="A316" s="102">
        <v>50003220021</v>
      </c>
      <c r="B316" s="437" t="s">
        <v>508</v>
      </c>
      <c r="C316" s="436"/>
      <c r="D316" s="80">
        <f>F316+Z316+AM316+AZ316+BH316</f>
        <v>1</v>
      </c>
      <c r="E316" s="295">
        <f>G316+AA316+AN316+BA316+BI316</f>
        <v>1</v>
      </c>
      <c r="F316" s="81">
        <v>1</v>
      </c>
      <c r="G316" s="81">
        <f>F316+H316</f>
        <v>1</v>
      </c>
      <c r="H316" s="81">
        <f>SUM(I316:Y316)</f>
        <v>0</v>
      </c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>
        <f>Z316+AB316</f>
        <v>0</v>
      </c>
      <c r="AB316" s="81">
        <f>SUM(AC316:AL316)</f>
        <v>0</v>
      </c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98">
        <f>AM316+AO316</f>
        <v>0</v>
      </c>
      <c r="AO316" s="98">
        <f>SUM(AP316:AY316)</f>
        <v>0</v>
      </c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81">
        <f>AZ316+BB316</f>
        <v>0</v>
      </c>
      <c r="BB316" s="98">
        <f>SUM(BC316:BG316)</f>
        <v>0</v>
      </c>
      <c r="BC316" s="98"/>
      <c r="BD316" s="98"/>
      <c r="BE316" s="98"/>
      <c r="BF316" s="98"/>
      <c r="BG316" s="98"/>
      <c r="BH316" s="81"/>
      <c r="BI316" s="309">
        <f>BH316+BJ316</f>
        <v>0</v>
      </c>
      <c r="BJ316" s="98">
        <f>SUM(BK316:BT316)</f>
        <v>0</v>
      </c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82" t="s">
        <v>696</v>
      </c>
      <c r="BV316" s="85"/>
    </row>
    <row r="317" spans="1:74" s="194" customFormat="1" ht="10.5" customHeight="1" thickBot="1" x14ac:dyDescent="0.25">
      <c r="A317" s="108"/>
      <c r="B317" s="201"/>
      <c r="C317" s="327"/>
      <c r="D317" s="139"/>
      <c r="E317" s="299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203"/>
      <c r="AO317" s="203"/>
      <c r="AP317" s="203"/>
      <c r="AQ317" s="203"/>
      <c r="AR317" s="203"/>
      <c r="AS317" s="203"/>
      <c r="AT317" s="203"/>
      <c r="AU317" s="203"/>
      <c r="AV317" s="203"/>
      <c r="AW317" s="203"/>
      <c r="AX317" s="203"/>
      <c r="AY317" s="203"/>
      <c r="AZ317" s="203"/>
      <c r="BA317" s="170"/>
      <c r="BB317" s="203"/>
      <c r="BC317" s="203"/>
      <c r="BD317" s="203"/>
      <c r="BE317" s="203"/>
      <c r="BF317" s="203"/>
      <c r="BG317" s="203"/>
      <c r="BH317" s="170"/>
      <c r="BI317" s="311"/>
      <c r="BJ317" s="203"/>
      <c r="BK317" s="203"/>
      <c r="BL317" s="203"/>
      <c r="BM317" s="203"/>
      <c r="BN317" s="203"/>
      <c r="BO317" s="203"/>
      <c r="BP317" s="203"/>
      <c r="BQ317" s="203"/>
      <c r="BR317" s="203"/>
      <c r="BS317" s="203"/>
      <c r="BT317" s="203"/>
      <c r="BU317" s="204"/>
      <c r="BV317" s="88"/>
    </row>
    <row r="318" spans="1:74" ht="13.5" thickTop="1" thickBot="1" x14ac:dyDescent="0.25">
      <c r="A318" s="219"/>
      <c r="B318" s="238" t="s">
        <v>608</v>
      </c>
      <c r="C318" s="331"/>
      <c r="D318" s="14">
        <f t="shared" ref="D318:AO318" si="872">D262+D263+D292+D312+D315</f>
        <v>108920690</v>
      </c>
      <c r="E318" s="300">
        <f t="shared" si="872"/>
        <v>113594302</v>
      </c>
      <c r="F318" s="239">
        <f t="shared" si="872"/>
        <v>97062923</v>
      </c>
      <c r="G318" s="239">
        <f t="shared" si="872"/>
        <v>101325956</v>
      </c>
      <c r="H318" s="239">
        <f t="shared" si="872"/>
        <v>4263033</v>
      </c>
      <c r="I318" s="239">
        <f t="shared" si="872"/>
        <v>92564</v>
      </c>
      <c r="J318" s="239">
        <f t="shared" si="872"/>
        <v>0</v>
      </c>
      <c r="K318" s="239">
        <f t="shared" si="872"/>
        <v>6070235</v>
      </c>
      <c r="L318" s="239">
        <f t="shared" si="872"/>
        <v>662596</v>
      </c>
      <c r="M318" s="239">
        <f t="shared" si="872"/>
        <v>556643</v>
      </c>
      <c r="N318" s="239">
        <f t="shared" si="872"/>
        <v>0</v>
      </c>
      <c r="O318" s="239">
        <f t="shared" si="872"/>
        <v>0</v>
      </c>
      <c r="P318" s="239">
        <f t="shared" si="872"/>
        <v>0</v>
      </c>
      <c r="Q318" s="239">
        <f t="shared" si="872"/>
        <v>-498467</v>
      </c>
      <c r="R318" s="239">
        <f t="shared" si="872"/>
        <v>0</v>
      </c>
      <c r="S318" s="239">
        <f t="shared" si="872"/>
        <v>-5928507</v>
      </c>
      <c r="T318" s="239"/>
      <c r="U318" s="239">
        <f t="shared" si="872"/>
        <v>3528386</v>
      </c>
      <c r="V318" s="239"/>
      <c r="W318" s="239">
        <f t="shared" si="872"/>
        <v>-220417</v>
      </c>
      <c r="X318" s="239">
        <f t="shared" si="872"/>
        <v>0</v>
      </c>
      <c r="Y318" s="239">
        <f t="shared" si="872"/>
        <v>0</v>
      </c>
      <c r="Z318" s="239">
        <f t="shared" si="872"/>
        <v>11157908</v>
      </c>
      <c r="AA318" s="239">
        <f t="shared" si="872"/>
        <v>11678331</v>
      </c>
      <c r="AB318" s="239">
        <f t="shared" si="872"/>
        <v>520423</v>
      </c>
      <c r="AC318" s="239">
        <f t="shared" si="872"/>
        <v>30268</v>
      </c>
      <c r="AD318" s="239">
        <f t="shared" si="872"/>
        <v>382567</v>
      </c>
      <c r="AE318" s="239">
        <f t="shared" si="872"/>
        <v>41239</v>
      </c>
      <c r="AF318" s="239">
        <f t="shared" si="872"/>
        <v>27633</v>
      </c>
      <c r="AG318" s="239">
        <f t="shared" si="872"/>
        <v>5573</v>
      </c>
      <c r="AH318" s="239">
        <f t="shared" si="872"/>
        <v>33143</v>
      </c>
      <c r="AI318" s="239">
        <f t="shared" si="872"/>
        <v>0</v>
      </c>
      <c r="AJ318" s="239">
        <f t="shared" si="872"/>
        <v>0</v>
      </c>
      <c r="AK318" s="239">
        <f t="shared" si="872"/>
        <v>0</v>
      </c>
      <c r="AL318" s="239">
        <f t="shared" si="872"/>
        <v>0</v>
      </c>
      <c r="AM318" s="239">
        <f t="shared" si="872"/>
        <v>1746549</v>
      </c>
      <c r="AN318" s="240">
        <f t="shared" si="872"/>
        <v>1816692</v>
      </c>
      <c r="AO318" s="240">
        <f t="shared" si="872"/>
        <v>70143</v>
      </c>
      <c r="AP318" s="240">
        <f t="shared" ref="AP318:BT318" si="873">AP262+AP263+AP292+AP312+AP315</f>
        <v>159470</v>
      </c>
      <c r="AQ318" s="240">
        <f t="shared" si="873"/>
        <v>-99908</v>
      </c>
      <c r="AR318" s="240">
        <f t="shared" si="873"/>
        <v>111</v>
      </c>
      <c r="AS318" s="240">
        <f t="shared" si="873"/>
        <v>2875</v>
      </c>
      <c r="AT318" s="240">
        <f t="shared" si="873"/>
        <v>100</v>
      </c>
      <c r="AU318" s="240">
        <f t="shared" si="873"/>
        <v>1514</v>
      </c>
      <c r="AV318" s="240">
        <f t="shared" si="873"/>
        <v>5981</v>
      </c>
      <c r="AW318" s="240">
        <f t="shared" si="873"/>
        <v>0</v>
      </c>
      <c r="AX318" s="240">
        <f t="shared" si="873"/>
        <v>0</v>
      </c>
      <c r="AY318" s="240">
        <f t="shared" si="873"/>
        <v>0</v>
      </c>
      <c r="AZ318" s="240">
        <f t="shared" si="873"/>
        <v>538</v>
      </c>
      <c r="BA318" s="239">
        <f t="shared" si="873"/>
        <v>569</v>
      </c>
      <c r="BB318" s="240">
        <f t="shared" si="873"/>
        <v>31</v>
      </c>
      <c r="BC318" s="240">
        <f t="shared" si="873"/>
        <v>31</v>
      </c>
      <c r="BD318" s="240">
        <f t="shared" si="873"/>
        <v>0</v>
      </c>
      <c r="BE318" s="240">
        <f t="shared" si="873"/>
        <v>0</v>
      </c>
      <c r="BF318" s="240">
        <f t="shared" si="873"/>
        <v>0</v>
      </c>
      <c r="BG318" s="240">
        <f t="shared" si="873"/>
        <v>0</v>
      </c>
      <c r="BH318" s="239">
        <f t="shared" si="873"/>
        <v>-1047228</v>
      </c>
      <c r="BI318" s="317">
        <f t="shared" si="873"/>
        <v>-1227246</v>
      </c>
      <c r="BJ318" s="240">
        <f t="shared" si="873"/>
        <v>-180018</v>
      </c>
      <c r="BK318" s="240">
        <f t="shared" si="873"/>
        <v>-11045</v>
      </c>
      <c r="BL318" s="240">
        <f t="shared" si="873"/>
        <v>-206523</v>
      </c>
      <c r="BM318" s="240">
        <f t="shared" si="873"/>
        <v>-18678</v>
      </c>
      <c r="BN318" s="240">
        <f t="shared" si="873"/>
        <v>45158</v>
      </c>
      <c r="BO318" s="240">
        <f t="shared" si="873"/>
        <v>-7681</v>
      </c>
      <c r="BP318" s="240">
        <f t="shared" si="873"/>
        <v>20825</v>
      </c>
      <c r="BQ318" s="240">
        <f t="shared" si="873"/>
        <v>-1738</v>
      </c>
      <c r="BR318" s="240">
        <f t="shared" si="873"/>
        <v>-336</v>
      </c>
      <c r="BS318" s="240">
        <f t="shared" si="873"/>
        <v>0</v>
      </c>
      <c r="BT318" s="240">
        <f t="shared" si="873"/>
        <v>0</v>
      </c>
      <c r="BU318" s="15"/>
      <c r="BV318" s="89"/>
    </row>
    <row r="319" spans="1:74" ht="12.75" hidden="1" outlineLevel="1" thickTop="1" x14ac:dyDescent="0.2">
      <c r="B319" s="16" t="s">
        <v>22</v>
      </c>
      <c r="C319" s="16"/>
      <c r="D319" s="17">
        <f t="shared" ref="D319:AO319" si="874">SUM(D12:D27,D29:D35,D37:D63,D65:D73,D75:D85,D87:D92,D94:D132,D134:D238,D240:D261,D264:D291,D294:D294,D296:D299,D301:D303,D305:D307,D309:D310,D313,D316)</f>
        <v>108920690</v>
      </c>
      <c r="E319" s="17">
        <f t="shared" si="874"/>
        <v>113105014</v>
      </c>
      <c r="F319" s="17">
        <f t="shared" si="874"/>
        <v>97062923</v>
      </c>
      <c r="G319" s="17">
        <f t="shared" si="874"/>
        <v>100836668</v>
      </c>
      <c r="H319" s="17">
        <f t="shared" si="874"/>
        <v>3773745</v>
      </c>
      <c r="I319" s="17">
        <f t="shared" si="874"/>
        <v>92564</v>
      </c>
      <c r="J319" s="17">
        <f t="shared" si="874"/>
        <v>0</v>
      </c>
      <c r="K319" s="17">
        <f t="shared" si="874"/>
        <v>6070235</v>
      </c>
      <c r="L319" s="17">
        <f t="shared" si="874"/>
        <v>662596</v>
      </c>
      <c r="M319" s="17">
        <f t="shared" si="874"/>
        <v>556643</v>
      </c>
      <c r="N319" s="17">
        <f t="shared" si="874"/>
        <v>0</v>
      </c>
      <c r="O319" s="17">
        <f t="shared" si="874"/>
        <v>0</v>
      </c>
      <c r="P319" s="17">
        <f t="shared" si="874"/>
        <v>0</v>
      </c>
      <c r="Q319" s="17">
        <f t="shared" si="874"/>
        <v>-498467</v>
      </c>
      <c r="R319" s="17">
        <f t="shared" si="874"/>
        <v>0</v>
      </c>
      <c r="S319" s="17">
        <f t="shared" si="874"/>
        <v>-5928507</v>
      </c>
      <c r="T319" s="17"/>
      <c r="U319" s="17">
        <f t="shared" si="874"/>
        <v>3528386</v>
      </c>
      <c r="V319" s="17"/>
      <c r="W319" s="17">
        <f t="shared" si="874"/>
        <v>-709705</v>
      </c>
      <c r="X319" s="17">
        <f t="shared" si="874"/>
        <v>0</v>
      </c>
      <c r="Y319" s="17">
        <f t="shared" si="874"/>
        <v>0</v>
      </c>
      <c r="Z319" s="17">
        <f t="shared" si="874"/>
        <v>11157908</v>
      </c>
      <c r="AA319" s="17">
        <f t="shared" si="874"/>
        <v>11678331</v>
      </c>
      <c r="AB319" s="17">
        <f t="shared" si="874"/>
        <v>520423</v>
      </c>
      <c r="AC319" s="17">
        <f t="shared" si="874"/>
        <v>30268</v>
      </c>
      <c r="AD319" s="17">
        <f t="shared" si="874"/>
        <v>382567</v>
      </c>
      <c r="AE319" s="17">
        <f t="shared" si="874"/>
        <v>41239</v>
      </c>
      <c r="AF319" s="17">
        <f t="shared" si="874"/>
        <v>27633</v>
      </c>
      <c r="AG319" s="17">
        <f t="shared" si="874"/>
        <v>5573</v>
      </c>
      <c r="AH319" s="17">
        <f t="shared" si="874"/>
        <v>33143</v>
      </c>
      <c r="AI319" s="17">
        <f t="shared" si="874"/>
        <v>0</v>
      </c>
      <c r="AJ319" s="17">
        <f t="shared" si="874"/>
        <v>0</v>
      </c>
      <c r="AK319" s="17">
        <f t="shared" si="874"/>
        <v>0</v>
      </c>
      <c r="AL319" s="17">
        <f t="shared" si="874"/>
        <v>0</v>
      </c>
      <c r="AM319" s="17">
        <f t="shared" si="874"/>
        <v>1746549</v>
      </c>
      <c r="AN319" s="17">
        <f t="shared" si="874"/>
        <v>1816692</v>
      </c>
      <c r="AO319" s="17">
        <f t="shared" si="874"/>
        <v>70143</v>
      </c>
      <c r="AP319" s="17">
        <f t="shared" ref="AP319:BT319" si="875">SUM(AP12:AP27,AP29:AP35,AP37:AP63,AP65:AP73,AP75:AP85,AP87:AP92,AP94:AP132,AP134:AP238,AP240:AP261,AP264:AP291,AP294:AP294,AP296:AP299,AP301:AP303,AP305:AP307,AP309:AP310,AP313,AP316)</f>
        <v>159470</v>
      </c>
      <c r="AQ319" s="17">
        <f t="shared" si="875"/>
        <v>-99908</v>
      </c>
      <c r="AR319" s="17">
        <f t="shared" si="875"/>
        <v>111</v>
      </c>
      <c r="AS319" s="17">
        <f t="shared" si="875"/>
        <v>2875</v>
      </c>
      <c r="AT319" s="17">
        <f t="shared" si="875"/>
        <v>100</v>
      </c>
      <c r="AU319" s="17">
        <f t="shared" si="875"/>
        <v>1514</v>
      </c>
      <c r="AV319" s="17">
        <f t="shared" si="875"/>
        <v>5981</v>
      </c>
      <c r="AW319" s="17">
        <f t="shared" si="875"/>
        <v>0</v>
      </c>
      <c r="AX319" s="17">
        <f t="shared" si="875"/>
        <v>0</v>
      </c>
      <c r="AY319" s="17">
        <f t="shared" si="875"/>
        <v>0</v>
      </c>
      <c r="AZ319" s="17">
        <f t="shared" si="875"/>
        <v>538</v>
      </c>
      <c r="BA319" s="17">
        <f t="shared" si="875"/>
        <v>569</v>
      </c>
      <c r="BB319" s="17">
        <f t="shared" si="875"/>
        <v>31</v>
      </c>
      <c r="BC319" s="17">
        <f t="shared" si="875"/>
        <v>31</v>
      </c>
      <c r="BD319" s="17">
        <f t="shared" si="875"/>
        <v>0</v>
      </c>
      <c r="BE319" s="17">
        <f t="shared" si="875"/>
        <v>0</v>
      </c>
      <c r="BF319" s="17">
        <f t="shared" si="875"/>
        <v>0</v>
      </c>
      <c r="BG319" s="17">
        <f t="shared" si="875"/>
        <v>0</v>
      </c>
      <c r="BH319" s="17">
        <f t="shared" si="875"/>
        <v>-1047228</v>
      </c>
      <c r="BI319" s="17">
        <f t="shared" si="875"/>
        <v>-1227246</v>
      </c>
      <c r="BJ319" s="17">
        <f t="shared" si="875"/>
        <v>-180018</v>
      </c>
      <c r="BK319" s="17">
        <f t="shared" si="875"/>
        <v>-11045</v>
      </c>
      <c r="BL319" s="17">
        <f t="shared" si="875"/>
        <v>-206523</v>
      </c>
      <c r="BM319" s="17">
        <f t="shared" si="875"/>
        <v>-18678</v>
      </c>
      <c r="BN319" s="17">
        <f t="shared" si="875"/>
        <v>45158</v>
      </c>
      <c r="BO319" s="17">
        <f t="shared" si="875"/>
        <v>-7681</v>
      </c>
      <c r="BP319" s="17">
        <f t="shared" si="875"/>
        <v>20825</v>
      </c>
      <c r="BQ319" s="17">
        <f t="shared" si="875"/>
        <v>-1738</v>
      </c>
      <c r="BR319" s="17">
        <f t="shared" si="875"/>
        <v>-336</v>
      </c>
      <c r="BS319" s="17">
        <f t="shared" si="875"/>
        <v>0</v>
      </c>
      <c r="BT319" s="17">
        <f t="shared" si="875"/>
        <v>0</v>
      </c>
      <c r="BU319" s="18"/>
      <c r="BV319" s="198"/>
    </row>
    <row r="320" spans="1:74" hidden="1" outlineLevel="1" x14ac:dyDescent="0.2">
      <c r="B320" s="16" t="s">
        <v>23</v>
      </c>
      <c r="C320" s="16"/>
      <c r="D320" s="17">
        <f t="shared" ref="D320:AO320" si="876">D11+D28+D36+D64+D74+D86+D93+D133+D239+D263+D292+D312+D315</f>
        <v>108920690</v>
      </c>
      <c r="E320" s="17">
        <f t="shared" si="876"/>
        <v>113594302</v>
      </c>
      <c r="F320" s="17">
        <f t="shared" si="876"/>
        <v>97062923</v>
      </c>
      <c r="G320" s="17">
        <f t="shared" si="876"/>
        <v>101325956</v>
      </c>
      <c r="H320" s="17">
        <f t="shared" si="876"/>
        <v>4263033</v>
      </c>
      <c r="I320" s="17">
        <f t="shared" si="876"/>
        <v>92564</v>
      </c>
      <c r="J320" s="17">
        <f t="shared" si="876"/>
        <v>0</v>
      </c>
      <c r="K320" s="17">
        <f t="shared" si="876"/>
        <v>6070235</v>
      </c>
      <c r="L320" s="17">
        <f t="shared" si="876"/>
        <v>662596</v>
      </c>
      <c r="M320" s="17">
        <f t="shared" si="876"/>
        <v>556643</v>
      </c>
      <c r="N320" s="17">
        <f t="shared" si="876"/>
        <v>0</v>
      </c>
      <c r="O320" s="17">
        <f t="shared" si="876"/>
        <v>0</v>
      </c>
      <c r="P320" s="17">
        <f t="shared" si="876"/>
        <v>0</v>
      </c>
      <c r="Q320" s="17">
        <f t="shared" si="876"/>
        <v>-498467</v>
      </c>
      <c r="R320" s="17">
        <f t="shared" si="876"/>
        <v>0</v>
      </c>
      <c r="S320" s="17">
        <f t="shared" si="876"/>
        <v>-5928507</v>
      </c>
      <c r="T320" s="17"/>
      <c r="U320" s="17">
        <f t="shared" si="876"/>
        <v>3528386</v>
      </c>
      <c r="V320" s="17"/>
      <c r="W320" s="17">
        <f t="shared" si="876"/>
        <v>-220417</v>
      </c>
      <c r="X320" s="17">
        <f t="shared" si="876"/>
        <v>0</v>
      </c>
      <c r="Y320" s="17">
        <f t="shared" si="876"/>
        <v>0</v>
      </c>
      <c r="Z320" s="17">
        <f t="shared" si="876"/>
        <v>11157908</v>
      </c>
      <c r="AA320" s="17">
        <f t="shared" si="876"/>
        <v>11678331</v>
      </c>
      <c r="AB320" s="17">
        <f t="shared" si="876"/>
        <v>520423</v>
      </c>
      <c r="AC320" s="17">
        <f t="shared" si="876"/>
        <v>30268</v>
      </c>
      <c r="AD320" s="17">
        <f t="shared" si="876"/>
        <v>382567</v>
      </c>
      <c r="AE320" s="17">
        <f t="shared" si="876"/>
        <v>41239</v>
      </c>
      <c r="AF320" s="17">
        <f t="shared" si="876"/>
        <v>27633</v>
      </c>
      <c r="AG320" s="17">
        <f t="shared" si="876"/>
        <v>5573</v>
      </c>
      <c r="AH320" s="17">
        <f t="shared" si="876"/>
        <v>33143</v>
      </c>
      <c r="AI320" s="17">
        <f t="shared" si="876"/>
        <v>0</v>
      </c>
      <c r="AJ320" s="17">
        <f t="shared" si="876"/>
        <v>0</v>
      </c>
      <c r="AK320" s="17">
        <f t="shared" si="876"/>
        <v>0</v>
      </c>
      <c r="AL320" s="17">
        <f t="shared" si="876"/>
        <v>0</v>
      </c>
      <c r="AM320" s="17">
        <f t="shared" si="876"/>
        <v>1746549</v>
      </c>
      <c r="AN320" s="17">
        <f t="shared" si="876"/>
        <v>1816692</v>
      </c>
      <c r="AO320" s="17">
        <f t="shared" si="876"/>
        <v>70143</v>
      </c>
      <c r="AP320" s="17">
        <f t="shared" ref="AP320:BT320" si="877">AP11+AP28+AP36+AP64+AP74+AP86+AP93+AP133+AP239+AP263+AP292+AP312+AP315</f>
        <v>159470</v>
      </c>
      <c r="AQ320" s="17">
        <f t="shared" si="877"/>
        <v>-99908</v>
      </c>
      <c r="AR320" s="17">
        <f t="shared" si="877"/>
        <v>111</v>
      </c>
      <c r="AS320" s="17">
        <f t="shared" si="877"/>
        <v>2875</v>
      </c>
      <c r="AT320" s="17">
        <f t="shared" si="877"/>
        <v>100</v>
      </c>
      <c r="AU320" s="17">
        <f t="shared" si="877"/>
        <v>1514</v>
      </c>
      <c r="AV320" s="17">
        <f t="shared" si="877"/>
        <v>5981</v>
      </c>
      <c r="AW320" s="17">
        <f t="shared" si="877"/>
        <v>0</v>
      </c>
      <c r="AX320" s="17">
        <f t="shared" si="877"/>
        <v>0</v>
      </c>
      <c r="AY320" s="17">
        <f t="shared" si="877"/>
        <v>0</v>
      </c>
      <c r="AZ320" s="17">
        <f t="shared" si="877"/>
        <v>538</v>
      </c>
      <c r="BA320" s="17">
        <f t="shared" si="877"/>
        <v>569</v>
      </c>
      <c r="BB320" s="17">
        <f t="shared" si="877"/>
        <v>31</v>
      </c>
      <c r="BC320" s="17">
        <f t="shared" si="877"/>
        <v>31</v>
      </c>
      <c r="BD320" s="17">
        <f t="shared" si="877"/>
        <v>0</v>
      </c>
      <c r="BE320" s="17">
        <f t="shared" si="877"/>
        <v>0</v>
      </c>
      <c r="BF320" s="17">
        <f t="shared" si="877"/>
        <v>0</v>
      </c>
      <c r="BG320" s="17">
        <f t="shared" si="877"/>
        <v>0</v>
      </c>
      <c r="BH320" s="17">
        <f t="shared" si="877"/>
        <v>-1047228</v>
      </c>
      <c r="BI320" s="17">
        <f t="shared" si="877"/>
        <v>-1227246</v>
      </c>
      <c r="BJ320" s="17">
        <f t="shared" si="877"/>
        <v>-180018</v>
      </c>
      <c r="BK320" s="17">
        <f t="shared" si="877"/>
        <v>-11045</v>
      </c>
      <c r="BL320" s="17">
        <f t="shared" si="877"/>
        <v>-206523</v>
      </c>
      <c r="BM320" s="17">
        <f t="shared" si="877"/>
        <v>-18678</v>
      </c>
      <c r="BN320" s="17">
        <f t="shared" si="877"/>
        <v>45158</v>
      </c>
      <c r="BO320" s="17">
        <f t="shared" si="877"/>
        <v>-7681</v>
      </c>
      <c r="BP320" s="17">
        <f t="shared" si="877"/>
        <v>20825</v>
      </c>
      <c r="BQ320" s="17">
        <f t="shared" si="877"/>
        <v>-1738</v>
      </c>
      <c r="BR320" s="17">
        <f t="shared" si="877"/>
        <v>-336</v>
      </c>
      <c r="BS320" s="17">
        <f t="shared" si="877"/>
        <v>0</v>
      </c>
      <c r="BT320" s="17">
        <f t="shared" si="877"/>
        <v>0</v>
      </c>
      <c r="BU320" s="18"/>
      <c r="BV320" s="198"/>
    </row>
    <row r="321" spans="2:76" hidden="1" outlineLevel="1" x14ac:dyDescent="0.2">
      <c r="B321" s="16" t="s">
        <v>24</v>
      </c>
      <c r="C321" s="16"/>
      <c r="D321" s="19" t="str">
        <f t="shared" ref="D321:BU321" si="878">IF(D318=D319=D320,"PROBLEM","")</f>
        <v/>
      </c>
      <c r="E321" s="19"/>
      <c r="F321" s="19" t="str">
        <f t="shared" si="878"/>
        <v/>
      </c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 t="str">
        <f t="shared" si="878"/>
        <v/>
      </c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 t="str">
        <f t="shared" si="878"/>
        <v/>
      </c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 t="str">
        <f t="shared" si="878"/>
        <v/>
      </c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20" t="str">
        <f t="shared" si="878"/>
        <v/>
      </c>
      <c r="BV321" s="198"/>
    </row>
    <row r="322" spans="2:76" hidden="1" outlineLevel="1" x14ac:dyDescent="0.2">
      <c r="B322" s="13"/>
      <c r="C322" s="13"/>
      <c r="F322" s="198"/>
      <c r="Z322" s="198"/>
      <c r="AZ322" s="198"/>
      <c r="BH322" s="198"/>
      <c r="BV322" s="198"/>
    </row>
    <row r="323" spans="2:76" s="22" customFormat="1" hidden="1" outlineLevel="1" x14ac:dyDescent="0.2">
      <c r="B323" s="21"/>
      <c r="C323" s="21" t="s">
        <v>274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23"/>
      <c r="AI323" s="23"/>
      <c r="AJ323" s="23"/>
      <c r="AK323" s="23"/>
      <c r="AL323" s="23"/>
      <c r="AM323" s="23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380"/>
      <c r="BV323" s="3"/>
      <c r="BW323" s="3"/>
      <c r="BX323" s="3"/>
    </row>
    <row r="324" spans="2:76" hidden="1" outlineLevel="1" x14ac:dyDescent="0.2">
      <c r="B324" s="13"/>
      <c r="C324" s="13"/>
      <c r="D324" s="127">
        <f>Ienemumi!AF160-E318</f>
        <v>0</v>
      </c>
      <c r="E324" s="127"/>
      <c r="F324" s="198"/>
      <c r="Z324" s="198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V324" s="198"/>
      <c r="BW324" s="198"/>
      <c r="BX324" s="198"/>
    </row>
    <row r="325" spans="2:76" ht="12.75" collapsed="1" thickTop="1" x14ac:dyDescent="0.2">
      <c r="B325" s="13"/>
      <c r="C325" s="13"/>
      <c r="D325" s="127"/>
      <c r="E325" s="127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  <c r="P325" s="263"/>
      <c r="Q325" s="263"/>
      <c r="R325" s="263"/>
      <c r="S325" s="263"/>
      <c r="T325" s="263"/>
      <c r="U325" s="263"/>
      <c r="V325" s="263"/>
      <c r="W325" s="263"/>
      <c r="X325" s="263"/>
      <c r="Y325" s="263"/>
      <c r="Z325" s="263"/>
      <c r="AA325" s="263"/>
      <c r="AB325" s="263"/>
      <c r="AC325" s="263"/>
      <c r="AD325" s="263"/>
      <c r="AE325" s="263"/>
      <c r="AF325" s="263"/>
      <c r="AG325" s="263"/>
      <c r="AH325" s="263"/>
      <c r="AI325" s="263"/>
      <c r="AJ325" s="263"/>
      <c r="AK325" s="263"/>
      <c r="AL325" s="263"/>
      <c r="AM325" s="263"/>
      <c r="AN325" s="263"/>
      <c r="AO325" s="263"/>
      <c r="AP325" s="263"/>
      <c r="AQ325" s="263"/>
      <c r="AR325" s="263"/>
      <c r="AS325" s="263"/>
      <c r="AT325" s="263"/>
      <c r="AU325" s="263"/>
      <c r="AV325" s="263"/>
      <c r="AW325" s="263"/>
      <c r="AX325" s="263"/>
      <c r="AY325" s="263"/>
      <c r="AZ325" s="263"/>
      <c r="BA325" s="263"/>
      <c r="BB325" s="263"/>
      <c r="BC325" s="263"/>
      <c r="BD325" s="263"/>
      <c r="BE325" s="263"/>
      <c r="BF325" s="263"/>
      <c r="BG325" s="263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V325" s="198"/>
      <c r="BW325" s="198"/>
      <c r="BX325" s="198"/>
    </row>
    <row r="326" spans="2:76" x14ac:dyDescent="0.2">
      <c r="B326" s="13"/>
      <c r="C326" s="13"/>
      <c r="D326" s="127"/>
      <c r="E326" s="127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4"/>
      <c r="W326" s="264"/>
      <c r="X326" s="264"/>
      <c r="Y326" s="264"/>
      <c r="Z326" s="264"/>
      <c r="AA326" s="264"/>
      <c r="AB326" s="264"/>
      <c r="AC326" s="264"/>
      <c r="AD326" s="264"/>
      <c r="AE326" s="264"/>
      <c r="AF326" s="264"/>
      <c r="AG326" s="264"/>
      <c r="AH326" s="264"/>
      <c r="AI326" s="264"/>
      <c r="AJ326" s="264"/>
      <c r="AK326" s="264"/>
      <c r="AL326" s="264"/>
      <c r="AM326" s="264"/>
      <c r="AN326" s="264"/>
      <c r="AO326" s="264"/>
      <c r="AP326" s="264"/>
      <c r="AQ326" s="264"/>
      <c r="AR326" s="264"/>
      <c r="AS326" s="264"/>
      <c r="AT326" s="264"/>
      <c r="AU326" s="264"/>
      <c r="AV326" s="264"/>
      <c r="AW326" s="264"/>
      <c r="AX326" s="264"/>
      <c r="AY326" s="264"/>
      <c r="AZ326" s="264"/>
      <c r="BA326" s="264"/>
      <c r="BB326" s="264"/>
      <c r="BC326" s="264"/>
      <c r="BD326" s="264"/>
      <c r="BE326" s="264"/>
      <c r="BF326" s="264"/>
      <c r="BG326" s="264"/>
      <c r="BH326" s="198"/>
      <c r="BV326" s="198"/>
      <c r="BW326" s="198"/>
      <c r="BX326" s="198"/>
    </row>
    <row r="327" spans="2:76" x14ac:dyDescent="0.2">
      <c r="B327" s="13"/>
      <c r="C327" s="13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4"/>
      <c r="W327" s="264"/>
      <c r="X327" s="264"/>
      <c r="Y327" s="264"/>
      <c r="Z327" s="264"/>
      <c r="AA327" s="264"/>
      <c r="AB327" s="264"/>
      <c r="AC327" s="264"/>
      <c r="AD327" s="264"/>
      <c r="AE327" s="264"/>
      <c r="AF327" s="264"/>
      <c r="AG327" s="264"/>
      <c r="AH327" s="264"/>
      <c r="AI327" s="264"/>
      <c r="AJ327" s="264"/>
      <c r="AK327" s="264"/>
      <c r="AL327" s="264"/>
      <c r="AM327" s="264"/>
      <c r="AN327" s="264"/>
      <c r="AO327" s="264"/>
      <c r="AP327" s="264"/>
      <c r="AQ327" s="264"/>
      <c r="AR327" s="264"/>
      <c r="AS327" s="264"/>
      <c r="AT327" s="264"/>
      <c r="AU327" s="264"/>
      <c r="AV327" s="264"/>
      <c r="AW327" s="264"/>
      <c r="AX327" s="264"/>
      <c r="AY327" s="264"/>
      <c r="AZ327" s="198"/>
      <c r="BH327" s="198"/>
      <c r="BV327" s="198"/>
      <c r="BW327" s="198"/>
      <c r="BX327" s="198"/>
    </row>
    <row r="328" spans="2:76" x14ac:dyDescent="0.2">
      <c r="B328" s="13"/>
      <c r="C328" s="13"/>
      <c r="AZ328" s="198"/>
      <c r="BH328" s="198"/>
      <c r="BV328" s="198"/>
      <c r="BW328" s="198"/>
      <c r="BX328" s="198"/>
    </row>
    <row r="329" spans="2:76" x14ac:dyDescent="0.2">
      <c r="B329" s="13"/>
      <c r="C329" s="13"/>
      <c r="AZ329" s="198"/>
      <c r="BH329" s="198"/>
      <c r="BV329" s="198"/>
      <c r="BW329" s="198"/>
      <c r="BX329" s="198"/>
    </row>
    <row r="330" spans="2:76" x14ac:dyDescent="0.2">
      <c r="B330" s="13"/>
      <c r="C330" s="13"/>
      <c r="AZ330" s="198"/>
      <c r="BH330" s="198"/>
      <c r="BV330" s="198"/>
      <c r="BW330" s="198"/>
      <c r="BX330" s="198"/>
    </row>
    <row r="331" spans="2:76" x14ac:dyDescent="0.2">
      <c r="B331" s="13"/>
      <c r="C331" s="13"/>
      <c r="AZ331" s="198"/>
      <c r="BH331" s="198"/>
      <c r="BV331" s="198"/>
      <c r="BW331" s="198"/>
      <c r="BX331" s="198"/>
    </row>
    <row r="332" spans="2:76" x14ac:dyDescent="0.2">
      <c r="B332" s="13"/>
      <c r="C332" s="13"/>
      <c r="AZ332" s="198"/>
      <c r="BH332" s="198"/>
      <c r="BV332" s="198"/>
      <c r="BW332" s="198"/>
      <c r="BX332" s="198"/>
    </row>
    <row r="333" spans="2:76" x14ac:dyDescent="0.2">
      <c r="B333" s="13"/>
      <c r="C333" s="13"/>
      <c r="AZ333" s="198"/>
      <c r="BH333" s="198"/>
      <c r="BV333" s="198"/>
      <c r="BW333" s="198"/>
      <c r="BX333" s="198"/>
    </row>
    <row r="334" spans="2:76" x14ac:dyDescent="0.2">
      <c r="B334" s="13"/>
      <c r="C334" s="13"/>
      <c r="AZ334" s="198"/>
      <c r="BH334" s="198"/>
      <c r="BV334" s="198"/>
      <c r="BW334" s="198"/>
      <c r="BX334" s="198"/>
    </row>
    <row r="335" spans="2:76" x14ac:dyDescent="0.2">
      <c r="B335" s="13"/>
      <c r="C335" s="13"/>
      <c r="AZ335" s="198"/>
      <c r="BH335" s="198"/>
      <c r="BV335" s="198"/>
      <c r="BW335" s="198"/>
      <c r="BX335" s="198"/>
    </row>
    <row r="336" spans="2:76" x14ac:dyDescent="0.2">
      <c r="B336" s="13"/>
      <c r="C336" s="13"/>
      <c r="AZ336" s="198"/>
      <c r="BH336" s="198"/>
      <c r="BV336" s="198"/>
      <c r="BW336" s="198"/>
      <c r="BX336" s="198"/>
    </row>
    <row r="337" spans="2:76" x14ac:dyDescent="0.2">
      <c r="B337" s="13"/>
      <c r="C337" s="13"/>
      <c r="AZ337" s="198"/>
      <c r="BH337" s="198"/>
      <c r="BV337" s="198"/>
      <c r="BW337" s="198"/>
      <c r="BX337" s="198"/>
    </row>
    <row r="338" spans="2:76" x14ac:dyDescent="0.2">
      <c r="B338" s="13"/>
      <c r="C338" s="13"/>
      <c r="AZ338" s="198"/>
      <c r="BH338" s="198"/>
      <c r="BV338" s="198"/>
      <c r="BW338" s="198"/>
      <c r="BX338" s="198"/>
    </row>
    <row r="339" spans="2:76" x14ac:dyDescent="0.2">
      <c r="B339" s="13"/>
      <c r="C339" s="13"/>
      <c r="AZ339" s="198"/>
      <c r="BH339" s="198"/>
      <c r="BV339" s="198"/>
      <c r="BW339" s="198"/>
      <c r="BX339" s="198"/>
    </row>
    <row r="340" spans="2:76" x14ac:dyDescent="0.2">
      <c r="B340" s="13"/>
      <c r="C340" s="13"/>
      <c r="AZ340" s="198"/>
      <c r="BH340" s="198"/>
      <c r="BV340" s="198"/>
      <c r="BW340" s="198"/>
      <c r="BX340" s="198"/>
    </row>
    <row r="341" spans="2:76" x14ac:dyDescent="0.2">
      <c r="B341" s="13"/>
      <c r="C341" s="13"/>
      <c r="AZ341" s="198"/>
      <c r="BH341" s="198"/>
      <c r="BV341" s="198"/>
      <c r="BW341" s="198"/>
      <c r="BX341" s="198"/>
    </row>
    <row r="342" spans="2:76" x14ac:dyDescent="0.2">
      <c r="B342" s="13"/>
      <c r="C342" s="13"/>
      <c r="AZ342" s="198"/>
      <c r="BH342" s="198"/>
      <c r="BV342" s="198"/>
      <c r="BW342" s="198"/>
      <c r="BX342" s="198"/>
    </row>
    <row r="343" spans="2:76" x14ac:dyDescent="0.2">
      <c r="B343" s="13"/>
      <c r="C343" s="13"/>
      <c r="AZ343" s="198"/>
      <c r="BH343" s="198"/>
      <c r="BV343" s="198"/>
      <c r="BW343" s="198"/>
      <c r="BX343" s="198"/>
    </row>
    <row r="344" spans="2:76" x14ac:dyDescent="0.2">
      <c r="B344" s="13"/>
      <c r="C344" s="13"/>
      <c r="AZ344" s="198"/>
      <c r="BH344" s="198"/>
      <c r="BV344" s="198"/>
      <c r="BW344" s="198"/>
      <c r="BX344" s="198"/>
    </row>
    <row r="345" spans="2:76" x14ac:dyDescent="0.2">
      <c r="B345" s="13"/>
      <c r="C345" s="13"/>
      <c r="AZ345" s="198"/>
      <c r="BH345" s="198"/>
      <c r="BV345" s="198"/>
      <c r="BW345" s="198"/>
      <c r="BX345" s="198"/>
    </row>
    <row r="346" spans="2:76" x14ac:dyDescent="0.2">
      <c r="B346" s="13"/>
      <c r="C346" s="13"/>
      <c r="AZ346" s="198"/>
      <c r="BH346" s="198"/>
      <c r="BV346" s="198"/>
      <c r="BW346" s="198"/>
      <c r="BX346" s="198"/>
    </row>
    <row r="347" spans="2:76" x14ac:dyDescent="0.2">
      <c r="B347" s="13"/>
      <c r="C347" s="13"/>
    </row>
    <row r="348" spans="2:76" x14ac:dyDescent="0.2">
      <c r="B348" s="13"/>
      <c r="C348" s="13"/>
    </row>
    <row r="349" spans="2:76" x14ac:dyDescent="0.2">
      <c r="B349" s="13"/>
      <c r="C349" s="13"/>
    </row>
    <row r="350" spans="2:76" x14ac:dyDescent="0.2">
      <c r="B350" s="13"/>
      <c r="C350" s="13"/>
    </row>
    <row r="351" spans="2:76" x14ac:dyDescent="0.2">
      <c r="B351" s="13"/>
      <c r="C351" s="13"/>
    </row>
    <row r="352" spans="2:76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  <row r="1433" spans="2:3" x14ac:dyDescent="0.2">
      <c r="B1433" s="13"/>
      <c r="C1433" s="13"/>
    </row>
    <row r="1434" spans="2:3" x14ac:dyDescent="0.2">
      <c r="B1434" s="13"/>
      <c r="C1434" s="13"/>
    </row>
    <row r="1435" spans="2:3" x14ac:dyDescent="0.2">
      <c r="B1435" s="13"/>
      <c r="C1435" s="13"/>
    </row>
    <row r="1436" spans="2:3" x14ac:dyDescent="0.2">
      <c r="B1436" s="13"/>
      <c r="C1436" s="13"/>
    </row>
    <row r="1437" spans="2:3" x14ac:dyDescent="0.2">
      <c r="B1437" s="13"/>
      <c r="C1437" s="13"/>
    </row>
    <row r="1438" spans="2:3" x14ac:dyDescent="0.2">
      <c r="B1438" s="13"/>
      <c r="C1438" s="13"/>
    </row>
    <row r="1439" spans="2:3" x14ac:dyDescent="0.2">
      <c r="B1439" s="13"/>
      <c r="C1439" s="13"/>
    </row>
    <row r="1440" spans="2:3" x14ac:dyDescent="0.2">
      <c r="B1440" s="13"/>
      <c r="C1440" s="13"/>
    </row>
    <row r="1441" spans="2:3" x14ac:dyDescent="0.2">
      <c r="B1441" s="13"/>
      <c r="C1441" s="13"/>
    </row>
    <row r="1442" spans="2:3" x14ac:dyDescent="0.2">
      <c r="B1442" s="13"/>
      <c r="C1442" s="13"/>
    </row>
    <row r="1443" spans="2:3" x14ac:dyDescent="0.2">
      <c r="B1443" s="13"/>
      <c r="C1443" s="13"/>
    </row>
  </sheetData>
  <sheetProtection algorithmName="SHA-512" hashValue="bZ3rEaeY19JvIAsjm9YGWbYQVK8mBiuyr2fVSgXoeeYoT28S75sJFidh2z59uijYR8kf615fkjqKEOCs40Yx+g==" saltValue="FWF/ZuQ577yEcmUAGFUXKw==" spinCount="100000" sheet="1" objects="1" scenarios="1" formatCells="0" formatColumns="0" formatRows="0" insertHyperlinks="0"/>
  <autoFilter ref="A9:BV32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4">
    <mergeCell ref="B314:C314"/>
    <mergeCell ref="B316:C316"/>
    <mergeCell ref="B264:C264"/>
    <mergeCell ref="C6:C8"/>
    <mergeCell ref="B306:C306"/>
    <mergeCell ref="B307:C307"/>
    <mergeCell ref="B302:C302"/>
    <mergeCell ref="B290:C290"/>
    <mergeCell ref="B274:C274"/>
    <mergeCell ref="B275:C275"/>
    <mergeCell ref="B277:C277"/>
    <mergeCell ref="B282:C282"/>
    <mergeCell ref="B279:C279"/>
    <mergeCell ref="B280:C280"/>
    <mergeCell ref="B313:C313"/>
    <mergeCell ref="B294:C294"/>
    <mergeCell ref="B310:C310"/>
    <mergeCell ref="A4:BV4"/>
    <mergeCell ref="B265:C265"/>
    <mergeCell ref="B270:C270"/>
    <mergeCell ref="B271:C271"/>
    <mergeCell ref="B272:C272"/>
    <mergeCell ref="A6:A8"/>
    <mergeCell ref="Z7:Z8"/>
    <mergeCell ref="F7:F8"/>
    <mergeCell ref="BV6:BV8"/>
    <mergeCell ref="BU6:BU8"/>
    <mergeCell ref="AZ7:AZ8"/>
    <mergeCell ref="BH7:BH8"/>
    <mergeCell ref="H7:H8"/>
    <mergeCell ref="G7:G8"/>
    <mergeCell ref="D6:BI6"/>
    <mergeCell ref="B262:C262"/>
    <mergeCell ref="I7:Y7"/>
    <mergeCell ref="AA7:AA8"/>
    <mergeCell ref="B305:C305"/>
    <mergeCell ref="B296:C296"/>
    <mergeCell ref="B297:C297"/>
    <mergeCell ref="B298:C298"/>
    <mergeCell ref="B299:C299"/>
    <mergeCell ref="B269:C269"/>
    <mergeCell ref="B276:C276"/>
    <mergeCell ref="BJ7:BJ8"/>
    <mergeCell ref="BC7:BG7"/>
    <mergeCell ref="B309:C309"/>
    <mergeCell ref="B284:C284"/>
    <mergeCell ref="AB7:AB8"/>
    <mergeCell ref="AC7:AL7"/>
    <mergeCell ref="B301:C301"/>
    <mergeCell ref="B303:C303"/>
    <mergeCell ref="B289:C289"/>
    <mergeCell ref="B283:C283"/>
    <mergeCell ref="B285:C285"/>
    <mergeCell ref="B286:C286"/>
    <mergeCell ref="B287:C287"/>
    <mergeCell ref="B273:C273"/>
    <mergeCell ref="B278:C278"/>
    <mergeCell ref="E7:E8"/>
    <mergeCell ref="BK7:BT7"/>
    <mergeCell ref="B291:C291"/>
    <mergeCell ref="AN7:AN8"/>
    <mergeCell ref="AO7:AO8"/>
    <mergeCell ref="AP7:AY7"/>
    <mergeCell ref="BA7:BA8"/>
    <mergeCell ref="BB7:BB8"/>
    <mergeCell ref="B266:C266"/>
    <mergeCell ref="B281:C281"/>
    <mergeCell ref="B288:C288"/>
    <mergeCell ref="AM7:AM8"/>
    <mergeCell ref="D7:D8"/>
    <mergeCell ref="B6:B8"/>
    <mergeCell ref="B267:C267"/>
    <mergeCell ref="B268:C268"/>
    <mergeCell ref="BI7:BI8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29.augusta saistošajiem noteikumiem Nr.31
(protokols Nr.12, 20.punkts)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7"/>
  <sheetViews>
    <sheetView view="pageLayout" zoomScaleNormal="100" workbookViewId="0">
      <selection activeCell="AK5" sqref="AK5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7109375" style="70" customWidth="1" collapsed="1"/>
    <col min="7" max="7" width="9.140625" style="70" hidden="1" customWidth="1" outlineLevel="1"/>
    <col min="8" max="8" width="7.5703125" style="70" hidden="1" customWidth="1" outlineLevel="1"/>
    <col min="9" max="9" width="9" style="70" hidden="1" customWidth="1" outlineLevel="1"/>
    <col min="10" max="10" width="8" style="70" hidden="1" customWidth="1" outlineLevel="1"/>
    <col min="11" max="11" width="7.85546875" style="70" hidden="1" customWidth="1" outlineLevel="1"/>
    <col min="12" max="12" width="7.5703125" style="70" hidden="1" customWidth="1" outlineLevel="1"/>
    <col min="13" max="13" width="7.7109375" style="70" hidden="1" customWidth="1" outlineLevel="1"/>
    <col min="14" max="14" width="9.28515625" style="70" hidden="1" customWidth="1" outlineLevel="1"/>
    <col min="15" max="17" width="9" style="70" hidden="1" customWidth="1" outlineLevel="1"/>
    <col min="18" max="18" width="10" style="70" hidden="1" customWidth="1" outlineLevel="1"/>
    <col min="19" max="19" width="10" style="70" customWidth="1" collapsed="1"/>
    <col min="20" max="20" width="8.7109375" style="70" hidden="1" customWidth="1" outlineLevel="1"/>
    <col min="21" max="21" width="7" style="70" hidden="1" customWidth="1" outlineLevel="1"/>
    <col min="22" max="22" width="9" style="70" hidden="1" customWidth="1" outlineLevel="1"/>
    <col min="23" max="24" width="7.42578125" style="70" hidden="1" customWidth="1" outlineLevel="1"/>
    <col min="25" max="30" width="8.42578125" style="70" hidden="1" customWidth="1" outlineLevel="1"/>
    <col min="31" max="31" width="11" style="70" hidden="1" customWidth="1" outlineLevel="1"/>
    <col min="32" max="32" width="9.85546875" style="25" customWidth="1" collapsed="1"/>
    <col min="33" max="16384" width="9.140625" style="25"/>
  </cols>
  <sheetData>
    <row r="1" spans="1:32" x14ac:dyDescent="0.2">
      <c r="AF1" s="336" t="s">
        <v>742</v>
      </c>
    </row>
    <row r="2" spans="1:32" x14ac:dyDescent="0.2">
      <c r="AF2" s="336" t="s">
        <v>740</v>
      </c>
    </row>
    <row r="3" spans="1:32" x14ac:dyDescent="0.2">
      <c r="AF3" s="336" t="s">
        <v>741</v>
      </c>
    </row>
    <row r="4" spans="1:32" ht="18" customHeight="1" x14ac:dyDescent="0.35">
      <c r="A4" s="473" t="s">
        <v>575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</row>
    <row r="5" spans="1:32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ht="43.5" customHeight="1" x14ac:dyDescent="0.2">
      <c r="A6" s="461" t="s">
        <v>25</v>
      </c>
      <c r="B6" s="462"/>
      <c r="C6" s="462"/>
      <c r="D6" s="112" t="s">
        <v>26</v>
      </c>
      <c r="E6" s="120" t="s">
        <v>712</v>
      </c>
      <c r="F6" s="142" t="s">
        <v>711</v>
      </c>
      <c r="G6" s="142" t="s">
        <v>713</v>
      </c>
      <c r="H6" s="142" t="s">
        <v>748</v>
      </c>
      <c r="I6" s="142" t="s">
        <v>783</v>
      </c>
      <c r="J6" s="142" t="s">
        <v>798</v>
      </c>
      <c r="K6" s="142" t="s">
        <v>809</v>
      </c>
      <c r="L6" s="142" t="s">
        <v>810</v>
      </c>
      <c r="M6" s="142" t="s">
        <v>815</v>
      </c>
      <c r="N6" s="142" t="s">
        <v>824</v>
      </c>
      <c r="O6" s="142" t="s">
        <v>834</v>
      </c>
      <c r="P6" s="333" t="s">
        <v>732</v>
      </c>
      <c r="Q6" s="142"/>
      <c r="R6" s="142" t="s">
        <v>714</v>
      </c>
      <c r="S6" s="142" t="s">
        <v>462</v>
      </c>
      <c r="T6" s="142" t="s">
        <v>715</v>
      </c>
      <c r="U6" s="142" t="s">
        <v>748</v>
      </c>
      <c r="V6" s="142" t="s">
        <v>783</v>
      </c>
      <c r="W6" s="142" t="s">
        <v>798</v>
      </c>
      <c r="X6" s="142" t="s">
        <v>809</v>
      </c>
      <c r="Y6" s="142" t="s">
        <v>815</v>
      </c>
      <c r="Z6" s="142" t="s">
        <v>824</v>
      </c>
      <c r="AA6" s="142" t="s">
        <v>834</v>
      </c>
      <c r="AB6" s="333" t="s">
        <v>732</v>
      </c>
      <c r="AC6" s="142"/>
      <c r="AD6" s="142"/>
      <c r="AE6" s="290" t="s">
        <v>716</v>
      </c>
      <c r="AF6" s="290" t="s">
        <v>743</v>
      </c>
    </row>
    <row r="7" spans="1:32" ht="10.5" customHeight="1" thickBot="1" x14ac:dyDescent="0.25">
      <c r="A7" s="463">
        <v>1</v>
      </c>
      <c r="B7" s="464"/>
      <c r="C7" s="465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v>8</v>
      </c>
      <c r="S7" s="119">
        <v>4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76">
        <v>9</v>
      </c>
      <c r="AF7" s="76">
        <v>5</v>
      </c>
    </row>
    <row r="8" spans="1:32" s="113" customFormat="1" ht="14.25" customHeight="1" thickTop="1" x14ac:dyDescent="0.2">
      <c r="A8" s="466" t="s">
        <v>114</v>
      </c>
      <c r="B8" s="467"/>
      <c r="C8" s="467"/>
      <c r="D8" s="468"/>
      <c r="E8" s="26">
        <f>SUM(E93,E125,E95)</f>
        <v>109730956</v>
      </c>
      <c r="F8" s="26">
        <f>SUM(F93,F125,F95)</f>
        <v>114820979</v>
      </c>
      <c r="G8" s="26">
        <f t="shared" ref="G8:Q8" si="0">SUM(G93,G125,G95)</f>
        <v>5090023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-498367</v>
      </c>
      <c r="N8" s="26">
        <f t="shared" si="0"/>
        <v>-5899360</v>
      </c>
      <c r="O8" s="26">
        <f t="shared" si="0"/>
        <v>3533959</v>
      </c>
      <c r="P8" s="26">
        <f t="shared" si="0"/>
        <v>-181293</v>
      </c>
      <c r="Q8" s="26">
        <f t="shared" si="0"/>
        <v>0</v>
      </c>
      <c r="R8" s="26">
        <f>SUM(R93,R125,R95)</f>
        <v>-1047228</v>
      </c>
      <c r="S8" s="26">
        <f>SUM(S93,S125,S95)</f>
        <v>-1227246</v>
      </c>
      <c r="T8" s="26">
        <f t="shared" ref="T8:AD8" si="1">SUM(T93,T125,T95)</f>
        <v>-180018</v>
      </c>
      <c r="U8" s="26">
        <f t="shared" si="1"/>
        <v>-11045</v>
      </c>
      <c r="V8" s="26">
        <f t="shared" si="1"/>
        <v>-206523</v>
      </c>
      <c r="W8" s="26">
        <f t="shared" si="1"/>
        <v>-18678</v>
      </c>
      <c r="X8" s="26">
        <f t="shared" si="1"/>
        <v>45158</v>
      </c>
      <c r="Y8" s="26">
        <f t="shared" si="1"/>
        <v>-7681</v>
      </c>
      <c r="Z8" s="26">
        <f t="shared" si="1"/>
        <v>20825</v>
      </c>
      <c r="AA8" s="26">
        <f t="shared" si="1"/>
        <v>-1738</v>
      </c>
      <c r="AB8" s="26">
        <f t="shared" si="1"/>
        <v>-336</v>
      </c>
      <c r="AC8" s="26">
        <f t="shared" si="1"/>
        <v>0</v>
      </c>
      <c r="AD8" s="26">
        <f t="shared" si="1"/>
        <v>0</v>
      </c>
      <c r="AE8" s="26">
        <f>SUM(AE93,AE125,AE95)</f>
        <v>108920152</v>
      </c>
      <c r="AF8" s="26">
        <f t="shared" ref="AF8" si="2">SUM(AF93,AF125,AF95)</f>
        <v>113593733</v>
      </c>
    </row>
    <row r="9" spans="1:32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14" customFormat="1" x14ac:dyDescent="0.2">
      <c r="A10" s="449" t="s">
        <v>27</v>
      </c>
      <c r="B10" s="450"/>
      <c r="C10" s="450"/>
      <c r="D10" s="32" t="s">
        <v>28</v>
      </c>
      <c r="E10" s="33">
        <f t="shared" ref="E10:AE11" si="3">E11</f>
        <v>50828804</v>
      </c>
      <c r="F10" s="33">
        <f t="shared" si="3"/>
        <v>51716764</v>
      </c>
      <c r="G10" s="33">
        <f t="shared" si="3"/>
        <v>887960</v>
      </c>
      <c r="H10" s="33">
        <f t="shared" si="3"/>
        <v>0</v>
      </c>
      <c r="I10" s="33">
        <f t="shared" si="3"/>
        <v>228732</v>
      </c>
      <c r="J10" s="33">
        <f t="shared" si="3"/>
        <v>0</v>
      </c>
      <c r="K10" s="33">
        <f t="shared" si="3"/>
        <v>659228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>S11</f>
        <v>0</v>
      </c>
      <c r="T10" s="33">
        <f t="shared" ref="S10:AF11" si="4">T11</f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3"/>
        <v>50828804</v>
      </c>
      <c r="AF10" s="33">
        <f t="shared" si="4"/>
        <v>51716764</v>
      </c>
    </row>
    <row r="11" spans="1:32" s="113" customFormat="1" x14ac:dyDescent="0.2">
      <c r="A11" s="34"/>
      <c r="B11" s="444" t="s">
        <v>29</v>
      </c>
      <c r="C11" s="444"/>
      <c r="D11" s="35" t="s">
        <v>30</v>
      </c>
      <c r="E11" s="180">
        <f t="shared" si="3"/>
        <v>50828804</v>
      </c>
      <c r="F11" s="180">
        <f t="shared" si="3"/>
        <v>51716764</v>
      </c>
      <c r="G11" s="180">
        <f t="shared" si="3"/>
        <v>887960</v>
      </c>
      <c r="H11" s="180">
        <f t="shared" si="3"/>
        <v>0</v>
      </c>
      <c r="I11" s="180">
        <f t="shared" si="3"/>
        <v>228732</v>
      </c>
      <c r="J11" s="180">
        <f t="shared" si="3"/>
        <v>0</v>
      </c>
      <c r="K11" s="180">
        <f t="shared" si="3"/>
        <v>659228</v>
      </c>
      <c r="L11" s="180">
        <f t="shared" si="3"/>
        <v>0</v>
      </c>
      <c r="M11" s="180">
        <f t="shared" si="3"/>
        <v>0</v>
      </c>
      <c r="N11" s="180">
        <f t="shared" si="3"/>
        <v>0</v>
      </c>
      <c r="O11" s="180">
        <f t="shared" si="3"/>
        <v>0</v>
      </c>
      <c r="P11" s="180">
        <f t="shared" si="3"/>
        <v>0</v>
      </c>
      <c r="Q11" s="180">
        <f t="shared" si="3"/>
        <v>0</v>
      </c>
      <c r="R11" s="180">
        <f t="shared" si="3"/>
        <v>0</v>
      </c>
      <c r="S11" s="180">
        <f t="shared" si="4"/>
        <v>0</v>
      </c>
      <c r="T11" s="180">
        <f t="shared" si="4"/>
        <v>0</v>
      </c>
      <c r="U11" s="180">
        <f t="shared" si="4"/>
        <v>0</v>
      </c>
      <c r="V11" s="180">
        <f t="shared" si="4"/>
        <v>0</v>
      </c>
      <c r="W11" s="180">
        <f t="shared" si="4"/>
        <v>0</v>
      </c>
      <c r="X11" s="180">
        <f t="shared" si="4"/>
        <v>0</v>
      </c>
      <c r="Y11" s="180">
        <f t="shared" si="4"/>
        <v>0</v>
      </c>
      <c r="Z11" s="180">
        <f t="shared" si="4"/>
        <v>0</v>
      </c>
      <c r="AA11" s="180">
        <f t="shared" si="4"/>
        <v>0</v>
      </c>
      <c r="AB11" s="180">
        <f t="shared" si="4"/>
        <v>0</v>
      </c>
      <c r="AC11" s="180">
        <f t="shared" si="4"/>
        <v>0</v>
      </c>
      <c r="AD11" s="180">
        <f t="shared" si="4"/>
        <v>0</v>
      </c>
      <c r="AE11" s="180">
        <f t="shared" si="3"/>
        <v>50828804</v>
      </c>
      <c r="AF11" s="180">
        <f t="shared" si="4"/>
        <v>51716764</v>
      </c>
    </row>
    <row r="12" spans="1:32" x14ac:dyDescent="0.2">
      <c r="A12" s="36"/>
      <c r="B12" s="453" t="s">
        <v>31</v>
      </c>
      <c r="C12" s="453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F12" si="5">SUM(G13:G14)</f>
        <v>887960</v>
      </c>
      <c r="H12" s="181">
        <f t="shared" si="5"/>
        <v>0</v>
      </c>
      <c r="I12" s="181">
        <f t="shared" si="5"/>
        <v>228732</v>
      </c>
      <c r="J12" s="181">
        <f t="shared" si="5"/>
        <v>0</v>
      </c>
      <c r="K12" s="181">
        <f t="shared" si="5"/>
        <v>659228</v>
      </c>
      <c r="L12" s="181">
        <f t="shared" si="5"/>
        <v>0</v>
      </c>
      <c r="M12" s="181">
        <f t="shared" si="5"/>
        <v>0</v>
      </c>
      <c r="N12" s="181">
        <f t="shared" si="5"/>
        <v>0</v>
      </c>
      <c r="O12" s="181">
        <f t="shared" si="5"/>
        <v>0</v>
      </c>
      <c r="P12" s="181">
        <f t="shared" si="5"/>
        <v>0</v>
      </c>
      <c r="Q12" s="181">
        <f t="shared" si="5"/>
        <v>0</v>
      </c>
      <c r="R12" s="181">
        <f t="shared" si="5"/>
        <v>0</v>
      </c>
      <c r="S12" s="181">
        <f t="shared" si="5"/>
        <v>0</v>
      </c>
      <c r="T12" s="181">
        <f t="shared" si="5"/>
        <v>0</v>
      </c>
      <c r="U12" s="181">
        <f t="shared" si="5"/>
        <v>0</v>
      </c>
      <c r="V12" s="181">
        <f t="shared" si="5"/>
        <v>0</v>
      </c>
      <c r="W12" s="181">
        <f t="shared" si="5"/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50828804</v>
      </c>
      <c r="AF12" s="181">
        <f t="shared" si="5"/>
        <v>51716764</v>
      </c>
    </row>
    <row r="13" spans="1:32" ht="36" x14ac:dyDescent="0.2">
      <c r="A13" s="38"/>
      <c r="B13" s="469" t="s">
        <v>33</v>
      </c>
      <c r="C13" s="469"/>
      <c r="D13" s="272" t="s">
        <v>138</v>
      </c>
      <c r="E13" s="182">
        <v>50828804</v>
      </c>
      <c r="F13" s="182">
        <f>E13+G13</f>
        <v>228732</v>
      </c>
      <c r="G13" s="182">
        <f>SUBTOTAL(9,H13:Q13)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>
        <f>R13+T13</f>
        <v>0</v>
      </c>
      <c r="T13" s="182">
        <f>SUBTOTAL(9,U13:AD13)</f>
        <v>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>
        <f>E13+R13</f>
        <v>50828804</v>
      </c>
      <c r="AF13" s="182">
        <f>S13+F13</f>
        <v>228732</v>
      </c>
    </row>
    <row r="14" spans="1:32" ht="24" x14ac:dyDescent="0.2">
      <c r="A14" s="46"/>
      <c r="B14" s="470" t="s">
        <v>755</v>
      </c>
      <c r="C14" s="470"/>
      <c r="D14" s="40" t="s">
        <v>756</v>
      </c>
      <c r="E14" s="184"/>
      <c r="F14" s="184">
        <f>E14+G14</f>
        <v>51488032</v>
      </c>
      <c r="G14" s="184">
        <f>SUBTOTAL(9,H14:Q14)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>
        <f>R14+T14</f>
        <v>0</v>
      </c>
      <c r="T14" s="184">
        <f>SUBTOTAL(9,U14:AD14)</f>
        <v>0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>
        <f>E14+R14</f>
        <v>0</v>
      </c>
      <c r="AF14" s="184">
        <f>S14+F14</f>
        <v>51488032</v>
      </c>
    </row>
    <row r="15" spans="1:32" s="114" customFormat="1" x14ac:dyDescent="0.2">
      <c r="A15" s="449" t="s">
        <v>34</v>
      </c>
      <c r="B15" s="450"/>
      <c r="C15" s="450"/>
      <c r="D15" s="32" t="s">
        <v>35</v>
      </c>
      <c r="E15" s="41">
        <f t="shared" ref="E15:R15" si="6">SUM(E16)</f>
        <v>8782613</v>
      </c>
      <c r="F15" s="41">
        <f t="shared" si="6"/>
        <v>9129613</v>
      </c>
      <c r="G15" s="41">
        <f t="shared" si="6"/>
        <v>347000</v>
      </c>
      <c r="H15" s="41">
        <f t="shared" si="6"/>
        <v>0</v>
      </c>
      <c r="I15" s="41">
        <f t="shared" si="6"/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347000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0</v>
      </c>
      <c r="S15" s="41">
        <f t="shared" ref="S15:AF15" si="7">SUM(S16)</f>
        <v>0</v>
      </c>
      <c r="T15" s="41">
        <f t="shared" si="7"/>
        <v>0</v>
      </c>
      <c r="U15" s="41">
        <f t="shared" si="7"/>
        <v>0</v>
      </c>
      <c r="V15" s="41">
        <f t="shared" si="7"/>
        <v>0</v>
      </c>
      <c r="W15" s="41">
        <f t="shared" si="7"/>
        <v>0</v>
      </c>
      <c r="X15" s="41">
        <f t="shared" si="7"/>
        <v>0</v>
      </c>
      <c r="Y15" s="41">
        <f t="shared" si="7"/>
        <v>0</v>
      </c>
      <c r="Z15" s="41">
        <f t="shared" si="7"/>
        <v>0</v>
      </c>
      <c r="AA15" s="41">
        <f t="shared" si="7"/>
        <v>0</v>
      </c>
      <c r="AB15" s="41">
        <f t="shared" si="7"/>
        <v>0</v>
      </c>
      <c r="AC15" s="41">
        <f t="shared" si="7"/>
        <v>0</v>
      </c>
      <c r="AD15" s="41">
        <f t="shared" si="7"/>
        <v>0</v>
      </c>
      <c r="AE15" s="41">
        <f t="shared" si="7"/>
        <v>8782613</v>
      </c>
      <c r="AF15" s="41">
        <f t="shared" si="7"/>
        <v>9129613</v>
      </c>
    </row>
    <row r="16" spans="1:32" s="113" customFormat="1" x14ac:dyDescent="0.2">
      <c r="A16" s="34"/>
      <c r="B16" s="444" t="s">
        <v>36</v>
      </c>
      <c r="C16" s="444"/>
      <c r="D16" s="35" t="s">
        <v>37</v>
      </c>
      <c r="E16" s="185">
        <f t="shared" ref="E16:R16" si="8">SUM(E17,E20,E23)</f>
        <v>8782613</v>
      </c>
      <c r="F16" s="185">
        <f t="shared" ref="F16:Q16" si="9">SUM(F17,F20,F23)</f>
        <v>9129613</v>
      </c>
      <c r="G16" s="185">
        <f t="shared" si="9"/>
        <v>347000</v>
      </c>
      <c r="H16" s="185">
        <f t="shared" si="9"/>
        <v>0</v>
      </c>
      <c r="I16" s="185">
        <f t="shared" si="9"/>
        <v>0</v>
      </c>
      <c r="J16" s="185">
        <f t="shared" si="9"/>
        <v>0</v>
      </c>
      <c r="K16" s="185">
        <f t="shared" si="9"/>
        <v>0</v>
      </c>
      <c r="L16" s="185">
        <f t="shared" si="9"/>
        <v>0</v>
      </c>
      <c r="M16" s="185">
        <f t="shared" si="9"/>
        <v>0</v>
      </c>
      <c r="N16" s="185">
        <f t="shared" si="9"/>
        <v>347000</v>
      </c>
      <c r="O16" s="185">
        <f t="shared" si="9"/>
        <v>0</v>
      </c>
      <c r="P16" s="185">
        <f t="shared" si="9"/>
        <v>0</v>
      </c>
      <c r="Q16" s="185">
        <f t="shared" si="9"/>
        <v>0</v>
      </c>
      <c r="R16" s="185">
        <f t="shared" si="8"/>
        <v>0</v>
      </c>
      <c r="S16" s="185">
        <f t="shared" ref="S16:AD16" si="10">SUM(S17,S20,S23)</f>
        <v>0</v>
      </c>
      <c r="T16" s="185">
        <f t="shared" si="10"/>
        <v>0</v>
      </c>
      <c r="U16" s="185">
        <f t="shared" si="10"/>
        <v>0</v>
      </c>
      <c r="V16" s="185">
        <f t="shared" si="10"/>
        <v>0</v>
      </c>
      <c r="W16" s="185">
        <f t="shared" si="10"/>
        <v>0</v>
      </c>
      <c r="X16" s="185">
        <f t="shared" si="10"/>
        <v>0</v>
      </c>
      <c r="Y16" s="185">
        <f t="shared" si="10"/>
        <v>0</v>
      </c>
      <c r="Z16" s="185">
        <f t="shared" si="10"/>
        <v>0</v>
      </c>
      <c r="AA16" s="185">
        <f t="shared" si="10"/>
        <v>0</v>
      </c>
      <c r="AB16" s="185">
        <f t="shared" si="10"/>
        <v>0</v>
      </c>
      <c r="AC16" s="185">
        <f t="shared" si="10"/>
        <v>0</v>
      </c>
      <c r="AD16" s="185">
        <f t="shared" si="10"/>
        <v>0</v>
      </c>
      <c r="AE16" s="185">
        <f>SUM(AE17,AE20,AE23)</f>
        <v>8782613</v>
      </c>
      <c r="AF16" s="185">
        <f t="shared" ref="AF16" si="11">SUM(AF17,AF20,AF23)</f>
        <v>9129613</v>
      </c>
    </row>
    <row r="17" spans="1:32" x14ac:dyDescent="0.2">
      <c r="A17" s="42"/>
      <c r="B17" s="448" t="s">
        <v>171</v>
      </c>
      <c r="C17" s="448"/>
      <c r="D17" s="43" t="s">
        <v>170</v>
      </c>
      <c r="E17" s="44">
        <f>SUM(E18:E19)</f>
        <v>3921267</v>
      </c>
      <c r="F17" s="44">
        <f>SUM(F18:F19)</f>
        <v>4108267</v>
      </c>
      <c r="G17" s="44">
        <f t="shared" ref="G17:Q17" si="12">SUM(G18:G19)</f>
        <v>187000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187000</v>
      </c>
      <c r="O17" s="44">
        <f t="shared" si="12"/>
        <v>0</v>
      </c>
      <c r="P17" s="44">
        <f t="shared" si="12"/>
        <v>0</v>
      </c>
      <c r="Q17" s="44">
        <f t="shared" si="12"/>
        <v>0</v>
      </c>
      <c r="R17" s="44">
        <f>SUM(R18:R19)</f>
        <v>0</v>
      </c>
      <c r="S17" s="44">
        <f>SUM(S18:S19)</f>
        <v>0</v>
      </c>
      <c r="T17" s="44">
        <f t="shared" ref="T17" si="13">SUM(T18:T19)</f>
        <v>0</v>
      </c>
      <c r="U17" s="44">
        <f t="shared" ref="U17" si="14">SUM(U18:U19)</f>
        <v>0</v>
      </c>
      <c r="V17" s="44">
        <f t="shared" ref="V17" si="15">SUM(V18:V19)</f>
        <v>0</v>
      </c>
      <c r="W17" s="44">
        <f t="shared" ref="W17" si="16">SUM(W18:W19)</f>
        <v>0</v>
      </c>
      <c r="X17" s="44">
        <f t="shared" ref="X17" si="17">SUM(X18:X19)</f>
        <v>0</v>
      </c>
      <c r="Y17" s="44">
        <f t="shared" ref="Y17" si="18">SUM(Y18:Y19)</f>
        <v>0</v>
      </c>
      <c r="Z17" s="44">
        <f t="shared" ref="Z17" si="19">SUM(Z18:Z19)</f>
        <v>0</v>
      </c>
      <c r="AA17" s="44">
        <f t="shared" ref="AA17" si="20">SUM(AA18:AA19)</f>
        <v>0</v>
      </c>
      <c r="AB17" s="44">
        <f t="shared" ref="AB17" si="21">SUM(AB18:AB19)</f>
        <v>0</v>
      </c>
      <c r="AC17" s="44">
        <f t="shared" ref="AC17" si="22">SUM(AC18:AC19)</f>
        <v>0</v>
      </c>
      <c r="AD17" s="44">
        <f t="shared" ref="AD17:AF17" si="23">SUM(AD18:AD19)</f>
        <v>0</v>
      </c>
      <c r="AE17" s="44">
        <f>SUM(AE18:AE19)</f>
        <v>3921267</v>
      </c>
      <c r="AF17" s="44">
        <f t="shared" si="23"/>
        <v>4108267</v>
      </c>
    </row>
    <row r="18" spans="1:32" ht="24" x14ac:dyDescent="0.2">
      <c r="A18" s="38"/>
      <c r="B18" s="469" t="s">
        <v>38</v>
      </c>
      <c r="C18" s="469"/>
      <c r="D18" s="272" t="s">
        <v>39</v>
      </c>
      <c r="E18" s="182">
        <v>3445367</v>
      </c>
      <c r="F18" s="182">
        <f t="shared" ref="F18:F19" si="24">E18+G18</f>
        <v>3632367</v>
      </c>
      <c r="G18" s="182">
        <f t="shared" ref="G18:G19" si="25">SUBTOTAL(9,H18:Q18)</f>
        <v>187000</v>
      </c>
      <c r="H18" s="182"/>
      <c r="I18" s="182"/>
      <c r="J18" s="182"/>
      <c r="K18" s="182"/>
      <c r="L18" s="182"/>
      <c r="M18" s="182"/>
      <c r="N18" s="182">
        <v>187000</v>
      </c>
      <c r="O18" s="182"/>
      <c r="P18" s="182"/>
      <c r="Q18" s="182"/>
      <c r="R18" s="182"/>
      <c r="S18" s="182">
        <f t="shared" ref="S18:S19" si="26">R18+T18</f>
        <v>0</v>
      </c>
      <c r="T18" s="182">
        <f t="shared" ref="T18:T19" si="27">SUBTOTAL(9,U18:AD18)</f>
        <v>0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>
        <f t="shared" ref="AE18:AE19" si="28">E18+R18</f>
        <v>3445367</v>
      </c>
      <c r="AF18" s="182">
        <f t="shared" ref="AF18:AF19" si="29">S18+F18</f>
        <v>3632367</v>
      </c>
    </row>
    <row r="19" spans="1:32" ht="24" x14ac:dyDescent="0.2">
      <c r="A19" s="39"/>
      <c r="B19" s="454" t="s">
        <v>40</v>
      </c>
      <c r="C19" s="454"/>
      <c r="D19" s="40" t="s">
        <v>41</v>
      </c>
      <c r="E19" s="183">
        <v>475900</v>
      </c>
      <c r="F19" s="184">
        <f t="shared" si="24"/>
        <v>475900</v>
      </c>
      <c r="G19" s="184">
        <f t="shared" si="25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>
        <f t="shared" si="26"/>
        <v>0</v>
      </c>
      <c r="T19" s="184">
        <f t="shared" si="27"/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>
        <f t="shared" si="28"/>
        <v>475900</v>
      </c>
      <c r="AF19" s="184">
        <f t="shared" si="29"/>
        <v>475900</v>
      </c>
    </row>
    <row r="20" spans="1:32" x14ac:dyDescent="0.2">
      <c r="A20" s="42"/>
      <c r="B20" s="448" t="s">
        <v>42</v>
      </c>
      <c r="C20" s="448"/>
      <c r="D20" s="43" t="s">
        <v>139</v>
      </c>
      <c r="E20" s="44">
        <f>SUM(E21:E22)</f>
        <v>3161300</v>
      </c>
      <c r="F20" s="44">
        <f>SUM(F21:F22)</f>
        <v>3261300</v>
      </c>
      <c r="G20" s="44">
        <f t="shared" ref="G20:Q20" si="30">SUM(G21:G22)</f>
        <v>100000</v>
      </c>
      <c r="H20" s="44">
        <f t="shared" si="30"/>
        <v>0</v>
      </c>
      <c r="I20" s="44">
        <f t="shared" si="30"/>
        <v>0</v>
      </c>
      <c r="J20" s="44">
        <f t="shared" si="30"/>
        <v>0</v>
      </c>
      <c r="K20" s="44">
        <f t="shared" si="30"/>
        <v>0</v>
      </c>
      <c r="L20" s="44">
        <f t="shared" si="30"/>
        <v>0</v>
      </c>
      <c r="M20" s="44">
        <f t="shared" si="30"/>
        <v>0</v>
      </c>
      <c r="N20" s="44">
        <f t="shared" si="30"/>
        <v>100000</v>
      </c>
      <c r="O20" s="44">
        <f t="shared" si="30"/>
        <v>0</v>
      </c>
      <c r="P20" s="44">
        <f t="shared" si="30"/>
        <v>0</v>
      </c>
      <c r="Q20" s="44">
        <f t="shared" si="30"/>
        <v>0</v>
      </c>
      <c r="R20" s="44">
        <f>SUM(R21:R22)</f>
        <v>0</v>
      </c>
      <c r="S20" s="44">
        <f>SUM(S21:S22)</f>
        <v>0</v>
      </c>
      <c r="T20" s="44">
        <f t="shared" ref="T20" si="31">SUM(T21:T22)</f>
        <v>0</v>
      </c>
      <c r="U20" s="44">
        <f t="shared" ref="U20" si="32">SUM(U21:U22)</f>
        <v>0</v>
      </c>
      <c r="V20" s="44">
        <f t="shared" ref="V20" si="33">SUM(V21:V22)</f>
        <v>0</v>
      </c>
      <c r="W20" s="44">
        <f t="shared" ref="W20" si="34">SUM(W21:W22)</f>
        <v>0</v>
      </c>
      <c r="X20" s="44">
        <f t="shared" ref="X20" si="35">SUM(X21:X22)</f>
        <v>0</v>
      </c>
      <c r="Y20" s="44">
        <f t="shared" ref="Y20" si="36">SUM(Y21:Y22)</f>
        <v>0</v>
      </c>
      <c r="Z20" s="44">
        <f t="shared" ref="Z20" si="37">SUM(Z21:Z22)</f>
        <v>0</v>
      </c>
      <c r="AA20" s="44">
        <f t="shared" ref="AA20" si="38">SUM(AA21:AA22)</f>
        <v>0</v>
      </c>
      <c r="AB20" s="44">
        <f t="shared" ref="AB20" si="39">SUM(AB21:AB22)</f>
        <v>0</v>
      </c>
      <c r="AC20" s="44">
        <f t="shared" ref="AC20" si="40">SUM(AC21:AC22)</f>
        <v>0</v>
      </c>
      <c r="AD20" s="44">
        <f t="shared" ref="AD20:AF20" si="41">SUM(AD21:AD22)</f>
        <v>0</v>
      </c>
      <c r="AE20" s="44">
        <f>SUM(AE21:AE22)</f>
        <v>3161300</v>
      </c>
      <c r="AF20" s="44">
        <f t="shared" si="41"/>
        <v>3261300</v>
      </c>
    </row>
    <row r="21" spans="1:32" ht="24" x14ac:dyDescent="0.2">
      <c r="A21" s="38"/>
      <c r="B21" s="455" t="s">
        <v>43</v>
      </c>
      <c r="C21" s="455"/>
      <c r="D21" s="272" t="s">
        <v>148</v>
      </c>
      <c r="E21" s="182">
        <v>2731300</v>
      </c>
      <c r="F21" s="182">
        <f t="shared" ref="F21:F22" si="42">E21+G21</f>
        <v>2831300</v>
      </c>
      <c r="G21" s="182">
        <f t="shared" ref="G21:G22" si="43">SUBTOTAL(9,H21:Q21)</f>
        <v>100000</v>
      </c>
      <c r="H21" s="182"/>
      <c r="I21" s="182"/>
      <c r="J21" s="182"/>
      <c r="K21" s="182"/>
      <c r="L21" s="182"/>
      <c r="M21" s="182"/>
      <c r="N21" s="182">
        <v>100000</v>
      </c>
      <c r="O21" s="182"/>
      <c r="P21" s="182"/>
      <c r="Q21" s="182"/>
      <c r="R21" s="182"/>
      <c r="S21" s="182">
        <f t="shared" ref="S21:S22" si="44">R21+T21</f>
        <v>0</v>
      </c>
      <c r="T21" s="182">
        <f t="shared" ref="T21:T22" si="45">SUBTOTAL(9,U21:AD21)</f>
        <v>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>
        <f t="shared" ref="AE21:AE22" si="46">E21+R21</f>
        <v>2731300</v>
      </c>
      <c r="AF21" s="182">
        <f t="shared" ref="AF21:AF22" si="47">S21+F21</f>
        <v>2831300</v>
      </c>
    </row>
    <row r="22" spans="1:32" ht="24" x14ac:dyDescent="0.2">
      <c r="A22" s="39"/>
      <c r="B22" s="454" t="s">
        <v>44</v>
      </c>
      <c r="C22" s="454"/>
      <c r="D22" s="40" t="s">
        <v>149</v>
      </c>
      <c r="E22" s="183">
        <v>430000</v>
      </c>
      <c r="F22" s="184">
        <f t="shared" si="42"/>
        <v>430000</v>
      </c>
      <c r="G22" s="184">
        <f t="shared" si="43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>
        <f t="shared" si="44"/>
        <v>0</v>
      </c>
      <c r="T22" s="184">
        <f t="shared" si="45"/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73">
        <f t="shared" si="46"/>
        <v>430000</v>
      </c>
      <c r="AF22" s="184">
        <f t="shared" si="47"/>
        <v>430000</v>
      </c>
    </row>
    <row r="23" spans="1:32" x14ac:dyDescent="0.2">
      <c r="A23" s="46"/>
      <c r="B23" s="448" t="s">
        <v>292</v>
      </c>
      <c r="C23" s="448"/>
      <c r="D23" s="43" t="s">
        <v>295</v>
      </c>
      <c r="E23" s="44">
        <f>SUM(E24:E25)</f>
        <v>1700046</v>
      </c>
      <c r="F23" s="44">
        <f>SUM(F24:F25)</f>
        <v>1760046</v>
      </c>
      <c r="G23" s="44">
        <f t="shared" ref="G23:Q23" si="48">SUM(G24:G25)</f>
        <v>60000</v>
      </c>
      <c r="H23" s="44">
        <f t="shared" si="48"/>
        <v>0</v>
      </c>
      <c r="I23" s="44">
        <f t="shared" si="48"/>
        <v>0</v>
      </c>
      <c r="J23" s="44">
        <f t="shared" si="48"/>
        <v>0</v>
      </c>
      <c r="K23" s="44">
        <f t="shared" si="48"/>
        <v>0</v>
      </c>
      <c r="L23" s="44">
        <f t="shared" si="48"/>
        <v>0</v>
      </c>
      <c r="M23" s="44">
        <f t="shared" si="48"/>
        <v>0</v>
      </c>
      <c r="N23" s="44">
        <f t="shared" si="48"/>
        <v>60000</v>
      </c>
      <c r="O23" s="44">
        <f t="shared" si="48"/>
        <v>0</v>
      </c>
      <c r="P23" s="44">
        <f t="shared" si="48"/>
        <v>0</v>
      </c>
      <c r="Q23" s="44">
        <f t="shared" si="48"/>
        <v>0</v>
      </c>
      <c r="R23" s="44">
        <f>SUM(R24:R25)</f>
        <v>0</v>
      </c>
      <c r="S23" s="44">
        <f>SUM(S24:S25)</f>
        <v>0</v>
      </c>
      <c r="T23" s="44">
        <f t="shared" ref="T23" si="49">SUM(T24:T25)</f>
        <v>0</v>
      </c>
      <c r="U23" s="44">
        <f t="shared" ref="U23" si="50"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:AF23" si="59">SUM(AD24:AD25)</f>
        <v>0</v>
      </c>
      <c r="AE23" s="181">
        <f>SUM(AE24:AE25)</f>
        <v>1700046</v>
      </c>
      <c r="AF23" s="44">
        <f t="shared" si="59"/>
        <v>1760046</v>
      </c>
    </row>
    <row r="24" spans="1:32" ht="24" x14ac:dyDescent="0.2">
      <c r="A24" s="46"/>
      <c r="B24" s="455" t="s">
        <v>293</v>
      </c>
      <c r="C24" s="455"/>
      <c r="D24" s="272" t="s">
        <v>296</v>
      </c>
      <c r="E24" s="274">
        <v>1552346</v>
      </c>
      <c r="F24" s="274">
        <f t="shared" ref="F24:F25" si="60">E24+G24</f>
        <v>1612346</v>
      </c>
      <c r="G24" s="274">
        <f t="shared" ref="G24:G25" si="61">SUBTOTAL(9,H24:Q24)</f>
        <v>60000</v>
      </c>
      <c r="H24" s="274"/>
      <c r="I24" s="274"/>
      <c r="J24" s="274"/>
      <c r="K24" s="274"/>
      <c r="L24" s="274"/>
      <c r="M24" s="274"/>
      <c r="N24" s="274">
        <v>60000</v>
      </c>
      <c r="O24" s="274"/>
      <c r="P24" s="274"/>
      <c r="Q24" s="274"/>
      <c r="R24" s="274"/>
      <c r="S24" s="274">
        <f t="shared" ref="S24:S25" si="62">R24+T24</f>
        <v>0</v>
      </c>
      <c r="T24" s="274">
        <f t="shared" ref="T24:T25" si="63">SUBTOTAL(9,U24:AD24)</f>
        <v>0</v>
      </c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>
        <f t="shared" ref="AE24:AE25" si="64">E24+R24</f>
        <v>1552346</v>
      </c>
      <c r="AF24" s="274">
        <f t="shared" ref="AF24:AF25" si="65">S24+F24</f>
        <v>1612346</v>
      </c>
    </row>
    <row r="25" spans="1:32" ht="24" x14ac:dyDescent="0.2">
      <c r="A25" s="46"/>
      <c r="B25" s="454" t="s">
        <v>294</v>
      </c>
      <c r="C25" s="454"/>
      <c r="D25" s="40" t="s">
        <v>297</v>
      </c>
      <c r="E25" s="184">
        <v>147700</v>
      </c>
      <c r="F25" s="184">
        <f t="shared" si="60"/>
        <v>147700</v>
      </c>
      <c r="G25" s="184">
        <f t="shared" si="61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>
        <f t="shared" si="62"/>
        <v>0</v>
      </c>
      <c r="T25" s="184">
        <f t="shared" si="63"/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>
        <f t="shared" si="64"/>
        <v>147700</v>
      </c>
      <c r="AF25" s="184">
        <f t="shared" si="65"/>
        <v>147700</v>
      </c>
    </row>
    <row r="26" spans="1:32" s="114" customFormat="1" ht="24" x14ac:dyDescent="0.2">
      <c r="A26" s="449" t="s">
        <v>45</v>
      </c>
      <c r="B26" s="450"/>
      <c r="C26" s="450"/>
      <c r="D26" s="32" t="s">
        <v>46</v>
      </c>
      <c r="E26" s="41">
        <f t="shared" ref="E26:F26" si="66">SUM(E27,E29)</f>
        <v>328000</v>
      </c>
      <c r="F26" s="41">
        <f t="shared" si="66"/>
        <v>365692</v>
      </c>
      <c r="G26" s="41">
        <f t="shared" ref="G26:Q26" si="67">SUM(G27,G29)</f>
        <v>37692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30000</v>
      </c>
      <c r="O26" s="41">
        <f t="shared" si="67"/>
        <v>0</v>
      </c>
      <c r="P26" s="41">
        <f t="shared" si="67"/>
        <v>0</v>
      </c>
      <c r="Q26" s="41">
        <f t="shared" si="67"/>
        <v>0</v>
      </c>
      <c r="R26" s="41">
        <f t="shared" ref="R26" si="68">SUM(R27,R29)</f>
        <v>0</v>
      </c>
      <c r="S26" s="41">
        <f t="shared" ref="S26:AD26" si="69">SUM(S27,S29)</f>
        <v>0</v>
      </c>
      <c r="T26" s="41">
        <f t="shared" si="69"/>
        <v>0</v>
      </c>
      <c r="U26" s="41">
        <f t="shared" si="69"/>
        <v>0</v>
      </c>
      <c r="V26" s="41">
        <f t="shared" si="69"/>
        <v>0</v>
      </c>
      <c r="W26" s="41">
        <f t="shared" si="69"/>
        <v>0</v>
      </c>
      <c r="X26" s="41">
        <f t="shared" si="69"/>
        <v>0</v>
      </c>
      <c r="Y26" s="41">
        <f t="shared" si="69"/>
        <v>0</v>
      </c>
      <c r="Z26" s="41">
        <f t="shared" si="69"/>
        <v>0</v>
      </c>
      <c r="AA26" s="41">
        <f t="shared" si="69"/>
        <v>0</v>
      </c>
      <c r="AB26" s="41">
        <f t="shared" si="69"/>
        <v>0</v>
      </c>
      <c r="AC26" s="41">
        <f t="shared" si="69"/>
        <v>0</v>
      </c>
      <c r="AD26" s="41">
        <f t="shared" si="69"/>
        <v>0</v>
      </c>
      <c r="AE26" s="41">
        <f t="shared" ref="AE26" si="70">SUM(AE27,AE29)</f>
        <v>328000</v>
      </c>
      <c r="AF26" s="41">
        <f>SUM(AF27,AF29)</f>
        <v>365692</v>
      </c>
    </row>
    <row r="27" spans="1:32" s="113" customFormat="1" ht="24" customHeight="1" x14ac:dyDescent="0.2">
      <c r="A27" s="34"/>
      <c r="B27" s="444" t="s">
        <v>47</v>
      </c>
      <c r="C27" s="444"/>
      <c r="D27" s="45" t="s">
        <v>48</v>
      </c>
      <c r="E27" s="185">
        <f t="shared" ref="E27:AE27" si="71">E28</f>
        <v>220000</v>
      </c>
      <c r="F27" s="185">
        <f t="shared" si="71"/>
        <v>250000</v>
      </c>
      <c r="G27" s="185">
        <f t="shared" si="71"/>
        <v>30000</v>
      </c>
      <c r="H27" s="185">
        <f t="shared" si="71"/>
        <v>0</v>
      </c>
      <c r="I27" s="185">
        <f t="shared" si="71"/>
        <v>0</v>
      </c>
      <c r="J27" s="185">
        <f t="shared" si="71"/>
        <v>0</v>
      </c>
      <c r="K27" s="185">
        <f t="shared" si="71"/>
        <v>0</v>
      </c>
      <c r="L27" s="185">
        <f t="shared" si="71"/>
        <v>0</v>
      </c>
      <c r="M27" s="185">
        <f t="shared" si="71"/>
        <v>0</v>
      </c>
      <c r="N27" s="185">
        <f t="shared" si="71"/>
        <v>30000</v>
      </c>
      <c r="O27" s="185">
        <f t="shared" si="71"/>
        <v>0</v>
      </c>
      <c r="P27" s="185">
        <f t="shared" si="71"/>
        <v>0</v>
      </c>
      <c r="Q27" s="185">
        <f t="shared" si="71"/>
        <v>0</v>
      </c>
      <c r="R27" s="185">
        <f t="shared" si="71"/>
        <v>0</v>
      </c>
      <c r="S27" s="185">
        <f t="shared" ref="S27:AD27" si="72">S28</f>
        <v>0</v>
      </c>
      <c r="T27" s="185">
        <f t="shared" si="72"/>
        <v>0</v>
      </c>
      <c r="U27" s="185">
        <f t="shared" si="72"/>
        <v>0</v>
      </c>
      <c r="V27" s="185">
        <f t="shared" si="72"/>
        <v>0</v>
      </c>
      <c r="W27" s="185">
        <f t="shared" si="72"/>
        <v>0</v>
      </c>
      <c r="X27" s="185">
        <f t="shared" si="72"/>
        <v>0</v>
      </c>
      <c r="Y27" s="185">
        <f t="shared" si="72"/>
        <v>0</v>
      </c>
      <c r="Z27" s="185">
        <f t="shared" si="72"/>
        <v>0</v>
      </c>
      <c r="AA27" s="185">
        <f t="shared" si="72"/>
        <v>0</v>
      </c>
      <c r="AB27" s="185">
        <f t="shared" si="72"/>
        <v>0</v>
      </c>
      <c r="AC27" s="185">
        <f t="shared" si="72"/>
        <v>0</v>
      </c>
      <c r="AD27" s="185">
        <f t="shared" si="72"/>
        <v>0</v>
      </c>
      <c r="AE27" s="185">
        <f t="shared" si="71"/>
        <v>220000</v>
      </c>
      <c r="AF27" s="185">
        <f>AF28</f>
        <v>250000</v>
      </c>
    </row>
    <row r="28" spans="1:32" x14ac:dyDescent="0.2">
      <c r="A28" s="46"/>
      <c r="B28" s="456" t="s">
        <v>49</v>
      </c>
      <c r="C28" s="456"/>
      <c r="D28" s="47" t="s">
        <v>50</v>
      </c>
      <c r="E28" s="184">
        <v>220000</v>
      </c>
      <c r="F28" s="184">
        <f>E28+G28</f>
        <v>250000</v>
      </c>
      <c r="G28" s="184">
        <f>SUBTOTAL(9,H28:Q28)</f>
        <v>30000</v>
      </c>
      <c r="H28" s="184"/>
      <c r="I28" s="184"/>
      <c r="J28" s="184"/>
      <c r="K28" s="184"/>
      <c r="L28" s="184"/>
      <c r="M28" s="184"/>
      <c r="N28" s="184">
        <v>30000</v>
      </c>
      <c r="O28" s="184"/>
      <c r="P28" s="184"/>
      <c r="Q28" s="184"/>
      <c r="R28" s="184"/>
      <c r="S28" s="184">
        <f>R28+T28</f>
        <v>0</v>
      </c>
      <c r="T28" s="184">
        <f>SUBTOTAL(9,U28:AD28)</f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>
        <f>E28+R28</f>
        <v>220000</v>
      </c>
      <c r="AF28" s="184">
        <f>S28+F28</f>
        <v>250000</v>
      </c>
    </row>
    <row r="29" spans="1:32" s="113" customFormat="1" ht="24" x14ac:dyDescent="0.2">
      <c r="A29" s="34"/>
      <c r="B29" s="457" t="s">
        <v>51</v>
      </c>
      <c r="C29" s="458"/>
      <c r="D29" s="48" t="s">
        <v>52</v>
      </c>
      <c r="E29" s="185">
        <f t="shared" ref="E29:AE30" si="73">SUM(E30)</f>
        <v>108000</v>
      </c>
      <c r="F29" s="185">
        <f t="shared" si="73"/>
        <v>115692</v>
      </c>
      <c r="G29" s="185">
        <f t="shared" si="73"/>
        <v>7692</v>
      </c>
      <c r="H29" s="185">
        <f t="shared" si="73"/>
        <v>0</v>
      </c>
      <c r="I29" s="185">
        <f t="shared" si="73"/>
        <v>7692</v>
      </c>
      <c r="J29" s="185">
        <f t="shared" si="73"/>
        <v>0</v>
      </c>
      <c r="K29" s="185">
        <f t="shared" si="73"/>
        <v>0</v>
      </c>
      <c r="L29" s="185">
        <f t="shared" si="73"/>
        <v>0</v>
      </c>
      <c r="M29" s="185">
        <f t="shared" si="73"/>
        <v>0</v>
      </c>
      <c r="N29" s="185">
        <f t="shared" si="73"/>
        <v>0</v>
      </c>
      <c r="O29" s="185">
        <f t="shared" si="73"/>
        <v>0</v>
      </c>
      <c r="P29" s="185">
        <f t="shared" si="73"/>
        <v>0</v>
      </c>
      <c r="Q29" s="185">
        <f t="shared" si="73"/>
        <v>0</v>
      </c>
      <c r="R29" s="185">
        <f t="shared" si="73"/>
        <v>0</v>
      </c>
      <c r="S29" s="185">
        <f>SUM(S30)</f>
        <v>0</v>
      </c>
      <c r="T29" s="185">
        <f t="shared" ref="S29:AF30" si="74">SUM(T30)</f>
        <v>0</v>
      </c>
      <c r="U29" s="185">
        <f t="shared" si="74"/>
        <v>0</v>
      </c>
      <c r="V29" s="185">
        <f t="shared" si="74"/>
        <v>0</v>
      </c>
      <c r="W29" s="185">
        <f t="shared" si="74"/>
        <v>0</v>
      </c>
      <c r="X29" s="185">
        <f t="shared" si="74"/>
        <v>0</v>
      </c>
      <c r="Y29" s="185">
        <f t="shared" si="74"/>
        <v>0</v>
      </c>
      <c r="Z29" s="185">
        <f t="shared" si="74"/>
        <v>0</v>
      </c>
      <c r="AA29" s="185">
        <f t="shared" si="74"/>
        <v>0</v>
      </c>
      <c r="AB29" s="185">
        <f t="shared" si="74"/>
        <v>0</v>
      </c>
      <c r="AC29" s="185">
        <f t="shared" si="74"/>
        <v>0</v>
      </c>
      <c r="AD29" s="185">
        <f t="shared" si="74"/>
        <v>0</v>
      </c>
      <c r="AE29" s="185">
        <f t="shared" si="73"/>
        <v>108000</v>
      </c>
      <c r="AF29" s="185">
        <f t="shared" si="74"/>
        <v>115692</v>
      </c>
    </row>
    <row r="30" spans="1:32" x14ac:dyDescent="0.2">
      <c r="A30" s="46"/>
      <c r="B30" s="459" t="s">
        <v>53</v>
      </c>
      <c r="C30" s="460"/>
      <c r="D30" s="50" t="s">
        <v>54</v>
      </c>
      <c r="E30" s="44">
        <f t="shared" si="73"/>
        <v>108000</v>
      </c>
      <c r="F30" s="44">
        <f t="shared" si="73"/>
        <v>115692</v>
      </c>
      <c r="G30" s="44">
        <f t="shared" si="73"/>
        <v>7692</v>
      </c>
      <c r="H30" s="44">
        <f>SUM(H31)</f>
        <v>0</v>
      </c>
      <c r="I30" s="44">
        <f>SUM(I31)</f>
        <v>7692</v>
      </c>
      <c r="J30" s="44">
        <f t="shared" si="73"/>
        <v>0</v>
      </c>
      <c r="K30" s="44">
        <f t="shared" si="73"/>
        <v>0</v>
      </c>
      <c r="L30" s="44">
        <f t="shared" si="73"/>
        <v>0</v>
      </c>
      <c r="M30" s="44">
        <f t="shared" si="73"/>
        <v>0</v>
      </c>
      <c r="N30" s="44">
        <f t="shared" si="73"/>
        <v>0</v>
      </c>
      <c r="O30" s="44">
        <f t="shared" si="73"/>
        <v>0</v>
      </c>
      <c r="P30" s="44">
        <f t="shared" si="73"/>
        <v>0</v>
      </c>
      <c r="Q30" s="44">
        <f t="shared" si="73"/>
        <v>0</v>
      </c>
      <c r="R30" s="44">
        <f t="shared" si="73"/>
        <v>0</v>
      </c>
      <c r="S30" s="44">
        <f t="shared" si="74"/>
        <v>0</v>
      </c>
      <c r="T30" s="44">
        <f t="shared" si="74"/>
        <v>0</v>
      </c>
      <c r="U30" s="44">
        <f t="shared" si="74"/>
        <v>0</v>
      </c>
      <c r="V30" s="44">
        <f t="shared" si="74"/>
        <v>0</v>
      </c>
      <c r="W30" s="44">
        <f t="shared" si="74"/>
        <v>0</v>
      </c>
      <c r="X30" s="44">
        <f t="shared" si="74"/>
        <v>0</v>
      </c>
      <c r="Y30" s="44">
        <f t="shared" si="74"/>
        <v>0</v>
      </c>
      <c r="Z30" s="44">
        <f t="shared" si="74"/>
        <v>0</v>
      </c>
      <c r="AA30" s="44">
        <f t="shared" si="74"/>
        <v>0</v>
      </c>
      <c r="AB30" s="44">
        <f t="shared" si="74"/>
        <v>0</v>
      </c>
      <c r="AC30" s="44">
        <f t="shared" si="74"/>
        <v>0</v>
      </c>
      <c r="AD30" s="44">
        <f t="shared" si="74"/>
        <v>0</v>
      </c>
      <c r="AE30" s="44">
        <f t="shared" si="73"/>
        <v>108000</v>
      </c>
      <c r="AF30" s="44">
        <f>SUM(AF31)</f>
        <v>115692</v>
      </c>
    </row>
    <row r="31" spans="1:32" ht="24" x14ac:dyDescent="0.2">
      <c r="A31" s="46"/>
      <c r="B31" s="267"/>
      <c r="C31" s="275" t="s">
        <v>249</v>
      </c>
      <c r="D31" s="99" t="s">
        <v>250</v>
      </c>
      <c r="E31" s="184">
        <v>108000</v>
      </c>
      <c r="F31" s="184">
        <f>E31+G31</f>
        <v>115692</v>
      </c>
      <c r="G31" s="184">
        <f>SUBTOTAL(9,H31:Q31)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>
        <f>R31+T31</f>
        <v>0</v>
      </c>
      <c r="T31" s="184">
        <f>SUBTOTAL(9,U31:AD31)</f>
        <v>0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>
        <f>E31+R31</f>
        <v>108000</v>
      </c>
      <c r="AF31" s="184">
        <f>S31+F31</f>
        <v>115692</v>
      </c>
    </row>
    <row r="32" spans="1:32" s="114" customFormat="1" ht="26.25" customHeight="1" x14ac:dyDescent="0.2">
      <c r="A32" s="449" t="s">
        <v>55</v>
      </c>
      <c r="B32" s="450"/>
      <c r="C32" s="450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5">SUM(G33)</f>
        <v>0</v>
      </c>
      <c r="H32" s="41">
        <f t="shared" ref="H32" si="76">SUM(H33)</f>
        <v>0</v>
      </c>
      <c r="I32" s="41">
        <f t="shared" ref="I32" si="77">SUM(I33)</f>
        <v>0</v>
      </c>
      <c r="J32" s="41">
        <f t="shared" ref="J32" si="78">SUM(J33)</f>
        <v>0</v>
      </c>
      <c r="K32" s="41">
        <f t="shared" ref="K32" si="79">SUM(K33)</f>
        <v>0</v>
      </c>
      <c r="L32" s="41">
        <f t="shared" ref="L32" si="80">SUM(L33)</f>
        <v>0</v>
      </c>
      <c r="M32" s="41">
        <f t="shared" ref="M32" si="81">SUM(M33)</f>
        <v>0</v>
      </c>
      <c r="N32" s="41">
        <f t="shared" ref="N32" si="82">SUM(N33)</f>
        <v>0</v>
      </c>
      <c r="O32" s="41">
        <f t="shared" ref="O32" si="83">SUM(O33)</f>
        <v>0</v>
      </c>
      <c r="P32" s="41">
        <f t="shared" ref="P32" si="84">SUM(P33)</f>
        <v>0</v>
      </c>
      <c r="Q32" s="41">
        <f t="shared" ref="Q32" si="85">SUM(Q33)</f>
        <v>0</v>
      </c>
      <c r="R32" s="41">
        <f t="shared" ref="R32:AE32" si="86">SUM(R33)</f>
        <v>0</v>
      </c>
      <c r="S32" s="41">
        <f t="shared" ref="S32" si="87">SUM(S33)</f>
        <v>0</v>
      </c>
      <c r="T32" s="41">
        <f t="shared" ref="T32" si="88">SUM(T33)</f>
        <v>0</v>
      </c>
      <c r="U32" s="41">
        <f t="shared" ref="U32" si="89">SUM(U33)</f>
        <v>0</v>
      </c>
      <c r="V32" s="41">
        <f t="shared" ref="V32" si="90">SUM(V33)</f>
        <v>0</v>
      </c>
      <c r="W32" s="41">
        <f t="shared" ref="W32" si="91">SUM(W33)</f>
        <v>0</v>
      </c>
      <c r="X32" s="41">
        <f t="shared" ref="X32" si="92">SUM(X33)</f>
        <v>0</v>
      </c>
      <c r="Y32" s="41">
        <f t="shared" ref="Y32" si="93">SUM(Y33)</f>
        <v>0</v>
      </c>
      <c r="Z32" s="41">
        <f t="shared" ref="Z32" si="94">SUM(Z33)</f>
        <v>0</v>
      </c>
      <c r="AA32" s="41">
        <f t="shared" ref="AA32" si="95">SUM(AA33)</f>
        <v>0</v>
      </c>
      <c r="AB32" s="41">
        <f t="shared" ref="AB32" si="96">SUM(AB33)</f>
        <v>0</v>
      </c>
      <c r="AC32" s="41">
        <f t="shared" ref="AC32" si="97">SUM(AC33)</f>
        <v>0</v>
      </c>
      <c r="AD32" s="41">
        <f t="shared" ref="AD32:AF32" si="98">SUM(AD33)</f>
        <v>0</v>
      </c>
      <c r="AE32" s="41">
        <f t="shared" si="86"/>
        <v>2000</v>
      </c>
      <c r="AF32" s="41">
        <f t="shared" si="98"/>
        <v>2000</v>
      </c>
    </row>
    <row r="33" spans="1:32" s="113" customFormat="1" ht="36" x14ac:dyDescent="0.2">
      <c r="A33" s="34"/>
      <c r="B33" s="444" t="s">
        <v>56</v>
      </c>
      <c r="C33" s="444"/>
      <c r="D33" s="35" t="s">
        <v>287</v>
      </c>
      <c r="E33" s="185">
        <f>SUM(E34)</f>
        <v>2000</v>
      </c>
      <c r="F33" s="185">
        <f t="shared" ref="F33:AE33" si="99">SUM(F34)</f>
        <v>2000</v>
      </c>
      <c r="G33" s="185">
        <f t="shared" si="99"/>
        <v>0</v>
      </c>
      <c r="H33" s="185">
        <f>SUM(H34)</f>
        <v>0</v>
      </c>
      <c r="I33" s="185">
        <f t="shared" si="99"/>
        <v>0</v>
      </c>
      <c r="J33" s="185">
        <f t="shared" si="99"/>
        <v>0</v>
      </c>
      <c r="K33" s="185">
        <f t="shared" si="99"/>
        <v>0</v>
      </c>
      <c r="L33" s="185">
        <f t="shared" si="99"/>
        <v>0</v>
      </c>
      <c r="M33" s="185">
        <f t="shared" si="99"/>
        <v>0</v>
      </c>
      <c r="N33" s="185">
        <f t="shared" si="99"/>
        <v>0</v>
      </c>
      <c r="O33" s="185">
        <f t="shared" si="99"/>
        <v>0</v>
      </c>
      <c r="P33" s="185">
        <f t="shared" si="99"/>
        <v>0</v>
      </c>
      <c r="Q33" s="185">
        <f t="shared" si="99"/>
        <v>0</v>
      </c>
      <c r="R33" s="185">
        <f t="shared" si="99"/>
        <v>0</v>
      </c>
      <c r="S33" s="185">
        <f t="shared" ref="S33:AD33" si="100">SUM(S34)</f>
        <v>0</v>
      </c>
      <c r="T33" s="185">
        <f t="shared" si="100"/>
        <v>0</v>
      </c>
      <c r="U33" s="185">
        <f t="shared" si="100"/>
        <v>0</v>
      </c>
      <c r="V33" s="185">
        <f t="shared" si="100"/>
        <v>0</v>
      </c>
      <c r="W33" s="185">
        <f t="shared" si="100"/>
        <v>0</v>
      </c>
      <c r="X33" s="185">
        <f t="shared" si="100"/>
        <v>0</v>
      </c>
      <c r="Y33" s="185">
        <f t="shared" si="100"/>
        <v>0</v>
      </c>
      <c r="Z33" s="185">
        <f t="shared" si="100"/>
        <v>0</v>
      </c>
      <c r="AA33" s="185">
        <f t="shared" si="100"/>
        <v>0</v>
      </c>
      <c r="AB33" s="185">
        <f t="shared" si="100"/>
        <v>0</v>
      </c>
      <c r="AC33" s="185">
        <f t="shared" si="100"/>
        <v>0</v>
      </c>
      <c r="AD33" s="185">
        <f t="shared" si="100"/>
        <v>0</v>
      </c>
      <c r="AE33" s="185">
        <f t="shared" si="99"/>
        <v>2000</v>
      </c>
      <c r="AF33" s="185">
        <f>SUM(AF34)</f>
        <v>2000</v>
      </c>
    </row>
    <row r="34" spans="1:32" ht="24" x14ac:dyDescent="0.2">
      <c r="A34" s="42"/>
      <c r="B34" s="448" t="s">
        <v>489</v>
      </c>
      <c r="C34" s="448"/>
      <c r="D34" s="43" t="s">
        <v>525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f>R34+T34</f>
        <v>0</v>
      </c>
      <c r="T34" s="44">
        <f>SUBTOTAL(9,U34:AD34)</f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f>E34+R34</f>
        <v>2000</v>
      </c>
      <c r="AF34" s="44">
        <f>S34+F34</f>
        <v>2000</v>
      </c>
    </row>
    <row r="35" spans="1:32" s="114" customFormat="1" ht="24" x14ac:dyDescent="0.2">
      <c r="A35" s="449" t="s">
        <v>57</v>
      </c>
      <c r="B35" s="450"/>
      <c r="C35" s="450"/>
      <c r="D35" s="51" t="s">
        <v>58</v>
      </c>
      <c r="E35" s="41">
        <f>SUM(E36,E39)</f>
        <v>3084715</v>
      </c>
      <c r="F35" s="41">
        <f>SUM(F36,F39)</f>
        <v>3094715</v>
      </c>
      <c r="G35" s="41">
        <f t="shared" ref="G35:Q35" si="101">SUM(G36,G39)</f>
        <v>10000</v>
      </c>
      <c r="H35" s="41">
        <f t="shared" si="101"/>
        <v>0</v>
      </c>
      <c r="I35" s="41">
        <f t="shared" si="101"/>
        <v>0</v>
      </c>
      <c r="J35" s="41">
        <f t="shared" si="101"/>
        <v>0</v>
      </c>
      <c r="K35" s="41">
        <f t="shared" si="101"/>
        <v>0</v>
      </c>
      <c r="L35" s="41">
        <f t="shared" si="101"/>
        <v>0</v>
      </c>
      <c r="M35" s="41">
        <f t="shared" si="101"/>
        <v>0</v>
      </c>
      <c r="N35" s="41">
        <f t="shared" si="101"/>
        <v>10000</v>
      </c>
      <c r="O35" s="41">
        <f t="shared" si="101"/>
        <v>0</v>
      </c>
      <c r="P35" s="41">
        <f t="shared" si="101"/>
        <v>0</v>
      </c>
      <c r="Q35" s="41">
        <f t="shared" si="101"/>
        <v>0</v>
      </c>
      <c r="R35" s="41">
        <f>SUM(R36,R39)</f>
        <v>0</v>
      </c>
      <c r="S35" s="41">
        <f>SUM(S36,S39)</f>
        <v>0</v>
      </c>
      <c r="T35" s="41">
        <f t="shared" ref="T35" si="102">SUM(T36,T39)</f>
        <v>0</v>
      </c>
      <c r="U35" s="41">
        <f t="shared" ref="U35" si="103"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:AF35" si="112">SUM(AD36,AD39)</f>
        <v>0</v>
      </c>
      <c r="AE35" s="41">
        <f>SUM(AE36,AE39)</f>
        <v>3084715</v>
      </c>
      <c r="AF35" s="41">
        <f t="shared" si="112"/>
        <v>3094715</v>
      </c>
    </row>
    <row r="36" spans="1:32" s="113" customFormat="1" ht="24" x14ac:dyDescent="0.2">
      <c r="A36" s="34"/>
      <c r="B36" s="444" t="s">
        <v>59</v>
      </c>
      <c r="C36" s="444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Q36" si="113">SUM(G37:G38)</f>
        <v>0</v>
      </c>
      <c r="H36" s="185">
        <f t="shared" si="113"/>
        <v>0</v>
      </c>
      <c r="I36" s="185">
        <f t="shared" si="113"/>
        <v>0</v>
      </c>
      <c r="J36" s="185">
        <f t="shared" si="113"/>
        <v>0</v>
      </c>
      <c r="K36" s="185">
        <f t="shared" si="113"/>
        <v>0</v>
      </c>
      <c r="L36" s="185">
        <f t="shared" si="113"/>
        <v>0</v>
      </c>
      <c r="M36" s="185">
        <f t="shared" si="113"/>
        <v>0</v>
      </c>
      <c r="N36" s="185">
        <f t="shared" si="113"/>
        <v>0</v>
      </c>
      <c r="O36" s="185">
        <f t="shared" si="113"/>
        <v>0</v>
      </c>
      <c r="P36" s="185">
        <f t="shared" si="113"/>
        <v>0</v>
      </c>
      <c r="Q36" s="185">
        <f t="shared" si="113"/>
        <v>0</v>
      </c>
      <c r="R36" s="185">
        <f>SUM(R37:R38)</f>
        <v>0</v>
      </c>
      <c r="S36" s="185">
        <f>SUM(S37:S38)</f>
        <v>0</v>
      </c>
      <c r="T36" s="185">
        <f t="shared" ref="T36" si="114">SUM(T37:T38)</f>
        <v>0</v>
      </c>
      <c r="U36" s="185">
        <f t="shared" ref="U36" si="115">SUM(U37:U38)</f>
        <v>0</v>
      </c>
      <c r="V36" s="185">
        <f t="shared" ref="V36" si="116">SUM(V37:V38)</f>
        <v>0</v>
      </c>
      <c r="W36" s="185">
        <f t="shared" ref="W36" si="117">SUM(W37:W38)</f>
        <v>0</v>
      </c>
      <c r="X36" s="185">
        <f t="shared" ref="X36" si="118">SUM(X37:X38)</f>
        <v>0</v>
      </c>
      <c r="Y36" s="185">
        <f t="shared" ref="Y36" si="119">SUM(Y37:Y38)</f>
        <v>0</v>
      </c>
      <c r="Z36" s="185">
        <f t="shared" ref="Z36" si="120">SUM(Z37:Z38)</f>
        <v>0</v>
      </c>
      <c r="AA36" s="185">
        <f t="shared" ref="AA36" si="121">SUM(AA37:AA38)</f>
        <v>0</v>
      </c>
      <c r="AB36" s="185">
        <f t="shared" ref="AB36" si="122">SUM(AB37:AB38)</f>
        <v>0</v>
      </c>
      <c r="AC36" s="185">
        <f t="shared" ref="AC36" si="123">SUM(AC37:AC38)</f>
        <v>0</v>
      </c>
      <c r="AD36" s="185">
        <f t="shared" ref="AD36:AF36" si="124">SUM(AD37:AD38)</f>
        <v>0</v>
      </c>
      <c r="AE36" s="185">
        <f>SUM(AE37:AE38)</f>
        <v>11715</v>
      </c>
      <c r="AF36" s="185">
        <f t="shared" si="124"/>
        <v>11715</v>
      </c>
    </row>
    <row r="37" spans="1:32" ht="48" x14ac:dyDescent="0.2">
      <c r="A37" s="42"/>
      <c r="B37" s="448" t="s">
        <v>61</v>
      </c>
      <c r="C37" s="448"/>
      <c r="D37" s="43" t="s">
        <v>526</v>
      </c>
      <c r="E37" s="44">
        <v>7815</v>
      </c>
      <c r="F37" s="181">
        <f t="shared" ref="F37:F38" si="125">E37+G37</f>
        <v>7815</v>
      </c>
      <c r="G37" s="181">
        <f t="shared" ref="G37:G38" si="126">SUBTOTAL(9,H37:Q37)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>
        <f t="shared" ref="S37:S38" si="127">R37+T37</f>
        <v>0</v>
      </c>
      <c r="T37" s="181">
        <f t="shared" ref="T37:T38" si="128">SUBTOTAL(9,U37:AD37)</f>
        <v>0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>
        <f>E37+R37</f>
        <v>7815</v>
      </c>
      <c r="AF37" s="181">
        <f t="shared" ref="AF37:AF38" si="129">S37+F37</f>
        <v>7815</v>
      </c>
    </row>
    <row r="38" spans="1:32" ht="24.75" customHeight="1" x14ac:dyDescent="0.2">
      <c r="A38" s="52"/>
      <c r="B38" s="478" t="s">
        <v>62</v>
      </c>
      <c r="C38" s="478"/>
      <c r="D38" s="53" t="s">
        <v>193</v>
      </c>
      <c r="E38" s="54">
        <v>3900</v>
      </c>
      <c r="F38" s="54">
        <f t="shared" si="125"/>
        <v>3900</v>
      </c>
      <c r="G38" s="54">
        <f t="shared" si="126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4"/>
      <c r="S38" s="54">
        <f t="shared" si="127"/>
        <v>0</v>
      </c>
      <c r="T38" s="54">
        <f t="shared" si="128"/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44">
        <f>E38+R38</f>
        <v>3900</v>
      </c>
      <c r="AF38" s="54">
        <f t="shared" si="129"/>
        <v>3900</v>
      </c>
    </row>
    <row r="39" spans="1:32" s="113" customFormat="1" x14ac:dyDescent="0.2">
      <c r="A39" s="34"/>
      <c r="B39" s="444" t="s">
        <v>63</v>
      </c>
      <c r="C39" s="444"/>
      <c r="D39" s="35" t="s">
        <v>64</v>
      </c>
      <c r="E39" s="185">
        <f>SUM(E40:E43)</f>
        <v>3073000</v>
      </c>
      <c r="F39" s="185">
        <f>SUM(F40:F43)</f>
        <v>3083000</v>
      </c>
      <c r="G39" s="185">
        <f t="shared" ref="G39:Q39" si="130">SUM(G40:G43)</f>
        <v>10000</v>
      </c>
      <c r="H39" s="185">
        <f t="shared" si="130"/>
        <v>0</v>
      </c>
      <c r="I39" s="185">
        <f t="shared" si="130"/>
        <v>0</v>
      </c>
      <c r="J39" s="185">
        <f t="shared" si="130"/>
        <v>0</v>
      </c>
      <c r="K39" s="185">
        <f t="shared" si="130"/>
        <v>0</v>
      </c>
      <c r="L39" s="185">
        <f t="shared" si="130"/>
        <v>0</v>
      </c>
      <c r="M39" s="185">
        <f t="shared" si="130"/>
        <v>0</v>
      </c>
      <c r="N39" s="185">
        <f t="shared" si="130"/>
        <v>10000</v>
      </c>
      <c r="O39" s="185">
        <f t="shared" si="130"/>
        <v>0</v>
      </c>
      <c r="P39" s="185">
        <f t="shared" si="130"/>
        <v>0</v>
      </c>
      <c r="Q39" s="185">
        <f t="shared" si="130"/>
        <v>0</v>
      </c>
      <c r="R39" s="185">
        <f>SUM(R40:R43)</f>
        <v>0</v>
      </c>
      <c r="S39" s="185">
        <f>SUM(S40:S43)</f>
        <v>0</v>
      </c>
      <c r="T39" s="185">
        <f t="shared" ref="T39" si="131">SUM(T40:T43)</f>
        <v>0</v>
      </c>
      <c r="U39" s="185">
        <f t="shared" ref="U39" si="132">SUM(U40:U43)</f>
        <v>0</v>
      </c>
      <c r="V39" s="185">
        <f t="shared" ref="V39" si="133">SUM(V40:V43)</f>
        <v>0</v>
      </c>
      <c r="W39" s="185">
        <f t="shared" ref="W39" si="134">SUM(W40:W43)</f>
        <v>0</v>
      </c>
      <c r="X39" s="185">
        <f t="shared" ref="X39" si="135">SUM(X40:X43)</f>
        <v>0</v>
      </c>
      <c r="Y39" s="185">
        <f t="shared" ref="Y39" si="136">SUM(Y40:Y43)</f>
        <v>0</v>
      </c>
      <c r="Z39" s="185">
        <f t="shared" ref="Z39" si="137">SUM(Z40:Z43)</f>
        <v>0</v>
      </c>
      <c r="AA39" s="185">
        <f t="shared" ref="AA39" si="138">SUM(AA40:AA43)</f>
        <v>0</v>
      </c>
      <c r="AB39" s="185">
        <f t="shared" ref="AB39" si="139">SUM(AB40:AB43)</f>
        <v>0</v>
      </c>
      <c r="AC39" s="185">
        <f t="shared" ref="AC39" si="140">SUM(AC40:AC43)</f>
        <v>0</v>
      </c>
      <c r="AD39" s="185">
        <f t="shared" ref="AD39:AF39" si="141">SUM(AD40:AD43)</f>
        <v>0</v>
      </c>
      <c r="AE39" s="189">
        <f>SUM(AE40:AE43)</f>
        <v>3073000</v>
      </c>
      <c r="AF39" s="185">
        <f t="shared" si="141"/>
        <v>3083000</v>
      </c>
    </row>
    <row r="40" spans="1:32" x14ac:dyDescent="0.2">
      <c r="A40" s="55"/>
      <c r="B40" s="445" t="s">
        <v>65</v>
      </c>
      <c r="C40" s="445"/>
      <c r="D40" s="56" t="s">
        <v>140</v>
      </c>
      <c r="E40" s="186">
        <v>41000</v>
      </c>
      <c r="F40" s="186">
        <f t="shared" ref="F40:F43" si="142">E40+G40</f>
        <v>41000</v>
      </c>
      <c r="G40" s="186">
        <f t="shared" ref="G40:G43" si="143">SUBTOTAL(9,H40:Q40)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>
        <f t="shared" ref="S40:S43" si="144">R40+T40</f>
        <v>0</v>
      </c>
      <c r="T40" s="186">
        <f t="shared" ref="T40:T43" si="145">SUBTOTAL(9,U40:AD40)</f>
        <v>0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>
        <f>E40+R40</f>
        <v>41000</v>
      </c>
      <c r="AF40" s="186">
        <f t="shared" ref="AF40:AF43" si="146">S40+F40</f>
        <v>41000</v>
      </c>
    </row>
    <row r="41" spans="1:32" ht="24" x14ac:dyDescent="0.2">
      <c r="A41" s="55"/>
      <c r="B41" s="445" t="s">
        <v>66</v>
      </c>
      <c r="C41" s="445"/>
      <c r="D41" s="56" t="s">
        <v>141</v>
      </c>
      <c r="E41" s="186">
        <v>2900000</v>
      </c>
      <c r="F41" s="186">
        <f t="shared" si="142"/>
        <v>2900000</v>
      </c>
      <c r="G41" s="186">
        <f t="shared" si="143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f t="shared" si="144"/>
        <v>0</v>
      </c>
      <c r="T41" s="186">
        <f t="shared" si="145"/>
        <v>0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>
        <f>E41+R41</f>
        <v>2900000</v>
      </c>
      <c r="AF41" s="186">
        <f t="shared" si="146"/>
        <v>2900000</v>
      </c>
    </row>
    <row r="42" spans="1:32" ht="24" x14ac:dyDescent="0.2">
      <c r="A42" s="55"/>
      <c r="B42" s="445" t="s">
        <v>67</v>
      </c>
      <c r="C42" s="445"/>
      <c r="D42" s="56" t="s">
        <v>142</v>
      </c>
      <c r="E42" s="186">
        <v>52000</v>
      </c>
      <c r="F42" s="186">
        <f t="shared" si="142"/>
        <v>52000</v>
      </c>
      <c r="G42" s="186">
        <f t="shared" si="143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44"/>
        <v>0</v>
      </c>
      <c r="T42" s="186">
        <f t="shared" si="145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52000</v>
      </c>
      <c r="AF42" s="186">
        <f t="shared" si="146"/>
        <v>52000</v>
      </c>
    </row>
    <row r="43" spans="1:32" ht="24" x14ac:dyDescent="0.2">
      <c r="A43" s="39"/>
      <c r="B43" s="454" t="s">
        <v>130</v>
      </c>
      <c r="C43" s="454"/>
      <c r="D43" s="40" t="s">
        <v>527</v>
      </c>
      <c r="E43" s="183">
        <v>80000</v>
      </c>
      <c r="F43" s="184">
        <f t="shared" si="142"/>
        <v>90000</v>
      </c>
      <c r="G43" s="184">
        <f t="shared" si="143"/>
        <v>10000</v>
      </c>
      <c r="H43" s="184"/>
      <c r="I43" s="184"/>
      <c r="J43" s="184"/>
      <c r="K43" s="184"/>
      <c r="L43" s="184"/>
      <c r="M43" s="184"/>
      <c r="N43" s="184">
        <v>10000</v>
      </c>
      <c r="O43" s="184"/>
      <c r="P43" s="184"/>
      <c r="Q43" s="184"/>
      <c r="R43" s="184"/>
      <c r="S43" s="184">
        <f t="shared" si="144"/>
        <v>0</v>
      </c>
      <c r="T43" s="184">
        <f t="shared" si="145"/>
        <v>0</v>
      </c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>
        <f>E43+R43</f>
        <v>80000</v>
      </c>
      <c r="AF43" s="184">
        <f t="shared" si="146"/>
        <v>90000</v>
      </c>
    </row>
    <row r="44" spans="1:32" s="114" customFormat="1" x14ac:dyDescent="0.2">
      <c r="A44" s="449" t="s">
        <v>68</v>
      </c>
      <c r="B44" s="450"/>
      <c r="C44" s="450"/>
      <c r="D44" s="51" t="s">
        <v>69</v>
      </c>
      <c r="E44" s="41">
        <f t="shared" ref="E44:AE44" si="147">SUM(E45)</f>
        <v>821100</v>
      </c>
      <c r="F44" s="41">
        <f t="shared" si="147"/>
        <v>961100</v>
      </c>
      <c r="G44" s="41">
        <f t="shared" si="147"/>
        <v>140000</v>
      </c>
      <c r="H44" s="41">
        <f t="shared" si="147"/>
        <v>0</v>
      </c>
      <c r="I44" s="41">
        <f t="shared" si="147"/>
        <v>0</v>
      </c>
      <c r="J44" s="41">
        <f t="shared" si="147"/>
        <v>0</v>
      </c>
      <c r="K44" s="41">
        <f t="shared" si="147"/>
        <v>0</v>
      </c>
      <c r="L44" s="41">
        <f t="shared" si="147"/>
        <v>0</v>
      </c>
      <c r="M44" s="41">
        <f t="shared" si="147"/>
        <v>0</v>
      </c>
      <c r="N44" s="41">
        <f t="shared" si="147"/>
        <v>140000</v>
      </c>
      <c r="O44" s="41">
        <f t="shared" si="147"/>
        <v>0</v>
      </c>
      <c r="P44" s="41">
        <f t="shared" si="147"/>
        <v>0</v>
      </c>
      <c r="Q44" s="41">
        <f t="shared" si="147"/>
        <v>0</v>
      </c>
      <c r="R44" s="41">
        <f t="shared" si="147"/>
        <v>0</v>
      </c>
      <c r="S44" s="41">
        <f t="shared" ref="S44:AD44" si="148">SUM(S45)</f>
        <v>0</v>
      </c>
      <c r="T44" s="41">
        <f t="shared" si="148"/>
        <v>0</v>
      </c>
      <c r="U44" s="41">
        <f t="shared" si="148"/>
        <v>0</v>
      </c>
      <c r="V44" s="41">
        <f t="shared" si="148"/>
        <v>0</v>
      </c>
      <c r="W44" s="41">
        <f t="shared" si="148"/>
        <v>0</v>
      </c>
      <c r="X44" s="41">
        <f t="shared" si="148"/>
        <v>0</v>
      </c>
      <c r="Y44" s="41">
        <f t="shared" si="148"/>
        <v>0</v>
      </c>
      <c r="Z44" s="41">
        <f t="shared" si="148"/>
        <v>0</v>
      </c>
      <c r="AA44" s="41">
        <f t="shared" si="148"/>
        <v>0</v>
      </c>
      <c r="AB44" s="41">
        <f t="shared" si="148"/>
        <v>0</v>
      </c>
      <c r="AC44" s="41">
        <f t="shared" si="148"/>
        <v>0</v>
      </c>
      <c r="AD44" s="41">
        <f t="shared" si="148"/>
        <v>0</v>
      </c>
      <c r="AE44" s="41">
        <f t="shared" si="147"/>
        <v>821100</v>
      </c>
      <c r="AF44" s="41">
        <f>SUM(AF45)</f>
        <v>961100</v>
      </c>
    </row>
    <row r="45" spans="1:32" s="113" customFormat="1" x14ac:dyDescent="0.2">
      <c r="A45" s="34"/>
      <c r="B45" s="444" t="s">
        <v>70</v>
      </c>
      <c r="C45" s="444"/>
      <c r="D45" s="35" t="s">
        <v>71</v>
      </c>
      <c r="E45" s="185">
        <f t="shared" ref="E45:AE45" si="149">E46</f>
        <v>821100</v>
      </c>
      <c r="F45" s="185">
        <f t="shared" si="149"/>
        <v>961100</v>
      </c>
      <c r="G45" s="185">
        <f t="shared" si="149"/>
        <v>140000</v>
      </c>
      <c r="H45" s="185">
        <f t="shared" si="149"/>
        <v>0</v>
      </c>
      <c r="I45" s="185">
        <f t="shared" si="149"/>
        <v>0</v>
      </c>
      <c r="J45" s="185">
        <f t="shared" si="149"/>
        <v>0</v>
      </c>
      <c r="K45" s="185">
        <f t="shared" si="149"/>
        <v>0</v>
      </c>
      <c r="L45" s="185">
        <f t="shared" si="149"/>
        <v>0</v>
      </c>
      <c r="M45" s="185">
        <f t="shared" si="149"/>
        <v>0</v>
      </c>
      <c r="N45" s="185">
        <f t="shared" si="149"/>
        <v>140000</v>
      </c>
      <c r="O45" s="185">
        <f t="shared" si="149"/>
        <v>0</v>
      </c>
      <c r="P45" s="185">
        <f t="shared" si="149"/>
        <v>0</v>
      </c>
      <c r="Q45" s="185">
        <f t="shared" si="149"/>
        <v>0</v>
      </c>
      <c r="R45" s="185">
        <f t="shared" si="149"/>
        <v>0</v>
      </c>
      <c r="S45" s="185">
        <f t="shared" ref="S45:AD45" si="150">S46</f>
        <v>0</v>
      </c>
      <c r="T45" s="185">
        <f t="shared" si="150"/>
        <v>0</v>
      </c>
      <c r="U45" s="185">
        <f t="shared" si="150"/>
        <v>0</v>
      </c>
      <c r="V45" s="185">
        <f t="shared" si="150"/>
        <v>0</v>
      </c>
      <c r="W45" s="185">
        <f t="shared" si="150"/>
        <v>0</v>
      </c>
      <c r="X45" s="185">
        <f t="shared" si="150"/>
        <v>0</v>
      </c>
      <c r="Y45" s="185">
        <f t="shared" si="150"/>
        <v>0</v>
      </c>
      <c r="Z45" s="185">
        <f t="shared" si="150"/>
        <v>0</v>
      </c>
      <c r="AA45" s="185">
        <f t="shared" si="150"/>
        <v>0</v>
      </c>
      <c r="AB45" s="185">
        <f t="shared" si="150"/>
        <v>0</v>
      </c>
      <c r="AC45" s="185">
        <f t="shared" si="150"/>
        <v>0</v>
      </c>
      <c r="AD45" s="185">
        <f t="shared" si="150"/>
        <v>0</v>
      </c>
      <c r="AE45" s="185">
        <f t="shared" si="149"/>
        <v>821100</v>
      </c>
      <c r="AF45" s="185">
        <f>AF46</f>
        <v>961100</v>
      </c>
    </row>
    <row r="46" spans="1:32" x14ac:dyDescent="0.2">
      <c r="A46" s="116"/>
      <c r="B46" s="452" t="s">
        <v>72</v>
      </c>
      <c r="C46" s="452"/>
      <c r="D46" s="276" t="s">
        <v>73</v>
      </c>
      <c r="E46" s="274">
        <f>48000+100000+673100</f>
        <v>821100</v>
      </c>
      <c r="F46" s="54">
        <f>E46+G46</f>
        <v>961100</v>
      </c>
      <c r="G46" s="54">
        <f>SUBTOTAL(9,H46:Q46)</f>
        <v>140000</v>
      </c>
      <c r="H46" s="54"/>
      <c r="I46" s="54"/>
      <c r="J46" s="54"/>
      <c r="K46" s="54"/>
      <c r="L46" s="54"/>
      <c r="M46" s="54"/>
      <c r="N46" s="54">
        <v>140000</v>
      </c>
      <c r="O46" s="54"/>
      <c r="P46" s="54"/>
      <c r="Q46" s="54"/>
      <c r="R46" s="44"/>
      <c r="S46" s="54">
        <f>R46+T46</f>
        <v>0</v>
      </c>
      <c r="T46" s="54">
        <f>SUBTOTAL(9,U46:AD46)</f>
        <v>0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4">
        <f>E46+R46</f>
        <v>821100</v>
      </c>
      <c r="AF46" s="54">
        <f>S46+F46</f>
        <v>961100</v>
      </c>
    </row>
    <row r="47" spans="1:32" s="114" customFormat="1" x14ac:dyDescent="0.2">
      <c r="A47" s="449" t="s">
        <v>74</v>
      </c>
      <c r="B47" s="450"/>
      <c r="C47" s="450"/>
      <c r="D47" s="51" t="s">
        <v>75</v>
      </c>
      <c r="E47" s="41">
        <f t="shared" ref="E47:F47" si="151">SUM(E48,E50)</f>
        <v>288124</v>
      </c>
      <c r="F47" s="41">
        <f t="shared" si="151"/>
        <v>328199</v>
      </c>
      <c r="G47" s="41">
        <f t="shared" ref="G47:Q47" si="152">SUM(G48,G50)</f>
        <v>40075</v>
      </c>
      <c r="H47" s="41">
        <f t="shared" si="152"/>
        <v>0</v>
      </c>
      <c r="I47" s="41">
        <f t="shared" si="152"/>
        <v>40075</v>
      </c>
      <c r="J47" s="41">
        <f t="shared" si="152"/>
        <v>0</v>
      </c>
      <c r="K47" s="41">
        <f t="shared" si="152"/>
        <v>0</v>
      </c>
      <c r="L47" s="41">
        <f t="shared" si="152"/>
        <v>0</v>
      </c>
      <c r="M47" s="41">
        <f t="shared" si="152"/>
        <v>0</v>
      </c>
      <c r="N47" s="41">
        <f t="shared" si="152"/>
        <v>0</v>
      </c>
      <c r="O47" s="41">
        <f t="shared" si="152"/>
        <v>0</v>
      </c>
      <c r="P47" s="41">
        <f t="shared" si="152"/>
        <v>0</v>
      </c>
      <c r="Q47" s="41">
        <f t="shared" si="152"/>
        <v>0</v>
      </c>
      <c r="R47" s="41">
        <f t="shared" ref="R47" si="153">SUM(R48,R50)</f>
        <v>0</v>
      </c>
      <c r="S47" s="41">
        <f t="shared" ref="S47:AD47" si="154">SUM(S48,S50)</f>
        <v>0</v>
      </c>
      <c r="T47" s="41">
        <f t="shared" si="154"/>
        <v>0</v>
      </c>
      <c r="U47" s="41">
        <f t="shared" si="154"/>
        <v>0</v>
      </c>
      <c r="V47" s="41">
        <f t="shared" si="154"/>
        <v>0</v>
      </c>
      <c r="W47" s="41">
        <f t="shared" si="154"/>
        <v>0</v>
      </c>
      <c r="X47" s="41">
        <f t="shared" si="154"/>
        <v>0</v>
      </c>
      <c r="Y47" s="41">
        <f t="shared" si="154"/>
        <v>0</v>
      </c>
      <c r="Z47" s="41">
        <f t="shared" si="154"/>
        <v>0</v>
      </c>
      <c r="AA47" s="41">
        <f t="shared" si="154"/>
        <v>0</v>
      </c>
      <c r="AB47" s="41">
        <f t="shared" si="154"/>
        <v>0</v>
      </c>
      <c r="AC47" s="41">
        <f t="shared" si="154"/>
        <v>0</v>
      </c>
      <c r="AD47" s="41">
        <f t="shared" si="154"/>
        <v>0</v>
      </c>
      <c r="AE47" s="41">
        <f t="shared" ref="AE47" si="155">SUM(AE48,AE50)</f>
        <v>524548</v>
      </c>
      <c r="AF47" s="41">
        <f>SUM(AF48,AF50)</f>
        <v>328199</v>
      </c>
    </row>
    <row r="48" spans="1:32" s="113" customFormat="1" ht="24" x14ac:dyDescent="0.2">
      <c r="A48" s="34"/>
      <c r="B48" s="474" t="s">
        <v>76</v>
      </c>
      <c r="C48" s="475"/>
      <c r="D48" s="57" t="s">
        <v>77</v>
      </c>
      <c r="E48" s="185">
        <f t="shared" ref="E48:AE48" si="156">SUM(E49)</f>
        <v>51700</v>
      </c>
      <c r="F48" s="185">
        <f t="shared" si="156"/>
        <v>51700</v>
      </c>
      <c r="G48" s="185">
        <f t="shared" si="156"/>
        <v>0</v>
      </c>
      <c r="H48" s="185">
        <f t="shared" si="156"/>
        <v>0</v>
      </c>
      <c r="I48" s="185">
        <f t="shared" si="156"/>
        <v>0</v>
      </c>
      <c r="J48" s="185">
        <f t="shared" si="156"/>
        <v>0</v>
      </c>
      <c r="K48" s="185">
        <f t="shared" si="156"/>
        <v>0</v>
      </c>
      <c r="L48" s="185">
        <f t="shared" si="156"/>
        <v>0</v>
      </c>
      <c r="M48" s="185">
        <f t="shared" si="156"/>
        <v>0</v>
      </c>
      <c r="N48" s="185">
        <f t="shared" si="156"/>
        <v>0</v>
      </c>
      <c r="O48" s="185">
        <f t="shared" si="156"/>
        <v>0</v>
      </c>
      <c r="P48" s="185">
        <f t="shared" si="156"/>
        <v>0</v>
      </c>
      <c r="Q48" s="185">
        <f t="shared" si="156"/>
        <v>0</v>
      </c>
      <c r="R48" s="185">
        <f t="shared" si="156"/>
        <v>0</v>
      </c>
      <c r="S48" s="185">
        <f t="shared" ref="S48:AD48" si="157">SUM(S49)</f>
        <v>0</v>
      </c>
      <c r="T48" s="185">
        <f t="shared" si="157"/>
        <v>0</v>
      </c>
      <c r="U48" s="185">
        <f t="shared" si="157"/>
        <v>0</v>
      </c>
      <c r="V48" s="185">
        <f t="shared" si="157"/>
        <v>0</v>
      </c>
      <c r="W48" s="185">
        <f t="shared" si="157"/>
        <v>0</v>
      </c>
      <c r="X48" s="185">
        <f t="shared" si="157"/>
        <v>0</v>
      </c>
      <c r="Y48" s="185">
        <f t="shared" si="157"/>
        <v>0</v>
      </c>
      <c r="Z48" s="185">
        <f t="shared" si="157"/>
        <v>0</v>
      </c>
      <c r="AA48" s="185">
        <f t="shared" si="157"/>
        <v>0</v>
      </c>
      <c r="AB48" s="185">
        <f t="shared" si="157"/>
        <v>0</v>
      </c>
      <c r="AC48" s="185">
        <f t="shared" si="157"/>
        <v>0</v>
      </c>
      <c r="AD48" s="185">
        <f t="shared" si="157"/>
        <v>0</v>
      </c>
      <c r="AE48" s="189">
        <f t="shared" si="156"/>
        <v>51700</v>
      </c>
      <c r="AF48" s="185">
        <f>SUM(AF49)</f>
        <v>51700</v>
      </c>
    </row>
    <row r="49" spans="1:32" ht="24" x14ac:dyDescent="0.2">
      <c r="A49" s="36"/>
      <c r="B49" s="476" t="s">
        <v>78</v>
      </c>
      <c r="C49" s="477"/>
      <c r="D49" s="277" t="s">
        <v>79</v>
      </c>
      <c r="E49" s="181">
        <v>51700</v>
      </c>
      <c r="F49" s="181">
        <f>E49+G49</f>
        <v>51700</v>
      </c>
      <c r="G49" s="181">
        <f>SUBTOTAL(9,H49:Q49)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>
        <f>R49+T49</f>
        <v>0</v>
      </c>
      <c r="T49" s="181">
        <f>SUBTOTAL(9,U49:AD49)</f>
        <v>0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>
        <f>E49+R49</f>
        <v>51700</v>
      </c>
      <c r="AF49" s="181">
        <f>S49+F49</f>
        <v>51700</v>
      </c>
    </row>
    <row r="50" spans="1:32" s="113" customFormat="1" x14ac:dyDescent="0.2">
      <c r="A50" s="34"/>
      <c r="B50" s="444" t="s">
        <v>80</v>
      </c>
      <c r="C50" s="444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Q50" si="158">SUM(G51+G53)</f>
        <v>40075</v>
      </c>
      <c r="H50" s="185">
        <f t="shared" si="158"/>
        <v>0</v>
      </c>
      <c r="I50" s="185">
        <f t="shared" si="158"/>
        <v>40075</v>
      </c>
      <c r="J50" s="185">
        <f t="shared" si="158"/>
        <v>0</v>
      </c>
      <c r="K50" s="185">
        <f t="shared" si="158"/>
        <v>0</v>
      </c>
      <c r="L50" s="185">
        <f t="shared" si="158"/>
        <v>0</v>
      </c>
      <c r="M50" s="185">
        <f t="shared" si="158"/>
        <v>0</v>
      </c>
      <c r="N50" s="185">
        <f t="shared" si="158"/>
        <v>0</v>
      </c>
      <c r="O50" s="185">
        <f t="shared" si="158"/>
        <v>0</v>
      </c>
      <c r="P50" s="185">
        <f t="shared" si="158"/>
        <v>0</v>
      </c>
      <c r="Q50" s="185">
        <f t="shared" si="158"/>
        <v>0</v>
      </c>
      <c r="R50" s="185">
        <f>SUM(R51+R53)</f>
        <v>0</v>
      </c>
      <c r="S50" s="185">
        <f>SUM(S51+S53)</f>
        <v>0</v>
      </c>
      <c r="T50" s="185">
        <f t="shared" ref="T50" si="159">SUM(T51+T53)</f>
        <v>0</v>
      </c>
      <c r="U50" s="185">
        <f t="shared" ref="U50" si="160">SUM(U51+U53)</f>
        <v>0</v>
      </c>
      <c r="V50" s="185">
        <f t="shared" ref="V50" si="161">SUM(V51+V53)</f>
        <v>0</v>
      </c>
      <c r="W50" s="185">
        <f t="shared" ref="W50" si="162">SUM(W51+W53)</f>
        <v>0</v>
      </c>
      <c r="X50" s="185">
        <f t="shared" ref="X50" si="163">SUM(X51+X53)</f>
        <v>0</v>
      </c>
      <c r="Y50" s="185">
        <f t="shared" ref="Y50" si="164">SUM(Y51+Y53)</f>
        <v>0</v>
      </c>
      <c r="Z50" s="185">
        <f t="shared" ref="Z50" si="165">SUM(Z51+Z53)</f>
        <v>0</v>
      </c>
      <c r="AA50" s="185">
        <f t="shared" ref="AA50" si="166">SUM(AA51+AA53)</f>
        <v>0</v>
      </c>
      <c r="AB50" s="185">
        <f t="shared" ref="AB50" si="167">SUM(AB51+AB53)</f>
        <v>0</v>
      </c>
      <c r="AC50" s="185">
        <f t="shared" ref="AC50" si="168">SUM(AC51+AC53)</f>
        <v>0</v>
      </c>
      <c r="AD50" s="185">
        <f t="shared" ref="AD50:AF50" si="169">SUM(AD51+AD53)</f>
        <v>0</v>
      </c>
      <c r="AE50" s="185">
        <f>SUM(AE51+AE53)</f>
        <v>472848</v>
      </c>
      <c r="AF50" s="185">
        <f t="shared" si="169"/>
        <v>276499</v>
      </c>
    </row>
    <row r="51" spans="1:32" s="113" customFormat="1" x14ac:dyDescent="0.2">
      <c r="A51" s="128"/>
      <c r="B51" s="448" t="s">
        <v>275</v>
      </c>
      <c r="C51" s="451"/>
      <c r="D51" s="37" t="s">
        <v>621</v>
      </c>
      <c r="E51" s="181">
        <f>SUM(E52:E52)</f>
        <v>0</v>
      </c>
      <c r="F51" s="181">
        <f>SUM(F52:F52)</f>
        <v>0</v>
      </c>
      <c r="G51" s="181">
        <f t="shared" ref="G51:Q51" si="170">SUM(G52:G52)</f>
        <v>0</v>
      </c>
      <c r="H51" s="181">
        <f t="shared" si="170"/>
        <v>0</v>
      </c>
      <c r="I51" s="181">
        <f t="shared" si="170"/>
        <v>0</v>
      </c>
      <c r="J51" s="181">
        <f t="shared" si="170"/>
        <v>0</v>
      </c>
      <c r="K51" s="181">
        <f t="shared" si="170"/>
        <v>0</v>
      </c>
      <c r="L51" s="181">
        <f t="shared" si="170"/>
        <v>0</v>
      </c>
      <c r="M51" s="181">
        <f t="shared" si="170"/>
        <v>0</v>
      </c>
      <c r="N51" s="181">
        <f t="shared" si="170"/>
        <v>0</v>
      </c>
      <c r="O51" s="181">
        <f t="shared" si="170"/>
        <v>0</v>
      </c>
      <c r="P51" s="181">
        <f t="shared" si="170"/>
        <v>0</v>
      </c>
      <c r="Q51" s="181">
        <f t="shared" si="170"/>
        <v>0</v>
      </c>
      <c r="R51" s="181">
        <f>SUM(R52:R52)</f>
        <v>0</v>
      </c>
      <c r="S51" s="181">
        <f>SUM(S52:S52)</f>
        <v>0</v>
      </c>
      <c r="T51" s="181">
        <f t="shared" ref="T51" si="171">SUM(T52:T52)</f>
        <v>0</v>
      </c>
      <c r="U51" s="181">
        <f t="shared" ref="U51" si="172">SUM(U52:U52)</f>
        <v>0</v>
      </c>
      <c r="V51" s="181">
        <f t="shared" ref="V51" si="173">SUM(V52:V52)</f>
        <v>0</v>
      </c>
      <c r="W51" s="181">
        <f t="shared" ref="W51" si="174">SUM(W52:W52)</f>
        <v>0</v>
      </c>
      <c r="X51" s="181">
        <f t="shared" ref="X51" si="175">SUM(X52:X52)</f>
        <v>0</v>
      </c>
      <c r="Y51" s="181">
        <f t="shared" ref="Y51" si="176">SUM(Y52:Y52)</f>
        <v>0</v>
      </c>
      <c r="Z51" s="181">
        <f t="shared" ref="Z51" si="177">SUM(Z52:Z52)</f>
        <v>0</v>
      </c>
      <c r="AA51" s="181">
        <f t="shared" ref="AA51" si="178">SUM(AA52:AA52)</f>
        <v>0</v>
      </c>
      <c r="AB51" s="181">
        <f t="shared" ref="AB51" si="179">SUM(AB52:AB52)</f>
        <v>0</v>
      </c>
      <c r="AC51" s="181">
        <f t="shared" ref="AC51" si="180">SUM(AC52:AC52)</f>
        <v>0</v>
      </c>
      <c r="AD51" s="181">
        <f t="shared" ref="AD51" si="181">SUM(AD52:AD52)</f>
        <v>0</v>
      </c>
      <c r="AE51" s="181">
        <f>SUM(AE52:AE52)</f>
        <v>236424</v>
      </c>
      <c r="AF51" s="181">
        <f>SUM(AF52:AF52)</f>
        <v>0</v>
      </c>
    </row>
    <row r="52" spans="1:32" s="113" customFormat="1" x14ac:dyDescent="0.2">
      <c r="A52" s="128"/>
      <c r="B52" s="275"/>
      <c r="C52" s="335" t="s">
        <v>619</v>
      </c>
      <c r="D52" s="37" t="s">
        <v>620</v>
      </c>
      <c r="E52" s="181"/>
      <c r="F52" s="181">
        <f>E52+G52</f>
        <v>0</v>
      </c>
      <c r="G52" s="181">
        <f>SUBTOTAL(9,H52:Q52)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>
        <f>R52+T52</f>
        <v>0</v>
      </c>
      <c r="T52" s="181">
        <f>SUBTOTAL(9,U52:AD52)</f>
        <v>0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>
        <f>SUM(AE53:AE53)</f>
        <v>236424</v>
      </c>
      <c r="AF52" s="273">
        <f>S52+F52</f>
        <v>0</v>
      </c>
    </row>
    <row r="53" spans="1:32" x14ac:dyDescent="0.2">
      <c r="A53" s="36"/>
      <c r="B53" s="453" t="s">
        <v>117</v>
      </c>
      <c r="C53" s="453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Q53" si="182">SUM(G54:G54)</f>
        <v>40075</v>
      </c>
      <c r="H53" s="181">
        <f t="shared" si="182"/>
        <v>0</v>
      </c>
      <c r="I53" s="181">
        <f t="shared" si="182"/>
        <v>40075</v>
      </c>
      <c r="J53" s="181">
        <f t="shared" si="182"/>
        <v>0</v>
      </c>
      <c r="K53" s="181">
        <f t="shared" si="182"/>
        <v>0</v>
      </c>
      <c r="L53" s="181">
        <f t="shared" si="182"/>
        <v>0</v>
      </c>
      <c r="M53" s="181">
        <f t="shared" si="182"/>
        <v>0</v>
      </c>
      <c r="N53" s="181">
        <f t="shared" si="182"/>
        <v>0</v>
      </c>
      <c r="O53" s="181">
        <f t="shared" si="182"/>
        <v>0</v>
      </c>
      <c r="P53" s="181">
        <f t="shared" si="182"/>
        <v>0</v>
      </c>
      <c r="Q53" s="181">
        <f t="shared" si="182"/>
        <v>0</v>
      </c>
      <c r="R53" s="181">
        <f>SUM(R54:R54)</f>
        <v>0</v>
      </c>
      <c r="S53" s="181">
        <f>SUM(S54:S54)</f>
        <v>0</v>
      </c>
      <c r="T53" s="181">
        <f t="shared" ref="T53" si="183">SUM(T54:T54)</f>
        <v>0</v>
      </c>
      <c r="U53" s="181">
        <f t="shared" ref="U53" si="184">SUM(U54:U54)</f>
        <v>0</v>
      </c>
      <c r="V53" s="181">
        <f t="shared" ref="V53" si="185">SUM(V54:V54)</f>
        <v>0</v>
      </c>
      <c r="W53" s="181">
        <f t="shared" ref="W53" si="186">SUM(W54:W54)</f>
        <v>0</v>
      </c>
      <c r="X53" s="181">
        <f t="shared" ref="X53" si="187">SUM(X54:X54)</f>
        <v>0</v>
      </c>
      <c r="Y53" s="181">
        <f t="shared" ref="Y53" si="188">SUM(Y54:Y54)</f>
        <v>0</v>
      </c>
      <c r="Z53" s="181">
        <f t="shared" ref="Z53" si="189">SUM(Z54:Z54)</f>
        <v>0</v>
      </c>
      <c r="AA53" s="181">
        <f t="shared" ref="AA53" si="190">SUM(AA54:AA54)</f>
        <v>0</v>
      </c>
      <c r="AB53" s="181">
        <f t="shared" ref="AB53" si="191">SUM(AB54:AB54)</f>
        <v>0</v>
      </c>
      <c r="AC53" s="181">
        <f t="shared" ref="AC53" si="192">SUM(AC54:AC54)</f>
        <v>0</v>
      </c>
      <c r="AD53" s="181">
        <f t="shared" ref="AD53" si="193">SUM(AD54:AD54)</f>
        <v>0</v>
      </c>
      <c r="AE53" s="181">
        <f>SUM(AE54:AE54)</f>
        <v>236424</v>
      </c>
      <c r="AF53" s="181">
        <f>SUM(AF54:AF54)</f>
        <v>276499</v>
      </c>
    </row>
    <row r="54" spans="1:32" ht="24" x14ac:dyDescent="0.2">
      <c r="A54" s="115"/>
      <c r="B54" s="446" t="s">
        <v>118</v>
      </c>
      <c r="C54" s="447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SUBTOTAL(9,H54:Q54)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>
        <f>R54+T54</f>
        <v>0</v>
      </c>
      <c r="T54" s="273">
        <f>SUBTOTAL(9,U54:AD54)</f>
        <v>0</v>
      </c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>
        <f>E54+R54</f>
        <v>236424</v>
      </c>
      <c r="AF54" s="273">
        <f>S54+F54</f>
        <v>276499</v>
      </c>
    </row>
    <row r="55" spans="1:32" s="114" customFormat="1" ht="51.75" customHeight="1" x14ac:dyDescent="0.2">
      <c r="A55" s="449" t="s">
        <v>82</v>
      </c>
      <c r="B55" s="450"/>
      <c r="C55" s="450"/>
      <c r="D55" s="51" t="s">
        <v>150</v>
      </c>
      <c r="E55" s="41">
        <f>SUM(E58,E56,)</f>
        <v>2380304</v>
      </c>
      <c r="F55" s="41">
        <f t="shared" ref="F55" si="194">SUM(F58,F56,)</f>
        <v>2380304</v>
      </c>
      <c r="G55" s="41">
        <f t="shared" ref="G55" si="195">SUM(G58,G56,)</f>
        <v>0</v>
      </c>
      <c r="H55" s="41">
        <f t="shared" ref="H55" si="196">SUM(H58,H56,)</f>
        <v>0</v>
      </c>
      <c r="I55" s="41">
        <f t="shared" ref="I55" si="197">SUM(I58,I56,)</f>
        <v>0</v>
      </c>
      <c r="J55" s="41">
        <f t="shared" ref="J55" si="198">SUM(J58,J56,)</f>
        <v>0</v>
      </c>
      <c r="K55" s="41">
        <f t="shared" ref="K55" si="199">SUM(K58,K56,)</f>
        <v>0</v>
      </c>
      <c r="L55" s="41">
        <f t="shared" ref="L55" si="200">SUM(L58,L56,)</f>
        <v>0</v>
      </c>
      <c r="M55" s="41">
        <f t="shared" ref="M55" si="201">SUM(M58,M56,)</f>
        <v>0</v>
      </c>
      <c r="N55" s="41">
        <f t="shared" ref="N55" si="202">SUM(N58,N56,)</f>
        <v>0</v>
      </c>
      <c r="O55" s="41">
        <f t="shared" ref="O55" si="203">SUM(O58,O56,)</f>
        <v>0</v>
      </c>
      <c r="P55" s="41">
        <f t="shared" ref="P55" si="204">SUM(P58,P56,)</f>
        <v>0</v>
      </c>
      <c r="Q55" s="41">
        <f t="shared" ref="Q55" si="205">SUM(Q58,Q56,)</f>
        <v>0</v>
      </c>
      <c r="R55" s="41">
        <f t="shared" ref="R55:AE55" si="206">SUM(R58,R56,)</f>
        <v>0</v>
      </c>
      <c r="S55" s="41">
        <f t="shared" ref="S55" si="207">SUM(S58,S56,)</f>
        <v>0</v>
      </c>
      <c r="T55" s="41">
        <f t="shared" ref="T55" si="208">SUM(T58,T56,)</f>
        <v>0</v>
      </c>
      <c r="U55" s="41">
        <f t="shared" ref="U55" si="209">SUM(U58,U56,)</f>
        <v>0</v>
      </c>
      <c r="V55" s="41">
        <f t="shared" ref="V55" si="210">SUM(V58,V56,)</f>
        <v>0</v>
      </c>
      <c r="W55" s="41">
        <f t="shared" ref="W55" si="211">SUM(W58,W56,)</f>
        <v>0</v>
      </c>
      <c r="X55" s="41">
        <f t="shared" ref="X55" si="212">SUM(X58,X56,)</f>
        <v>0</v>
      </c>
      <c r="Y55" s="41">
        <f t="shared" ref="Y55" si="213">SUM(Y58,Y56,)</f>
        <v>0</v>
      </c>
      <c r="Z55" s="41">
        <f t="shared" ref="Z55" si="214">SUM(Z58,Z56,)</f>
        <v>0</v>
      </c>
      <c r="AA55" s="41">
        <f t="shared" ref="AA55" si="215">SUM(AA58,AA56,)</f>
        <v>0</v>
      </c>
      <c r="AB55" s="41">
        <f t="shared" ref="AB55" si="216">SUM(AB58,AB56,)</f>
        <v>0</v>
      </c>
      <c r="AC55" s="41">
        <f t="shared" ref="AC55" si="217">SUM(AC58,AC56,)</f>
        <v>0</v>
      </c>
      <c r="AD55" s="41">
        <f t="shared" ref="AD55:AF55" si="218">SUM(AD58,AD56,)</f>
        <v>0</v>
      </c>
      <c r="AE55" s="41">
        <f t="shared" si="206"/>
        <v>2380304</v>
      </c>
      <c r="AF55" s="41">
        <f t="shared" si="218"/>
        <v>2380304</v>
      </c>
    </row>
    <row r="56" spans="1:32" s="113" customFormat="1" x14ac:dyDescent="0.2">
      <c r="A56" s="34"/>
      <c r="B56" s="444" t="s">
        <v>213</v>
      </c>
      <c r="C56" s="444"/>
      <c r="D56" s="35" t="s">
        <v>214</v>
      </c>
      <c r="E56" s="185">
        <f t="shared" ref="E56:AE56" si="219">SUM(E57:E57)</f>
        <v>2000000</v>
      </c>
      <c r="F56" s="185">
        <f t="shared" si="219"/>
        <v>2000000</v>
      </c>
      <c r="G56" s="185">
        <f t="shared" si="219"/>
        <v>0</v>
      </c>
      <c r="H56" s="185">
        <f t="shared" si="219"/>
        <v>0</v>
      </c>
      <c r="I56" s="185">
        <f t="shared" si="219"/>
        <v>0</v>
      </c>
      <c r="J56" s="185">
        <f t="shared" si="219"/>
        <v>0</v>
      </c>
      <c r="K56" s="185">
        <f t="shared" si="219"/>
        <v>0</v>
      </c>
      <c r="L56" s="185">
        <f t="shared" si="219"/>
        <v>0</v>
      </c>
      <c r="M56" s="185">
        <f t="shared" si="219"/>
        <v>0</v>
      </c>
      <c r="N56" s="185">
        <f t="shared" si="219"/>
        <v>0</v>
      </c>
      <c r="O56" s="185">
        <f t="shared" si="219"/>
        <v>0</v>
      </c>
      <c r="P56" s="185">
        <f t="shared" si="219"/>
        <v>0</v>
      </c>
      <c r="Q56" s="185">
        <f t="shared" si="219"/>
        <v>0</v>
      </c>
      <c r="R56" s="185">
        <f t="shared" si="219"/>
        <v>0</v>
      </c>
      <c r="S56" s="185">
        <f t="shared" ref="S56:AD56" si="220">SUM(S57:S57)</f>
        <v>0</v>
      </c>
      <c r="T56" s="185">
        <f t="shared" si="220"/>
        <v>0</v>
      </c>
      <c r="U56" s="185">
        <f t="shared" si="220"/>
        <v>0</v>
      </c>
      <c r="V56" s="185">
        <f t="shared" si="220"/>
        <v>0</v>
      </c>
      <c r="W56" s="185">
        <f t="shared" si="220"/>
        <v>0</v>
      </c>
      <c r="X56" s="185">
        <f t="shared" si="220"/>
        <v>0</v>
      </c>
      <c r="Y56" s="185">
        <f t="shared" si="220"/>
        <v>0</v>
      </c>
      <c r="Z56" s="185">
        <f t="shared" si="220"/>
        <v>0</v>
      </c>
      <c r="AA56" s="185">
        <f t="shared" si="220"/>
        <v>0</v>
      </c>
      <c r="AB56" s="185">
        <f t="shared" si="220"/>
        <v>0</v>
      </c>
      <c r="AC56" s="185">
        <f t="shared" si="220"/>
        <v>0</v>
      </c>
      <c r="AD56" s="185">
        <f t="shared" si="220"/>
        <v>0</v>
      </c>
      <c r="AE56" s="185">
        <f t="shared" si="219"/>
        <v>2000000</v>
      </c>
      <c r="AF56" s="185">
        <f>SUM(AF57:AF57)</f>
        <v>2000000</v>
      </c>
    </row>
    <row r="57" spans="1:32" s="113" customFormat="1" x14ac:dyDescent="0.2">
      <c r="A57" s="34"/>
      <c r="B57" s="453" t="s">
        <v>131</v>
      </c>
      <c r="C57" s="453"/>
      <c r="D57" s="43" t="s">
        <v>132</v>
      </c>
      <c r="E57" s="44">
        <v>2000000</v>
      </c>
      <c r="F57" s="44">
        <f>E57+G57</f>
        <v>2000000</v>
      </c>
      <c r="G57" s="44">
        <f>SUBTOTAL(9,H57:Q57)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f>R57+T57</f>
        <v>0</v>
      </c>
      <c r="T57" s="44">
        <f>SUBTOTAL(9,U57:AD57)</f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f>E57+R57</f>
        <v>2000000</v>
      </c>
      <c r="AF57" s="44">
        <f>S57+F57</f>
        <v>2000000</v>
      </c>
    </row>
    <row r="58" spans="1:32" s="113" customFormat="1" ht="24" x14ac:dyDescent="0.2">
      <c r="A58" s="34"/>
      <c r="B58" s="444" t="s">
        <v>133</v>
      </c>
      <c r="C58" s="444"/>
      <c r="D58" s="35" t="s">
        <v>110</v>
      </c>
      <c r="E58" s="185">
        <f t="shared" ref="E58:R58" si="221">SUM(E59:E61)</f>
        <v>380304</v>
      </c>
      <c r="F58" s="185">
        <f t="shared" ref="F58:Q58" si="222">SUM(F59:F61)</f>
        <v>380304</v>
      </c>
      <c r="G58" s="185">
        <f t="shared" si="222"/>
        <v>0</v>
      </c>
      <c r="H58" s="185">
        <f t="shared" si="222"/>
        <v>0</v>
      </c>
      <c r="I58" s="185">
        <f t="shared" si="222"/>
        <v>0</v>
      </c>
      <c r="J58" s="185">
        <f t="shared" si="222"/>
        <v>0</v>
      </c>
      <c r="K58" s="185">
        <f t="shared" si="222"/>
        <v>0</v>
      </c>
      <c r="L58" s="185">
        <f t="shared" si="222"/>
        <v>0</v>
      </c>
      <c r="M58" s="185">
        <f t="shared" si="222"/>
        <v>0</v>
      </c>
      <c r="N58" s="185">
        <f t="shared" si="222"/>
        <v>0</v>
      </c>
      <c r="O58" s="185">
        <f t="shared" si="222"/>
        <v>0</v>
      </c>
      <c r="P58" s="185">
        <f t="shared" si="222"/>
        <v>0</v>
      </c>
      <c r="Q58" s="185">
        <f t="shared" si="222"/>
        <v>0</v>
      </c>
      <c r="R58" s="185">
        <f t="shared" si="221"/>
        <v>0</v>
      </c>
      <c r="S58" s="185">
        <f t="shared" ref="S58:AD58" si="223">SUM(S59:S61)</f>
        <v>0</v>
      </c>
      <c r="T58" s="185">
        <f t="shared" si="223"/>
        <v>0</v>
      </c>
      <c r="U58" s="185">
        <f t="shared" si="223"/>
        <v>0</v>
      </c>
      <c r="V58" s="185">
        <f t="shared" si="223"/>
        <v>0</v>
      </c>
      <c r="W58" s="185">
        <f t="shared" si="223"/>
        <v>0</v>
      </c>
      <c r="X58" s="185">
        <f t="shared" si="223"/>
        <v>0</v>
      </c>
      <c r="Y58" s="185">
        <f t="shared" si="223"/>
        <v>0</v>
      </c>
      <c r="Z58" s="185">
        <f t="shared" si="223"/>
        <v>0</v>
      </c>
      <c r="AA58" s="185">
        <f t="shared" si="223"/>
        <v>0</v>
      </c>
      <c r="AB58" s="185">
        <f t="shared" si="223"/>
        <v>0</v>
      </c>
      <c r="AC58" s="185">
        <f t="shared" si="223"/>
        <v>0</v>
      </c>
      <c r="AD58" s="185">
        <f t="shared" si="223"/>
        <v>0</v>
      </c>
      <c r="AE58" s="185">
        <f t="shared" ref="AE58" si="224">SUM(AE59:AE61)</f>
        <v>380304</v>
      </c>
      <c r="AF58" s="185">
        <f>SUM(AF59:AF61)</f>
        <v>380304</v>
      </c>
    </row>
    <row r="59" spans="1:32" x14ac:dyDescent="0.2">
      <c r="A59" s="36"/>
      <c r="B59" s="453" t="s">
        <v>134</v>
      </c>
      <c r="C59" s="453"/>
      <c r="D59" s="37" t="s">
        <v>111</v>
      </c>
      <c r="E59" s="181">
        <f>176717-16751</f>
        <v>159966</v>
      </c>
      <c r="F59" s="181">
        <f t="shared" ref="F59:F61" si="225">E59+G59</f>
        <v>159966</v>
      </c>
      <c r="G59" s="181">
        <f t="shared" ref="G59:G61" si="226">SUBTOTAL(9,H59:Q59)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>
        <f t="shared" ref="S59:S61" si="227">R59+T59</f>
        <v>0</v>
      </c>
      <c r="T59" s="181">
        <f t="shared" ref="T59:T61" si="228">SUBTOTAL(9,U59:AD59)</f>
        <v>0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>
        <f t="shared" ref="AE59:AE61" si="229">E59+R59</f>
        <v>159966</v>
      </c>
      <c r="AF59" s="181">
        <f t="shared" ref="AF59:AF61" si="230">S59+F59</f>
        <v>159966</v>
      </c>
    </row>
    <row r="60" spans="1:32" x14ac:dyDescent="0.2">
      <c r="A60" s="42"/>
      <c r="B60" s="448" t="s">
        <v>135</v>
      </c>
      <c r="C60" s="448"/>
      <c r="D60" s="43" t="s">
        <v>112</v>
      </c>
      <c r="E60" s="44">
        <v>33764</v>
      </c>
      <c r="F60" s="44">
        <f t="shared" si="225"/>
        <v>33764</v>
      </c>
      <c r="G60" s="44">
        <f t="shared" si="226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f t="shared" si="227"/>
        <v>0</v>
      </c>
      <c r="T60" s="44">
        <f t="shared" si="228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f t="shared" si="229"/>
        <v>33764</v>
      </c>
      <c r="AF60" s="44">
        <f t="shared" si="230"/>
        <v>33764</v>
      </c>
    </row>
    <row r="61" spans="1:32" x14ac:dyDescent="0.2">
      <c r="A61" s="42"/>
      <c r="B61" s="448" t="s">
        <v>136</v>
      </c>
      <c r="C61" s="448"/>
      <c r="D61" s="43" t="s">
        <v>113</v>
      </c>
      <c r="E61" s="44">
        <v>186574</v>
      </c>
      <c r="F61" s="44">
        <f t="shared" si="225"/>
        <v>186574</v>
      </c>
      <c r="G61" s="44">
        <f t="shared" si="226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f t="shared" si="227"/>
        <v>0</v>
      </c>
      <c r="T61" s="44">
        <f t="shared" si="228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>
        <f t="shared" si="229"/>
        <v>186574</v>
      </c>
      <c r="AF61" s="44">
        <f t="shared" si="230"/>
        <v>186574</v>
      </c>
    </row>
    <row r="62" spans="1:32" ht="51.75" customHeight="1" x14ac:dyDescent="0.2">
      <c r="A62" s="449" t="s">
        <v>531</v>
      </c>
      <c r="B62" s="450"/>
      <c r="C62" s="450"/>
      <c r="D62" s="51" t="s">
        <v>532</v>
      </c>
      <c r="E62" s="188">
        <f t="shared" ref="E62:AE62" si="231">SUM(E63)</f>
        <v>212000</v>
      </c>
      <c r="F62" s="188">
        <f>SUM(F63)</f>
        <v>100469</v>
      </c>
      <c r="G62" s="188">
        <f t="shared" ref="G62:Q62" si="232">SUM(G63)</f>
        <v>-111531</v>
      </c>
      <c r="H62" s="188">
        <f t="shared" si="232"/>
        <v>0</v>
      </c>
      <c r="I62" s="188">
        <f t="shared" si="232"/>
        <v>0</v>
      </c>
      <c r="J62" s="188">
        <f t="shared" si="232"/>
        <v>0</v>
      </c>
      <c r="K62" s="188">
        <f t="shared" si="232"/>
        <v>0</v>
      </c>
      <c r="L62" s="188">
        <f t="shared" si="232"/>
        <v>0</v>
      </c>
      <c r="M62" s="188">
        <f t="shared" si="232"/>
        <v>0</v>
      </c>
      <c r="N62" s="188">
        <f t="shared" si="232"/>
        <v>0</v>
      </c>
      <c r="O62" s="188">
        <f t="shared" si="232"/>
        <v>0</v>
      </c>
      <c r="P62" s="188">
        <f t="shared" si="232"/>
        <v>-111531</v>
      </c>
      <c r="Q62" s="188">
        <f t="shared" si="232"/>
        <v>0</v>
      </c>
      <c r="R62" s="188">
        <f>SUM(R63)</f>
        <v>0</v>
      </c>
      <c r="S62" s="188">
        <f>SUM(S63)</f>
        <v>0</v>
      </c>
      <c r="T62" s="188">
        <f t="shared" ref="T62" si="233">SUM(T63)</f>
        <v>0</v>
      </c>
      <c r="U62" s="188">
        <f t="shared" ref="U62" si="234">SUM(U63)</f>
        <v>0</v>
      </c>
      <c r="V62" s="188">
        <f t="shared" ref="V62" si="235">SUM(V63)</f>
        <v>0</v>
      </c>
      <c r="W62" s="188">
        <f t="shared" ref="W62" si="236">SUM(W63)</f>
        <v>0</v>
      </c>
      <c r="X62" s="188">
        <f t="shared" ref="X62" si="237">SUM(X63)</f>
        <v>0</v>
      </c>
      <c r="Y62" s="188">
        <f t="shared" ref="Y62" si="238">SUM(Y63)</f>
        <v>0</v>
      </c>
      <c r="Z62" s="188">
        <f t="shared" ref="Z62" si="239">SUM(Z63)</f>
        <v>0</v>
      </c>
      <c r="AA62" s="188">
        <f t="shared" ref="AA62" si="240">SUM(AA63)</f>
        <v>0</v>
      </c>
      <c r="AB62" s="188">
        <f t="shared" ref="AB62" si="241">SUM(AB63)</f>
        <v>0</v>
      </c>
      <c r="AC62" s="188">
        <f t="shared" ref="AC62" si="242">SUM(AC63)</f>
        <v>0</v>
      </c>
      <c r="AD62" s="188">
        <f t="shared" ref="AD62:AF62" si="243">SUM(AD63)</f>
        <v>0</v>
      </c>
      <c r="AE62" s="188">
        <f t="shared" si="231"/>
        <v>212000</v>
      </c>
      <c r="AF62" s="188">
        <f t="shared" si="243"/>
        <v>100469</v>
      </c>
    </row>
    <row r="63" spans="1:32" ht="39" customHeight="1" x14ac:dyDescent="0.2">
      <c r="A63" s="42"/>
      <c r="B63" s="176" t="s">
        <v>533</v>
      </c>
      <c r="C63" s="270"/>
      <c r="D63" s="35" t="s">
        <v>534</v>
      </c>
      <c r="E63" s="279">
        <v>212000</v>
      </c>
      <c r="F63" s="279">
        <f>E63+G63</f>
        <v>100469</v>
      </c>
      <c r="G63" s="279">
        <f>SUBTOTAL(9,H63:Q63)</f>
        <v>-111531</v>
      </c>
      <c r="H63" s="279"/>
      <c r="I63" s="279"/>
      <c r="J63" s="279"/>
      <c r="K63" s="279"/>
      <c r="L63" s="279"/>
      <c r="M63" s="279"/>
      <c r="N63" s="279"/>
      <c r="O63" s="279"/>
      <c r="P63" s="279">
        <v>-111531</v>
      </c>
      <c r="Q63" s="279"/>
      <c r="R63" s="279"/>
      <c r="S63" s="279">
        <f>R63+T63</f>
        <v>0</v>
      </c>
      <c r="T63" s="279">
        <f>SUBTOTAL(9,U63:AD63)</f>
        <v>0</v>
      </c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>
        <f t="shared" ref="AE63" si="244">E63+R63</f>
        <v>212000</v>
      </c>
      <c r="AF63" s="279">
        <f>S63+F63</f>
        <v>100469</v>
      </c>
    </row>
    <row r="64" spans="1:32" s="114" customFormat="1" x14ac:dyDescent="0.2">
      <c r="A64" s="449" t="s">
        <v>83</v>
      </c>
      <c r="B64" s="450"/>
      <c r="C64" s="450"/>
      <c r="D64" s="51" t="s">
        <v>84</v>
      </c>
      <c r="E64" s="41">
        <f>SUM(E65)</f>
        <v>19354111</v>
      </c>
      <c r="F64" s="41">
        <f t="shared" ref="F64:Q64" si="245">SUM(F65)</f>
        <v>21790942</v>
      </c>
      <c r="G64" s="41">
        <f t="shared" si="245"/>
        <v>2436831</v>
      </c>
      <c r="H64" s="41">
        <f t="shared" si="245"/>
        <v>95940</v>
      </c>
      <c r="I64" s="41">
        <f t="shared" si="245"/>
        <v>1769937</v>
      </c>
      <c r="J64" s="41">
        <f t="shared" si="245"/>
        <v>524855</v>
      </c>
      <c r="K64" s="41">
        <f t="shared" si="245"/>
        <v>-120072</v>
      </c>
      <c r="L64" s="41">
        <f t="shared" si="245"/>
        <v>0</v>
      </c>
      <c r="M64" s="41">
        <f t="shared" si="245"/>
        <v>-94855</v>
      </c>
      <c r="N64" s="41">
        <f t="shared" si="245"/>
        <v>-1134463</v>
      </c>
      <c r="O64" s="41">
        <f t="shared" si="245"/>
        <v>1675226</v>
      </c>
      <c r="P64" s="41">
        <f t="shared" si="245"/>
        <v>-279737</v>
      </c>
      <c r="Q64" s="41">
        <f t="shared" si="245"/>
        <v>0</v>
      </c>
      <c r="R64" s="41">
        <f t="shared" ref="R64:AE64" si="246">SUM(R65)</f>
        <v>0</v>
      </c>
      <c r="S64" s="41">
        <f t="shared" ref="S64:AD64" si="247">SUM(S65)</f>
        <v>0</v>
      </c>
      <c r="T64" s="41">
        <f t="shared" si="247"/>
        <v>0</v>
      </c>
      <c r="U64" s="41">
        <f t="shared" si="247"/>
        <v>0</v>
      </c>
      <c r="V64" s="41">
        <f t="shared" si="247"/>
        <v>0</v>
      </c>
      <c r="W64" s="41">
        <f t="shared" si="247"/>
        <v>0</v>
      </c>
      <c r="X64" s="41">
        <f t="shared" si="247"/>
        <v>0</v>
      </c>
      <c r="Y64" s="41">
        <f t="shared" si="247"/>
        <v>0</v>
      </c>
      <c r="Z64" s="41">
        <f t="shared" si="247"/>
        <v>0</v>
      </c>
      <c r="AA64" s="41">
        <f t="shared" si="247"/>
        <v>0</v>
      </c>
      <c r="AB64" s="41">
        <f t="shared" si="247"/>
        <v>0</v>
      </c>
      <c r="AC64" s="41">
        <f t="shared" si="247"/>
        <v>0</v>
      </c>
      <c r="AD64" s="41">
        <f t="shared" si="247"/>
        <v>0</v>
      </c>
      <c r="AE64" s="41">
        <f t="shared" si="246"/>
        <v>19354111</v>
      </c>
      <c r="AF64" s="41">
        <f>SUM(AF65)</f>
        <v>21790942</v>
      </c>
    </row>
    <row r="65" spans="1:32" s="113" customFormat="1" ht="15.75" customHeight="1" x14ac:dyDescent="0.2">
      <c r="A65" s="34"/>
      <c r="B65" s="444" t="s">
        <v>85</v>
      </c>
      <c r="C65" s="444"/>
      <c r="D65" s="35" t="s">
        <v>231</v>
      </c>
      <c r="E65" s="185">
        <f>SUM(E66:E67)</f>
        <v>19354111</v>
      </c>
      <c r="F65" s="185">
        <f t="shared" ref="F65" si="248">SUM(F66:F67)</f>
        <v>21790942</v>
      </c>
      <c r="G65" s="185">
        <f t="shared" ref="G65" si="249">SUM(G66:G67)</f>
        <v>2436831</v>
      </c>
      <c r="H65" s="185">
        <f t="shared" ref="H65" si="250">SUM(H66:H67)</f>
        <v>95940</v>
      </c>
      <c r="I65" s="185">
        <f t="shared" ref="I65" si="251">SUM(I66:I67)</f>
        <v>1769937</v>
      </c>
      <c r="J65" s="185">
        <f t="shared" ref="J65" si="252">SUM(J66:J67)</f>
        <v>524855</v>
      </c>
      <c r="K65" s="185">
        <f t="shared" ref="K65" si="253">SUM(K66:K67)</f>
        <v>-120072</v>
      </c>
      <c r="L65" s="185">
        <f t="shared" ref="L65" si="254">SUM(L66:L67)</f>
        <v>0</v>
      </c>
      <c r="M65" s="185">
        <f t="shared" ref="M65" si="255">SUM(M66:M67)</f>
        <v>-94855</v>
      </c>
      <c r="N65" s="185">
        <f t="shared" ref="N65" si="256">SUM(N66:N67)</f>
        <v>-1134463</v>
      </c>
      <c r="O65" s="185">
        <f t="shared" ref="O65" si="257">SUM(O66:O67)</f>
        <v>1675226</v>
      </c>
      <c r="P65" s="185">
        <f t="shared" ref="P65" si="258">SUM(P66:P67)</f>
        <v>-279737</v>
      </c>
      <c r="Q65" s="185">
        <f t="shared" ref="Q65" si="259">SUM(Q66:Q67)</f>
        <v>0</v>
      </c>
      <c r="R65" s="185">
        <f t="shared" ref="R65:AE65" si="260">SUM(R66:R67)</f>
        <v>0</v>
      </c>
      <c r="S65" s="185">
        <f t="shared" ref="S65" si="261">SUM(S66:S67)</f>
        <v>0</v>
      </c>
      <c r="T65" s="185">
        <f t="shared" ref="T65" si="262">SUM(T66:T67)</f>
        <v>0</v>
      </c>
      <c r="U65" s="185">
        <f t="shared" ref="U65" si="263">SUM(U66:U67)</f>
        <v>0</v>
      </c>
      <c r="V65" s="185">
        <f t="shared" ref="V65" si="264">SUM(V66:V67)</f>
        <v>0</v>
      </c>
      <c r="W65" s="185">
        <f t="shared" ref="W65" si="265">SUM(W66:W67)</f>
        <v>0</v>
      </c>
      <c r="X65" s="185">
        <f t="shared" ref="X65" si="266">SUM(X66:X67)</f>
        <v>0</v>
      </c>
      <c r="Y65" s="185">
        <f t="shared" ref="Y65" si="267">SUM(Y66:Y67)</f>
        <v>0</v>
      </c>
      <c r="Z65" s="185">
        <f t="shared" ref="Z65" si="268">SUM(Z66:Z67)</f>
        <v>0</v>
      </c>
      <c r="AA65" s="185">
        <f t="shared" ref="AA65" si="269">SUM(AA66:AA67)</f>
        <v>0</v>
      </c>
      <c r="AB65" s="185">
        <f t="shared" ref="AB65" si="270">SUM(AB66:AB67)</f>
        <v>0</v>
      </c>
      <c r="AC65" s="185">
        <f t="shared" ref="AC65" si="271">SUM(AC66:AC67)</f>
        <v>0</v>
      </c>
      <c r="AD65" s="185">
        <f t="shared" ref="AD65:AF65" si="272">SUM(AD66:AD67)</f>
        <v>0</v>
      </c>
      <c r="AE65" s="185">
        <f t="shared" si="260"/>
        <v>19354111</v>
      </c>
      <c r="AF65" s="185">
        <f t="shared" si="272"/>
        <v>21790942</v>
      </c>
    </row>
    <row r="66" spans="1:32" x14ac:dyDescent="0.2">
      <c r="A66" s="42"/>
      <c r="B66" s="448" t="s">
        <v>86</v>
      </c>
      <c r="C66" s="448"/>
      <c r="D66" s="43" t="s">
        <v>643</v>
      </c>
      <c r="E66" s="44">
        <v>12681718</v>
      </c>
      <c r="F66" s="181">
        <f t="shared" ref="F66:F67" si="273">E66+G66</f>
        <v>12379022</v>
      </c>
      <c r="G66" s="181">
        <f t="shared" ref="G66:G67" si="274">SUBTOTAL(9,H66:Q66)</f>
        <v>-302696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>
        <f>1+15361</f>
        <v>15362</v>
      </c>
      <c r="N66" s="181">
        <f>2390+642+1202+600+23399</f>
        <v>28233</v>
      </c>
      <c r="O66" s="181">
        <f>3688+3150-8</f>
        <v>6830</v>
      </c>
      <c r="P66" s="181">
        <f>19689+950-11-1886</f>
        <v>18742</v>
      </c>
      <c r="Q66" s="181"/>
      <c r="R66" s="181"/>
      <c r="S66" s="181">
        <f t="shared" ref="S66:S67" si="275">R66+T66</f>
        <v>0</v>
      </c>
      <c r="T66" s="181">
        <f t="shared" ref="T66:T67" si="276">SUBTOTAL(9,U66:AD66)</f>
        <v>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>
        <f>E66+R66</f>
        <v>12681718</v>
      </c>
      <c r="AF66" s="181">
        <f t="shared" ref="AF66:AF67" si="277">S66+F66</f>
        <v>12379022</v>
      </c>
    </row>
    <row r="67" spans="1:32" ht="48" x14ac:dyDescent="0.2">
      <c r="A67" s="42"/>
      <c r="B67" s="448" t="s">
        <v>120</v>
      </c>
      <c r="C67" s="448"/>
      <c r="D67" s="43" t="s">
        <v>229</v>
      </c>
      <c r="E67" s="44">
        <v>6672393</v>
      </c>
      <c r="F67" s="181">
        <f t="shared" si="273"/>
        <v>9411920</v>
      </c>
      <c r="G67" s="181">
        <f t="shared" si="274"/>
        <v>2739527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>
        <f>-84154+237-26300</f>
        <v>-110217</v>
      </c>
      <c r="N67" s="181">
        <f>91436-128396-1298783+173047</f>
        <v>-1162696</v>
      </c>
      <c r="O67" s="181">
        <f>30291-205+1639816-1506</f>
        <v>1668396</v>
      </c>
      <c r="P67" s="181">
        <f>-263882-37496+1+7157-4259</f>
        <v>-298479</v>
      </c>
      <c r="Q67" s="181"/>
      <c r="R67" s="281"/>
      <c r="S67" s="181">
        <f t="shared" si="275"/>
        <v>0</v>
      </c>
      <c r="T67" s="181">
        <f t="shared" si="276"/>
        <v>0</v>
      </c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f>E67+R67</f>
        <v>6672393</v>
      </c>
      <c r="AF67" s="181">
        <f t="shared" si="277"/>
        <v>9411920</v>
      </c>
    </row>
    <row r="68" spans="1:32" s="114" customFormat="1" x14ac:dyDescent="0.2">
      <c r="A68" s="449" t="s">
        <v>87</v>
      </c>
      <c r="B68" s="450"/>
      <c r="C68" s="450"/>
      <c r="D68" s="51" t="s">
        <v>88</v>
      </c>
      <c r="E68" s="41">
        <f>SUM(E69:E70)</f>
        <v>1782576</v>
      </c>
      <c r="F68" s="41">
        <f t="shared" ref="F68" si="278">SUM(F69:F70)</f>
        <v>1952185</v>
      </c>
      <c r="G68" s="41">
        <f t="shared" ref="G68" si="279">SUM(G69:G70)</f>
        <v>169609</v>
      </c>
      <c r="H68" s="41">
        <f t="shared" ref="H68" si="280">SUM(H69:H70)</f>
        <v>11045</v>
      </c>
      <c r="I68" s="41">
        <f t="shared" ref="I68" si="281">SUM(I69:I70)</f>
        <v>183198</v>
      </c>
      <c r="J68" s="41">
        <f t="shared" ref="J68" si="282">SUM(J69:J70)</f>
        <v>17640</v>
      </c>
      <c r="K68" s="41">
        <f t="shared" ref="K68" si="283">SUM(K69:K70)</f>
        <v>-45269</v>
      </c>
      <c r="L68" s="41">
        <f t="shared" ref="L68" si="284">SUM(L69:L70)</f>
        <v>0</v>
      </c>
      <c r="M68" s="41">
        <f t="shared" ref="M68" si="285">SUM(M69:M70)</f>
        <v>7681</v>
      </c>
      <c r="N68" s="41">
        <f t="shared" ref="N68" si="286">SUM(N69:N70)</f>
        <v>-20825</v>
      </c>
      <c r="O68" s="41">
        <f t="shared" ref="O68" si="287">SUM(O69:O70)</f>
        <v>1738</v>
      </c>
      <c r="P68" s="41">
        <f t="shared" ref="P68" si="288">SUM(P69:P70)</f>
        <v>14401</v>
      </c>
      <c r="Q68" s="41">
        <f t="shared" ref="Q68" si="289">SUM(Q69:Q70)</f>
        <v>0</v>
      </c>
      <c r="R68" s="41">
        <f t="shared" ref="R68:AE68" si="290">SUM(R69:R70)</f>
        <v>-1041776</v>
      </c>
      <c r="S68" s="41">
        <f t="shared" ref="S68" si="291">SUM(S69:S70)</f>
        <v>-1196984</v>
      </c>
      <c r="T68" s="41">
        <f t="shared" ref="T68" si="292">SUM(T69:T70)</f>
        <v>-155208</v>
      </c>
      <c r="U68" s="41">
        <f t="shared" ref="U68" si="293">SUM(U69:U70)</f>
        <v>-11045</v>
      </c>
      <c r="V68" s="41">
        <f t="shared" ref="V68" si="294">SUM(V69:V70)</f>
        <v>-183198</v>
      </c>
      <c r="W68" s="41">
        <f t="shared" ref="W68" si="295">SUM(W69:W70)</f>
        <v>-17640</v>
      </c>
      <c r="X68" s="41">
        <f t="shared" ref="X68" si="296">SUM(X69:X70)</f>
        <v>45269</v>
      </c>
      <c r="Y68" s="41">
        <f t="shared" ref="Y68" si="297">SUM(Y69:Y70)</f>
        <v>-7681</v>
      </c>
      <c r="Z68" s="41">
        <f t="shared" ref="Z68" si="298">SUM(Z69:Z70)</f>
        <v>20825</v>
      </c>
      <c r="AA68" s="41">
        <f t="shared" ref="AA68" si="299">SUM(AA69:AA70)</f>
        <v>-1738</v>
      </c>
      <c r="AB68" s="41">
        <f t="shared" ref="AB68" si="300">SUM(AB69:AB70)</f>
        <v>0</v>
      </c>
      <c r="AC68" s="41">
        <f t="shared" ref="AC68" si="301">SUM(AC69:AC70)</f>
        <v>0</v>
      </c>
      <c r="AD68" s="41">
        <f t="shared" ref="AD68:AF68" si="302">SUM(AD69:AD70)</f>
        <v>0</v>
      </c>
      <c r="AE68" s="41">
        <f t="shared" si="290"/>
        <v>740800</v>
      </c>
      <c r="AF68" s="41">
        <f t="shared" si="302"/>
        <v>755201</v>
      </c>
    </row>
    <row r="69" spans="1:32" s="113" customFormat="1" ht="25.5" customHeight="1" x14ac:dyDescent="0.2">
      <c r="A69" s="34"/>
      <c r="B69" s="444" t="s">
        <v>89</v>
      </c>
      <c r="C69" s="444"/>
      <c r="D69" s="35" t="s">
        <v>230</v>
      </c>
      <c r="E69" s="185">
        <v>740800</v>
      </c>
      <c r="F69" s="185">
        <f t="shared" ref="F69:F70" si="303">E69+G69</f>
        <v>755201</v>
      </c>
      <c r="G69" s="185">
        <f t="shared" ref="G69:G70" si="304">SUBTOTAL(9,H69:Q69)</f>
        <v>14401</v>
      </c>
      <c r="H69" s="185"/>
      <c r="I69" s="185"/>
      <c r="J69" s="185"/>
      <c r="K69" s="185"/>
      <c r="L69" s="185"/>
      <c r="M69" s="185"/>
      <c r="N69" s="185"/>
      <c r="O69" s="185"/>
      <c r="P69" s="185">
        <v>14401</v>
      </c>
      <c r="Q69" s="185"/>
      <c r="R69" s="185"/>
      <c r="S69" s="185">
        <f>R69+T69</f>
        <v>0</v>
      </c>
      <c r="T69" s="185">
        <f>SUBTOTAL(9,U69:AD69)</f>
        <v>0</v>
      </c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>
        <f t="shared" ref="AE69" si="305">E69+R69</f>
        <v>740800</v>
      </c>
      <c r="AF69" s="185">
        <f t="shared" ref="AF69" si="306">S69+F69</f>
        <v>755201</v>
      </c>
    </row>
    <row r="70" spans="1:32" ht="16.5" customHeight="1" x14ac:dyDescent="0.2">
      <c r="A70" s="52"/>
      <c r="B70" s="270" t="s">
        <v>454</v>
      </c>
      <c r="C70" s="270"/>
      <c r="D70" s="282" t="s">
        <v>476</v>
      </c>
      <c r="E70" s="54">
        <v>1041776</v>
      </c>
      <c r="F70" s="54">
        <f t="shared" si="303"/>
        <v>1196984</v>
      </c>
      <c r="G70" s="54">
        <f t="shared" si="304"/>
        <v>155208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>
        <v>7681</v>
      </c>
      <c r="N70" s="54">
        <v>-20825</v>
      </c>
      <c r="O70" s="54">
        <f>22+486+895+4+64+138+210+1+5+19+45-151</f>
        <v>1738</v>
      </c>
      <c r="P70" s="54"/>
      <c r="Q70" s="54"/>
      <c r="R70" s="54">
        <v>-1041776</v>
      </c>
      <c r="S70" s="181">
        <f t="shared" ref="S70" si="307">R70+T70</f>
        <v>-1196984</v>
      </c>
      <c r="T70" s="181">
        <f t="shared" ref="T70" si="308">SUBTOTAL(9,U70:AD70)</f>
        <v>-155208</v>
      </c>
      <c r="U70" s="54">
        <f>-750-2719-7576</f>
        <v>-11045</v>
      </c>
      <c r="V70" s="54">
        <f>1-1-101-6450-37949-1-25845-3777-4897-85145-19033</f>
        <v>-183198</v>
      </c>
      <c r="W70" s="54">
        <v>-17640</v>
      </c>
      <c r="X70" s="54">
        <f>7251-21968+59986</f>
        <v>45269</v>
      </c>
      <c r="Y70" s="54">
        <v>-7681</v>
      </c>
      <c r="Z70" s="54">
        <v>20825</v>
      </c>
      <c r="AA70" s="54">
        <f>-22-486-895-4-64-138-210-1-5-19-45+151</f>
        <v>-1738</v>
      </c>
      <c r="AB70" s="54"/>
      <c r="AC70" s="54"/>
      <c r="AD70" s="54"/>
      <c r="AE70" s="181">
        <f t="shared" ref="AE70" si="309">E70+R70</f>
        <v>0</v>
      </c>
      <c r="AF70" s="54">
        <f>S70+F70</f>
        <v>0</v>
      </c>
    </row>
    <row r="71" spans="1:32" s="114" customFormat="1" x14ac:dyDescent="0.2">
      <c r="A71" s="449" t="s">
        <v>90</v>
      </c>
      <c r="B71" s="450"/>
      <c r="C71" s="472"/>
      <c r="D71" s="51" t="s">
        <v>288</v>
      </c>
      <c r="E71" s="41">
        <f>SUM(E72,E75,E88)</f>
        <v>1698441</v>
      </c>
      <c r="F71" s="41">
        <f>SUM(F72,F75,F88)</f>
        <v>1678411</v>
      </c>
      <c r="G71" s="41">
        <f t="shared" ref="G71:Q71" si="310">SUM(G72,G75,G88)</f>
        <v>-20030</v>
      </c>
      <c r="H71" s="41">
        <f t="shared" si="310"/>
        <v>5000</v>
      </c>
      <c r="I71" s="41">
        <f t="shared" si="310"/>
        <v>49487</v>
      </c>
      <c r="J71" s="41">
        <f t="shared" si="310"/>
        <v>-98945</v>
      </c>
      <c r="K71" s="41">
        <f t="shared" si="310"/>
        <v>111</v>
      </c>
      <c r="L71" s="41">
        <f t="shared" si="310"/>
        <v>2875</v>
      </c>
      <c r="M71" s="41">
        <f t="shared" si="310"/>
        <v>99</v>
      </c>
      <c r="N71" s="41">
        <f t="shared" si="310"/>
        <v>15362</v>
      </c>
      <c r="O71" s="41">
        <f t="shared" si="310"/>
        <v>0</v>
      </c>
      <c r="P71" s="41">
        <f t="shared" si="310"/>
        <v>5981</v>
      </c>
      <c r="Q71" s="41">
        <f t="shared" si="310"/>
        <v>0</v>
      </c>
      <c r="R71" s="41">
        <f>SUM(R72,R75,R88)</f>
        <v>-5452</v>
      </c>
      <c r="S71" s="41">
        <f>SUM(S72,S75,S88)</f>
        <v>-30262</v>
      </c>
      <c r="T71" s="41">
        <f t="shared" ref="T71" si="311">SUM(T72,T75,T88)</f>
        <v>-24810</v>
      </c>
      <c r="U71" s="41">
        <f t="shared" ref="U71" si="312">SUM(U72,U75,U88)</f>
        <v>0</v>
      </c>
      <c r="V71" s="41">
        <f t="shared" ref="V71" si="313">SUM(V72,V75,V88)</f>
        <v>-23325</v>
      </c>
      <c r="W71" s="41">
        <f t="shared" ref="W71" si="314">SUM(W72,W75,W88)</f>
        <v>-1038</v>
      </c>
      <c r="X71" s="41">
        <f t="shared" ref="X71" si="315">SUM(X72,X75,X88)</f>
        <v>-111</v>
      </c>
      <c r="Y71" s="41">
        <f t="shared" ref="Y71" si="316">SUM(Y72,Y75,Y88)</f>
        <v>0</v>
      </c>
      <c r="Z71" s="41">
        <f t="shared" ref="Z71" si="317">SUM(Z72,Z75,Z88)</f>
        <v>0</v>
      </c>
      <c r="AA71" s="41">
        <f t="shared" ref="AA71" si="318">SUM(AA72,AA75,AA88)</f>
        <v>0</v>
      </c>
      <c r="AB71" s="41">
        <f t="shared" ref="AB71" si="319">SUM(AB72,AB75,AB88)</f>
        <v>-336</v>
      </c>
      <c r="AC71" s="41">
        <f t="shared" ref="AC71" si="320">SUM(AC72,AC75,AC88)</f>
        <v>0</v>
      </c>
      <c r="AD71" s="41">
        <f t="shared" ref="AD71:AF71" si="321">SUM(AD72,AD75,AD88)</f>
        <v>0</v>
      </c>
      <c r="AE71" s="41">
        <f>SUM(AE72,AE75,AE88)</f>
        <v>1692989</v>
      </c>
      <c r="AF71" s="41">
        <f t="shared" si="321"/>
        <v>1648149</v>
      </c>
    </row>
    <row r="72" spans="1:32" s="113" customFormat="1" ht="24" x14ac:dyDescent="0.2">
      <c r="A72" s="58"/>
      <c r="B72" s="444" t="s">
        <v>91</v>
      </c>
      <c r="C72" s="471"/>
      <c r="D72" s="91" t="s">
        <v>289</v>
      </c>
      <c r="E72" s="185">
        <f t="shared" ref="E72:AE72" si="322">SUM(E73:E74)</f>
        <v>20512</v>
      </c>
      <c r="F72" s="185">
        <f t="shared" ref="F72:Q72" si="323">SUM(F73:F74)</f>
        <v>40161</v>
      </c>
      <c r="G72" s="185">
        <f t="shared" si="323"/>
        <v>19649</v>
      </c>
      <c r="H72" s="185">
        <f t="shared" si="323"/>
        <v>5000</v>
      </c>
      <c r="I72" s="185">
        <f t="shared" si="323"/>
        <v>-161</v>
      </c>
      <c r="J72" s="185">
        <f t="shared" si="323"/>
        <v>963</v>
      </c>
      <c r="K72" s="185">
        <f t="shared" si="323"/>
        <v>0</v>
      </c>
      <c r="L72" s="185">
        <f t="shared" si="323"/>
        <v>0</v>
      </c>
      <c r="M72" s="185">
        <f t="shared" si="323"/>
        <v>-1</v>
      </c>
      <c r="N72" s="185">
        <f t="shared" si="323"/>
        <v>13848</v>
      </c>
      <c r="O72" s="185">
        <f t="shared" si="323"/>
        <v>0</v>
      </c>
      <c r="P72" s="185">
        <f t="shared" si="323"/>
        <v>0</v>
      </c>
      <c r="Q72" s="185">
        <f t="shared" si="323"/>
        <v>0</v>
      </c>
      <c r="R72" s="185">
        <f t="shared" si="322"/>
        <v>0</v>
      </c>
      <c r="S72" s="185">
        <f t="shared" ref="S72:AD72" si="324">SUM(S73:S74)</f>
        <v>0</v>
      </c>
      <c r="T72" s="185">
        <f t="shared" si="324"/>
        <v>0</v>
      </c>
      <c r="U72" s="185">
        <f t="shared" si="324"/>
        <v>0</v>
      </c>
      <c r="V72" s="185">
        <f t="shared" si="324"/>
        <v>0</v>
      </c>
      <c r="W72" s="185">
        <f t="shared" si="324"/>
        <v>0</v>
      </c>
      <c r="X72" s="185">
        <f t="shared" si="324"/>
        <v>0</v>
      </c>
      <c r="Y72" s="185">
        <f t="shared" si="324"/>
        <v>0</v>
      </c>
      <c r="Z72" s="185">
        <f t="shared" si="324"/>
        <v>0</v>
      </c>
      <c r="AA72" s="185">
        <f t="shared" si="324"/>
        <v>0</v>
      </c>
      <c r="AB72" s="185">
        <f t="shared" si="324"/>
        <v>0</v>
      </c>
      <c r="AC72" s="185">
        <f t="shared" si="324"/>
        <v>0</v>
      </c>
      <c r="AD72" s="185">
        <f t="shared" si="324"/>
        <v>0</v>
      </c>
      <c r="AE72" s="185">
        <f t="shared" si="322"/>
        <v>20512</v>
      </c>
      <c r="AF72" s="185">
        <f>SUM(AF73:AF74)</f>
        <v>40161</v>
      </c>
    </row>
    <row r="73" spans="1:32" ht="24" x14ac:dyDescent="0.2">
      <c r="A73" s="117"/>
      <c r="B73" s="446" t="s">
        <v>221</v>
      </c>
      <c r="C73" s="447"/>
      <c r="D73" s="278" t="s">
        <v>222</v>
      </c>
      <c r="E73" s="273">
        <v>3932</v>
      </c>
      <c r="F73" s="273">
        <f t="shared" ref="F73:F74" si="325">E73+G73</f>
        <v>22780</v>
      </c>
      <c r="G73" s="273">
        <f t="shared" ref="G73:G74" si="326">SUBTOTAL(9,H73:Q73)</f>
        <v>18848</v>
      </c>
      <c r="H73" s="273">
        <v>5000</v>
      </c>
      <c r="I73" s="273"/>
      <c r="J73" s="273"/>
      <c r="K73" s="273"/>
      <c r="L73" s="273"/>
      <c r="M73" s="273"/>
      <c r="N73" s="273">
        <v>13848</v>
      </c>
      <c r="O73" s="273"/>
      <c r="P73" s="273"/>
      <c r="Q73" s="273"/>
      <c r="R73" s="273"/>
      <c r="S73" s="273">
        <f t="shared" ref="S73:S74" si="327">R73+T73</f>
        <v>0</v>
      </c>
      <c r="T73" s="273">
        <f t="shared" ref="T73:T74" si="328">SUBTOTAL(9,U73:AD73)</f>
        <v>0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>
        <f>E73+R73</f>
        <v>3932</v>
      </c>
      <c r="AF73" s="273">
        <f t="shared" ref="AF73:AF74" si="329">S73+F73</f>
        <v>22780</v>
      </c>
    </row>
    <row r="74" spans="1:32" ht="24" x14ac:dyDescent="0.2">
      <c r="A74" s="167"/>
      <c r="B74" s="446" t="s">
        <v>492</v>
      </c>
      <c r="C74" s="447"/>
      <c r="D74" s="278" t="s">
        <v>644</v>
      </c>
      <c r="E74" s="181">
        <v>16580</v>
      </c>
      <c r="F74" s="181">
        <f t="shared" si="325"/>
        <v>17381</v>
      </c>
      <c r="G74" s="181">
        <f t="shared" si="326"/>
        <v>801</v>
      </c>
      <c r="H74" s="181"/>
      <c r="I74" s="181">
        <f>6-167</f>
        <v>-161</v>
      </c>
      <c r="J74" s="181">
        <v>963</v>
      </c>
      <c r="K74" s="181"/>
      <c r="L74" s="181"/>
      <c r="M74" s="181">
        <v>-1</v>
      </c>
      <c r="N74" s="181"/>
      <c r="O74" s="181"/>
      <c r="P74" s="181"/>
      <c r="Q74" s="181"/>
      <c r="R74" s="181"/>
      <c r="S74" s="181">
        <f t="shared" si="327"/>
        <v>0</v>
      </c>
      <c r="T74" s="181">
        <f t="shared" si="328"/>
        <v>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>
        <f t="shared" ref="AE74" si="330">E74+R74</f>
        <v>16580</v>
      </c>
      <c r="AF74" s="181">
        <f t="shared" si="329"/>
        <v>17381</v>
      </c>
    </row>
    <row r="75" spans="1:32" s="113" customFormat="1" ht="26.25" customHeight="1" x14ac:dyDescent="0.2">
      <c r="A75" s="34"/>
      <c r="B75" s="444" t="s">
        <v>92</v>
      </c>
      <c r="C75" s="471"/>
      <c r="D75" s="35" t="s">
        <v>290</v>
      </c>
      <c r="E75" s="185">
        <f>SUM(E76,E79,E81,E84)</f>
        <v>1644025</v>
      </c>
      <c r="F75" s="185">
        <f>SUM(F76,F79,F81,F84)</f>
        <v>1581766</v>
      </c>
      <c r="G75" s="185">
        <f t="shared" ref="G75:Q75" si="331">SUM(G76,G79,G81,G84)</f>
        <v>-62259</v>
      </c>
      <c r="H75" s="185">
        <f t="shared" si="331"/>
        <v>0</v>
      </c>
      <c r="I75" s="185">
        <f t="shared" si="331"/>
        <v>30382</v>
      </c>
      <c r="J75" s="185">
        <f t="shared" si="331"/>
        <v>-101726</v>
      </c>
      <c r="K75" s="185">
        <f t="shared" si="331"/>
        <v>0</v>
      </c>
      <c r="L75" s="185">
        <f t="shared" si="331"/>
        <v>2875</v>
      </c>
      <c r="M75" s="185">
        <f t="shared" si="331"/>
        <v>0</v>
      </c>
      <c r="N75" s="185">
        <f t="shared" si="331"/>
        <v>793</v>
      </c>
      <c r="O75" s="185">
        <f t="shared" si="331"/>
        <v>0</v>
      </c>
      <c r="P75" s="185">
        <f t="shared" si="331"/>
        <v>5417</v>
      </c>
      <c r="Q75" s="185">
        <f t="shared" si="331"/>
        <v>0</v>
      </c>
      <c r="R75" s="185">
        <f>SUM(R76,R79,R81,R84)</f>
        <v>0</v>
      </c>
      <c r="S75" s="185">
        <f>SUM(S76,S79,S81,S84)</f>
        <v>-23199</v>
      </c>
      <c r="T75" s="185">
        <f t="shared" ref="T75" si="332">SUM(T76,T79,T81,T84)</f>
        <v>-23199</v>
      </c>
      <c r="U75" s="185">
        <f t="shared" ref="U75" si="333">SUM(U76,U79,U81,U84)</f>
        <v>0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0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:AF75" si="342">SUM(AD76,AD79,AD81,AD84)</f>
        <v>0</v>
      </c>
      <c r="AE75" s="185">
        <f>SUM(AE76,AE79,AE81,AE84)</f>
        <v>1644025</v>
      </c>
      <c r="AF75" s="185">
        <f t="shared" si="342"/>
        <v>1558567</v>
      </c>
    </row>
    <row r="76" spans="1:32" x14ac:dyDescent="0.2">
      <c r="A76" s="36"/>
      <c r="B76" s="448" t="s">
        <v>93</v>
      </c>
      <c r="C76" s="451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Q76" si="343">SUM(G77:G78)</f>
        <v>0</v>
      </c>
      <c r="H76" s="181">
        <f t="shared" si="343"/>
        <v>0</v>
      </c>
      <c r="I76" s="181">
        <f t="shared" si="343"/>
        <v>0</v>
      </c>
      <c r="J76" s="181">
        <f t="shared" si="343"/>
        <v>0</v>
      </c>
      <c r="K76" s="181">
        <f t="shared" si="343"/>
        <v>0</v>
      </c>
      <c r="L76" s="181">
        <f t="shared" si="343"/>
        <v>0</v>
      </c>
      <c r="M76" s="181">
        <f t="shared" si="343"/>
        <v>0</v>
      </c>
      <c r="N76" s="181">
        <f t="shared" si="343"/>
        <v>0</v>
      </c>
      <c r="O76" s="181">
        <f t="shared" si="343"/>
        <v>0</v>
      </c>
      <c r="P76" s="181">
        <f t="shared" si="343"/>
        <v>0</v>
      </c>
      <c r="Q76" s="181">
        <f t="shared" si="343"/>
        <v>0</v>
      </c>
      <c r="R76" s="181">
        <f>SUM(R77:R78)</f>
        <v>0</v>
      </c>
      <c r="S76" s="181">
        <f>SUM(S77:S78)</f>
        <v>0</v>
      </c>
      <c r="T76" s="181">
        <f t="shared" ref="T76" si="344">SUM(T77:T78)</f>
        <v>0</v>
      </c>
      <c r="U76" s="181">
        <f t="shared" ref="U76" si="345">SUM(U77:U78)</f>
        <v>0</v>
      </c>
      <c r="V76" s="181">
        <f t="shared" ref="V76" si="346">SUM(V77:V78)</f>
        <v>0</v>
      </c>
      <c r="W76" s="181">
        <f t="shared" ref="W76" si="347">SUM(W77:W78)</f>
        <v>0</v>
      </c>
      <c r="X76" s="181">
        <f t="shared" ref="X76" si="348">SUM(X77:X78)</f>
        <v>0</v>
      </c>
      <c r="Y76" s="181">
        <f t="shared" ref="Y76" si="349">SUM(Y77:Y78)</f>
        <v>0</v>
      </c>
      <c r="Z76" s="181">
        <f t="shared" ref="Z76" si="350">SUM(Z77:Z78)</f>
        <v>0</v>
      </c>
      <c r="AA76" s="181">
        <f t="shared" ref="AA76" si="351">SUM(AA77:AA78)</f>
        <v>0</v>
      </c>
      <c r="AB76" s="181">
        <f t="shared" ref="AB76" si="352">SUM(AB77:AB78)</f>
        <v>0</v>
      </c>
      <c r="AC76" s="181">
        <f t="shared" ref="AC76" si="353">SUM(AC77:AC78)</f>
        <v>0</v>
      </c>
      <c r="AD76" s="181">
        <f t="shared" ref="AD76:AF76" si="354">SUM(AD77:AD78)</f>
        <v>0</v>
      </c>
      <c r="AE76" s="181">
        <f>SUM(AE77:AE78)</f>
        <v>154353</v>
      </c>
      <c r="AF76" s="181">
        <f t="shared" si="354"/>
        <v>154353</v>
      </c>
    </row>
    <row r="77" spans="1:32" x14ac:dyDescent="0.2">
      <c r="A77" s="38"/>
      <c r="B77" s="479" t="s">
        <v>95</v>
      </c>
      <c r="C77" s="480"/>
      <c r="D77" s="40" t="s">
        <v>172</v>
      </c>
      <c r="E77" s="182">
        <v>13515</v>
      </c>
      <c r="F77" s="182">
        <f t="shared" ref="F77:F78" si="355">E77+G77</f>
        <v>13515</v>
      </c>
      <c r="G77" s="182">
        <f t="shared" ref="G77:G78" si="356">SUBTOTAL(9,H77:Q77)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74"/>
      <c r="S77" s="182">
        <f t="shared" ref="S77:S78" si="357">R77+T77</f>
        <v>0</v>
      </c>
      <c r="T77" s="182">
        <f t="shared" ref="T77:T78" si="358">SUBTOTAL(9,U77:AD77)</f>
        <v>0</v>
      </c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74">
        <f>E77+R77</f>
        <v>13515</v>
      </c>
      <c r="AF77" s="182">
        <f t="shared" ref="AF77:AF78" si="359">S77+F77</f>
        <v>13515</v>
      </c>
    </row>
    <row r="78" spans="1:32" x14ac:dyDescent="0.2">
      <c r="A78" s="39"/>
      <c r="B78" s="446" t="s">
        <v>96</v>
      </c>
      <c r="C78" s="447"/>
      <c r="D78" s="40" t="s">
        <v>173</v>
      </c>
      <c r="E78" s="182">
        <v>140838</v>
      </c>
      <c r="F78" s="184">
        <f t="shared" si="355"/>
        <v>140838</v>
      </c>
      <c r="G78" s="184">
        <f t="shared" si="356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f t="shared" si="357"/>
        <v>0</v>
      </c>
      <c r="T78" s="184">
        <f t="shared" si="358"/>
        <v>0</v>
      </c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>
        <f>E78+R78</f>
        <v>140838</v>
      </c>
      <c r="AF78" s="184">
        <f t="shared" si="359"/>
        <v>140838</v>
      </c>
    </row>
    <row r="79" spans="1:32" ht="24" x14ac:dyDescent="0.2">
      <c r="A79" s="42"/>
      <c r="B79" s="448" t="s">
        <v>97</v>
      </c>
      <c r="C79" s="451"/>
      <c r="D79" s="43" t="s">
        <v>98</v>
      </c>
      <c r="E79" s="44">
        <f t="shared" ref="E79:AE79" si="360">SUM(E80:E80)</f>
        <v>135117</v>
      </c>
      <c r="F79" s="44">
        <f t="shared" si="360"/>
        <v>135468</v>
      </c>
      <c r="G79" s="44">
        <f t="shared" si="360"/>
        <v>351</v>
      </c>
      <c r="H79" s="44">
        <f t="shared" si="360"/>
        <v>0</v>
      </c>
      <c r="I79" s="44">
        <f t="shared" si="360"/>
        <v>-4839</v>
      </c>
      <c r="J79" s="44">
        <f t="shared" si="360"/>
        <v>0</v>
      </c>
      <c r="K79" s="44">
        <f t="shared" si="360"/>
        <v>0</v>
      </c>
      <c r="L79" s="44">
        <f t="shared" si="360"/>
        <v>0</v>
      </c>
      <c r="M79" s="44">
        <f t="shared" si="360"/>
        <v>0</v>
      </c>
      <c r="N79" s="44">
        <f t="shared" si="360"/>
        <v>0</v>
      </c>
      <c r="O79" s="44">
        <f t="shared" si="360"/>
        <v>0</v>
      </c>
      <c r="P79" s="44">
        <f t="shared" si="360"/>
        <v>5190</v>
      </c>
      <c r="Q79" s="44">
        <f t="shared" si="360"/>
        <v>0</v>
      </c>
      <c r="R79" s="44">
        <f t="shared" si="360"/>
        <v>0</v>
      </c>
      <c r="S79" s="44">
        <f t="shared" ref="S79:AD79" si="361">SUM(S80:S80)</f>
        <v>0</v>
      </c>
      <c r="T79" s="44">
        <f t="shared" si="361"/>
        <v>0</v>
      </c>
      <c r="U79" s="44">
        <f t="shared" si="361"/>
        <v>0</v>
      </c>
      <c r="V79" s="44">
        <f t="shared" si="361"/>
        <v>0</v>
      </c>
      <c r="W79" s="44">
        <f t="shared" si="361"/>
        <v>0</v>
      </c>
      <c r="X79" s="44">
        <f t="shared" si="361"/>
        <v>0</v>
      </c>
      <c r="Y79" s="44">
        <f t="shared" si="361"/>
        <v>0</v>
      </c>
      <c r="Z79" s="44">
        <f t="shared" si="361"/>
        <v>0</v>
      </c>
      <c r="AA79" s="44">
        <f t="shared" si="361"/>
        <v>0</v>
      </c>
      <c r="AB79" s="44">
        <f t="shared" si="361"/>
        <v>0</v>
      </c>
      <c r="AC79" s="44">
        <f t="shared" si="361"/>
        <v>0</v>
      </c>
      <c r="AD79" s="44">
        <f t="shared" si="361"/>
        <v>0</v>
      </c>
      <c r="AE79" s="44">
        <f t="shared" si="360"/>
        <v>135117</v>
      </c>
      <c r="AF79" s="44">
        <f>SUM(AF80:AF80)</f>
        <v>135468</v>
      </c>
    </row>
    <row r="80" spans="1:32" ht="24" x14ac:dyDescent="0.2">
      <c r="A80" s="46"/>
      <c r="B80" s="482" t="s">
        <v>99</v>
      </c>
      <c r="C80" s="483"/>
      <c r="D80" s="56" t="s">
        <v>174</v>
      </c>
      <c r="E80" s="182">
        <v>135117</v>
      </c>
      <c r="F80" s="184">
        <f>E80+G80</f>
        <v>135468</v>
      </c>
      <c r="G80" s="184">
        <f>SUBTOTAL(9,H80:Q80)</f>
        <v>351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>
        <f>4225+965</f>
        <v>5190</v>
      </c>
      <c r="Q80" s="184"/>
      <c r="R80" s="184"/>
      <c r="S80" s="184">
        <f>R80+T80</f>
        <v>0</v>
      </c>
      <c r="T80" s="184">
        <f>SUBTOTAL(9,U80:AD80)</f>
        <v>0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f>E80+R80</f>
        <v>135117</v>
      </c>
      <c r="AF80" s="184">
        <f>S80+F80</f>
        <v>135468</v>
      </c>
    </row>
    <row r="81" spans="1:32" x14ac:dyDescent="0.2">
      <c r="A81" s="42"/>
      <c r="B81" s="448" t="s">
        <v>100</v>
      </c>
      <c r="C81" s="451"/>
      <c r="D81" s="43" t="s">
        <v>176</v>
      </c>
      <c r="E81" s="44">
        <f t="shared" ref="E81:AE81" si="362">SUM(E82:E83)</f>
        <v>291693</v>
      </c>
      <c r="F81" s="44">
        <f t="shared" ref="F81:Q81" si="363">SUM(F82:F83)</f>
        <v>297090</v>
      </c>
      <c r="G81" s="44">
        <f t="shared" si="363"/>
        <v>5397</v>
      </c>
      <c r="H81" s="44">
        <f t="shared" si="363"/>
        <v>0</v>
      </c>
      <c r="I81" s="44">
        <f t="shared" si="363"/>
        <v>-632</v>
      </c>
      <c r="J81" s="44">
        <f t="shared" si="363"/>
        <v>0</v>
      </c>
      <c r="K81" s="44">
        <f t="shared" si="363"/>
        <v>0</v>
      </c>
      <c r="L81" s="44">
        <f t="shared" si="363"/>
        <v>0</v>
      </c>
      <c r="M81" s="44">
        <f t="shared" si="363"/>
        <v>0</v>
      </c>
      <c r="N81" s="44">
        <f t="shared" si="363"/>
        <v>0</v>
      </c>
      <c r="O81" s="44">
        <f t="shared" si="363"/>
        <v>0</v>
      </c>
      <c r="P81" s="44">
        <f t="shared" si="363"/>
        <v>6029</v>
      </c>
      <c r="Q81" s="44">
        <f t="shared" si="363"/>
        <v>0</v>
      </c>
      <c r="R81" s="44">
        <f t="shared" si="362"/>
        <v>0</v>
      </c>
      <c r="S81" s="44">
        <f t="shared" ref="S81:AD81" si="364">SUM(S82:S83)</f>
        <v>0</v>
      </c>
      <c r="T81" s="44">
        <f t="shared" si="364"/>
        <v>0</v>
      </c>
      <c r="U81" s="44">
        <f t="shared" si="364"/>
        <v>0</v>
      </c>
      <c r="V81" s="44">
        <f t="shared" si="364"/>
        <v>0</v>
      </c>
      <c r="W81" s="44">
        <f t="shared" si="364"/>
        <v>0</v>
      </c>
      <c r="X81" s="44">
        <f t="shared" si="364"/>
        <v>0</v>
      </c>
      <c r="Y81" s="44">
        <f t="shared" si="364"/>
        <v>0</v>
      </c>
      <c r="Z81" s="44">
        <f t="shared" si="364"/>
        <v>0</v>
      </c>
      <c r="AA81" s="44">
        <f t="shared" si="364"/>
        <v>0</v>
      </c>
      <c r="AB81" s="44">
        <f t="shared" si="364"/>
        <v>0</v>
      </c>
      <c r="AC81" s="44">
        <f t="shared" si="364"/>
        <v>0</v>
      </c>
      <c r="AD81" s="44">
        <f t="shared" si="364"/>
        <v>0</v>
      </c>
      <c r="AE81" s="44">
        <f t="shared" si="362"/>
        <v>291693</v>
      </c>
      <c r="AF81" s="44">
        <f>SUM(AF82:AF83)</f>
        <v>297090</v>
      </c>
    </row>
    <row r="82" spans="1:32" x14ac:dyDescent="0.2">
      <c r="A82" s="38"/>
      <c r="B82" s="479" t="s">
        <v>101</v>
      </c>
      <c r="C82" s="480"/>
      <c r="D82" s="272" t="s">
        <v>144</v>
      </c>
      <c r="E82" s="182">
        <v>288692</v>
      </c>
      <c r="F82" s="182">
        <f t="shared" ref="F82:F83" si="365">E82+G82</f>
        <v>294089</v>
      </c>
      <c r="G82" s="182">
        <f t="shared" ref="G82:G83" si="366">SUBTOTAL(9,H82:Q82)</f>
        <v>5397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>
        <f>29+6000</f>
        <v>6029</v>
      </c>
      <c r="Q82" s="182"/>
      <c r="R82" s="182"/>
      <c r="S82" s="182">
        <f t="shared" ref="S82:S83" si="367">R82+T82</f>
        <v>0</v>
      </c>
      <c r="T82" s="182">
        <f t="shared" ref="T82:T83" si="368">SUBTOTAL(9,U82:AD82)</f>
        <v>0</v>
      </c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>
        <f t="shared" ref="AE82:AE83" si="369">E82+R82</f>
        <v>288692</v>
      </c>
      <c r="AF82" s="182">
        <f t="shared" ref="AF82:AF83" si="370">S82+F82</f>
        <v>294089</v>
      </c>
    </row>
    <row r="83" spans="1:32" x14ac:dyDescent="0.2">
      <c r="A83" s="55"/>
      <c r="B83" s="445" t="s">
        <v>102</v>
      </c>
      <c r="C83" s="481"/>
      <c r="D83" s="56" t="s">
        <v>175</v>
      </c>
      <c r="E83" s="182">
        <v>3001</v>
      </c>
      <c r="F83" s="182">
        <f t="shared" si="365"/>
        <v>3001</v>
      </c>
      <c r="G83" s="182">
        <f t="shared" si="366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>
        <f t="shared" si="367"/>
        <v>0</v>
      </c>
      <c r="T83" s="182">
        <f t="shared" si="368"/>
        <v>0</v>
      </c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f t="shared" si="369"/>
        <v>3001</v>
      </c>
      <c r="AF83" s="182">
        <f t="shared" si="370"/>
        <v>3001</v>
      </c>
    </row>
    <row r="84" spans="1:32" ht="24" x14ac:dyDescent="0.2">
      <c r="A84" s="42"/>
      <c r="B84" s="448" t="s">
        <v>103</v>
      </c>
      <c r="C84" s="451"/>
      <c r="D84" s="43" t="s">
        <v>528</v>
      </c>
      <c r="E84" s="44">
        <f t="shared" ref="E84:AE84" si="371">SUM(E85:E87)</f>
        <v>1062862</v>
      </c>
      <c r="F84" s="44">
        <f t="shared" ref="F84:Q84" si="372">SUM(F85:F87)</f>
        <v>994855</v>
      </c>
      <c r="G84" s="44">
        <f t="shared" si="372"/>
        <v>-68007</v>
      </c>
      <c r="H84" s="44">
        <f t="shared" si="372"/>
        <v>0</v>
      </c>
      <c r="I84" s="44">
        <f t="shared" si="372"/>
        <v>35853</v>
      </c>
      <c r="J84" s="44">
        <f t="shared" si="372"/>
        <v>-101726</v>
      </c>
      <c r="K84" s="44">
        <f t="shared" si="372"/>
        <v>0</v>
      </c>
      <c r="L84" s="44">
        <f t="shared" si="372"/>
        <v>2875</v>
      </c>
      <c r="M84" s="44">
        <f t="shared" si="372"/>
        <v>0</v>
      </c>
      <c r="N84" s="44">
        <f t="shared" si="372"/>
        <v>793</v>
      </c>
      <c r="O84" s="44">
        <f t="shared" si="372"/>
        <v>0</v>
      </c>
      <c r="P84" s="44">
        <f t="shared" si="372"/>
        <v>-5802</v>
      </c>
      <c r="Q84" s="44">
        <f t="shared" si="372"/>
        <v>0</v>
      </c>
      <c r="R84" s="44">
        <f t="shared" si="371"/>
        <v>0</v>
      </c>
      <c r="S84" s="44">
        <f t="shared" ref="S84:AD84" si="373">SUM(S85:S87)</f>
        <v>-23199</v>
      </c>
      <c r="T84" s="44">
        <f t="shared" si="373"/>
        <v>-23199</v>
      </c>
      <c r="U84" s="44">
        <f t="shared" si="373"/>
        <v>0</v>
      </c>
      <c r="V84" s="44">
        <f t="shared" si="373"/>
        <v>-23199</v>
      </c>
      <c r="W84" s="44">
        <f t="shared" si="373"/>
        <v>0</v>
      </c>
      <c r="X84" s="44">
        <f t="shared" si="373"/>
        <v>0</v>
      </c>
      <c r="Y84" s="44">
        <f t="shared" si="373"/>
        <v>0</v>
      </c>
      <c r="Z84" s="44">
        <f t="shared" si="373"/>
        <v>0</v>
      </c>
      <c r="AA84" s="44">
        <f t="shared" si="373"/>
        <v>0</v>
      </c>
      <c r="AB84" s="44">
        <f t="shared" si="373"/>
        <v>0</v>
      </c>
      <c r="AC84" s="44">
        <f t="shared" si="373"/>
        <v>0</v>
      </c>
      <c r="AD84" s="44">
        <f t="shared" si="373"/>
        <v>0</v>
      </c>
      <c r="AE84" s="44">
        <f t="shared" si="371"/>
        <v>1062862</v>
      </c>
      <c r="AF84" s="44">
        <f>SUM(AF85:AF87)</f>
        <v>971656</v>
      </c>
    </row>
    <row r="85" spans="1:32" ht="22.5" customHeight="1" x14ac:dyDescent="0.2">
      <c r="A85" s="38"/>
      <c r="B85" s="479" t="s">
        <v>104</v>
      </c>
      <c r="C85" s="480"/>
      <c r="D85" s="40" t="s">
        <v>177</v>
      </c>
      <c r="E85" s="182">
        <v>502190</v>
      </c>
      <c r="F85" s="182">
        <f t="shared" ref="F85:F87" si="374">E85+G85</f>
        <v>493713</v>
      </c>
      <c r="G85" s="182">
        <f t="shared" ref="G85:G87" si="375">SUBTOTAL(9,H85:Q85)</f>
        <v>-8477</v>
      </c>
      <c r="H85" s="182"/>
      <c r="I85" s="182"/>
      <c r="J85" s="182"/>
      <c r="K85" s="182"/>
      <c r="L85" s="182"/>
      <c r="M85" s="182"/>
      <c r="N85" s="182"/>
      <c r="O85" s="182"/>
      <c r="P85" s="182">
        <f>-8477</f>
        <v>-8477</v>
      </c>
      <c r="Q85" s="182"/>
      <c r="R85" s="182"/>
      <c r="S85" s="182">
        <f t="shared" ref="S85:S87" si="376">R85+T85</f>
        <v>0</v>
      </c>
      <c r="T85" s="182">
        <f t="shared" ref="T85:T87" si="377">SUBTOTAL(9,U85:AD85)</f>
        <v>0</v>
      </c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>
        <f t="shared" ref="AE85:AE87" si="378">E85+R85</f>
        <v>502190</v>
      </c>
      <c r="AF85" s="182">
        <f t="shared" ref="AF85:AF87" si="379">S85+F85</f>
        <v>493713</v>
      </c>
    </row>
    <row r="86" spans="1:32" x14ac:dyDescent="0.2">
      <c r="A86" s="55"/>
      <c r="B86" s="445" t="s">
        <v>105</v>
      </c>
      <c r="C86" s="481"/>
      <c r="D86" s="40" t="s">
        <v>194</v>
      </c>
      <c r="E86" s="182">
        <v>23285</v>
      </c>
      <c r="F86" s="182">
        <f t="shared" si="374"/>
        <v>23285</v>
      </c>
      <c r="G86" s="182">
        <f t="shared" si="375"/>
        <v>0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>
        <f t="shared" si="376"/>
        <v>0</v>
      </c>
      <c r="T86" s="182">
        <f t="shared" si="377"/>
        <v>0</v>
      </c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>
        <f t="shared" si="378"/>
        <v>23285</v>
      </c>
      <c r="AF86" s="182">
        <f t="shared" si="379"/>
        <v>23285</v>
      </c>
    </row>
    <row r="87" spans="1:32" x14ac:dyDescent="0.2">
      <c r="A87" s="39"/>
      <c r="B87" s="446" t="s">
        <v>106</v>
      </c>
      <c r="C87" s="447"/>
      <c r="D87" s="40" t="s">
        <v>178</v>
      </c>
      <c r="E87" s="182">
        <v>537387</v>
      </c>
      <c r="F87" s="273">
        <f t="shared" si="374"/>
        <v>477857</v>
      </c>
      <c r="G87" s="273">
        <f t="shared" si="375"/>
        <v>-59530</v>
      </c>
      <c r="H87" s="273"/>
      <c r="I87" s="273">
        <f>12654+23199</f>
        <v>35853</v>
      </c>
      <c r="J87" s="273">
        <v>-101726</v>
      </c>
      <c r="K87" s="273"/>
      <c r="L87" s="273">
        <v>2875</v>
      </c>
      <c r="M87" s="273"/>
      <c r="N87" s="273">
        <v>793</v>
      </c>
      <c r="O87" s="273"/>
      <c r="P87" s="273">
        <f>-162+894+1495+448</f>
        <v>2675</v>
      </c>
      <c r="Q87" s="273"/>
      <c r="R87" s="273"/>
      <c r="S87" s="273">
        <f t="shared" si="376"/>
        <v>-23199</v>
      </c>
      <c r="T87" s="273">
        <f t="shared" si="377"/>
        <v>-23199</v>
      </c>
      <c r="U87" s="273"/>
      <c r="V87" s="273">
        <v>-23199</v>
      </c>
      <c r="W87" s="273"/>
      <c r="X87" s="273"/>
      <c r="Y87" s="273"/>
      <c r="Z87" s="273"/>
      <c r="AA87" s="273"/>
      <c r="AB87" s="273"/>
      <c r="AC87" s="273"/>
      <c r="AD87" s="273"/>
      <c r="AE87" s="273">
        <f t="shared" si="378"/>
        <v>537387</v>
      </c>
      <c r="AF87" s="273">
        <f t="shared" si="379"/>
        <v>454658</v>
      </c>
    </row>
    <row r="88" spans="1:32" ht="39.75" customHeight="1" x14ac:dyDescent="0.2">
      <c r="A88" s="42"/>
      <c r="B88" s="444" t="s">
        <v>235</v>
      </c>
      <c r="C88" s="471"/>
      <c r="D88" s="284" t="s">
        <v>291</v>
      </c>
      <c r="E88" s="185">
        <f t="shared" ref="E88" si="380">SUM(E89,E91)</f>
        <v>33904</v>
      </c>
      <c r="F88" s="280">
        <f>SUM(F89,F91)</f>
        <v>56484</v>
      </c>
      <c r="G88" s="280">
        <f t="shared" ref="G88:Q88" si="381">SUM(G89,G91)</f>
        <v>22580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100</v>
      </c>
      <c r="N88" s="280">
        <f t="shared" si="381"/>
        <v>721</v>
      </c>
      <c r="O88" s="280">
        <f t="shared" si="381"/>
        <v>0</v>
      </c>
      <c r="P88" s="280">
        <f t="shared" si="381"/>
        <v>564</v>
      </c>
      <c r="Q88" s="280">
        <f t="shared" si="381"/>
        <v>0</v>
      </c>
      <c r="R88" s="280">
        <f>SUM(R89,R91)</f>
        <v>-5452</v>
      </c>
      <c r="S88" s="280">
        <f>SUM(S89,S91)</f>
        <v>-7063</v>
      </c>
      <c r="T88" s="280">
        <f t="shared" ref="T88" si="382">SUM(T89,T91)</f>
        <v>-1611</v>
      </c>
      <c r="U88" s="280">
        <f t="shared" ref="U88" si="383">SUM(U89,U91)</f>
        <v>0</v>
      </c>
      <c r="V88" s="280">
        <f t="shared" ref="V88" si="384">SUM(V89,V91)</f>
        <v>-126</v>
      </c>
      <c r="W88" s="280">
        <f t="shared" ref="W88" si="385">SUM(W89,W91)</f>
        <v>-1038</v>
      </c>
      <c r="X88" s="280">
        <f t="shared" ref="X88" si="386">SUM(X89,X91)</f>
        <v>-111</v>
      </c>
      <c r="Y88" s="280">
        <f t="shared" ref="Y88" si="387">SUM(Y89,Y91)</f>
        <v>0</v>
      </c>
      <c r="Z88" s="280">
        <f t="shared" ref="Z88" si="388">SUM(Z89,Z91)</f>
        <v>0</v>
      </c>
      <c r="AA88" s="280">
        <f t="shared" ref="AA88" si="389">SUM(AA89,AA91)</f>
        <v>0</v>
      </c>
      <c r="AB88" s="280">
        <f t="shared" ref="AB88" si="390">SUM(AB89,AB91)</f>
        <v>-336</v>
      </c>
      <c r="AC88" s="280">
        <f t="shared" ref="AC88" si="391">SUM(AC89,AC91)</f>
        <v>0</v>
      </c>
      <c r="AD88" s="280">
        <f t="shared" ref="AD88:AF88" si="392">SUM(AD89,AD91)</f>
        <v>0</v>
      </c>
      <c r="AE88" s="280">
        <f>SUM(AE89,AE91)</f>
        <v>28452</v>
      </c>
      <c r="AF88" s="280">
        <f t="shared" si="392"/>
        <v>49421</v>
      </c>
    </row>
    <row r="89" spans="1:32" s="113" customFormat="1" ht="24" x14ac:dyDescent="0.2">
      <c r="A89" s="34"/>
      <c r="B89" s="448" t="s">
        <v>107</v>
      </c>
      <c r="C89" s="451"/>
      <c r="D89" s="43" t="s">
        <v>529</v>
      </c>
      <c r="E89" s="187">
        <f t="shared" ref="E89:R89" si="393">SUM(E90:E90)</f>
        <v>800</v>
      </c>
      <c r="F89" s="187">
        <f t="shared" si="393"/>
        <v>19833</v>
      </c>
      <c r="G89" s="187">
        <f t="shared" si="393"/>
        <v>19033</v>
      </c>
      <c r="H89" s="187">
        <f t="shared" si="393"/>
        <v>0</v>
      </c>
      <c r="I89" s="187">
        <f t="shared" si="393"/>
        <v>19033</v>
      </c>
      <c r="J89" s="187">
        <f t="shared" si="393"/>
        <v>0</v>
      </c>
      <c r="K89" s="187">
        <f t="shared" si="393"/>
        <v>0</v>
      </c>
      <c r="L89" s="187">
        <f t="shared" si="393"/>
        <v>0</v>
      </c>
      <c r="M89" s="187">
        <f t="shared" si="393"/>
        <v>0</v>
      </c>
      <c r="N89" s="187">
        <f t="shared" si="393"/>
        <v>0</v>
      </c>
      <c r="O89" s="187">
        <f t="shared" si="393"/>
        <v>0</v>
      </c>
      <c r="P89" s="187">
        <f t="shared" si="393"/>
        <v>0</v>
      </c>
      <c r="Q89" s="187">
        <f t="shared" si="393"/>
        <v>0</v>
      </c>
      <c r="R89" s="187">
        <f t="shared" si="393"/>
        <v>0</v>
      </c>
      <c r="S89" s="187">
        <f t="shared" ref="S89:AF89" si="394">SUM(S90:S90)</f>
        <v>0</v>
      </c>
      <c r="T89" s="187">
        <f t="shared" si="394"/>
        <v>0</v>
      </c>
      <c r="U89" s="187">
        <f t="shared" si="394"/>
        <v>0</v>
      </c>
      <c r="V89" s="187">
        <f t="shared" si="394"/>
        <v>0</v>
      </c>
      <c r="W89" s="187">
        <f t="shared" si="394"/>
        <v>0</v>
      </c>
      <c r="X89" s="187">
        <f t="shared" si="394"/>
        <v>0</v>
      </c>
      <c r="Y89" s="187">
        <f t="shared" si="394"/>
        <v>0</v>
      </c>
      <c r="Z89" s="187">
        <f t="shared" si="394"/>
        <v>0</v>
      </c>
      <c r="AA89" s="187">
        <f t="shared" si="394"/>
        <v>0</v>
      </c>
      <c r="AB89" s="187">
        <f t="shared" si="394"/>
        <v>0</v>
      </c>
      <c r="AC89" s="187">
        <f t="shared" si="394"/>
        <v>0</v>
      </c>
      <c r="AD89" s="187">
        <f t="shared" si="394"/>
        <v>0</v>
      </c>
      <c r="AE89" s="187">
        <f t="shared" si="394"/>
        <v>800</v>
      </c>
      <c r="AF89" s="187">
        <f t="shared" si="394"/>
        <v>19833</v>
      </c>
    </row>
    <row r="90" spans="1:32" ht="24" x14ac:dyDescent="0.2">
      <c r="A90" s="39"/>
      <c r="B90" s="454" t="s">
        <v>202</v>
      </c>
      <c r="C90" s="502"/>
      <c r="D90" s="40" t="s">
        <v>530</v>
      </c>
      <c r="E90" s="183">
        <v>800</v>
      </c>
      <c r="F90" s="184">
        <f t="shared" ref="F90:F91" si="395">E90+G90</f>
        <v>19833</v>
      </c>
      <c r="G90" s="184">
        <f t="shared" ref="G90:G91" si="396">SUBTOTAL(9,H90:Q90)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>
        <f>R90+T90</f>
        <v>0</v>
      </c>
      <c r="T90" s="44">
        <f>SUBTOTAL(9,U90:AD90)</f>
        <v>0</v>
      </c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>
        <f t="shared" ref="AE90:AE91" si="397">E90+R90</f>
        <v>800</v>
      </c>
      <c r="AF90" s="184">
        <f t="shared" ref="AF90:AF91" si="398">S90+F90</f>
        <v>19833</v>
      </c>
    </row>
    <row r="91" spans="1:32" s="113" customFormat="1" x14ac:dyDescent="0.2">
      <c r="A91" s="59"/>
      <c r="B91" s="459" t="s">
        <v>233</v>
      </c>
      <c r="C91" s="460"/>
      <c r="D91" s="43" t="s">
        <v>234</v>
      </c>
      <c r="E91" s="187">
        <v>33104</v>
      </c>
      <c r="F91" s="187">
        <f t="shared" si="395"/>
        <v>36651</v>
      </c>
      <c r="G91" s="187">
        <f t="shared" si="396"/>
        <v>3547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>
        <v>100</v>
      </c>
      <c r="N91" s="187">
        <f>507+214</f>
        <v>721</v>
      </c>
      <c r="O91" s="187"/>
      <c r="P91" s="187">
        <f>272+50+50+54+14+64+60</f>
        <v>564</v>
      </c>
      <c r="Q91" s="187"/>
      <c r="R91" s="187">
        <v>-5452</v>
      </c>
      <c r="S91" s="44">
        <f>R91+T91</f>
        <v>-7063</v>
      </c>
      <c r="T91" s="44">
        <f>SUBTOTAL(9,U91:AD91)</f>
        <v>-1611</v>
      </c>
      <c r="U91" s="187"/>
      <c r="V91" s="187">
        <f>-13-113</f>
        <v>-126</v>
      </c>
      <c r="W91" s="187">
        <v>-1038</v>
      </c>
      <c r="X91" s="187">
        <v>-111</v>
      </c>
      <c r="Y91" s="187"/>
      <c r="Z91" s="187"/>
      <c r="AA91" s="187"/>
      <c r="AB91" s="187">
        <f>-272-50-14</f>
        <v>-336</v>
      </c>
      <c r="AC91" s="187"/>
      <c r="AD91" s="187"/>
      <c r="AE91" s="187">
        <f t="shared" si="397"/>
        <v>27652</v>
      </c>
      <c r="AF91" s="187">
        <f t="shared" si="398"/>
        <v>29588</v>
      </c>
    </row>
    <row r="92" spans="1:32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s="118" customFormat="1" ht="26.25" customHeight="1" x14ac:dyDescent="0.2">
      <c r="A93" s="497" t="s">
        <v>122</v>
      </c>
      <c r="B93" s="498"/>
      <c r="C93" s="498"/>
      <c r="D93" s="499"/>
      <c r="E93" s="190">
        <f t="shared" ref="E93:AF93" si="399">SUM(E10,E15,E26,E32,E35,E44,E55,E47,E62,E64,E68,E71,)</f>
        <v>89562788</v>
      </c>
      <c r="F93" s="190">
        <f t="shared" si="399"/>
        <v>93500394</v>
      </c>
      <c r="G93" s="190">
        <f t="shared" si="399"/>
        <v>3937606</v>
      </c>
      <c r="H93" s="190">
        <f t="shared" si="399"/>
        <v>111985</v>
      </c>
      <c r="I93" s="190">
        <f t="shared" si="399"/>
        <v>2279121</v>
      </c>
      <c r="J93" s="190">
        <f t="shared" si="399"/>
        <v>443550</v>
      </c>
      <c r="K93" s="190">
        <f t="shared" si="399"/>
        <v>493998</v>
      </c>
      <c r="L93" s="190">
        <f t="shared" si="399"/>
        <v>2875</v>
      </c>
      <c r="M93" s="190">
        <f t="shared" si="399"/>
        <v>-87075</v>
      </c>
      <c r="N93" s="190">
        <f t="shared" si="399"/>
        <v>-612926</v>
      </c>
      <c r="O93" s="190">
        <f t="shared" si="399"/>
        <v>1676964</v>
      </c>
      <c r="P93" s="190">
        <f t="shared" si="399"/>
        <v>-370886</v>
      </c>
      <c r="Q93" s="190">
        <f t="shared" si="399"/>
        <v>0</v>
      </c>
      <c r="R93" s="190">
        <f t="shared" si="399"/>
        <v>-1047228</v>
      </c>
      <c r="S93" s="190">
        <f t="shared" si="399"/>
        <v>-1227246</v>
      </c>
      <c r="T93" s="190">
        <f t="shared" si="399"/>
        <v>-180018</v>
      </c>
      <c r="U93" s="190">
        <f t="shared" si="399"/>
        <v>-11045</v>
      </c>
      <c r="V93" s="190">
        <f t="shared" si="399"/>
        <v>-206523</v>
      </c>
      <c r="W93" s="190">
        <f t="shared" si="399"/>
        <v>-18678</v>
      </c>
      <c r="X93" s="190">
        <f t="shared" si="399"/>
        <v>45158</v>
      </c>
      <c r="Y93" s="190">
        <f t="shared" si="399"/>
        <v>-7681</v>
      </c>
      <c r="Z93" s="190">
        <f t="shared" si="399"/>
        <v>20825</v>
      </c>
      <c r="AA93" s="190">
        <f t="shared" si="399"/>
        <v>-1738</v>
      </c>
      <c r="AB93" s="190">
        <f t="shared" si="399"/>
        <v>-336</v>
      </c>
      <c r="AC93" s="190">
        <f t="shared" si="399"/>
        <v>0</v>
      </c>
      <c r="AD93" s="190">
        <f t="shared" si="399"/>
        <v>0</v>
      </c>
      <c r="AE93" s="190">
        <f t="shared" si="399"/>
        <v>88751984</v>
      </c>
      <c r="AF93" s="190">
        <f t="shared" si="399"/>
        <v>92273148</v>
      </c>
    </row>
    <row r="94" spans="1:32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x14ac:dyDescent="0.2">
      <c r="A95" s="59"/>
      <c r="B95" s="503" t="s">
        <v>576</v>
      </c>
      <c r="C95" s="504"/>
      <c r="D95" s="35" t="s">
        <v>179</v>
      </c>
      <c r="E95" s="185">
        <f>SUM(E96:E124)</f>
        <v>10618037</v>
      </c>
      <c r="F95" s="185">
        <f t="shared" ref="F95:AF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si="400"/>
        <v>0</v>
      </c>
      <c r="R95" s="185">
        <f t="shared" si="400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10618037</v>
      </c>
      <c r="AF95" s="185">
        <f t="shared" si="400"/>
        <v>13029650</v>
      </c>
    </row>
    <row r="96" spans="1:32" hidden="1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1">E96+G96</f>
        <v>11324126</v>
      </c>
      <c r="G96" s="44">
        <f t="shared" ref="G96:G120" si="402">SUBTOTAL(9,H96:Q96)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>
        <f t="shared" ref="S96:S120" si="403">R96+T96</f>
        <v>0</v>
      </c>
      <c r="T96" s="44">
        <f t="shared" ref="T96:T120" si="404">SUBTOTAL(9,U96:AD96)</f>
        <v>0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>
        <f t="shared" ref="AE96:AE107" si="405">E96+R96</f>
        <v>9634354</v>
      </c>
      <c r="AF96" s="44">
        <f t="shared" ref="AF96:AF120" si="406">S96+F96</f>
        <v>11324126</v>
      </c>
    </row>
    <row r="97" spans="1:32" hidden="1" outlineLevel="1" x14ac:dyDescent="0.2">
      <c r="A97" s="49"/>
      <c r="B97" s="63"/>
      <c r="C97" s="64"/>
      <c r="D97" s="43" t="s">
        <v>580</v>
      </c>
      <c r="E97" s="44">
        <v>22972</v>
      </c>
      <c r="F97" s="44">
        <f t="shared" si="401"/>
        <v>90087</v>
      </c>
      <c r="G97" s="44">
        <f t="shared" si="402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>
        <f t="shared" si="403"/>
        <v>0</v>
      </c>
      <c r="T97" s="44">
        <f t="shared" si="404"/>
        <v>0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f t="shared" si="405"/>
        <v>22972</v>
      </c>
      <c r="AF97" s="44">
        <f t="shared" si="406"/>
        <v>90087</v>
      </c>
    </row>
    <row r="98" spans="1:32" hidden="1" outlineLevel="1" x14ac:dyDescent="0.2">
      <c r="A98" s="49"/>
      <c r="B98" s="63"/>
      <c r="C98" s="64"/>
      <c r="D98" s="253" t="s">
        <v>612</v>
      </c>
      <c r="E98" s="44">
        <v>51900</v>
      </c>
      <c r="F98" s="44">
        <f t="shared" si="401"/>
        <v>137059</v>
      </c>
      <c r="G98" s="44">
        <f t="shared" si="402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>
        <f t="shared" si="403"/>
        <v>0</v>
      </c>
      <c r="T98" s="44">
        <f t="shared" si="404"/>
        <v>0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f t="shared" si="405"/>
        <v>51900</v>
      </c>
      <c r="AF98" s="44">
        <f t="shared" si="406"/>
        <v>137059</v>
      </c>
    </row>
    <row r="99" spans="1:32" hidden="1" outlineLevel="1" x14ac:dyDescent="0.2">
      <c r="A99" s="49"/>
      <c r="B99" s="63"/>
      <c r="C99" s="64"/>
      <c r="D99" s="40" t="s">
        <v>613</v>
      </c>
      <c r="E99" s="44">
        <v>318154</v>
      </c>
      <c r="F99" s="44">
        <f t="shared" si="401"/>
        <v>535664</v>
      </c>
      <c r="G99" s="44">
        <f t="shared" si="402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>
        <f t="shared" si="403"/>
        <v>0</v>
      </c>
      <c r="T99" s="44">
        <f t="shared" si="404"/>
        <v>0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f t="shared" si="405"/>
        <v>318154</v>
      </c>
      <c r="AF99" s="44">
        <f t="shared" si="406"/>
        <v>535664</v>
      </c>
    </row>
    <row r="100" spans="1:32" hidden="1" outlineLevel="1" x14ac:dyDescent="0.2">
      <c r="A100" s="49"/>
      <c r="B100" s="63"/>
      <c r="C100" s="64"/>
      <c r="D100" s="253" t="s">
        <v>614</v>
      </c>
      <c r="E100" s="44">
        <v>56982</v>
      </c>
      <c r="F100" s="44">
        <f t="shared" si="401"/>
        <v>110793</v>
      </c>
      <c r="G100" s="44">
        <f t="shared" si="402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f t="shared" si="403"/>
        <v>0</v>
      </c>
      <c r="T100" s="44">
        <f t="shared" si="404"/>
        <v>0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f t="shared" si="405"/>
        <v>56982</v>
      </c>
      <c r="AF100" s="44">
        <f t="shared" si="406"/>
        <v>110793</v>
      </c>
    </row>
    <row r="101" spans="1:32" hidden="1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1"/>
        <v>5559</v>
      </c>
      <c r="G101" s="44">
        <f t="shared" si="402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>
        <f t="shared" si="403"/>
        <v>0</v>
      </c>
      <c r="T101" s="44">
        <f t="shared" si="404"/>
        <v>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f t="shared" si="405"/>
        <v>5559</v>
      </c>
      <c r="AF101" s="44">
        <f t="shared" si="406"/>
        <v>5559</v>
      </c>
    </row>
    <row r="102" spans="1:32" hidden="1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1"/>
        <v>125966</v>
      </c>
      <c r="G102" s="44">
        <f t="shared" si="402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>
        <f t="shared" si="403"/>
        <v>0</v>
      </c>
      <c r="T102" s="44">
        <f t="shared" si="404"/>
        <v>0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f t="shared" si="405"/>
        <v>41531</v>
      </c>
      <c r="AF102" s="44">
        <f t="shared" si="406"/>
        <v>125966</v>
      </c>
    </row>
    <row r="103" spans="1:32" hidden="1" outlineLevel="1" x14ac:dyDescent="0.2">
      <c r="A103" s="49"/>
      <c r="B103" s="63"/>
      <c r="C103" s="64"/>
      <c r="D103" s="253" t="s">
        <v>570</v>
      </c>
      <c r="E103" s="44">
        <v>20343</v>
      </c>
      <c r="F103" s="44">
        <f t="shared" si="401"/>
        <v>52436</v>
      </c>
      <c r="G103" s="44">
        <f t="shared" si="402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>
        <f t="shared" si="403"/>
        <v>0</v>
      </c>
      <c r="T103" s="44">
        <f t="shared" si="404"/>
        <v>0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f t="shared" si="405"/>
        <v>20343</v>
      </c>
      <c r="AF103" s="44">
        <f t="shared" si="406"/>
        <v>52436</v>
      </c>
    </row>
    <row r="104" spans="1:32" ht="36" hidden="1" outlineLevel="1" x14ac:dyDescent="0.2">
      <c r="A104" s="49"/>
      <c r="B104" s="63"/>
      <c r="C104" s="64"/>
      <c r="D104" s="253" t="s">
        <v>615</v>
      </c>
      <c r="E104" s="44"/>
      <c r="F104" s="44">
        <f t="shared" si="401"/>
        <v>2973</v>
      </c>
      <c r="G104" s="44">
        <f t="shared" si="402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>
        <f t="shared" si="403"/>
        <v>0</v>
      </c>
      <c r="T104" s="44">
        <f t="shared" si="404"/>
        <v>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f t="shared" si="405"/>
        <v>0</v>
      </c>
      <c r="AF104" s="44">
        <f t="shared" si="406"/>
        <v>2973</v>
      </c>
    </row>
    <row r="105" spans="1:32" ht="36" hidden="1" outlineLevel="1" x14ac:dyDescent="0.2">
      <c r="A105" s="49"/>
      <c r="B105" s="63"/>
      <c r="C105" s="64"/>
      <c r="D105" s="253" t="s">
        <v>616</v>
      </c>
      <c r="E105" s="44"/>
      <c r="F105" s="44">
        <f t="shared" si="401"/>
        <v>0</v>
      </c>
      <c r="G105" s="44">
        <f t="shared" si="402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f t="shared" si="403"/>
        <v>0</v>
      </c>
      <c r="T105" s="44">
        <f t="shared" si="404"/>
        <v>0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f t="shared" si="405"/>
        <v>0</v>
      </c>
      <c r="AF105" s="44">
        <f t="shared" si="406"/>
        <v>0</v>
      </c>
    </row>
    <row r="106" spans="1:32" ht="24" hidden="1" outlineLevel="1" x14ac:dyDescent="0.2">
      <c r="A106" s="49"/>
      <c r="B106" s="63"/>
      <c r="C106" s="64"/>
      <c r="D106" s="253" t="s">
        <v>571</v>
      </c>
      <c r="E106" s="44">
        <v>662</v>
      </c>
      <c r="F106" s="44">
        <f t="shared" si="401"/>
        <v>17241</v>
      </c>
      <c r="G106" s="44">
        <f t="shared" si="402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>
        <f t="shared" si="403"/>
        <v>0</v>
      </c>
      <c r="T106" s="44">
        <f t="shared" si="404"/>
        <v>0</v>
      </c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>
        <f t="shared" si="405"/>
        <v>662</v>
      </c>
      <c r="AF106" s="44">
        <f t="shared" si="406"/>
        <v>17241</v>
      </c>
    </row>
    <row r="107" spans="1:32" hidden="1" outlineLevel="1" x14ac:dyDescent="0.2">
      <c r="A107" s="49"/>
      <c r="B107" s="63"/>
      <c r="C107" s="64"/>
      <c r="D107" s="253" t="s">
        <v>535</v>
      </c>
      <c r="E107" s="44"/>
      <c r="F107" s="44">
        <f t="shared" si="401"/>
        <v>565</v>
      </c>
      <c r="G107" s="44">
        <f t="shared" si="402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>
        <f t="shared" si="403"/>
        <v>0</v>
      </c>
      <c r="T107" s="44">
        <f t="shared" si="404"/>
        <v>0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>
        <f t="shared" si="405"/>
        <v>0</v>
      </c>
      <c r="AF107" s="44">
        <f t="shared" si="406"/>
        <v>565</v>
      </c>
    </row>
    <row r="108" spans="1:32" hidden="1" outlineLevel="1" x14ac:dyDescent="0.2">
      <c r="A108" s="49"/>
      <c r="B108" s="63"/>
      <c r="C108" s="64"/>
      <c r="D108" s="253" t="s">
        <v>700</v>
      </c>
      <c r="E108" s="44">
        <v>0</v>
      </c>
      <c r="F108" s="44">
        <f t="shared" si="401"/>
        <v>1321</v>
      </c>
      <c r="G108" s="44">
        <f t="shared" si="402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>
        <f t="shared" si="403"/>
        <v>0</v>
      </c>
      <c r="T108" s="44">
        <f t="shared" si="404"/>
        <v>0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>
        <f t="shared" ref="AE108" si="407">E108+R108</f>
        <v>0</v>
      </c>
      <c r="AF108" s="44">
        <f t="shared" ref="AF108" si="408">S108+F108</f>
        <v>1321</v>
      </c>
    </row>
    <row r="109" spans="1:32" hidden="1" outlineLevel="1" x14ac:dyDescent="0.2">
      <c r="A109" s="49"/>
      <c r="B109" s="63"/>
      <c r="C109" s="64"/>
      <c r="D109" s="253" t="s">
        <v>761</v>
      </c>
      <c r="E109" s="44"/>
      <c r="F109" s="44">
        <f t="shared" ref="F109" si="409">E109+G109</f>
        <v>44</v>
      </c>
      <c r="G109" s="44">
        <f t="shared" ref="G109" si="410">SUBTOTAL(9,H109:Q109)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f t="shared" ref="S109" si="411">R109+T109</f>
        <v>0</v>
      </c>
      <c r="T109" s="44">
        <f t="shared" ref="T109" si="412">SUBTOTAL(9,U109:AD109)</f>
        <v>0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>
        <f t="shared" ref="AE109" si="413">E109+R109</f>
        <v>0</v>
      </c>
      <c r="AF109" s="44">
        <f t="shared" ref="AF109" si="414">S109+F109</f>
        <v>44</v>
      </c>
    </row>
    <row r="110" spans="1:32" hidden="1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1"/>
        <v>62722</v>
      </c>
      <c r="G110" s="44">
        <f t="shared" si="402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>
        <f t="shared" si="403"/>
        <v>0</v>
      </c>
      <c r="T110" s="44">
        <f t="shared" si="404"/>
        <v>0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>
        <f t="shared" ref="AE110:AE120" si="415">E110+R110</f>
        <v>0</v>
      </c>
      <c r="AF110" s="44">
        <f t="shared" si="406"/>
        <v>62722</v>
      </c>
    </row>
    <row r="111" spans="1:32" hidden="1" outlineLevel="1" x14ac:dyDescent="0.2">
      <c r="A111" s="49"/>
      <c r="B111" s="63"/>
      <c r="C111" s="64"/>
      <c r="D111" s="253" t="s">
        <v>617</v>
      </c>
      <c r="E111" s="44">
        <v>0</v>
      </c>
      <c r="F111" s="44">
        <f t="shared" si="401"/>
        <v>160</v>
      </c>
      <c r="G111" s="44">
        <f t="shared" si="402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f t="shared" si="403"/>
        <v>0</v>
      </c>
      <c r="T111" s="44">
        <f t="shared" si="404"/>
        <v>0</v>
      </c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>
        <f t="shared" si="415"/>
        <v>0</v>
      </c>
      <c r="AF111" s="44">
        <f t="shared" si="406"/>
        <v>160</v>
      </c>
    </row>
    <row r="112" spans="1:32" ht="24" hidden="1" outlineLevel="1" x14ac:dyDescent="0.2">
      <c r="A112" s="49"/>
      <c r="B112" s="63"/>
      <c r="C112" s="64"/>
      <c r="D112" s="253" t="s">
        <v>285</v>
      </c>
      <c r="E112" s="44">
        <v>0</v>
      </c>
      <c r="F112" s="44">
        <f t="shared" si="401"/>
        <v>4882</v>
      </c>
      <c r="G112" s="44">
        <f t="shared" si="402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f t="shared" si="403"/>
        <v>0</v>
      </c>
      <c r="T112" s="44">
        <f t="shared" si="404"/>
        <v>0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>
        <f t="shared" si="415"/>
        <v>0</v>
      </c>
      <c r="AF112" s="44">
        <f t="shared" si="406"/>
        <v>4882</v>
      </c>
    </row>
    <row r="113" spans="1:32" hidden="1" outlineLevel="1" x14ac:dyDescent="0.2">
      <c r="A113" s="49"/>
      <c r="B113" s="63"/>
      <c r="C113" s="64"/>
      <c r="D113" s="253" t="s">
        <v>618</v>
      </c>
      <c r="E113" s="44">
        <v>0</v>
      </c>
      <c r="F113" s="44">
        <f t="shared" si="401"/>
        <v>5685</v>
      </c>
      <c r="G113" s="44">
        <f t="shared" si="402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 t="shared" si="403"/>
        <v>0</v>
      </c>
      <c r="T113" s="44">
        <f t="shared" si="404"/>
        <v>0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>
        <f t="shared" si="415"/>
        <v>0</v>
      </c>
      <c r="AF113" s="44">
        <f t="shared" si="406"/>
        <v>5685</v>
      </c>
    </row>
    <row r="114" spans="1:32" ht="24" hidden="1" outlineLevel="1" x14ac:dyDescent="0.2">
      <c r="A114" s="49"/>
      <c r="B114" s="63"/>
      <c r="C114" s="64"/>
      <c r="D114" s="253" t="s">
        <v>652</v>
      </c>
      <c r="E114" s="44">
        <v>2205</v>
      </c>
      <c r="F114" s="44">
        <f t="shared" si="401"/>
        <v>5401</v>
      </c>
      <c r="G114" s="44">
        <f t="shared" si="402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>
        <f t="shared" si="403"/>
        <v>0</v>
      </c>
      <c r="T114" s="44">
        <f t="shared" si="404"/>
        <v>0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>
        <f t="shared" si="415"/>
        <v>2205</v>
      </c>
      <c r="AF114" s="44">
        <f t="shared" si="406"/>
        <v>5401</v>
      </c>
    </row>
    <row r="115" spans="1:32" hidden="1" outlineLevel="1" x14ac:dyDescent="0.2">
      <c r="A115" s="49"/>
      <c r="B115" s="63"/>
      <c r="C115" s="64"/>
      <c r="D115" s="253" t="s">
        <v>760</v>
      </c>
      <c r="E115" s="44"/>
      <c r="F115" s="44">
        <f t="shared" ref="F115" si="416">E115+G115</f>
        <v>36</v>
      </c>
      <c r="G115" s="44">
        <f t="shared" ref="G115" si="417">SUBTOTAL(9,H115:Q115)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f t="shared" ref="S115" si="418">R115+T115</f>
        <v>0</v>
      </c>
      <c r="T115" s="44">
        <f t="shared" ref="T115" si="419">SUBTOTAL(9,U115:AD115)</f>
        <v>0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f t="shared" ref="AE115" si="420">E115+R115</f>
        <v>0</v>
      </c>
      <c r="AF115" s="44">
        <f t="shared" ref="AF115" si="421">S115+F115</f>
        <v>36</v>
      </c>
    </row>
    <row r="116" spans="1:32" hidden="1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1"/>
        <v>779</v>
      </c>
      <c r="G116" s="44">
        <f t="shared" si="402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>
        <f t="shared" si="403"/>
        <v>0</v>
      </c>
      <c r="T116" s="44">
        <f t="shared" si="404"/>
        <v>0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>
        <f t="shared" si="415"/>
        <v>779</v>
      </c>
      <c r="AF116" s="44">
        <f t="shared" si="406"/>
        <v>779</v>
      </c>
    </row>
    <row r="117" spans="1:32" ht="24" hidden="1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1"/>
        <v>160830</v>
      </c>
      <c r="G117" s="44">
        <f t="shared" si="402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f t="shared" si="403"/>
        <v>0</v>
      </c>
      <c r="T117" s="44">
        <f t="shared" si="404"/>
        <v>0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>
        <f t="shared" si="415"/>
        <v>153972</v>
      </c>
      <c r="AF117" s="44">
        <f t="shared" si="406"/>
        <v>160830</v>
      </c>
    </row>
    <row r="118" spans="1:32" hidden="1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1"/>
        <v>14599</v>
      </c>
      <c r="G118" s="44">
        <f t="shared" si="402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>
        <f t="shared" si="403"/>
        <v>0</v>
      </c>
      <c r="T118" s="44">
        <f t="shared" si="404"/>
        <v>0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>
        <f t="shared" si="415"/>
        <v>12930</v>
      </c>
      <c r="AF118" s="44">
        <f t="shared" si="406"/>
        <v>14599</v>
      </c>
    </row>
    <row r="119" spans="1:32" hidden="1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1"/>
        <v>328771</v>
      </c>
      <c r="G119" s="44">
        <f t="shared" si="402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>
        <f t="shared" si="403"/>
        <v>0</v>
      </c>
      <c r="T119" s="44">
        <f t="shared" si="404"/>
        <v>0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>
        <f t="shared" si="415"/>
        <v>295694</v>
      </c>
      <c r="AF119" s="44">
        <f t="shared" si="406"/>
        <v>328771</v>
      </c>
    </row>
    <row r="120" spans="1:32" ht="24" hidden="1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1"/>
        <v>0</v>
      </c>
      <c r="G120" s="44">
        <f t="shared" si="402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>
        <f t="shared" si="403"/>
        <v>0</v>
      </c>
      <c r="T120" s="44">
        <f t="shared" si="404"/>
        <v>0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>
        <f t="shared" si="415"/>
        <v>0</v>
      </c>
      <c r="AF120" s="44">
        <f t="shared" si="406"/>
        <v>0</v>
      </c>
    </row>
    <row r="121" spans="1:32" hidden="1" outlineLevel="1" x14ac:dyDescent="0.2">
      <c r="A121" s="49"/>
      <c r="B121" s="63"/>
      <c r="C121" s="64"/>
      <c r="D121" s="50" t="s">
        <v>750</v>
      </c>
      <c r="E121" s="44"/>
      <c r="F121" s="44">
        <f t="shared" ref="F121" si="422">E121+G121</f>
        <v>4000</v>
      </c>
      <c r="G121" s="44">
        <f t="shared" ref="G121" si="423">SUBTOTAL(9,H121:Q121)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f t="shared" ref="S121" si="424">R121+T121</f>
        <v>0</v>
      </c>
      <c r="T121" s="44">
        <f t="shared" ref="T121" si="425">SUBTOTAL(9,U121:AD121)</f>
        <v>0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f t="shared" ref="AE121" si="426">E121+R121</f>
        <v>0</v>
      </c>
      <c r="AF121" s="44">
        <f t="shared" ref="AF121" si="427">S121+F121</f>
        <v>4000</v>
      </c>
    </row>
    <row r="122" spans="1:32" ht="24" hidden="1" outlineLevel="1" x14ac:dyDescent="0.2">
      <c r="A122" s="42"/>
      <c r="B122" s="61"/>
      <c r="C122" s="62"/>
      <c r="D122" s="43" t="s">
        <v>738</v>
      </c>
      <c r="E122" s="44"/>
      <c r="F122" s="44">
        <f t="shared" ref="F122" si="428">E122+G122</f>
        <v>1</v>
      </c>
      <c r="G122" s="44">
        <f t="shared" ref="G122" si="429">SUBTOTAL(9,H122:Q122)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f t="shared" ref="S122" si="430">R122+T122</f>
        <v>0</v>
      </c>
      <c r="T122" s="44">
        <f t="shared" ref="T122" si="431">SUBTOTAL(9,U122:AD122)</f>
        <v>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>
        <f t="shared" ref="AE122" si="432">E122+R122</f>
        <v>0</v>
      </c>
      <c r="AF122" s="44">
        <f t="shared" ref="AF122" si="433">S122+F122</f>
        <v>1</v>
      </c>
    </row>
    <row r="123" spans="1:32" hidden="1" outlineLevel="1" x14ac:dyDescent="0.2">
      <c r="A123" s="42"/>
      <c r="B123" s="61"/>
      <c r="C123" s="62"/>
      <c r="D123" s="43" t="s">
        <v>757</v>
      </c>
      <c r="E123" s="44"/>
      <c r="F123" s="44">
        <f t="shared" ref="F123" si="434">E123+G123</f>
        <v>37950</v>
      </c>
      <c r="G123" s="44">
        <f t="shared" ref="G123" si="435">SUBTOTAL(9,H123:Q123)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f t="shared" ref="S123" si="436">R123+T123</f>
        <v>0</v>
      </c>
      <c r="T123" s="44">
        <f t="shared" ref="T123" si="437">SUBTOTAL(9,U123:AD123)</f>
        <v>0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f t="shared" ref="AE123" si="438">E123+R123</f>
        <v>0</v>
      </c>
      <c r="AF123" s="44">
        <f t="shared" ref="AF123" si="439">S123+F123</f>
        <v>37950</v>
      </c>
    </row>
    <row r="124" spans="1:32" collapsed="1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113" customFormat="1" x14ac:dyDescent="0.2">
      <c r="A125" s="34"/>
      <c r="B125" s="500" t="s">
        <v>286</v>
      </c>
      <c r="C125" s="501"/>
      <c r="D125" s="35" t="s">
        <v>129</v>
      </c>
      <c r="E125" s="185">
        <f>SUM(E126)</f>
        <v>9550131</v>
      </c>
      <c r="F125" s="185">
        <f t="shared" ref="F125:G125" si="440">SUM(F126)</f>
        <v>8290935</v>
      </c>
      <c r="G125" s="185">
        <f t="shared" si="440"/>
        <v>-1259196</v>
      </c>
      <c r="H125" s="185">
        <f t="shared" ref="H125" si="441">SUM(H126)</f>
        <v>0</v>
      </c>
      <c r="I125" s="185">
        <f t="shared" ref="I125" si="442">SUM(I126)</f>
        <v>2168809</v>
      </c>
      <c r="J125" s="185">
        <f t="shared" ref="J125" si="443">SUM(J126)</f>
        <v>119138</v>
      </c>
      <c r="K125" s="185">
        <f t="shared" ref="K125" si="444">SUM(K126)</f>
        <v>103995</v>
      </c>
      <c r="L125" s="185">
        <f t="shared" ref="L125" si="445">SUM(L126)</f>
        <v>0</v>
      </c>
      <c r="M125" s="185">
        <f t="shared" ref="M125" si="446">SUM(M126)</f>
        <v>-411292</v>
      </c>
      <c r="N125" s="185">
        <f t="shared" ref="N125" si="447">SUM(N126)</f>
        <v>-5286434</v>
      </c>
      <c r="O125" s="185">
        <f t="shared" ref="O125" si="448">SUM(O126)</f>
        <v>1856995</v>
      </c>
      <c r="P125" s="185">
        <f t="shared" ref="P125" si="449">SUM(P126)</f>
        <v>189593</v>
      </c>
      <c r="Q125" s="185">
        <f t="shared" ref="Q125" si="450">SUM(Q126)</f>
        <v>0</v>
      </c>
      <c r="R125" s="185">
        <f t="shared" ref="R125" si="451">SUM(R126)</f>
        <v>0</v>
      </c>
      <c r="S125" s="185">
        <f t="shared" ref="S125" si="452">SUM(S126)</f>
        <v>0</v>
      </c>
      <c r="T125" s="185">
        <f t="shared" ref="T125" si="453">SUM(T126)</f>
        <v>0</v>
      </c>
      <c r="U125" s="185">
        <f t="shared" ref="U125" si="454">SUM(U126)</f>
        <v>0</v>
      </c>
      <c r="V125" s="185">
        <f t="shared" ref="V125" si="455">SUM(V126)</f>
        <v>0</v>
      </c>
      <c r="W125" s="185">
        <f t="shared" ref="W125" si="456">SUM(W126)</f>
        <v>0</v>
      </c>
      <c r="X125" s="185">
        <f t="shared" ref="X125" si="457">SUM(X126)</f>
        <v>0</v>
      </c>
      <c r="Y125" s="185">
        <f t="shared" ref="Y125" si="458">SUM(Y126)</f>
        <v>0</v>
      </c>
      <c r="Z125" s="185">
        <f t="shared" ref="Z125" si="459">SUM(Z126)</f>
        <v>0</v>
      </c>
      <c r="AA125" s="185">
        <f t="shared" ref="AA125" si="460">SUM(AA126)</f>
        <v>0</v>
      </c>
      <c r="AB125" s="185">
        <f t="shared" ref="AB125" si="461">SUM(AB126)</f>
        <v>0</v>
      </c>
      <c r="AC125" s="185">
        <f t="shared" ref="AC125" si="462">SUM(AC126)</f>
        <v>0</v>
      </c>
      <c r="AD125" s="185">
        <f t="shared" ref="AD125" si="463">SUM(AD126)</f>
        <v>0</v>
      </c>
      <c r="AE125" s="185">
        <f t="shared" ref="AE125" si="464">SUM(AE126)</f>
        <v>9550131</v>
      </c>
      <c r="AF125" s="185">
        <f t="shared" ref="AF125" si="465">SUM(AF126)</f>
        <v>8290935</v>
      </c>
    </row>
    <row r="126" spans="1:32" s="113" customFormat="1" x14ac:dyDescent="0.2">
      <c r="A126" s="34"/>
      <c r="B126" s="111"/>
      <c r="C126" s="111"/>
      <c r="D126" s="35" t="s">
        <v>232</v>
      </c>
      <c r="E126" s="185">
        <f>SUM(E127,E137)</f>
        <v>9550131</v>
      </c>
      <c r="F126" s="185">
        <f t="shared" ref="F126:AF126" si="466">SUM(F127,F137)</f>
        <v>8290935</v>
      </c>
      <c r="G126" s="185">
        <f t="shared" si="466"/>
        <v>-1259196</v>
      </c>
      <c r="H126" s="185">
        <f t="shared" si="466"/>
        <v>0</v>
      </c>
      <c r="I126" s="185">
        <f t="shared" si="466"/>
        <v>2168809</v>
      </c>
      <c r="J126" s="185">
        <f t="shared" si="466"/>
        <v>119138</v>
      </c>
      <c r="K126" s="185">
        <f t="shared" si="466"/>
        <v>103995</v>
      </c>
      <c r="L126" s="185">
        <f t="shared" si="466"/>
        <v>0</v>
      </c>
      <c r="M126" s="185">
        <f t="shared" si="466"/>
        <v>-411292</v>
      </c>
      <c r="N126" s="185">
        <f t="shared" si="466"/>
        <v>-5286434</v>
      </c>
      <c r="O126" s="185">
        <f t="shared" si="466"/>
        <v>1856995</v>
      </c>
      <c r="P126" s="185">
        <f t="shared" si="466"/>
        <v>189593</v>
      </c>
      <c r="Q126" s="185">
        <f t="shared" si="466"/>
        <v>0</v>
      </c>
      <c r="R126" s="185">
        <f t="shared" si="466"/>
        <v>0</v>
      </c>
      <c r="S126" s="185">
        <f t="shared" si="466"/>
        <v>0</v>
      </c>
      <c r="T126" s="185">
        <f t="shared" si="466"/>
        <v>0</v>
      </c>
      <c r="U126" s="185">
        <f t="shared" si="466"/>
        <v>0</v>
      </c>
      <c r="V126" s="185">
        <f t="shared" si="466"/>
        <v>0</v>
      </c>
      <c r="W126" s="185">
        <f t="shared" si="466"/>
        <v>0</v>
      </c>
      <c r="X126" s="185">
        <f t="shared" si="466"/>
        <v>0</v>
      </c>
      <c r="Y126" s="185">
        <f t="shared" si="466"/>
        <v>0</v>
      </c>
      <c r="Z126" s="185">
        <f t="shared" si="466"/>
        <v>0</v>
      </c>
      <c r="AA126" s="185">
        <f t="shared" si="466"/>
        <v>0</v>
      </c>
      <c r="AB126" s="185">
        <f t="shared" si="466"/>
        <v>0</v>
      </c>
      <c r="AC126" s="185">
        <f t="shared" si="466"/>
        <v>0</v>
      </c>
      <c r="AD126" s="185">
        <f t="shared" si="466"/>
        <v>0</v>
      </c>
      <c r="AE126" s="185">
        <f t="shared" si="466"/>
        <v>9550131</v>
      </c>
      <c r="AF126" s="185">
        <f t="shared" si="466"/>
        <v>8290935</v>
      </c>
    </row>
    <row r="127" spans="1:32" s="113" customFormat="1" x14ac:dyDescent="0.2">
      <c r="A127" s="34"/>
      <c r="B127" s="362"/>
      <c r="C127" s="362" t="s">
        <v>796</v>
      </c>
      <c r="D127" s="35" t="s">
        <v>797</v>
      </c>
      <c r="E127" s="185">
        <f>SUM(E128:E136)</f>
        <v>1764442</v>
      </c>
      <c r="F127" s="185">
        <f t="shared" ref="F127:AF127" si="467">SUM(F128:F136)</f>
        <v>2016194</v>
      </c>
      <c r="G127" s="185">
        <f t="shared" si="467"/>
        <v>251752</v>
      </c>
      <c r="H127" s="185">
        <f t="shared" si="467"/>
        <v>0</v>
      </c>
      <c r="I127" s="185">
        <f t="shared" si="467"/>
        <v>693397</v>
      </c>
      <c r="J127" s="185">
        <f t="shared" si="467"/>
        <v>119138</v>
      </c>
      <c r="K127" s="185">
        <f t="shared" si="467"/>
        <v>103995</v>
      </c>
      <c r="L127" s="185">
        <f t="shared" si="467"/>
        <v>0</v>
      </c>
      <c r="M127" s="185">
        <f t="shared" si="467"/>
        <v>-243384</v>
      </c>
      <c r="N127" s="185">
        <f t="shared" si="467"/>
        <v>-872103</v>
      </c>
      <c r="O127" s="185">
        <f t="shared" si="467"/>
        <v>261116</v>
      </c>
      <c r="P127" s="185">
        <f t="shared" si="467"/>
        <v>189593</v>
      </c>
      <c r="Q127" s="185">
        <f t="shared" si="467"/>
        <v>0</v>
      </c>
      <c r="R127" s="185">
        <f t="shared" si="467"/>
        <v>0</v>
      </c>
      <c r="S127" s="185">
        <f t="shared" si="467"/>
        <v>0</v>
      </c>
      <c r="T127" s="185">
        <f t="shared" si="467"/>
        <v>0</v>
      </c>
      <c r="U127" s="185">
        <f t="shared" si="467"/>
        <v>0</v>
      </c>
      <c r="V127" s="185">
        <f t="shared" si="467"/>
        <v>0</v>
      </c>
      <c r="W127" s="185">
        <f t="shared" si="467"/>
        <v>0</v>
      </c>
      <c r="X127" s="185">
        <f t="shared" si="467"/>
        <v>0</v>
      </c>
      <c r="Y127" s="185">
        <f t="shared" si="467"/>
        <v>0</v>
      </c>
      <c r="Z127" s="185">
        <f t="shared" si="467"/>
        <v>0</v>
      </c>
      <c r="AA127" s="185">
        <f t="shared" si="467"/>
        <v>0</v>
      </c>
      <c r="AB127" s="185">
        <f t="shared" si="467"/>
        <v>0</v>
      </c>
      <c r="AC127" s="185">
        <f t="shared" si="467"/>
        <v>0</v>
      </c>
      <c r="AD127" s="185">
        <f t="shared" si="467"/>
        <v>0</v>
      </c>
      <c r="AE127" s="185">
        <f t="shared" si="467"/>
        <v>1764442</v>
      </c>
      <c r="AF127" s="185">
        <f t="shared" si="467"/>
        <v>2016194</v>
      </c>
    </row>
    <row r="128" spans="1:32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ht="28.5" customHeight="1" x14ac:dyDescent="0.2">
      <c r="A129" s="55"/>
      <c r="B129" s="445"/>
      <c r="C129" s="481"/>
      <c r="D129" s="40" t="s">
        <v>808</v>
      </c>
      <c r="E129" s="186">
        <v>780270</v>
      </c>
      <c r="F129" s="186">
        <f>E129+G129</f>
        <v>332555</v>
      </c>
      <c r="G129" s="186">
        <f>SUBTOTAL(9,H129:Q129)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>
        <f>R129+T129</f>
        <v>0</v>
      </c>
      <c r="T129" s="186">
        <f>SUBTOTAL(9,U129:AD129)</f>
        <v>0</v>
      </c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>
        <f>E129+R129</f>
        <v>780270</v>
      </c>
      <c r="AF129" s="186">
        <f>S129+F129</f>
        <v>332555</v>
      </c>
    </row>
    <row r="130" spans="1:32" ht="36" x14ac:dyDescent="0.2">
      <c r="A130" s="55"/>
      <c r="B130" s="381"/>
      <c r="C130" s="382"/>
      <c r="D130" s="40" t="s">
        <v>807</v>
      </c>
      <c r="E130" s="186"/>
      <c r="F130" s="186">
        <f>E130+G130</f>
        <v>0</v>
      </c>
      <c r="G130" s="186">
        <f>SUBTOTAL(9,H130:Q130)</f>
        <v>0</v>
      </c>
      <c r="H130" s="186"/>
      <c r="I130" s="186"/>
      <c r="J130" s="186"/>
      <c r="K130" s="186">
        <v>282993</v>
      </c>
      <c r="L130" s="186"/>
      <c r="M130" s="186"/>
      <c r="N130" s="186">
        <v>-282993</v>
      </c>
      <c r="O130" s="186"/>
      <c r="P130" s="186"/>
      <c r="Q130" s="186"/>
      <c r="R130" s="186"/>
      <c r="S130" s="186">
        <f>R130+T130</f>
        <v>0</v>
      </c>
      <c r="T130" s="186">
        <f>SUBTOTAL(9,U130:AD130)</f>
        <v>0</v>
      </c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>
        <f>E130+R130</f>
        <v>0</v>
      </c>
      <c r="AF130" s="186">
        <f>S130+F130</f>
        <v>0</v>
      </c>
    </row>
    <row r="131" spans="1:32" ht="27" customHeight="1" x14ac:dyDescent="0.2">
      <c r="A131" s="55"/>
      <c r="B131" s="445"/>
      <c r="C131" s="481"/>
      <c r="D131" s="40" t="s">
        <v>648</v>
      </c>
      <c r="E131" s="186">
        <v>450058</v>
      </c>
      <c r="F131" s="186">
        <f>E131+G131</f>
        <v>450058</v>
      </c>
      <c r="G131" s="186">
        <f>SUBTOTAL(9,H131:Q131)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f>R131+T131</f>
        <v>0</v>
      </c>
      <c r="T131" s="186">
        <f>SUBTOTAL(9,U131:AD131)</f>
        <v>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>
        <f>E131+R131</f>
        <v>450058</v>
      </c>
      <c r="AF131" s="186">
        <f>S131+F131</f>
        <v>450058</v>
      </c>
    </row>
    <row r="132" spans="1:32" ht="41.25" customHeight="1" x14ac:dyDescent="0.2">
      <c r="A132" s="55"/>
      <c r="B132" s="165"/>
      <c r="C132" s="166"/>
      <c r="D132" s="254" t="s">
        <v>649</v>
      </c>
      <c r="E132" s="186">
        <v>534114</v>
      </c>
      <c r="F132" s="186">
        <f>E132+G132</f>
        <v>598403</v>
      </c>
      <c r="G132" s="186">
        <f>SUBTOTAL(9,H132:Q132)</f>
        <v>64289</v>
      </c>
      <c r="H132" s="186"/>
      <c r="I132" s="186"/>
      <c r="J132" s="186"/>
      <c r="K132" s="186">
        <f>56800+7489</f>
        <v>64289</v>
      </c>
      <c r="L132" s="186"/>
      <c r="M132" s="186"/>
      <c r="N132" s="186">
        <v>-261116</v>
      </c>
      <c r="O132" s="186">
        <v>261116</v>
      </c>
      <c r="P132" s="186"/>
      <c r="Q132" s="186"/>
      <c r="R132" s="186"/>
      <c r="S132" s="186">
        <f>R132+T132</f>
        <v>0</v>
      </c>
      <c r="T132" s="186">
        <f>SUBTOTAL(9,U132:AD132)</f>
        <v>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>
        <f>E132+R132</f>
        <v>534114</v>
      </c>
      <c r="AF132" s="186">
        <f>S132+F132</f>
        <v>598403</v>
      </c>
    </row>
    <row r="133" spans="1:32" ht="37.5" customHeight="1" x14ac:dyDescent="0.2">
      <c r="A133" s="55"/>
      <c r="B133" s="342"/>
      <c r="C133" s="343"/>
      <c r="D133" s="254" t="s">
        <v>766</v>
      </c>
      <c r="E133" s="186"/>
      <c r="F133" s="186">
        <f>E133+G133</f>
        <v>179607</v>
      </c>
      <c r="G133" s="186">
        <f>SUBTOTAL(9,H133:Q133)</f>
        <v>179607</v>
      </c>
      <c r="H133" s="186"/>
      <c r="I133" s="186">
        <v>693397</v>
      </c>
      <c r="J133" s="186"/>
      <c r="K133" s="186"/>
      <c r="L133" s="186"/>
      <c r="M133" s="186">
        <v>-247812</v>
      </c>
      <c r="N133" s="186"/>
      <c r="O133" s="186"/>
      <c r="P133" s="186">
        <v>-265978</v>
      </c>
      <c r="Q133" s="186"/>
      <c r="R133" s="186"/>
      <c r="S133" s="186">
        <f t="shared" ref="S133" si="468">R133+T133</f>
        <v>0</v>
      </c>
      <c r="T133" s="186">
        <f t="shared" ref="T133" si="469">SUBTOTAL(9,U133:AD133)</f>
        <v>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>
        <f t="shared" ref="AE133" si="470">E133+R133</f>
        <v>0</v>
      </c>
      <c r="AF133" s="186">
        <f t="shared" ref="AF133" si="471">S133+F133</f>
        <v>179607</v>
      </c>
    </row>
    <row r="134" spans="1:32" ht="31.5" customHeight="1" x14ac:dyDescent="0.2">
      <c r="A134" s="55"/>
      <c r="B134" s="360"/>
      <c r="C134" s="361"/>
      <c r="D134" s="56" t="s">
        <v>795</v>
      </c>
      <c r="E134" s="186"/>
      <c r="F134" s="186">
        <f t="shared" ref="F134:F135" si="472">E134+G134</f>
        <v>0</v>
      </c>
      <c r="G134" s="186">
        <f t="shared" ref="G134:G135" si="473">SUBTOTAL(9,H134:Q134)</f>
        <v>0</v>
      </c>
      <c r="H134" s="186"/>
      <c r="I134" s="186"/>
      <c r="J134" s="186">
        <v>119138</v>
      </c>
      <c r="K134" s="186">
        <v>204428</v>
      </c>
      <c r="L134" s="186"/>
      <c r="M134" s="186">
        <v>4428</v>
      </c>
      <c r="N134" s="186">
        <v>-327994</v>
      </c>
      <c r="O134" s="186"/>
      <c r="P134" s="186"/>
      <c r="Q134" s="186"/>
      <c r="R134" s="186"/>
      <c r="S134" s="186">
        <f t="shared" ref="S134" si="474">R134+T134</f>
        <v>0</v>
      </c>
      <c r="T134" s="186">
        <f t="shared" ref="T134" si="475">SUBTOTAL(9,U134:AD134)</f>
        <v>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>
        <f t="shared" ref="AE134:AE135" si="476">E134+R134</f>
        <v>0</v>
      </c>
      <c r="AF134" s="186">
        <f t="shared" ref="AF134:AF135" si="477">S134+F134</f>
        <v>0</v>
      </c>
    </row>
    <row r="135" spans="1:32" ht="31.5" customHeight="1" x14ac:dyDescent="0.2">
      <c r="A135" s="55"/>
      <c r="B135" s="397"/>
      <c r="C135" s="398"/>
      <c r="D135" s="399" t="s">
        <v>837</v>
      </c>
      <c r="E135" s="186"/>
      <c r="F135" s="186">
        <f t="shared" si="472"/>
        <v>455571</v>
      </c>
      <c r="G135" s="186">
        <f t="shared" si="473"/>
        <v>455571</v>
      </c>
      <c r="H135" s="186"/>
      <c r="I135" s="186"/>
      <c r="J135" s="186"/>
      <c r="K135" s="186"/>
      <c r="L135" s="186"/>
      <c r="M135" s="186"/>
      <c r="N135" s="186"/>
      <c r="O135" s="186"/>
      <c r="P135" s="186">
        <f>91083+364488</f>
        <v>455571</v>
      </c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4"/>
      <c r="AC135" s="184"/>
      <c r="AD135" s="184"/>
      <c r="AE135" s="186">
        <f t="shared" si="476"/>
        <v>0</v>
      </c>
      <c r="AF135" s="186">
        <f t="shared" si="477"/>
        <v>455571</v>
      </c>
    </row>
    <row r="136" spans="1:32" ht="12.75" customHeight="1" x14ac:dyDescent="0.2">
      <c r="A136" s="46"/>
      <c r="B136" s="366"/>
      <c r="C136" s="366"/>
      <c r="D136" s="367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</row>
    <row r="137" spans="1:32" s="113" customFormat="1" x14ac:dyDescent="0.2">
      <c r="A137" s="59"/>
      <c r="B137" s="65"/>
      <c r="C137" s="283" t="s">
        <v>284</v>
      </c>
      <c r="D137" s="60" t="s">
        <v>236</v>
      </c>
      <c r="E137" s="185">
        <f>SUM(E138:E146)</f>
        <v>7785689</v>
      </c>
      <c r="F137" s="185">
        <f t="shared" ref="F137:AF137" si="478">SUM(F138:F146)</f>
        <v>6274741</v>
      </c>
      <c r="G137" s="185">
        <f t="shared" si="478"/>
        <v>-1510948</v>
      </c>
      <c r="H137" s="185">
        <f t="shared" si="478"/>
        <v>0</v>
      </c>
      <c r="I137" s="185">
        <f t="shared" si="478"/>
        <v>1475412</v>
      </c>
      <c r="J137" s="185">
        <f t="shared" si="478"/>
        <v>0</v>
      </c>
      <c r="K137" s="185">
        <f t="shared" si="478"/>
        <v>0</v>
      </c>
      <c r="L137" s="185">
        <f t="shared" si="478"/>
        <v>0</v>
      </c>
      <c r="M137" s="185">
        <f t="shared" si="478"/>
        <v>-167908</v>
      </c>
      <c r="N137" s="185">
        <f t="shared" si="478"/>
        <v>-4414331</v>
      </c>
      <c r="O137" s="185">
        <f>SUM(O138:O146)</f>
        <v>1595879</v>
      </c>
      <c r="P137" s="185">
        <f t="shared" si="478"/>
        <v>0</v>
      </c>
      <c r="Q137" s="185">
        <f t="shared" si="478"/>
        <v>0</v>
      </c>
      <c r="R137" s="185">
        <f t="shared" si="478"/>
        <v>0</v>
      </c>
      <c r="S137" s="185">
        <f t="shared" si="478"/>
        <v>0</v>
      </c>
      <c r="T137" s="185">
        <f t="shared" si="478"/>
        <v>0</v>
      </c>
      <c r="U137" s="185">
        <f t="shared" si="478"/>
        <v>0</v>
      </c>
      <c r="V137" s="185">
        <f t="shared" si="478"/>
        <v>0</v>
      </c>
      <c r="W137" s="185">
        <f t="shared" si="478"/>
        <v>0</v>
      </c>
      <c r="X137" s="185">
        <f t="shared" si="478"/>
        <v>0</v>
      </c>
      <c r="Y137" s="185">
        <f t="shared" si="478"/>
        <v>0</v>
      </c>
      <c r="Z137" s="185">
        <f t="shared" si="478"/>
        <v>0</v>
      </c>
      <c r="AA137" s="185">
        <f t="shared" si="478"/>
        <v>0</v>
      </c>
      <c r="AB137" s="185">
        <f t="shared" si="478"/>
        <v>0</v>
      </c>
      <c r="AC137" s="185">
        <f t="shared" si="478"/>
        <v>0</v>
      </c>
      <c r="AD137" s="185">
        <f t="shared" si="478"/>
        <v>0</v>
      </c>
      <c r="AE137" s="185">
        <f t="shared" si="478"/>
        <v>7785689</v>
      </c>
      <c r="AF137" s="185">
        <f t="shared" si="478"/>
        <v>6274741</v>
      </c>
    </row>
    <row r="138" spans="1:32" ht="11.25" customHeight="1" x14ac:dyDescent="0.2">
      <c r="A138" s="55"/>
      <c r="B138" s="445"/>
      <c r="C138" s="481"/>
      <c r="D138" s="40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</row>
    <row r="139" spans="1:32" ht="24" x14ac:dyDescent="0.2">
      <c r="A139" s="55"/>
      <c r="B139" s="268"/>
      <c r="C139" s="269"/>
      <c r="D139" s="40" t="s">
        <v>564</v>
      </c>
      <c r="E139" s="186">
        <v>762516</v>
      </c>
      <c r="F139" s="186">
        <f t="shared" ref="F139:F142" si="479">E139+G139</f>
        <v>777024</v>
      </c>
      <c r="G139" s="186">
        <f t="shared" ref="G139:G142" si="480">SUBTOTAL(9,H139:Q139)</f>
        <v>14508</v>
      </c>
      <c r="H139" s="186"/>
      <c r="I139" s="186"/>
      <c r="J139" s="186"/>
      <c r="K139" s="186"/>
      <c r="L139" s="186"/>
      <c r="M139" s="186">
        <v>14508</v>
      </c>
      <c r="N139" s="186"/>
      <c r="O139" s="186"/>
      <c r="P139" s="186"/>
      <c r="Q139" s="186"/>
      <c r="R139" s="186"/>
      <c r="S139" s="186">
        <f t="shared" ref="S139:S142" si="481">R139+T139</f>
        <v>0</v>
      </c>
      <c r="T139" s="186">
        <f t="shared" ref="T139:T142" si="482">SUBTOTAL(9,U139:AD139)</f>
        <v>0</v>
      </c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>
        <f t="shared" ref="AE139:AE142" si="483">E139+R139</f>
        <v>762516</v>
      </c>
      <c r="AF139" s="186">
        <f t="shared" ref="AF139:AF142" si="484">S139+F139</f>
        <v>777024</v>
      </c>
    </row>
    <row r="140" spans="1:32" x14ac:dyDescent="0.2">
      <c r="A140" s="55"/>
      <c r="B140" s="268"/>
      <c r="C140" s="269"/>
      <c r="D140" s="40" t="s">
        <v>490</v>
      </c>
      <c r="E140" s="186">
        <v>4924140</v>
      </c>
      <c r="F140" s="186">
        <f t="shared" si="479"/>
        <v>3775324</v>
      </c>
      <c r="G140" s="186">
        <f t="shared" si="480"/>
        <v>-1148816</v>
      </c>
      <c r="H140" s="186"/>
      <c r="I140" s="186"/>
      <c r="J140" s="186"/>
      <c r="K140" s="186"/>
      <c r="L140" s="186"/>
      <c r="M140" s="186"/>
      <c r="N140" s="186">
        <f>-1215479+1215479-1148816</f>
        <v>-1148816</v>
      </c>
      <c r="O140" s="186"/>
      <c r="P140" s="186"/>
      <c r="Q140" s="186"/>
      <c r="R140" s="186"/>
      <c r="S140" s="186">
        <f t="shared" si="481"/>
        <v>0</v>
      </c>
      <c r="T140" s="186">
        <f t="shared" si="482"/>
        <v>0</v>
      </c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>
        <f t="shared" si="483"/>
        <v>4924140</v>
      </c>
      <c r="AF140" s="186">
        <f t="shared" si="484"/>
        <v>3775324</v>
      </c>
    </row>
    <row r="141" spans="1:32" x14ac:dyDescent="0.2">
      <c r="A141" s="55"/>
      <c r="B141" s="255"/>
      <c r="C141" s="256"/>
      <c r="D141" s="40" t="s">
        <v>510</v>
      </c>
      <c r="E141" s="186">
        <v>1596300</v>
      </c>
      <c r="F141" s="186">
        <f t="shared" si="479"/>
        <v>0</v>
      </c>
      <c r="G141" s="186">
        <f t="shared" si="480"/>
        <v>-1596300</v>
      </c>
      <c r="H141" s="186"/>
      <c r="I141" s="186"/>
      <c r="J141" s="186"/>
      <c r="K141" s="186"/>
      <c r="L141" s="186"/>
      <c r="M141" s="186"/>
      <c r="N141" s="186">
        <v>-1596300</v>
      </c>
      <c r="O141" s="186"/>
      <c r="P141" s="186"/>
      <c r="Q141" s="186"/>
      <c r="R141" s="186"/>
      <c r="S141" s="186">
        <f t="shared" si="481"/>
        <v>0</v>
      </c>
      <c r="T141" s="186">
        <f t="shared" si="482"/>
        <v>0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>
        <f t="shared" si="483"/>
        <v>1596300</v>
      </c>
      <c r="AF141" s="186">
        <f t="shared" si="484"/>
        <v>0</v>
      </c>
    </row>
    <row r="142" spans="1:32" ht="36" x14ac:dyDescent="0.2">
      <c r="A142" s="55"/>
      <c r="B142" s="265"/>
      <c r="C142" s="266"/>
      <c r="D142" s="254" t="s">
        <v>704</v>
      </c>
      <c r="E142" s="186">
        <v>502733</v>
      </c>
      <c r="F142" s="186">
        <f t="shared" si="479"/>
        <v>0</v>
      </c>
      <c r="G142" s="186">
        <f t="shared" si="480"/>
        <v>-502733</v>
      </c>
      <c r="H142" s="186"/>
      <c r="I142" s="186"/>
      <c r="J142" s="186"/>
      <c r="K142" s="186"/>
      <c r="L142" s="186"/>
      <c r="M142" s="186"/>
      <c r="N142" s="186">
        <f>-10268-492465</f>
        <v>-502733</v>
      </c>
      <c r="O142" s="186"/>
      <c r="P142" s="186"/>
      <c r="Q142" s="186"/>
      <c r="R142" s="186"/>
      <c r="S142" s="186">
        <f t="shared" si="481"/>
        <v>0</v>
      </c>
      <c r="T142" s="186">
        <f t="shared" si="482"/>
        <v>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>
        <f t="shared" si="483"/>
        <v>502733</v>
      </c>
      <c r="AF142" s="186">
        <f t="shared" si="484"/>
        <v>0</v>
      </c>
    </row>
    <row r="143" spans="1:32" ht="24.75" customHeight="1" x14ac:dyDescent="0.2">
      <c r="A143" s="55"/>
      <c r="B143" s="350"/>
      <c r="C143" s="351"/>
      <c r="D143" s="254" t="s">
        <v>782</v>
      </c>
      <c r="E143" s="186"/>
      <c r="F143" s="186">
        <f t="shared" ref="F143" si="485">E143+G143</f>
        <v>158225</v>
      </c>
      <c r="G143" s="186">
        <f t="shared" ref="G143" si="486">SUBTOTAL(9,H143:Q143)</f>
        <v>158225</v>
      </c>
      <c r="H143" s="186"/>
      <c r="I143" s="186">
        <v>83621</v>
      </c>
      <c r="J143" s="186"/>
      <c r="K143" s="186"/>
      <c r="L143" s="186"/>
      <c r="M143" s="186"/>
      <c r="N143" s="186">
        <f>74604-31711</f>
        <v>42893</v>
      </c>
      <c r="O143" s="186">
        <v>31711</v>
      </c>
      <c r="P143" s="186"/>
      <c r="Q143" s="186"/>
      <c r="R143" s="186"/>
      <c r="S143" s="186">
        <f t="shared" ref="S143" si="487">R143+T143</f>
        <v>0</v>
      </c>
      <c r="T143" s="186">
        <f t="shared" ref="T143" si="488">SUBTOTAL(9,U143:AD143)</f>
        <v>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>
        <f t="shared" ref="AE143" si="489">E143+R143</f>
        <v>0</v>
      </c>
      <c r="AF143" s="186">
        <f t="shared" ref="AF143" si="490">S143+F143</f>
        <v>158225</v>
      </c>
    </row>
    <row r="144" spans="1:32" ht="29.25" customHeight="1" x14ac:dyDescent="0.2">
      <c r="A144" s="55"/>
      <c r="B144" s="445"/>
      <c r="C144" s="481"/>
      <c r="D144" s="40" t="s">
        <v>778</v>
      </c>
      <c r="E144" s="186"/>
      <c r="F144" s="186">
        <f t="shared" ref="F144:F145" si="491">E144+G144</f>
        <v>1209375</v>
      </c>
      <c r="G144" s="186">
        <f t="shared" ref="G144:G145" si="492">SUBTOTAL(9,H144:Q144)</f>
        <v>1209375</v>
      </c>
      <c r="H144" s="186"/>
      <c r="I144" s="186">
        <v>1391791</v>
      </c>
      <c r="J144" s="186"/>
      <c r="K144" s="186"/>
      <c r="L144" s="186"/>
      <c r="M144" s="186">
        <v>-182416</v>
      </c>
      <c r="N144" s="186">
        <v>-1209375</v>
      </c>
      <c r="O144" s="186">
        <f>1209375</f>
        <v>1209375</v>
      </c>
      <c r="P144" s="186"/>
      <c r="Q144" s="186"/>
      <c r="R144" s="186"/>
      <c r="S144" s="186">
        <f t="shared" ref="S144:S145" si="493">R144+T144</f>
        <v>0</v>
      </c>
      <c r="T144" s="186">
        <f t="shared" ref="T144:T145" si="494">SUBTOTAL(9,U144:AD144)</f>
        <v>0</v>
      </c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>
        <f t="shared" ref="AE144:AE145" si="495">E144+R144</f>
        <v>0</v>
      </c>
      <c r="AF144" s="186">
        <f t="shared" ref="AF144:AF145" si="496">S144+F144</f>
        <v>1209375</v>
      </c>
    </row>
    <row r="145" spans="1:32" ht="18" customHeight="1" x14ac:dyDescent="0.2">
      <c r="A145" s="46"/>
      <c r="B145" s="366"/>
      <c r="C145" s="393"/>
      <c r="D145" s="47" t="s">
        <v>835</v>
      </c>
      <c r="E145" s="184"/>
      <c r="F145" s="186">
        <f t="shared" si="491"/>
        <v>354793</v>
      </c>
      <c r="G145" s="186">
        <f t="shared" si="492"/>
        <v>354793</v>
      </c>
      <c r="H145" s="184"/>
      <c r="I145" s="184"/>
      <c r="J145" s="184"/>
      <c r="K145" s="184"/>
      <c r="L145" s="184"/>
      <c r="M145" s="184"/>
      <c r="N145" s="184"/>
      <c r="O145" s="184">
        <v>354793</v>
      </c>
      <c r="P145" s="184"/>
      <c r="Q145" s="184"/>
      <c r="R145" s="184"/>
      <c r="S145" s="186">
        <f t="shared" si="493"/>
        <v>0</v>
      </c>
      <c r="T145" s="186">
        <f t="shared" si="494"/>
        <v>0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6">
        <f t="shared" si="495"/>
        <v>0</v>
      </c>
      <c r="AF145" s="186">
        <f t="shared" si="496"/>
        <v>354793</v>
      </c>
    </row>
    <row r="146" spans="1:32" ht="11.25" customHeight="1" x14ac:dyDescent="0.2">
      <c r="A146" s="66"/>
      <c r="B146" s="67"/>
      <c r="C146" s="68"/>
      <c r="D146" s="50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</row>
    <row r="147" spans="1:32" x14ac:dyDescent="0.2">
      <c r="A147" s="494" t="s">
        <v>157</v>
      </c>
      <c r="B147" s="495"/>
      <c r="C147" s="495"/>
      <c r="D147" s="496"/>
      <c r="E147" s="145">
        <f t="shared" ref="E147:AF147" si="497">SUM(E149,E153)</f>
        <v>538</v>
      </c>
      <c r="F147" s="145">
        <f t="shared" si="497"/>
        <v>569</v>
      </c>
      <c r="G147" s="145">
        <f t="shared" si="497"/>
        <v>31</v>
      </c>
      <c r="H147" s="145">
        <f t="shared" si="497"/>
        <v>0</v>
      </c>
      <c r="I147" s="145">
        <f t="shared" si="497"/>
        <v>31</v>
      </c>
      <c r="J147" s="145">
        <f t="shared" si="497"/>
        <v>0</v>
      </c>
      <c r="K147" s="145">
        <f t="shared" si="497"/>
        <v>0</v>
      </c>
      <c r="L147" s="145">
        <f t="shared" si="497"/>
        <v>0</v>
      </c>
      <c r="M147" s="145">
        <f t="shared" si="497"/>
        <v>0</v>
      </c>
      <c r="N147" s="145">
        <f t="shared" si="497"/>
        <v>0</v>
      </c>
      <c r="O147" s="145">
        <f t="shared" si="497"/>
        <v>0</v>
      </c>
      <c r="P147" s="145">
        <f t="shared" si="497"/>
        <v>0</v>
      </c>
      <c r="Q147" s="145">
        <f t="shared" si="497"/>
        <v>0</v>
      </c>
      <c r="R147" s="145">
        <f t="shared" si="497"/>
        <v>0</v>
      </c>
      <c r="S147" s="145">
        <f t="shared" si="497"/>
        <v>0</v>
      </c>
      <c r="T147" s="145">
        <f t="shared" si="497"/>
        <v>0</v>
      </c>
      <c r="U147" s="145">
        <f t="shared" si="497"/>
        <v>0</v>
      </c>
      <c r="V147" s="145">
        <f t="shared" si="497"/>
        <v>0</v>
      </c>
      <c r="W147" s="145">
        <f t="shared" si="497"/>
        <v>0</v>
      </c>
      <c r="X147" s="145">
        <f t="shared" si="497"/>
        <v>0</v>
      </c>
      <c r="Y147" s="145">
        <f t="shared" si="497"/>
        <v>0</v>
      </c>
      <c r="Z147" s="145">
        <f t="shared" si="497"/>
        <v>0</v>
      </c>
      <c r="AA147" s="145">
        <f t="shared" si="497"/>
        <v>0</v>
      </c>
      <c r="AB147" s="145">
        <f t="shared" si="497"/>
        <v>0</v>
      </c>
      <c r="AC147" s="145">
        <f t="shared" si="497"/>
        <v>0</v>
      </c>
      <c r="AD147" s="145">
        <f t="shared" si="497"/>
        <v>0</v>
      </c>
      <c r="AE147" s="145">
        <f t="shared" si="497"/>
        <v>538</v>
      </c>
      <c r="AF147" s="145">
        <f t="shared" si="497"/>
        <v>569</v>
      </c>
    </row>
    <row r="148" spans="1:32" ht="11.25" customHeight="1" x14ac:dyDescent="0.2">
      <c r="A148" s="66"/>
      <c r="B148" s="67"/>
      <c r="C148" s="68"/>
      <c r="D148" s="50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</row>
    <row r="149" spans="1:32" x14ac:dyDescent="0.2">
      <c r="A149" s="485" t="s">
        <v>108</v>
      </c>
      <c r="B149" s="486"/>
      <c r="C149" s="487"/>
      <c r="D149" s="77" t="s">
        <v>158</v>
      </c>
      <c r="E149" s="78">
        <f>SUM(E150:E151)</f>
        <v>0</v>
      </c>
      <c r="F149" s="78">
        <f>SUM(F150:F151)</f>
        <v>0</v>
      </c>
      <c r="G149" s="78">
        <f t="shared" ref="G149:Q149" si="498">SUM(G150:G151)</f>
        <v>0</v>
      </c>
      <c r="H149" s="78">
        <f t="shared" si="498"/>
        <v>0</v>
      </c>
      <c r="I149" s="78">
        <f t="shared" si="498"/>
        <v>0</v>
      </c>
      <c r="J149" s="78">
        <f t="shared" si="498"/>
        <v>0</v>
      </c>
      <c r="K149" s="78">
        <f t="shared" si="498"/>
        <v>0</v>
      </c>
      <c r="L149" s="78">
        <f t="shared" si="498"/>
        <v>0</v>
      </c>
      <c r="M149" s="78">
        <f t="shared" si="498"/>
        <v>0</v>
      </c>
      <c r="N149" s="78">
        <f t="shared" si="498"/>
        <v>0</v>
      </c>
      <c r="O149" s="78">
        <f t="shared" si="498"/>
        <v>0</v>
      </c>
      <c r="P149" s="78">
        <f t="shared" si="498"/>
        <v>0</v>
      </c>
      <c r="Q149" s="78">
        <f t="shared" si="498"/>
        <v>0</v>
      </c>
      <c r="R149" s="78">
        <f>SUM(R150:R151)</f>
        <v>0</v>
      </c>
      <c r="S149" s="78">
        <f>SUM(S150:S151)</f>
        <v>0</v>
      </c>
      <c r="T149" s="78">
        <f t="shared" ref="T149" si="499">SUM(T150:T151)</f>
        <v>0</v>
      </c>
      <c r="U149" s="78">
        <f t="shared" ref="U149" si="500">SUM(U150:U151)</f>
        <v>0</v>
      </c>
      <c r="V149" s="78">
        <f t="shared" ref="V149" si="501">SUM(V150:V151)</f>
        <v>0</v>
      </c>
      <c r="W149" s="78">
        <f t="shared" ref="W149" si="502">SUM(W150:W151)</f>
        <v>0</v>
      </c>
      <c r="X149" s="78">
        <f t="shared" ref="X149" si="503">SUM(X150:X151)</f>
        <v>0</v>
      </c>
      <c r="Y149" s="78">
        <f t="shared" ref="Y149" si="504">SUM(Y150:Y151)</f>
        <v>0</v>
      </c>
      <c r="Z149" s="78">
        <f t="shared" ref="Z149" si="505">SUM(Z150:Z151)</f>
        <v>0</v>
      </c>
      <c r="AA149" s="78">
        <f t="shared" ref="AA149" si="506">SUM(AA150:AA151)</f>
        <v>0</v>
      </c>
      <c r="AB149" s="78">
        <f t="shared" ref="AB149" si="507">SUM(AB150:AB151)</f>
        <v>0</v>
      </c>
      <c r="AC149" s="78">
        <f t="shared" ref="AC149" si="508">SUM(AC150:AC151)</f>
        <v>0</v>
      </c>
      <c r="AD149" s="78">
        <f t="shared" ref="AD149:AF149" si="509">SUM(AD150:AD151)</f>
        <v>0</v>
      </c>
      <c r="AE149" s="78">
        <f>SUM(AE150:AE151)</f>
        <v>0</v>
      </c>
      <c r="AF149" s="78">
        <f t="shared" si="509"/>
        <v>0</v>
      </c>
    </row>
    <row r="150" spans="1:32" s="113" customFormat="1" x14ac:dyDescent="0.2">
      <c r="A150" s="59"/>
      <c r="B150" s="459" t="s">
        <v>145</v>
      </c>
      <c r="C150" s="460"/>
      <c r="D150" s="50" t="s">
        <v>146</v>
      </c>
      <c r="E150" s="44"/>
      <c r="F150" s="44">
        <f t="shared" ref="F150:F151" si="510">E150+G150</f>
        <v>0</v>
      </c>
      <c r="G150" s="44">
        <f t="shared" ref="G150:G151" si="511">SUBTOTAL(9,H150:Q150)</f>
        <v>0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>
        <f t="shared" ref="S150:S151" si="512">R150+T150</f>
        <v>0</v>
      </c>
      <c r="T150" s="44">
        <f t="shared" ref="T150:T151" si="513">SUBTOTAL(9,U150:AD150)</f>
        <v>0</v>
      </c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>
        <f t="shared" ref="AE150:AE151" si="514">E150+R150</f>
        <v>0</v>
      </c>
      <c r="AF150" s="44">
        <f t="shared" ref="AF150:AF151" si="515">S150+F150</f>
        <v>0</v>
      </c>
    </row>
    <row r="151" spans="1:32" s="113" customFormat="1" ht="24" x14ac:dyDescent="0.2">
      <c r="A151" s="59"/>
      <c r="B151" s="448" t="s">
        <v>109</v>
      </c>
      <c r="C151" s="451"/>
      <c r="D151" s="50" t="s">
        <v>163</v>
      </c>
      <c r="E151" s="44"/>
      <c r="F151" s="44">
        <f t="shared" si="510"/>
        <v>0</v>
      </c>
      <c r="G151" s="44">
        <f t="shared" si="511"/>
        <v>0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>
        <f t="shared" si="512"/>
        <v>0</v>
      </c>
      <c r="T151" s="44">
        <f t="shared" si="513"/>
        <v>0</v>
      </c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>
        <f t="shared" si="514"/>
        <v>0</v>
      </c>
      <c r="AF151" s="44">
        <f t="shared" si="515"/>
        <v>0</v>
      </c>
    </row>
    <row r="152" spans="1:32" ht="11.25" customHeight="1" x14ac:dyDescent="0.2">
      <c r="A152" s="66"/>
      <c r="B152" s="67"/>
      <c r="C152" s="64"/>
      <c r="D152" s="50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</row>
    <row r="153" spans="1:32" ht="24" x14ac:dyDescent="0.2">
      <c r="A153" s="66"/>
      <c r="B153" s="67"/>
      <c r="C153" s="195" t="s">
        <v>576</v>
      </c>
      <c r="D153" s="60" t="s">
        <v>159</v>
      </c>
      <c r="E153" s="191">
        <f t="shared" ref="E153:AE153" si="516">SUM(E154)</f>
        <v>538</v>
      </c>
      <c r="F153" s="191">
        <f t="shared" si="516"/>
        <v>569</v>
      </c>
      <c r="G153" s="191">
        <f t="shared" si="516"/>
        <v>31</v>
      </c>
      <c r="H153" s="191">
        <f t="shared" si="516"/>
        <v>0</v>
      </c>
      <c r="I153" s="191">
        <f t="shared" si="516"/>
        <v>31</v>
      </c>
      <c r="J153" s="191">
        <f t="shared" si="516"/>
        <v>0</v>
      </c>
      <c r="K153" s="191">
        <f t="shared" si="516"/>
        <v>0</v>
      </c>
      <c r="L153" s="191">
        <f t="shared" si="516"/>
        <v>0</v>
      </c>
      <c r="M153" s="191">
        <f t="shared" si="516"/>
        <v>0</v>
      </c>
      <c r="N153" s="191">
        <f t="shared" si="516"/>
        <v>0</v>
      </c>
      <c r="O153" s="191">
        <f t="shared" si="516"/>
        <v>0</v>
      </c>
      <c r="P153" s="191">
        <f t="shared" si="516"/>
        <v>0</v>
      </c>
      <c r="Q153" s="191">
        <f t="shared" si="516"/>
        <v>0</v>
      </c>
      <c r="R153" s="191">
        <f t="shared" si="516"/>
        <v>0</v>
      </c>
      <c r="S153" s="191">
        <f t="shared" ref="S153:AD153" si="517">SUM(S154)</f>
        <v>0</v>
      </c>
      <c r="T153" s="191">
        <f t="shared" si="517"/>
        <v>0</v>
      </c>
      <c r="U153" s="191">
        <f t="shared" si="517"/>
        <v>0</v>
      </c>
      <c r="V153" s="191">
        <f t="shared" si="517"/>
        <v>0</v>
      </c>
      <c r="W153" s="191">
        <f t="shared" si="517"/>
        <v>0</v>
      </c>
      <c r="X153" s="191">
        <f t="shared" si="517"/>
        <v>0</v>
      </c>
      <c r="Y153" s="191">
        <f t="shared" si="517"/>
        <v>0</v>
      </c>
      <c r="Z153" s="191">
        <f t="shared" si="517"/>
        <v>0</v>
      </c>
      <c r="AA153" s="191">
        <f t="shared" si="517"/>
        <v>0</v>
      </c>
      <c r="AB153" s="191">
        <f t="shared" si="517"/>
        <v>0</v>
      </c>
      <c r="AC153" s="191">
        <f t="shared" si="517"/>
        <v>0</v>
      </c>
      <c r="AD153" s="191">
        <f t="shared" si="517"/>
        <v>0</v>
      </c>
      <c r="AE153" s="191">
        <f t="shared" si="516"/>
        <v>538</v>
      </c>
      <c r="AF153" s="191">
        <f>SUM(AF154)</f>
        <v>569</v>
      </c>
    </row>
    <row r="154" spans="1:32" x14ac:dyDescent="0.2">
      <c r="A154" s="66"/>
      <c r="B154" s="67"/>
      <c r="C154" s="68"/>
      <c r="D154" s="50" t="s">
        <v>160</v>
      </c>
      <c r="E154" s="54">
        <f t="shared" ref="E154:F154" si="518">SUM(E155:E156)</f>
        <v>538</v>
      </c>
      <c r="F154" s="54">
        <f t="shared" si="518"/>
        <v>569</v>
      </c>
      <c r="G154" s="54">
        <f t="shared" ref="G154:Q154" si="519">SUM(G155:G156)</f>
        <v>31</v>
      </c>
      <c r="H154" s="54">
        <f t="shared" si="519"/>
        <v>0</v>
      </c>
      <c r="I154" s="54">
        <f t="shared" si="519"/>
        <v>31</v>
      </c>
      <c r="J154" s="54">
        <f t="shared" si="519"/>
        <v>0</v>
      </c>
      <c r="K154" s="54">
        <f t="shared" si="519"/>
        <v>0</v>
      </c>
      <c r="L154" s="54">
        <f t="shared" si="519"/>
        <v>0</v>
      </c>
      <c r="M154" s="54">
        <f t="shared" si="519"/>
        <v>0</v>
      </c>
      <c r="N154" s="54">
        <f t="shared" si="519"/>
        <v>0</v>
      </c>
      <c r="O154" s="54">
        <f t="shared" si="519"/>
        <v>0</v>
      </c>
      <c r="P154" s="54">
        <f t="shared" si="519"/>
        <v>0</v>
      </c>
      <c r="Q154" s="54">
        <f t="shared" si="519"/>
        <v>0</v>
      </c>
      <c r="R154" s="54">
        <f t="shared" ref="R154" si="520">SUM(R155:R156)</f>
        <v>0</v>
      </c>
      <c r="S154" s="54">
        <f t="shared" ref="S154:AD154" si="521">SUM(S155:S156)</f>
        <v>0</v>
      </c>
      <c r="T154" s="54">
        <f t="shared" si="521"/>
        <v>0</v>
      </c>
      <c r="U154" s="54">
        <f t="shared" si="521"/>
        <v>0</v>
      </c>
      <c r="V154" s="54">
        <f t="shared" si="521"/>
        <v>0</v>
      </c>
      <c r="W154" s="54">
        <f t="shared" si="521"/>
        <v>0</v>
      </c>
      <c r="X154" s="54">
        <f t="shared" si="521"/>
        <v>0</v>
      </c>
      <c r="Y154" s="54">
        <f t="shared" si="521"/>
        <v>0</v>
      </c>
      <c r="Z154" s="54">
        <f t="shared" si="521"/>
        <v>0</v>
      </c>
      <c r="AA154" s="54">
        <f t="shared" si="521"/>
        <v>0</v>
      </c>
      <c r="AB154" s="54">
        <f t="shared" si="521"/>
        <v>0</v>
      </c>
      <c r="AC154" s="54">
        <f t="shared" si="521"/>
        <v>0</v>
      </c>
      <c r="AD154" s="54">
        <f t="shared" si="521"/>
        <v>0</v>
      </c>
      <c r="AE154" s="54">
        <f t="shared" ref="AE154" si="522">SUM(AE155:AE156)</f>
        <v>538</v>
      </c>
      <c r="AF154" s="54">
        <f>SUM(AF155:AF156)</f>
        <v>569</v>
      </c>
    </row>
    <row r="155" spans="1:32" ht="24" x14ac:dyDescent="0.2">
      <c r="A155" s="49"/>
      <c r="B155" s="63"/>
      <c r="C155" s="64"/>
      <c r="D155" s="252" t="s">
        <v>161</v>
      </c>
      <c r="E155" s="44">
        <v>538</v>
      </c>
      <c r="F155" s="44">
        <f t="shared" ref="F155:F156" si="523">E155+G155</f>
        <v>538</v>
      </c>
      <c r="G155" s="44">
        <f t="shared" ref="G155:G156" si="524">SUBTOTAL(9,H155:Q155)</f>
        <v>0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>
        <f t="shared" ref="S155:S156" si="525">R155+T155</f>
        <v>0</v>
      </c>
      <c r="T155" s="44">
        <f t="shared" ref="T155:T156" si="526">SUBTOTAL(9,U155:AD155)</f>
        <v>0</v>
      </c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>
        <f t="shared" ref="AE155:AE156" si="527">E155+R155</f>
        <v>538</v>
      </c>
      <c r="AF155" s="44">
        <f t="shared" ref="AF155:AF156" si="528">S155+F155</f>
        <v>538</v>
      </c>
    </row>
    <row r="156" spans="1:32" ht="24" x14ac:dyDescent="0.2">
      <c r="A156" s="66"/>
      <c r="B156" s="67"/>
      <c r="C156" s="68"/>
      <c r="D156" s="252" t="s">
        <v>162</v>
      </c>
      <c r="E156" s="54"/>
      <c r="F156" s="54">
        <f t="shared" si="523"/>
        <v>31</v>
      </c>
      <c r="G156" s="54">
        <f t="shared" si="524"/>
        <v>31</v>
      </c>
      <c r="H156" s="54"/>
      <c r="I156" s="54">
        <f>30+1</f>
        <v>31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>
        <f t="shared" si="525"/>
        <v>0</v>
      </c>
      <c r="T156" s="54">
        <f t="shared" si="526"/>
        <v>0</v>
      </c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>
        <f t="shared" si="527"/>
        <v>0</v>
      </c>
      <c r="AF156" s="54">
        <f t="shared" si="528"/>
        <v>31</v>
      </c>
    </row>
    <row r="157" spans="1:32" hidden="1" x14ac:dyDescent="0.2">
      <c r="A157" s="66"/>
      <c r="B157" s="67"/>
      <c r="C157" s="68"/>
      <c r="D157" s="50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</row>
    <row r="158" spans="1:32" ht="15.75" customHeight="1" x14ac:dyDescent="0.2">
      <c r="A158" s="49"/>
      <c r="B158" s="63"/>
      <c r="C158" s="64"/>
      <c r="D158" s="50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</row>
    <row r="159" spans="1:32" s="113" customFormat="1" ht="24.75" customHeight="1" thickBot="1" x14ac:dyDescent="0.25">
      <c r="A159" s="488" t="s">
        <v>126</v>
      </c>
      <c r="B159" s="489"/>
      <c r="C159" s="489"/>
      <c r="D159" s="490"/>
      <c r="E159" s="69">
        <f t="shared" ref="E159:AF159" si="529">SUM(E149,E93)</f>
        <v>89562788</v>
      </c>
      <c r="F159" s="69">
        <f t="shared" si="529"/>
        <v>93500394</v>
      </c>
      <c r="G159" s="69">
        <f t="shared" si="529"/>
        <v>3937606</v>
      </c>
      <c r="H159" s="69">
        <f t="shared" si="529"/>
        <v>111985</v>
      </c>
      <c r="I159" s="69">
        <f t="shared" si="529"/>
        <v>2279121</v>
      </c>
      <c r="J159" s="69">
        <f t="shared" si="529"/>
        <v>443550</v>
      </c>
      <c r="K159" s="69">
        <f t="shared" si="529"/>
        <v>493998</v>
      </c>
      <c r="L159" s="69">
        <f t="shared" si="529"/>
        <v>2875</v>
      </c>
      <c r="M159" s="69">
        <f t="shared" si="529"/>
        <v>-87075</v>
      </c>
      <c r="N159" s="69">
        <f t="shared" si="529"/>
        <v>-612926</v>
      </c>
      <c r="O159" s="69">
        <f t="shared" si="529"/>
        <v>1676964</v>
      </c>
      <c r="P159" s="69">
        <f t="shared" si="529"/>
        <v>-370886</v>
      </c>
      <c r="Q159" s="69">
        <f t="shared" si="529"/>
        <v>0</v>
      </c>
      <c r="R159" s="69">
        <f t="shared" si="529"/>
        <v>-1047228</v>
      </c>
      <c r="S159" s="69">
        <f t="shared" si="529"/>
        <v>-1227246</v>
      </c>
      <c r="T159" s="69">
        <f t="shared" si="529"/>
        <v>-180018</v>
      </c>
      <c r="U159" s="69">
        <f t="shared" si="529"/>
        <v>-11045</v>
      </c>
      <c r="V159" s="69">
        <f t="shared" si="529"/>
        <v>-206523</v>
      </c>
      <c r="W159" s="69">
        <f t="shared" si="529"/>
        <v>-18678</v>
      </c>
      <c r="X159" s="69">
        <f t="shared" si="529"/>
        <v>45158</v>
      </c>
      <c r="Y159" s="69">
        <f t="shared" si="529"/>
        <v>-7681</v>
      </c>
      <c r="Z159" s="69">
        <f t="shared" si="529"/>
        <v>20825</v>
      </c>
      <c r="AA159" s="69">
        <f t="shared" si="529"/>
        <v>-1738</v>
      </c>
      <c r="AB159" s="69">
        <f t="shared" si="529"/>
        <v>-336</v>
      </c>
      <c r="AC159" s="69">
        <f t="shared" si="529"/>
        <v>0</v>
      </c>
      <c r="AD159" s="69">
        <f t="shared" si="529"/>
        <v>0</v>
      </c>
      <c r="AE159" s="69">
        <f t="shared" si="529"/>
        <v>88751984</v>
      </c>
      <c r="AF159" s="69">
        <f t="shared" si="529"/>
        <v>92273148</v>
      </c>
    </row>
    <row r="160" spans="1:32" s="113" customFormat="1" ht="12.75" thickBot="1" x14ac:dyDescent="0.25">
      <c r="A160" s="491" t="s">
        <v>115</v>
      </c>
      <c r="B160" s="492"/>
      <c r="C160" s="492"/>
      <c r="D160" s="493"/>
      <c r="E160" s="69">
        <f t="shared" ref="E160:AF160" si="530">SUM(E8,E147)</f>
        <v>109731494</v>
      </c>
      <c r="F160" s="143">
        <f t="shared" si="530"/>
        <v>114821548</v>
      </c>
      <c r="G160" s="143">
        <f t="shared" si="530"/>
        <v>5090054</v>
      </c>
      <c r="H160" s="143">
        <f t="shared" si="530"/>
        <v>122832</v>
      </c>
      <c r="I160" s="143">
        <f t="shared" si="530"/>
        <v>6848727</v>
      </c>
      <c r="J160" s="143">
        <f t="shared" si="530"/>
        <v>562688</v>
      </c>
      <c r="K160" s="143">
        <f t="shared" si="530"/>
        <v>597993</v>
      </c>
      <c r="L160" s="143">
        <f t="shared" si="530"/>
        <v>2875</v>
      </c>
      <c r="M160" s="143">
        <f t="shared" si="530"/>
        <v>-498367</v>
      </c>
      <c r="N160" s="143">
        <f t="shared" si="530"/>
        <v>-5899360</v>
      </c>
      <c r="O160" s="143">
        <f t="shared" si="530"/>
        <v>3533959</v>
      </c>
      <c r="P160" s="143">
        <f t="shared" si="530"/>
        <v>-181293</v>
      </c>
      <c r="Q160" s="143">
        <f t="shared" si="530"/>
        <v>0</v>
      </c>
      <c r="R160" s="143">
        <f t="shared" si="530"/>
        <v>-1047228</v>
      </c>
      <c r="S160" s="143">
        <f t="shared" si="530"/>
        <v>-1227246</v>
      </c>
      <c r="T160" s="143">
        <f t="shared" si="530"/>
        <v>-180018</v>
      </c>
      <c r="U160" s="143">
        <f t="shared" si="530"/>
        <v>-11045</v>
      </c>
      <c r="V160" s="143">
        <f t="shared" si="530"/>
        <v>-206523</v>
      </c>
      <c r="W160" s="143">
        <f t="shared" si="530"/>
        <v>-18678</v>
      </c>
      <c r="X160" s="143">
        <f t="shared" si="530"/>
        <v>45158</v>
      </c>
      <c r="Y160" s="143">
        <f t="shared" si="530"/>
        <v>-7681</v>
      </c>
      <c r="Z160" s="143">
        <f t="shared" si="530"/>
        <v>20825</v>
      </c>
      <c r="AA160" s="143">
        <f t="shared" si="530"/>
        <v>-1738</v>
      </c>
      <c r="AB160" s="143">
        <f t="shared" si="530"/>
        <v>-336</v>
      </c>
      <c r="AC160" s="143">
        <f t="shared" si="530"/>
        <v>0</v>
      </c>
      <c r="AD160" s="143">
        <f t="shared" si="530"/>
        <v>0</v>
      </c>
      <c r="AE160" s="143">
        <f t="shared" si="530"/>
        <v>108920690</v>
      </c>
      <c r="AF160" s="143">
        <f t="shared" si="530"/>
        <v>113594302</v>
      </c>
    </row>
    <row r="162" spans="1:33" hidden="1" x14ac:dyDescent="0.2">
      <c r="AE162" s="171">
        <f>E160-AE160</f>
        <v>810804</v>
      </c>
    </row>
    <row r="163" spans="1:33" hidden="1" x14ac:dyDescent="0.2">
      <c r="A163" s="484"/>
      <c r="B163" s="484"/>
      <c r="C163" s="484"/>
      <c r="D163" s="484"/>
      <c r="E163" s="484"/>
      <c r="F163" s="484"/>
      <c r="G163" s="484"/>
      <c r="H163" s="484"/>
      <c r="I163" s="484"/>
      <c r="J163" s="484"/>
      <c r="K163" s="484"/>
      <c r="L163" s="484"/>
      <c r="M163" s="484"/>
      <c r="N163" s="484"/>
      <c r="O163" s="484"/>
      <c r="P163" s="484"/>
      <c r="Q163" s="484"/>
      <c r="R163" s="484"/>
      <c r="S163" s="484"/>
      <c r="T163" s="484"/>
      <c r="U163" s="484"/>
      <c r="V163" s="484"/>
      <c r="W163" s="484"/>
      <c r="X163" s="484"/>
      <c r="Y163" s="484"/>
      <c r="Z163" s="484"/>
      <c r="AA163" s="484"/>
      <c r="AB163" s="484"/>
      <c r="AC163" s="484"/>
      <c r="AD163" s="484"/>
      <c r="AE163" s="484"/>
    </row>
    <row r="164" spans="1:33" hidden="1" x14ac:dyDescent="0.2">
      <c r="A164" s="484"/>
      <c r="B164" s="484"/>
      <c r="C164" s="484"/>
      <c r="D164" s="484"/>
      <c r="E164" s="484"/>
      <c r="F164" s="484"/>
      <c r="G164" s="484"/>
      <c r="H164" s="484"/>
      <c r="I164" s="484"/>
      <c r="J164" s="484"/>
      <c r="K164" s="484"/>
      <c r="L164" s="484"/>
      <c r="M164" s="484"/>
      <c r="N164" s="484"/>
      <c r="O164" s="484"/>
      <c r="P164" s="484"/>
      <c r="Q164" s="484"/>
      <c r="R164" s="484"/>
      <c r="S164" s="484"/>
      <c r="T164" s="484"/>
      <c r="U164" s="484"/>
      <c r="V164" s="484"/>
      <c r="W164" s="484"/>
      <c r="X164" s="484"/>
      <c r="Y164" s="484"/>
      <c r="Z164" s="484"/>
      <c r="AA164" s="484"/>
      <c r="AB164" s="484"/>
      <c r="AC164" s="484"/>
      <c r="AD164" s="484"/>
      <c r="AE164" s="484"/>
    </row>
    <row r="165" spans="1:33" hidden="1" x14ac:dyDescent="0.2"/>
    <row r="166" spans="1:33" x14ac:dyDescent="0.2">
      <c r="AE166" s="171"/>
      <c r="AG166" s="291"/>
    </row>
    <row r="167" spans="1:33" x14ac:dyDescent="0.2">
      <c r="AE167" s="171"/>
    </row>
  </sheetData>
  <sheetProtection algorithmName="SHA-512" hashValue="k4hwYDxrgpONa+00oKmEICf4JCAVLfNqDJ9gDoZ5dIdR+3V0Vfbu8T1LXpgXpt/qee6xVxEVBCxNRVDstMCH2Q==" saltValue="nmrFOuBJTHNvrOvvCMpeHg==" spinCount="100000" sheet="1" objects="1" scenarios="1" formatCells="0" formatColumns="0" formatRows="0" insertHyperlinks="0"/>
  <autoFilter ref="A7:AF160">
    <filterColumn colId="0" showButton="0"/>
    <filterColumn colId="1" showButton="0"/>
  </autoFilter>
  <mergeCells count="97">
    <mergeCell ref="B87:C87"/>
    <mergeCell ref="B131:C131"/>
    <mergeCell ref="B88:C88"/>
    <mergeCell ref="B89:C89"/>
    <mergeCell ref="B90:C90"/>
    <mergeCell ref="B95:C95"/>
    <mergeCell ref="B144:C144"/>
    <mergeCell ref="A147:D147"/>
    <mergeCell ref="B138:C138"/>
    <mergeCell ref="B129:C129"/>
    <mergeCell ref="B91:C91"/>
    <mergeCell ref="A93:D93"/>
    <mergeCell ref="B125:C125"/>
    <mergeCell ref="A164:AE164"/>
    <mergeCell ref="A149:C149"/>
    <mergeCell ref="B150:C150"/>
    <mergeCell ref="B151:C151"/>
    <mergeCell ref="A159:D159"/>
    <mergeCell ref="A160:D160"/>
    <mergeCell ref="A163:AE163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55:C55"/>
    <mergeCell ref="B42:C42"/>
    <mergeCell ref="B51:C51"/>
    <mergeCell ref="B46:C46"/>
    <mergeCell ref="B58:C58"/>
    <mergeCell ref="B39:C39"/>
    <mergeCell ref="B40:C40"/>
    <mergeCell ref="B41:C41"/>
    <mergeCell ref="B54:C54"/>
    <mergeCell ref="B34:C3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29.augusta saistošajiem noteikumiem Nr.31
(protokols Nr.12, 20.punkts)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505" t="s">
        <v>1</v>
      </c>
      <c r="C2" s="505"/>
      <c r="D2" s="506" t="s">
        <v>3</v>
      </c>
      <c r="E2" s="506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572</v>
      </c>
      <c r="B4" s="152">
        <f>Ienemumi!AF93</f>
        <v>92273148</v>
      </c>
      <c r="C4" s="153" t="s">
        <v>465</v>
      </c>
      <c r="D4" s="345">
        <f>Ienemumi!AE149</f>
        <v>0</v>
      </c>
      <c r="E4" s="346" t="s">
        <v>465</v>
      </c>
    </row>
    <row r="5" spans="1:5" ht="17.25" x14ac:dyDescent="0.3">
      <c r="A5" s="151" t="s">
        <v>573</v>
      </c>
      <c r="B5" s="157">
        <f>Izdevumi!E262-D5</f>
        <v>104589445</v>
      </c>
      <c r="C5" s="153" t="s">
        <v>465</v>
      </c>
      <c r="D5" s="152">
        <f>Izdevumi!BA318</f>
        <v>569</v>
      </c>
      <c r="E5" s="153" t="s">
        <v>465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463</v>
      </c>
      <c r="B7" s="152">
        <f>B4-B5</f>
        <v>-12316297</v>
      </c>
      <c r="C7" s="153" t="s">
        <v>465</v>
      </c>
      <c r="D7" s="152">
        <f>D4-D5</f>
        <v>-569</v>
      </c>
      <c r="E7" s="153" t="s">
        <v>465</v>
      </c>
    </row>
    <row r="8" spans="1:5" ht="17.25" x14ac:dyDescent="0.3">
      <c r="A8" s="151" t="s">
        <v>464</v>
      </c>
      <c r="B8" s="152">
        <f>B9-B10+B11-B12-B13</f>
        <v>12316297</v>
      </c>
      <c r="C8" s="153" t="s">
        <v>465</v>
      </c>
      <c r="D8" s="152">
        <f>D9-D10+D11-D12-D13</f>
        <v>569</v>
      </c>
      <c r="E8" s="153" t="s">
        <v>465</v>
      </c>
    </row>
    <row r="9" spans="1:5" x14ac:dyDescent="0.25">
      <c r="A9" s="148" t="s">
        <v>466</v>
      </c>
      <c r="B9" s="154">
        <f>Ienemumi!AF95</f>
        <v>13029650</v>
      </c>
      <c r="C9" s="155" t="s">
        <v>465</v>
      </c>
      <c r="D9" s="154">
        <f>Ienemumi!AF153</f>
        <v>569</v>
      </c>
      <c r="E9" s="155" t="s">
        <v>465</v>
      </c>
    </row>
    <row r="10" spans="1:5" x14ac:dyDescent="0.25">
      <c r="A10" s="148" t="s">
        <v>467</v>
      </c>
      <c r="B10" s="154">
        <f>Izdevumi!E263</f>
        <v>3158349</v>
      </c>
      <c r="C10" s="155" t="s">
        <v>465</v>
      </c>
      <c r="D10" s="174">
        <v>0</v>
      </c>
      <c r="E10" s="175" t="s">
        <v>465</v>
      </c>
    </row>
    <row r="11" spans="1:5" x14ac:dyDescent="0.25">
      <c r="A11" s="148" t="s">
        <v>468</v>
      </c>
      <c r="B11" s="154">
        <f>Ienemumi!AF125</f>
        <v>8290935</v>
      </c>
      <c r="C11" s="155" t="s">
        <v>465</v>
      </c>
      <c r="D11" s="154"/>
    </row>
    <row r="12" spans="1:5" x14ac:dyDescent="0.25">
      <c r="A12" s="148" t="s">
        <v>469</v>
      </c>
      <c r="B12" s="154">
        <f>Izdevumi!E292</f>
        <v>5283045</v>
      </c>
      <c r="C12" s="155" t="s">
        <v>465</v>
      </c>
      <c r="D12" s="154"/>
    </row>
    <row r="13" spans="1:5" x14ac:dyDescent="0.25">
      <c r="A13" s="148" t="s">
        <v>470</v>
      </c>
      <c r="B13" s="173">
        <f>Izdevumi!E312+Izdevumi!E315</f>
        <v>562894</v>
      </c>
      <c r="C13" s="155" t="s">
        <v>465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2019-08-30T06:13:51Z</cp:lastPrinted>
  <dcterms:created xsi:type="dcterms:W3CDTF">2006-10-31T12:58:11Z</dcterms:created>
  <dcterms:modified xsi:type="dcterms:W3CDTF">2019-08-30T06:14:45Z</dcterms:modified>
</cp:coreProperties>
</file>