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Ienemumi!$A$7:$AH$160</definedName>
    <definedName name="_xlnm._FilterDatabase" localSheetId="0" hidden="1">Izdevumi!$A$9:$BW$325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Ienemumi!$A$4:$AG$160</definedName>
    <definedName name="Z_C32C0FCD_AE7D_41A3_975E_D7367DDEA994_.wvu.PrintArea" localSheetId="0" hidden="1">Izdevumi!$B$4:$BW$322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Ienemumi!#REF!,Ienemumi!#REF!,Ienemumi!$149:$158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Q66" i="4" l="1"/>
  <c r="AJ280" i="1" l="1"/>
  <c r="BK288" i="1" l="1"/>
  <c r="BJ288" i="1" s="1"/>
  <c r="BK280" i="1"/>
  <c r="BJ280" i="1" s="1"/>
  <c r="BC288" i="1"/>
  <c r="BB288" i="1" s="1"/>
  <c r="BC279" i="1"/>
  <c r="BB279" i="1" s="1"/>
  <c r="BC280" i="1"/>
  <c r="BB280" i="1" s="1"/>
  <c r="AP288" i="1"/>
  <c r="AO288" i="1" s="1"/>
  <c r="AC288" i="1"/>
  <c r="AB288" i="1" s="1"/>
  <c r="AP279" i="1"/>
  <c r="AO279" i="1" s="1"/>
  <c r="AP280" i="1"/>
  <c r="AO280" i="1" s="1"/>
  <c r="AC280" i="1"/>
  <c r="AB280" i="1" s="1"/>
  <c r="H280" i="1"/>
  <c r="G280" i="1" s="1"/>
  <c r="D280" i="1"/>
  <c r="E280" i="1" l="1"/>
  <c r="Y268" i="1" l="1"/>
  <c r="Q87" i="4"/>
  <c r="Q82" i="4" l="1"/>
  <c r="AJ168" i="1"/>
  <c r="Y274" i="1"/>
  <c r="X268" i="1" l="1"/>
  <c r="X141" i="1"/>
  <c r="X23" i="1"/>
  <c r="X11" i="1" s="1"/>
  <c r="X323" i="1"/>
  <c r="X319" i="1"/>
  <c r="X316" i="1"/>
  <c r="X312" i="1"/>
  <c r="X308" i="1"/>
  <c r="X304" i="1"/>
  <c r="X299" i="1"/>
  <c r="X297" i="1"/>
  <c r="X266" i="1"/>
  <c r="X242" i="1"/>
  <c r="X133" i="1"/>
  <c r="X93" i="1"/>
  <c r="X86" i="1"/>
  <c r="X74" i="1"/>
  <c r="X64" i="1"/>
  <c r="X36" i="1"/>
  <c r="X28" i="1"/>
  <c r="Y142" i="1"/>
  <c r="Y141" i="1"/>
  <c r="Y95" i="1"/>
  <c r="Y80" i="1"/>
  <c r="X296" i="1" l="1"/>
  <c r="X324" i="1" s="1"/>
  <c r="X265" i="1"/>
  <c r="X322" i="1" l="1"/>
  <c r="Q67" i="4"/>
  <c r="BK172" i="1" l="1"/>
  <c r="BJ172" i="1" s="1"/>
  <c r="BC172" i="1"/>
  <c r="BB172" i="1" s="1"/>
  <c r="AP172" i="1"/>
  <c r="AO172" i="1" s="1"/>
  <c r="AC172" i="1"/>
  <c r="AB172" i="1" s="1"/>
  <c r="H172" i="1"/>
  <c r="G172" i="1" s="1"/>
  <c r="D172" i="1"/>
  <c r="E172" i="1" l="1"/>
  <c r="BK211" i="1" l="1"/>
  <c r="BJ211" i="1" s="1"/>
  <c r="BC211" i="1"/>
  <c r="BB211" i="1" s="1"/>
  <c r="AP211" i="1"/>
  <c r="AO211" i="1" s="1"/>
  <c r="AC211" i="1"/>
  <c r="AB211" i="1" s="1"/>
  <c r="H211" i="1"/>
  <c r="G211" i="1" s="1"/>
  <c r="D211" i="1"/>
  <c r="E211" i="1" l="1"/>
  <c r="BK219" i="1" l="1"/>
  <c r="BJ219" i="1" s="1"/>
  <c r="BC219" i="1"/>
  <c r="BB219" i="1" s="1"/>
  <c r="AP219" i="1"/>
  <c r="AO219" i="1" s="1"/>
  <c r="AC219" i="1"/>
  <c r="AB219" i="1" s="1"/>
  <c r="H219" i="1"/>
  <c r="G219" i="1" s="1"/>
  <c r="D219" i="1"/>
  <c r="E219" i="1" l="1"/>
  <c r="Y97" i="1" l="1"/>
  <c r="Y40" i="1"/>
  <c r="R154" i="4" l="1"/>
  <c r="R153" i="4" s="1"/>
  <c r="R149" i="4"/>
  <c r="R137" i="4"/>
  <c r="R127" i="4"/>
  <c r="R126" i="4" s="1"/>
  <c r="R125" i="4" s="1"/>
  <c r="R95" i="4"/>
  <c r="R89" i="4"/>
  <c r="R88" i="4" s="1"/>
  <c r="R84" i="4"/>
  <c r="R81" i="4"/>
  <c r="R79" i="4"/>
  <c r="R76" i="4"/>
  <c r="R72" i="4"/>
  <c r="R68" i="4"/>
  <c r="R65" i="4"/>
  <c r="R64" i="4" s="1"/>
  <c r="R62" i="4"/>
  <c r="R58" i="4"/>
  <c r="R56" i="4"/>
  <c r="R55" i="4" s="1"/>
  <c r="R53" i="4"/>
  <c r="R51" i="4"/>
  <c r="R48" i="4"/>
  <c r="R45" i="4"/>
  <c r="R44" i="4" s="1"/>
  <c r="R39" i="4"/>
  <c r="R36" i="4"/>
  <c r="R33" i="4"/>
  <c r="R32" i="4" s="1"/>
  <c r="R30" i="4"/>
  <c r="R29" i="4" s="1"/>
  <c r="R27" i="4"/>
  <c r="R23" i="4"/>
  <c r="R20" i="4"/>
  <c r="R17" i="4"/>
  <c r="R16" i="4" s="1"/>
  <c r="R15" i="4" s="1"/>
  <c r="R12" i="4"/>
  <c r="R11" i="4" s="1"/>
  <c r="R10" i="4" s="1"/>
  <c r="Q154" i="4"/>
  <c r="Q153" i="4" s="1"/>
  <c r="Q149" i="4"/>
  <c r="Q137" i="4"/>
  <c r="Q127" i="4"/>
  <c r="Q95" i="4"/>
  <c r="Q89" i="4"/>
  <c r="Q88" i="4" s="1"/>
  <c r="Q84" i="4"/>
  <c r="Q81" i="4"/>
  <c r="Q79" i="4"/>
  <c r="Q76" i="4"/>
  <c r="Q72" i="4"/>
  <c r="Q68" i="4"/>
  <c r="Q65" i="4"/>
  <c r="Q64" i="4" s="1"/>
  <c r="Q62" i="4"/>
  <c r="Q58" i="4"/>
  <c r="Q56" i="4"/>
  <c r="Q53" i="4"/>
  <c r="Q51" i="4"/>
  <c r="Q48" i="4"/>
  <c r="Q45" i="4"/>
  <c r="Q44" i="4" s="1"/>
  <c r="Q39" i="4"/>
  <c r="Q36" i="4"/>
  <c r="Q33" i="4"/>
  <c r="Q32" i="4" s="1"/>
  <c r="Q30" i="4"/>
  <c r="Q29" i="4" s="1"/>
  <c r="Q27" i="4"/>
  <c r="Q23" i="4"/>
  <c r="Q20" i="4"/>
  <c r="Q17" i="4"/>
  <c r="Q12" i="4"/>
  <c r="Q11" i="4" s="1"/>
  <c r="Q10" i="4" s="1"/>
  <c r="Q26" i="4" l="1"/>
  <c r="R35" i="4"/>
  <c r="Q35" i="4"/>
  <c r="Q55" i="4"/>
  <c r="Q16" i="4"/>
  <c r="Q15" i="4" s="1"/>
  <c r="R147" i="4"/>
  <c r="R26" i="4"/>
  <c r="Q126" i="4"/>
  <c r="Q125" i="4" s="1"/>
  <c r="R50" i="4"/>
  <c r="R47" i="4" s="1"/>
  <c r="Q75" i="4"/>
  <c r="Q71" i="4" s="1"/>
  <c r="R75" i="4"/>
  <c r="R71" i="4" s="1"/>
  <c r="Q50" i="4"/>
  <c r="Q47" i="4" s="1"/>
  <c r="Q147" i="4"/>
  <c r="R93" i="4" l="1"/>
  <c r="R159" i="4" s="1"/>
  <c r="Q93" i="4"/>
  <c r="Q159" i="4" s="1"/>
  <c r="R8" i="4" l="1"/>
  <c r="R160" i="4" s="1"/>
  <c r="Q8" i="4"/>
  <c r="Q160" i="4" s="1"/>
  <c r="W33" i="1" l="1"/>
  <c r="W268" i="1"/>
  <c r="F316" i="1" l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Y316" i="1"/>
  <c r="Z316" i="1"/>
  <c r="AA316" i="1"/>
  <c r="AD316" i="1"/>
  <c r="AE316" i="1"/>
  <c r="AF316" i="1"/>
  <c r="AG316" i="1"/>
  <c r="AH316" i="1"/>
  <c r="AI316" i="1"/>
  <c r="AJ316" i="1"/>
  <c r="AK316" i="1"/>
  <c r="AL316" i="1"/>
  <c r="AM316" i="1"/>
  <c r="AN316" i="1"/>
  <c r="AQ316" i="1"/>
  <c r="AR316" i="1"/>
  <c r="AS316" i="1"/>
  <c r="AT316" i="1"/>
  <c r="AU316" i="1"/>
  <c r="AV316" i="1"/>
  <c r="AW316" i="1"/>
  <c r="AX316" i="1"/>
  <c r="AY316" i="1"/>
  <c r="AZ316" i="1"/>
  <c r="BA316" i="1"/>
  <c r="BD316" i="1"/>
  <c r="BE316" i="1"/>
  <c r="BF316" i="1"/>
  <c r="BG316" i="1"/>
  <c r="BH316" i="1"/>
  <c r="BI316" i="1"/>
  <c r="BL316" i="1"/>
  <c r="BM316" i="1"/>
  <c r="BN316" i="1"/>
  <c r="BO316" i="1"/>
  <c r="BP316" i="1"/>
  <c r="BQ316" i="1"/>
  <c r="BR316" i="1"/>
  <c r="BS316" i="1"/>
  <c r="BT316" i="1"/>
  <c r="BU316" i="1"/>
  <c r="BK318" i="1"/>
  <c r="BJ318" i="1" s="1"/>
  <c r="BC318" i="1"/>
  <c r="BB318" i="1" s="1"/>
  <c r="AP318" i="1"/>
  <c r="AO318" i="1" s="1"/>
  <c r="AC318" i="1"/>
  <c r="AB318" i="1" s="1"/>
  <c r="H318" i="1"/>
  <c r="G318" i="1" s="1"/>
  <c r="D318" i="1"/>
  <c r="E318" i="1" l="1"/>
  <c r="W272" i="1" l="1"/>
  <c r="W42" i="1"/>
  <c r="AW39" i="1"/>
  <c r="P80" i="4"/>
  <c r="W39" i="1"/>
  <c r="W95" i="1" l="1"/>
  <c r="W77" i="1"/>
  <c r="W68" i="1"/>
  <c r="W273" i="1" l="1"/>
  <c r="W266" i="1" s="1"/>
  <c r="W90" i="1" l="1"/>
  <c r="P67" i="4" l="1"/>
  <c r="P135" i="4" l="1"/>
  <c r="W166" i="1" l="1"/>
  <c r="W116" i="1"/>
  <c r="V268" i="1" l="1"/>
  <c r="P87" i="4" l="1"/>
  <c r="AG135" i="4"/>
  <c r="G135" i="4"/>
  <c r="F135" i="4" s="1"/>
  <c r="AH135" i="4" s="1"/>
  <c r="P66" i="4" l="1"/>
  <c r="H279" i="1" l="1"/>
  <c r="U268" i="1"/>
  <c r="AI180" i="1" l="1"/>
  <c r="P91" i="4" l="1"/>
  <c r="AD91" i="4" l="1"/>
  <c r="P82" i="4" l="1"/>
  <c r="P85" i="4" l="1"/>
  <c r="O66" i="4" l="1"/>
  <c r="U142" i="1"/>
  <c r="U95" i="1" l="1"/>
  <c r="U273" i="1" l="1"/>
  <c r="BK157" i="1"/>
  <c r="BJ157" i="1" s="1"/>
  <c r="BC157" i="1"/>
  <c r="BB157" i="1" s="1"/>
  <c r="AP157" i="1"/>
  <c r="AO157" i="1" s="1"/>
  <c r="AC157" i="1"/>
  <c r="AB157" i="1" s="1"/>
  <c r="H157" i="1"/>
  <c r="G157" i="1" s="1"/>
  <c r="D157" i="1"/>
  <c r="E157" i="1" l="1"/>
  <c r="AC70" i="4" l="1"/>
  <c r="O70" i="4"/>
  <c r="U57" i="1"/>
  <c r="O67" i="4"/>
  <c r="U42" i="1" l="1"/>
  <c r="AG145" i="4" l="1"/>
  <c r="V145" i="4"/>
  <c r="U145" i="4" s="1"/>
  <c r="G145" i="4"/>
  <c r="F145" i="4" s="1"/>
  <c r="AC108" i="1"/>
  <c r="AB108" i="1" s="1"/>
  <c r="AP108" i="1"/>
  <c r="AO108" i="1" s="1"/>
  <c r="BC108" i="1"/>
  <c r="BB108" i="1" s="1"/>
  <c r="BK108" i="1"/>
  <c r="BJ108" i="1" s="1"/>
  <c r="H108" i="1"/>
  <c r="G108" i="1" s="1"/>
  <c r="D108" i="1"/>
  <c r="AH145" i="4" l="1"/>
  <c r="E108" i="1"/>
  <c r="AH279" i="1" l="1"/>
  <c r="BR269" i="1"/>
  <c r="AH269" i="1"/>
  <c r="AH161" i="1"/>
  <c r="AH158" i="1"/>
  <c r="AH180" i="1"/>
  <c r="U274" i="1" l="1"/>
  <c r="BK218" i="1" l="1"/>
  <c r="BJ218" i="1" s="1"/>
  <c r="BC218" i="1"/>
  <c r="BB218" i="1" s="1"/>
  <c r="AP218" i="1"/>
  <c r="AO218" i="1" s="1"/>
  <c r="AC218" i="1"/>
  <c r="AB218" i="1" s="1"/>
  <c r="H218" i="1"/>
  <c r="G218" i="1" s="1"/>
  <c r="D218" i="1"/>
  <c r="E218" i="1" l="1"/>
  <c r="AH230" i="1" l="1"/>
  <c r="BK279" i="1" l="1"/>
  <c r="BJ279" i="1" s="1"/>
  <c r="AC279" i="1"/>
  <c r="AB279" i="1" s="1"/>
  <c r="G279" i="1"/>
  <c r="D279" i="1"/>
  <c r="E279" i="1" l="1"/>
  <c r="O144" i="4" l="1"/>
  <c r="O137" i="4" s="1"/>
  <c r="S268" i="1" l="1"/>
  <c r="S142" i="1" l="1"/>
  <c r="N67" i="4" l="1"/>
  <c r="BK156" i="1"/>
  <c r="BJ156" i="1" s="1"/>
  <c r="BC156" i="1"/>
  <c r="BB156" i="1" s="1"/>
  <c r="AP156" i="1"/>
  <c r="AO156" i="1" s="1"/>
  <c r="AC156" i="1"/>
  <c r="AB156" i="1" s="1"/>
  <c r="H156" i="1"/>
  <c r="G156" i="1" s="1"/>
  <c r="D156" i="1"/>
  <c r="E156" i="1" l="1"/>
  <c r="S80" i="1" l="1"/>
  <c r="S44" i="1" l="1"/>
  <c r="N140" i="4" l="1"/>
  <c r="S57" i="1" l="1"/>
  <c r="AG291" i="1" l="1"/>
  <c r="AG44" i="1"/>
  <c r="S272" i="1" l="1"/>
  <c r="S273" i="1" l="1"/>
  <c r="N142" i="4"/>
  <c r="N143" i="4" l="1"/>
  <c r="BK272" i="1" l="1"/>
  <c r="BJ272" i="1" s="1"/>
  <c r="BC272" i="1"/>
  <c r="BB272" i="1" s="1"/>
  <c r="AP272" i="1"/>
  <c r="AO272" i="1" s="1"/>
  <c r="AC272" i="1"/>
  <c r="AB272" i="1" s="1"/>
  <c r="H272" i="1"/>
  <c r="G272" i="1" s="1"/>
  <c r="D272" i="1"/>
  <c r="E272" i="1" l="1"/>
  <c r="N66" i="4"/>
  <c r="BK118" i="1"/>
  <c r="BJ118" i="1" s="1"/>
  <c r="BC118" i="1"/>
  <c r="BB118" i="1" s="1"/>
  <c r="AP118" i="1"/>
  <c r="AO118" i="1" s="1"/>
  <c r="AC118" i="1"/>
  <c r="AB118" i="1" s="1"/>
  <c r="H118" i="1"/>
  <c r="G118" i="1" s="1"/>
  <c r="D118" i="1"/>
  <c r="E118" i="1" l="1"/>
  <c r="N91" i="4" l="1"/>
  <c r="BK160" i="1" l="1"/>
  <c r="BJ160" i="1" s="1"/>
  <c r="BC160" i="1"/>
  <c r="BB160" i="1" s="1"/>
  <c r="AP160" i="1"/>
  <c r="AO160" i="1" s="1"/>
  <c r="AC160" i="1"/>
  <c r="AB160" i="1" s="1"/>
  <c r="H160" i="1"/>
  <c r="G160" i="1" s="1"/>
  <c r="D160" i="1"/>
  <c r="E160" i="1" l="1"/>
  <c r="L268" i="1" l="1"/>
  <c r="K288" i="1" l="1"/>
  <c r="H288" i="1" s="1"/>
  <c r="G288" i="1" s="1"/>
  <c r="E288" i="1" s="1"/>
  <c r="D288" i="1"/>
  <c r="K268" i="1" l="1"/>
  <c r="Q268" i="1"/>
  <c r="BL270" i="1" l="1"/>
  <c r="BO270" i="1"/>
  <c r="BM271" i="1"/>
  <c r="BM270" i="1"/>
  <c r="M268" i="1"/>
  <c r="M270" i="1"/>
  <c r="K274" i="1"/>
  <c r="K273" i="1"/>
  <c r="K271" i="1"/>
  <c r="K270" i="1"/>
  <c r="I273" i="1"/>
  <c r="I270" i="1"/>
  <c r="R268" i="1" l="1"/>
  <c r="U323" i="1" l="1"/>
  <c r="W323" i="1"/>
  <c r="Y323" i="1"/>
  <c r="U312" i="1"/>
  <c r="W312" i="1"/>
  <c r="Y312" i="1"/>
  <c r="U308" i="1"/>
  <c r="W308" i="1"/>
  <c r="Y308" i="1"/>
  <c r="U304" i="1"/>
  <c r="W304" i="1"/>
  <c r="Y304" i="1"/>
  <c r="U299" i="1"/>
  <c r="W299" i="1"/>
  <c r="Y299" i="1"/>
  <c r="U297" i="1"/>
  <c r="W297" i="1"/>
  <c r="Y297" i="1"/>
  <c r="U266" i="1"/>
  <c r="Y266" i="1"/>
  <c r="U242" i="1"/>
  <c r="W242" i="1"/>
  <c r="Y242" i="1"/>
  <c r="U133" i="1"/>
  <c r="W133" i="1"/>
  <c r="Y133" i="1"/>
  <c r="U86" i="1"/>
  <c r="W86" i="1"/>
  <c r="Y86" i="1"/>
  <c r="U93" i="1"/>
  <c r="W93" i="1"/>
  <c r="Y93" i="1"/>
  <c r="U74" i="1"/>
  <c r="W74" i="1"/>
  <c r="Y74" i="1"/>
  <c r="Z74" i="1"/>
  <c r="U64" i="1"/>
  <c r="W64" i="1"/>
  <c r="Y64" i="1"/>
  <c r="U36" i="1"/>
  <c r="W36" i="1"/>
  <c r="Y36" i="1"/>
  <c r="U28" i="1"/>
  <c r="W28" i="1"/>
  <c r="Y28" i="1"/>
  <c r="U11" i="1"/>
  <c r="W11" i="1"/>
  <c r="Y11" i="1"/>
  <c r="S323" i="1"/>
  <c r="S312" i="1"/>
  <c r="S308" i="1"/>
  <c r="S304" i="1"/>
  <c r="S299" i="1"/>
  <c r="S297" i="1"/>
  <c r="S266" i="1"/>
  <c r="S242" i="1"/>
  <c r="S133" i="1"/>
  <c r="S93" i="1"/>
  <c r="S86" i="1"/>
  <c r="S74" i="1"/>
  <c r="S64" i="1"/>
  <c r="S36" i="1"/>
  <c r="S28" i="1"/>
  <c r="S11" i="1"/>
  <c r="W265" i="1" l="1"/>
  <c r="Y265" i="1"/>
  <c r="Y296" i="1"/>
  <c r="Y324" i="1" s="1"/>
  <c r="U265" i="1"/>
  <c r="U296" i="1"/>
  <c r="U324" i="1" s="1"/>
  <c r="W296" i="1"/>
  <c r="W324" i="1" s="1"/>
  <c r="S265" i="1"/>
  <c r="S296" i="1"/>
  <c r="S324" i="1" s="1"/>
  <c r="Q273" i="1"/>
  <c r="M67" i="4"/>
  <c r="Y322" i="1" l="1"/>
  <c r="U322" i="1"/>
  <c r="W322" i="1"/>
  <c r="S322" i="1"/>
  <c r="M66" i="4"/>
  <c r="BK62" i="1"/>
  <c r="BJ62" i="1" s="1"/>
  <c r="BC62" i="1"/>
  <c r="BB62" i="1" s="1"/>
  <c r="AP62" i="1"/>
  <c r="AO62" i="1" s="1"/>
  <c r="AC62" i="1"/>
  <c r="AB62" i="1" s="1"/>
  <c r="H62" i="1"/>
  <c r="G62" i="1" s="1"/>
  <c r="D62" i="1"/>
  <c r="E62" i="1" l="1"/>
  <c r="Q243" i="1"/>
  <c r="P268" i="1" l="1"/>
  <c r="N268" i="1" l="1"/>
  <c r="M269" i="1" l="1"/>
  <c r="K70" i="4"/>
  <c r="Z70" i="4"/>
  <c r="K132" i="4"/>
  <c r="I117" i="4"/>
  <c r="I96" i="4"/>
  <c r="K269" i="1" l="1"/>
  <c r="K129" i="4" l="1"/>
  <c r="AG130" i="4"/>
  <c r="V130" i="4"/>
  <c r="U130" i="4" s="1"/>
  <c r="G130" i="4"/>
  <c r="F130" i="4" s="1"/>
  <c r="AH130" i="4" l="1"/>
  <c r="M57" i="1"/>
  <c r="M141" i="1" l="1"/>
  <c r="K67" i="4" l="1"/>
  <c r="K66" i="4" l="1"/>
  <c r="BK26" i="1"/>
  <c r="BJ26" i="1" s="1"/>
  <c r="BC26" i="1"/>
  <c r="BB26" i="1" s="1"/>
  <c r="AP26" i="1"/>
  <c r="AO26" i="1" s="1"/>
  <c r="AC26" i="1"/>
  <c r="AB26" i="1" s="1"/>
  <c r="H26" i="1"/>
  <c r="G26" i="1" s="1"/>
  <c r="D26" i="1"/>
  <c r="E26" i="1" l="1"/>
  <c r="M243" i="1" l="1"/>
  <c r="M17" i="1"/>
  <c r="BK130" i="1" l="1"/>
  <c r="BJ130" i="1" s="1"/>
  <c r="BC130" i="1"/>
  <c r="BB130" i="1" s="1"/>
  <c r="AP130" i="1"/>
  <c r="AO130" i="1" s="1"/>
  <c r="AC130" i="1"/>
  <c r="AB130" i="1" s="1"/>
  <c r="H130" i="1"/>
  <c r="G130" i="1" s="1"/>
  <c r="D130" i="1"/>
  <c r="E130" i="1" l="1"/>
  <c r="BK129" i="1" l="1"/>
  <c r="BJ129" i="1" s="1"/>
  <c r="BC129" i="1"/>
  <c r="BB129" i="1" s="1"/>
  <c r="AP129" i="1"/>
  <c r="AO129" i="1" s="1"/>
  <c r="AC129" i="1"/>
  <c r="AB129" i="1" s="1"/>
  <c r="H129" i="1"/>
  <c r="G129" i="1" s="1"/>
  <c r="D129" i="1"/>
  <c r="E129" i="1" l="1"/>
  <c r="BK107" i="1" l="1"/>
  <c r="BJ107" i="1" s="1"/>
  <c r="BC107" i="1"/>
  <c r="BB107" i="1" s="1"/>
  <c r="AP107" i="1"/>
  <c r="AO107" i="1" s="1"/>
  <c r="AC107" i="1"/>
  <c r="AB107" i="1" s="1"/>
  <c r="H107" i="1"/>
  <c r="G107" i="1" s="1"/>
  <c r="D107" i="1"/>
  <c r="E107" i="1" l="1"/>
  <c r="AF137" i="4" l="1"/>
  <c r="AE137" i="4"/>
  <c r="AD137" i="4"/>
  <c r="AC137" i="4"/>
  <c r="AB137" i="4"/>
  <c r="AA137" i="4"/>
  <c r="Z137" i="4"/>
  <c r="Y137" i="4"/>
  <c r="X137" i="4"/>
  <c r="W137" i="4"/>
  <c r="T137" i="4"/>
  <c r="S137" i="4"/>
  <c r="P137" i="4"/>
  <c r="N137" i="4"/>
  <c r="M137" i="4"/>
  <c r="L137" i="4"/>
  <c r="K137" i="4"/>
  <c r="J137" i="4"/>
  <c r="I137" i="4"/>
  <c r="H137" i="4"/>
  <c r="E137" i="4"/>
  <c r="AF127" i="4"/>
  <c r="AE127" i="4"/>
  <c r="AD127" i="4"/>
  <c r="AC127" i="4"/>
  <c r="AB127" i="4"/>
  <c r="AA127" i="4"/>
  <c r="Z127" i="4"/>
  <c r="Y127" i="4"/>
  <c r="X127" i="4"/>
  <c r="W127" i="4"/>
  <c r="T127" i="4"/>
  <c r="S127" i="4"/>
  <c r="P127" i="4"/>
  <c r="O127" i="4"/>
  <c r="N127" i="4"/>
  <c r="M127" i="4"/>
  <c r="L127" i="4"/>
  <c r="K127" i="4"/>
  <c r="J127" i="4"/>
  <c r="I127" i="4"/>
  <c r="H127" i="4"/>
  <c r="E127" i="4"/>
  <c r="J126" i="4" l="1"/>
  <c r="J125" i="4" s="1"/>
  <c r="N126" i="4"/>
  <c r="N125" i="4" s="1"/>
  <c r="T126" i="4"/>
  <c r="T125" i="4" s="1"/>
  <c r="Z126" i="4"/>
  <c r="Z125" i="4" s="1"/>
  <c r="AD126" i="4"/>
  <c r="AD125" i="4" s="1"/>
  <c r="E126" i="4"/>
  <c r="E125" i="4" s="1"/>
  <c r="K126" i="4"/>
  <c r="K125" i="4" s="1"/>
  <c r="O126" i="4"/>
  <c r="O125" i="4" s="1"/>
  <c r="W126" i="4"/>
  <c r="W125" i="4" s="1"/>
  <c r="AA126" i="4"/>
  <c r="AA125" i="4" s="1"/>
  <c r="AE126" i="4"/>
  <c r="AE125" i="4" s="1"/>
  <c r="L126" i="4"/>
  <c r="L125" i="4" s="1"/>
  <c r="X126" i="4"/>
  <c r="X125" i="4" s="1"/>
  <c r="AF126" i="4"/>
  <c r="AF125" i="4" s="1"/>
  <c r="H126" i="4"/>
  <c r="H125" i="4" s="1"/>
  <c r="P126" i="4"/>
  <c r="P125" i="4" s="1"/>
  <c r="AB126" i="4"/>
  <c r="AB125" i="4" s="1"/>
  <c r="I126" i="4"/>
  <c r="I125" i="4" s="1"/>
  <c r="M126" i="4"/>
  <c r="M125" i="4" s="1"/>
  <c r="S126" i="4"/>
  <c r="S125" i="4" s="1"/>
  <c r="Y126" i="4"/>
  <c r="Y125" i="4" s="1"/>
  <c r="AC126" i="4"/>
  <c r="AC125" i="4" s="1"/>
  <c r="L158" i="1"/>
  <c r="AG134" i="4" l="1"/>
  <c r="V134" i="4"/>
  <c r="U134" i="4" s="1"/>
  <c r="G134" i="4"/>
  <c r="F134" i="4" s="1"/>
  <c r="AH134" i="4" l="1"/>
  <c r="BK55" i="1"/>
  <c r="BJ55" i="1" s="1"/>
  <c r="BC55" i="1"/>
  <c r="BB55" i="1" s="1"/>
  <c r="AP55" i="1"/>
  <c r="AO55" i="1" s="1"/>
  <c r="AC55" i="1"/>
  <c r="AB55" i="1" s="1"/>
  <c r="H55" i="1"/>
  <c r="G55" i="1" s="1"/>
  <c r="D55" i="1"/>
  <c r="E55" i="1" l="1"/>
  <c r="J66" i="4" l="1"/>
  <c r="L57" i="1"/>
  <c r="BK106" i="1"/>
  <c r="BJ106" i="1" s="1"/>
  <c r="BC106" i="1"/>
  <c r="BB106" i="1" s="1"/>
  <c r="AP106" i="1"/>
  <c r="AO106" i="1" s="1"/>
  <c r="AC106" i="1"/>
  <c r="AB106" i="1" s="1"/>
  <c r="H106" i="1"/>
  <c r="G106" i="1" s="1"/>
  <c r="D106" i="1"/>
  <c r="E106" i="1" l="1"/>
  <c r="BK185" i="1"/>
  <c r="BJ185" i="1" s="1"/>
  <c r="BC185" i="1"/>
  <c r="BB185" i="1" s="1"/>
  <c r="AP185" i="1"/>
  <c r="AO185" i="1" s="1"/>
  <c r="AC185" i="1"/>
  <c r="AB185" i="1" s="1"/>
  <c r="H185" i="1"/>
  <c r="G185" i="1" s="1"/>
  <c r="D185" i="1"/>
  <c r="BK192" i="1"/>
  <c r="BJ192" i="1" s="1"/>
  <c r="BC192" i="1"/>
  <c r="BB192" i="1" s="1"/>
  <c r="AP192" i="1"/>
  <c r="AO192" i="1" s="1"/>
  <c r="AC192" i="1"/>
  <c r="AB192" i="1" s="1"/>
  <c r="H192" i="1"/>
  <c r="G192" i="1" s="1"/>
  <c r="D192" i="1"/>
  <c r="E185" i="1" l="1"/>
  <c r="E192" i="1"/>
  <c r="BK237" i="1" l="1"/>
  <c r="BJ237" i="1" s="1"/>
  <c r="BC237" i="1"/>
  <c r="BB237" i="1" s="1"/>
  <c r="AP237" i="1"/>
  <c r="AO237" i="1" s="1"/>
  <c r="AC237" i="1"/>
  <c r="AB237" i="1" s="1"/>
  <c r="H237" i="1"/>
  <c r="G237" i="1" s="1"/>
  <c r="D237" i="1"/>
  <c r="E237" i="1" l="1"/>
  <c r="AG143" i="4" l="1"/>
  <c r="V143" i="4"/>
  <c r="U143" i="4" s="1"/>
  <c r="G143" i="4"/>
  <c r="F143" i="4" s="1"/>
  <c r="I67" i="4"/>
  <c r="K142" i="1"/>
  <c r="AH143" i="4" l="1"/>
  <c r="K57" i="1"/>
  <c r="I70" i="4"/>
  <c r="BK155" i="1"/>
  <c r="BJ155" i="1" s="1"/>
  <c r="AP155" i="1"/>
  <c r="AO155" i="1" s="1"/>
  <c r="BC155" i="1"/>
  <c r="BB155" i="1" s="1"/>
  <c r="AP154" i="1"/>
  <c r="AO154" i="1" s="1"/>
  <c r="AC155" i="1"/>
  <c r="AB155" i="1" s="1"/>
  <c r="H155" i="1"/>
  <c r="G155" i="1" s="1"/>
  <c r="D155" i="1"/>
  <c r="AE282" i="1"/>
  <c r="AE281" i="1"/>
  <c r="I102" i="4"/>
  <c r="I103" i="4"/>
  <c r="E155" i="1" l="1"/>
  <c r="I100" i="4" l="1"/>
  <c r="I98" i="4"/>
  <c r="I82" i="4" l="1"/>
  <c r="I14" i="4" l="1"/>
  <c r="I13" i="4"/>
  <c r="I87" i="4" l="1"/>
  <c r="BM20" i="1"/>
  <c r="K20" i="1"/>
  <c r="I97" i="4" l="1"/>
  <c r="K80" i="1" l="1"/>
  <c r="K68" i="1" l="1"/>
  <c r="AG144" i="4"/>
  <c r="V144" i="4"/>
  <c r="U144" i="4" s="1"/>
  <c r="G144" i="4"/>
  <c r="F144" i="4" s="1"/>
  <c r="H154" i="1"/>
  <c r="G154" i="1" s="1"/>
  <c r="BK154" i="1"/>
  <c r="BJ154" i="1" s="1"/>
  <c r="BC154" i="1"/>
  <c r="BB154" i="1" s="1"/>
  <c r="AC154" i="1"/>
  <c r="AB154" i="1" s="1"/>
  <c r="D154" i="1"/>
  <c r="X70" i="4"/>
  <c r="AH144" i="4" l="1"/>
  <c r="E154" i="1"/>
  <c r="BK70" i="1" l="1"/>
  <c r="BJ70" i="1" s="1"/>
  <c r="BC70" i="1"/>
  <c r="BB70" i="1" s="1"/>
  <c r="AP70" i="1"/>
  <c r="AO70" i="1" s="1"/>
  <c r="AC70" i="1"/>
  <c r="AB70" i="1" s="1"/>
  <c r="H70" i="1"/>
  <c r="G70" i="1" s="1"/>
  <c r="D70" i="1"/>
  <c r="E70" i="1" l="1"/>
  <c r="I99" i="4" l="1"/>
  <c r="I66" i="4" l="1"/>
  <c r="I110" i="4"/>
  <c r="X91" i="4"/>
  <c r="I91" i="4"/>
  <c r="BK105" i="1" l="1"/>
  <c r="BJ105" i="1" s="1"/>
  <c r="BC105" i="1"/>
  <c r="BB105" i="1" s="1"/>
  <c r="AP105" i="1"/>
  <c r="AO105" i="1" s="1"/>
  <c r="AC105" i="1"/>
  <c r="AB105" i="1" s="1"/>
  <c r="H105" i="1"/>
  <c r="G105" i="1" s="1"/>
  <c r="D105" i="1"/>
  <c r="E105" i="1" l="1"/>
  <c r="BK153" i="1" l="1"/>
  <c r="BJ153" i="1" s="1"/>
  <c r="BC153" i="1"/>
  <c r="BB153" i="1" s="1"/>
  <c r="AP153" i="1"/>
  <c r="AO153" i="1" s="1"/>
  <c r="AC153" i="1"/>
  <c r="AB153" i="1" s="1"/>
  <c r="H153" i="1"/>
  <c r="G153" i="1" s="1"/>
  <c r="D153" i="1"/>
  <c r="E153" i="1" l="1"/>
  <c r="BK167" i="1" l="1"/>
  <c r="BJ167" i="1" s="1"/>
  <c r="BC167" i="1"/>
  <c r="BB167" i="1" s="1"/>
  <c r="AP167" i="1"/>
  <c r="AO167" i="1" s="1"/>
  <c r="AC167" i="1"/>
  <c r="AB167" i="1" s="1"/>
  <c r="H167" i="1"/>
  <c r="G167" i="1" s="1"/>
  <c r="D167" i="1"/>
  <c r="E167" i="1" l="1"/>
  <c r="I74" i="4" l="1"/>
  <c r="AG133" i="4" l="1"/>
  <c r="V133" i="4"/>
  <c r="U133" i="4" s="1"/>
  <c r="G133" i="4"/>
  <c r="F133" i="4" s="1"/>
  <c r="BK54" i="1"/>
  <c r="BJ54" i="1" s="1"/>
  <c r="BC54" i="1"/>
  <c r="BB54" i="1" s="1"/>
  <c r="AP54" i="1"/>
  <c r="AO54" i="1" s="1"/>
  <c r="AC54" i="1"/>
  <c r="AB54" i="1" s="1"/>
  <c r="H54" i="1"/>
  <c r="G54" i="1" s="1"/>
  <c r="D54" i="1"/>
  <c r="AH133" i="4" l="1"/>
  <c r="E54" i="1"/>
  <c r="BK254" i="1" l="1"/>
  <c r="BJ254" i="1" s="1"/>
  <c r="BC254" i="1"/>
  <c r="BB254" i="1" s="1"/>
  <c r="AP254" i="1"/>
  <c r="AO254" i="1" s="1"/>
  <c r="AC254" i="1"/>
  <c r="AB254" i="1" s="1"/>
  <c r="H254" i="1"/>
  <c r="G254" i="1" s="1"/>
  <c r="D254" i="1"/>
  <c r="E254" i="1" l="1"/>
  <c r="I113" i="4" l="1"/>
  <c r="I112" i="4" l="1"/>
  <c r="AE233" i="1"/>
  <c r="I104" i="4" l="1"/>
  <c r="AE231" i="1"/>
  <c r="AE214" i="1"/>
  <c r="I107" i="4"/>
  <c r="AE227" i="1"/>
  <c r="AE207" i="1"/>
  <c r="I111" i="4"/>
  <c r="AE191" i="1"/>
  <c r="AG109" i="4"/>
  <c r="V109" i="4"/>
  <c r="U109" i="4" s="1"/>
  <c r="G109" i="4"/>
  <c r="F109" i="4" s="1"/>
  <c r="AE25" i="1"/>
  <c r="AE238" i="1"/>
  <c r="AE175" i="1"/>
  <c r="AH109" i="4" l="1"/>
  <c r="AG115" i="4"/>
  <c r="V115" i="4"/>
  <c r="U115" i="4" s="1"/>
  <c r="G115" i="4"/>
  <c r="F115" i="4" s="1"/>
  <c r="AH115" i="4" l="1"/>
  <c r="BK32" i="1" l="1"/>
  <c r="BJ32" i="1" s="1"/>
  <c r="BC32" i="1"/>
  <c r="BB32" i="1" s="1"/>
  <c r="AC32" i="1"/>
  <c r="AB32" i="1" s="1"/>
  <c r="H32" i="1"/>
  <c r="G32" i="1" s="1"/>
  <c r="D32" i="1"/>
  <c r="E32" i="1" l="1"/>
  <c r="AE183" i="1" l="1"/>
  <c r="I123" i="4" l="1"/>
  <c r="G123" i="4" s="1"/>
  <c r="F123" i="4" s="1"/>
  <c r="AF95" i="4"/>
  <c r="AE95" i="4"/>
  <c r="AD95" i="4"/>
  <c r="AC95" i="4"/>
  <c r="AB95" i="4"/>
  <c r="AA95" i="4"/>
  <c r="Z95" i="4"/>
  <c r="Y95" i="4"/>
  <c r="X95" i="4"/>
  <c r="W95" i="4"/>
  <c r="T95" i="4"/>
  <c r="S95" i="4"/>
  <c r="P95" i="4"/>
  <c r="O95" i="4"/>
  <c r="N95" i="4"/>
  <c r="M95" i="4"/>
  <c r="L95" i="4"/>
  <c r="K95" i="4"/>
  <c r="J95" i="4"/>
  <c r="AG123" i="4"/>
  <c r="V123" i="4"/>
  <c r="U123" i="4" s="1"/>
  <c r="AH123" i="4" l="1"/>
  <c r="BK20" i="1"/>
  <c r="BJ20" i="1" s="1"/>
  <c r="BC20" i="1"/>
  <c r="BB20" i="1" s="1"/>
  <c r="AP20" i="1"/>
  <c r="AO20" i="1" s="1"/>
  <c r="AC20" i="1"/>
  <c r="AB20" i="1" s="1"/>
  <c r="H20" i="1"/>
  <c r="G20" i="1" s="1"/>
  <c r="D20" i="1"/>
  <c r="E20" i="1" l="1"/>
  <c r="I52" i="4" l="1"/>
  <c r="I30" i="4"/>
  <c r="E30" i="4"/>
  <c r="H30" i="4"/>
  <c r="AG14" i="4" l="1"/>
  <c r="V14" i="4"/>
  <c r="U14" i="4" s="1"/>
  <c r="G14" i="4"/>
  <c r="F14" i="4" s="1"/>
  <c r="G13" i="4"/>
  <c r="AF12" i="4"/>
  <c r="AE12" i="4"/>
  <c r="AD12" i="4"/>
  <c r="AC12" i="4"/>
  <c r="AB12" i="4"/>
  <c r="AA12" i="4"/>
  <c r="Z12" i="4"/>
  <c r="Y12" i="4"/>
  <c r="X12" i="4"/>
  <c r="W12" i="4"/>
  <c r="T12" i="4"/>
  <c r="S12" i="4"/>
  <c r="P12" i="4"/>
  <c r="O12" i="4"/>
  <c r="N12" i="4"/>
  <c r="M12" i="4"/>
  <c r="L12" i="4"/>
  <c r="K12" i="4"/>
  <c r="J12" i="4"/>
  <c r="I12" i="4"/>
  <c r="H12" i="4"/>
  <c r="E12" i="4"/>
  <c r="AH14" i="4" l="1"/>
  <c r="G12" i="4"/>
  <c r="I156" i="4" l="1"/>
  <c r="I95" i="4" l="1"/>
  <c r="F268" i="1" l="1"/>
  <c r="BK270" i="1"/>
  <c r="BJ270" i="1" s="1"/>
  <c r="BK271" i="1"/>
  <c r="BJ271" i="1" s="1"/>
  <c r="BC270" i="1"/>
  <c r="BB270" i="1" s="1"/>
  <c r="BC271" i="1"/>
  <c r="BB271" i="1" s="1"/>
  <c r="AP270" i="1"/>
  <c r="AO270" i="1" s="1"/>
  <c r="AP271" i="1"/>
  <c r="AO271" i="1" s="1"/>
  <c r="AC270" i="1"/>
  <c r="AB270" i="1" s="1"/>
  <c r="AC271" i="1"/>
  <c r="AB271" i="1" s="1"/>
  <c r="H270" i="1"/>
  <c r="G270" i="1" s="1"/>
  <c r="H271" i="1"/>
  <c r="G271" i="1" s="1"/>
  <c r="D270" i="1"/>
  <c r="D271" i="1"/>
  <c r="E271" i="1" l="1"/>
  <c r="E270" i="1"/>
  <c r="J23" i="1" l="1"/>
  <c r="J323" i="1" l="1"/>
  <c r="J319" i="1"/>
  <c r="J312" i="1"/>
  <c r="J308" i="1"/>
  <c r="J304" i="1"/>
  <c r="J299" i="1"/>
  <c r="J297" i="1"/>
  <c r="J266" i="1"/>
  <c r="J242" i="1"/>
  <c r="J133" i="1"/>
  <c r="J93" i="1"/>
  <c r="J86" i="1"/>
  <c r="J74" i="1"/>
  <c r="J64" i="1"/>
  <c r="J36" i="1"/>
  <c r="J28" i="1"/>
  <c r="J11" i="1"/>
  <c r="J296" i="1" l="1"/>
  <c r="J324" i="1" s="1"/>
  <c r="J265" i="1"/>
  <c r="J322" i="1" l="1"/>
  <c r="AG121" i="4"/>
  <c r="V121" i="4"/>
  <c r="U121" i="4" s="1"/>
  <c r="G121" i="4"/>
  <c r="F121" i="4" s="1"/>
  <c r="AH121" i="4" l="1"/>
  <c r="AC53" i="1" l="1"/>
  <c r="AB53" i="1" s="1"/>
  <c r="AP53" i="1"/>
  <c r="AO53" i="1" s="1"/>
  <c r="BC53" i="1"/>
  <c r="BB53" i="1" s="1"/>
  <c r="BK53" i="1"/>
  <c r="BJ53" i="1" s="1"/>
  <c r="H53" i="1"/>
  <c r="G53" i="1" s="1"/>
  <c r="D53" i="1"/>
  <c r="E53" i="1" l="1"/>
  <c r="I57" i="1" l="1"/>
  <c r="BK82" i="1"/>
  <c r="BJ82" i="1" s="1"/>
  <c r="BC82" i="1"/>
  <c r="BB82" i="1" s="1"/>
  <c r="AP82" i="1"/>
  <c r="AO82" i="1" s="1"/>
  <c r="AC82" i="1"/>
  <c r="AB82" i="1" s="1"/>
  <c r="H82" i="1"/>
  <c r="G82" i="1" s="1"/>
  <c r="D82" i="1"/>
  <c r="E82" i="1" l="1"/>
  <c r="W70" i="4" l="1"/>
  <c r="H70" i="4"/>
  <c r="I269" i="1"/>
  <c r="BK152" i="1"/>
  <c r="BJ152" i="1" s="1"/>
  <c r="BC152" i="1"/>
  <c r="BB152" i="1" s="1"/>
  <c r="AP152" i="1"/>
  <c r="AO152" i="1" s="1"/>
  <c r="AC152" i="1"/>
  <c r="AB152" i="1" s="1"/>
  <c r="H152" i="1"/>
  <c r="G152" i="1" s="1"/>
  <c r="D152" i="1"/>
  <c r="H67" i="4"/>
  <c r="E152" i="1" l="1"/>
  <c r="H66" i="4"/>
  <c r="AD175" i="1" l="1"/>
  <c r="AD214" i="1" l="1"/>
  <c r="AD186" i="1"/>
  <c r="I268" i="1" l="1"/>
  <c r="H268" i="1" s="1"/>
  <c r="H99" i="4"/>
  <c r="H96" i="4" l="1"/>
  <c r="H95" i="4" s="1"/>
  <c r="AG108" i="4"/>
  <c r="AG122" i="4"/>
  <c r="V122" i="4"/>
  <c r="U122" i="4" s="1"/>
  <c r="G122" i="4"/>
  <c r="F122" i="4" s="1"/>
  <c r="AH122" i="4" l="1"/>
  <c r="BK236" i="1"/>
  <c r="BJ236" i="1" s="1"/>
  <c r="BC236" i="1"/>
  <c r="BB236" i="1" s="1"/>
  <c r="AP236" i="1"/>
  <c r="AO236" i="1" s="1"/>
  <c r="AC236" i="1"/>
  <c r="AB236" i="1" s="1"/>
  <c r="H236" i="1"/>
  <c r="G236" i="1" s="1"/>
  <c r="D236" i="1"/>
  <c r="E236" i="1" l="1"/>
  <c r="BK268" i="1" l="1"/>
  <c r="BJ268" i="1" s="1"/>
  <c r="BK269" i="1"/>
  <c r="BJ269" i="1" s="1"/>
  <c r="BC268" i="1"/>
  <c r="BB268" i="1" s="1"/>
  <c r="BC269" i="1"/>
  <c r="BB269" i="1" s="1"/>
  <c r="BC273" i="1"/>
  <c r="BB273" i="1" s="1"/>
  <c r="BC274" i="1"/>
  <c r="BC275" i="1"/>
  <c r="BC276" i="1"/>
  <c r="BC277" i="1"/>
  <c r="BC278" i="1"/>
  <c r="BC281" i="1"/>
  <c r="BC282" i="1"/>
  <c r="BC283" i="1"/>
  <c r="BC284" i="1"/>
  <c r="BC285" i="1"/>
  <c r="BC286" i="1"/>
  <c r="BC287" i="1"/>
  <c r="BC289" i="1"/>
  <c r="BC290" i="1"/>
  <c r="BC291" i="1"/>
  <c r="BC292" i="1"/>
  <c r="BC293" i="1"/>
  <c r="BC294" i="1"/>
  <c r="BC267" i="1"/>
  <c r="AP269" i="1"/>
  <c r="AO269" i="1" s="1"/>
  <c r="AC269" i="1"/>
  <c r="AB269" i="1" s="1"/>
  <c r="H269" i="1"/>
  <c r="G269" i="1" s="1"/>
  <c r="D269" i="1"/>
  <c r="E269" i="1" l="1"/>
  <c r="BK52" i="1" l="1"/>
  <c r="BJ52" i="1" s="1"/>
  <c r="BC52" i="1"/>
  <c r="BB52" i="1" s="1"/>
  <c r="AP52" i="1"/>
  <c r="AO52" i="1" s="1"/>
  <c r="AC52" i="1"/>
  <c r="AB52" i="1" s="1"/>
  <c r="H52" i="1"/>
  <c r="G52" i="1" s="1"/>
  <c r="D52" i="1"/>
  <c r="E52" i="1" l="1"/>
  <c r="BK19" i="1" l="1"/>
  <c r="BJ19" i="1" s="1"/>
  <c r="BC19" i="1"/>
  <c r="BB19" i="1" s="1"/>
  <c r="AP19" i="1"/>
  <c r="AO19" i="1" s="1"/>
  <c r="AC19" i="1"/>
  <c r="AB19" i="1" s="1"/>
  <c r="H19" i="1"/>
  <c r="G19" i="1" s="1"/>
  <c r="D19" i="1"/>
  <c r="E19" i="1" l="1"/>
  <c r="D320" i="1"/>
  <c r="D317" i="1"/>
  <c r="D316" i="1" s="1"/>
  <c r="D314" i="1"/>
  <c r="D313" i="1"/>
  <c r="D311" i="1"/>
  <c r="D310" i="1"/>
  <c r="D309" i="1"/>
  <c r="D307" i="1"/>
  <c r="D306" i="1"/>
  <c r="D305" i="1"/>
  <c r="D303" i="1"/>
  <c r="D302" i="1"/>
  <c r="D301" i="1"/>
  <c r="D300" i="1"/>
  <c r="D298" i="1"/>
  <c r="D294" i="1"/>
  <c r="D293" i="1"/>
  <c r="D292" i="1"/>
  <c r="D291" i="1"/>
  <c r="D290" i="1"/>
  <c r="D289" i="1"/>
  <c r="D287" i="1"/>
  <c r="D286" i="1"/>
  <c r="D285" i="1"/>
  <c r="D284" i="1"/>
  <c r="D283" i="1"/>
  <c r="D282" i="1"/>
  <c r="D281" i="1"/>
  <c r="D278" i="1"/>
  <c r="D277" i="1"/>
  <c r="D276" i="1"/>
  <c r="D275" i="1"/>
  <c r="D274" i="1"/>
  <c r="D273" i="1"/>
  <c r="D267" i="1"/>
  <c r="D263" i="1"/>
  <c r="D262" i="1"/>
  <c r="D261" i="1"/>
  <c r="D260" i="1"/>
  <c r="D259" i="1"/>
  <c r="D258" i="1"/>
  <c r="D257" i="1"/>
  <c r="D256" i="1"/>
  <c r="D255" i="1"/>
  <c r="D253" i="1"/>
  <c r="D252" i="1"/>
  <c r="D251" i="1"/>
  <c r="D250" i="1"/>
  <c r="D249" i="1"/>
  <c r="D248" i="1"/>
  <c r="D247" i="1"/>
  <c r="D246" i="1"/>
  <c r="D245" i="1"/>
  <c r="D244" i="1"/>
  <c r="D243" i="1"/>
  <c r="D240" i="1"/>
  <c r="D239" i="1"/>
  <c r="D238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7" i="1"/>
  <c r="D216" i="1"/>
  <c r="D215" i="1"/>
  <c r="D214" i="1"/>
  <c r="D213" i="1"/>
  <c r="D212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1" i="1"/>
  <c r="D170" i="1"/>
  <c r="D169" i="1"/>
  <c r="D168" i="1"/>
  <c r="D166" i="1"/>
  <c r="D165" i="1"/>
  <c r="D164" i="1"/>
  <c r="D163" i="1"/>
  <c r="D162" i="1"/>
  <c r="D161" i="1"/>
  <c r="D159" i="1"/>
  <c r="D158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1" i="1"/>
  <c r="D128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4" i="1"/>
  <c r="D103" i="1"/>
  <c r="D102" i="1"/>
  <c r="D101" i="1"/>
  <c r="D100" i="1"/>
  <c r="D99" i="1"/>
  <c r="D98" i="1"/>
  <c r="D97" i="1"/>
  <c r="D96" i="1"/>
  <c r="D95" i="1"/>
  <c r="D94" i="1"/>
  <c r="D91" i="1"/>
  <c r="D90" i="1"/>
  <c r="D89" i="1"/>
  <c r="D88" i="1"/>
  <c r="D87" i="1"/>
  <c r="D84" i="1"/>
  <c r="D83" i="1"/>
  <c r="D81" i="1"/>
  <c r="D80" i="1"/>
  <c r="D79" i="1"/>
  <c r="D78" i="1"/>
  <c r="D77" i="1"/>
  <c r="D76" i="1"/>
  <c r="D75" i="1"/>
  <c r="D72" i="1"/>
  <c r="D71" i="1"/>
  <c r="D69" i="1"/>
  <c r="D68" i="1"/>
  <c r="D67" i="1"/>
  <c r="D66" i="1"/>
  <c r="D65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K14" i="1"/>
  <c r="BJ14" i="1" s="1"/>
  <c r="BK320" i="1"/>
  <c r="BJ320" i="1" s="1"/>
  <c r="BJ319" i="1" s="1"/>
  <c r="BK317" i="1"/>
  <c r="BK315" i="1"/>
  <c r="BJ315" i="1" s="1"/>
  <c r="BK314" i="1"/>
  <c r="BJ314" i="1" s="1"/>
  <c r="BK313" i="1"/>
  <c r="BJ313" i="1" s="1"/>
  <c r="BK311" i="1"/>
  <c r="BJ311" i="1" s="1"/>
  <c r="BK310" i="1"/>
  <c r="BJ310" i="1" s="1"/>
  <c r="BK309" i="1"/>
  <c r="BJ309" i="1" s="1"/>
  <c r="BK307" i="1"/>
  <c r="BJ307" i="1" s="1"/>
  <c r="BK306" i="1"/>
  <c r="BJ306" i="1" s="1"/>
  <c r="BK305" i="1"/>
  <c r="BJ305" i="1" s="1"/>
  <c r="BK303" i="1"/>
  <c r="BJ303" i="1" s="1"/>
  <c r="BK302" i="1"/>
  <c r="BJ302" i="1" s="1"/>
  <c r="BK301" i="1"/>
  <c r="BJ301" i="1" s="1"/>
  <c r="BK300" i="1"/>
  <c r="BJ300" i="1" s="1"/>
  <c r="BK298" i="1"/>
  <c r="BJ298" i="1" s="1"/>
  <c r="BJ297" i="1" s="1"/>
  <c r="BK294" i="1"/>
  <c r="BJ294" i="1" s="1"/>
  <c r="BK293" i="1"/>
  <c r="BJ293" i="1" s="1"/>
  <c r="BK292" i="1"/>
  <c r="BJ292" i="1" s="1"/>
  <c r="BK291" i="1"/>
  <c r="BJ291" i="1" s="1"/>
  <c r="BK290" i="1"/>
  <c r="BJ290" i="1" s="1"/>
  <c r="BK289" i="1"/>
  <c r="BJ289" i="1" s="1"/>
  <c r="BK287" i="1"/>
  <c r="BJ287" i="1" s="1"/>
  <c r="BK286" i="1"/>
  <c r="BJ286" i="1" s="1"/>
  <c r="BK285" i="1"/>
  <c r="BJ285" i="1" s="1"/>
  <c r="BK284" i="1"/>
  <c r="BJ284" i="1" s="1"/>
  <c r="BK283" i="1"/>
  <c r="BJ283" i="1" s="1"/>
  <c r="BK282" i="1"/>
  <c r="BJ282" i="1" s="1"/>
  <c r="BK281" i="1"/>
  <c r="BJ281" i="1" s="1"/>
  <c r="BK278" i="1"/>
  <c r="BJ278" i="1" s="1"/>
  <c r="BK277" i="1"/>
  <c r="BJ277" i="1" s="1"/>
  <c r="BK276" i="1"/>
  <c r="BJ276" i="1" s="1"/>
  <c r="BK275" i="1"/>
  <c r="BJ275" i="1" s="1"/>
  <c r="BK274" i="1"/>
  <c r="BJ274" i="1" s="1"/>
  <c r="BK273" i="1"/>
  <c r="BJ273" i="1" s="1"/>
  <c r="BK267" i="1"/>
  <c r="BJ267" i="1" s="1"/>
  <c r="BK263" i="1"/>
  <c r="BJ263" i="1" s="1"/>
  <c r="BK262" i="1"/>
  <c r="BJ262" i="1" s="1"/>
  <c r="BK261" i="1"/>
  <c r="BJ261" i="1" s="1"/>
  <c r="BK260" i="1"/>
  <c r="BJ260" i="1" s="1"/>
  <c r="BK259" i="1"/>
  <c r="BJ259" i="1" s="1"/>
  <c r="BK258" i="1"/>
  <c r="BJ258" i="1" s="1"/>
  <c r="BK257" i="1"/>
  <c r="BJ257" i="1" s="1"/>
  <c r="BK256" i="1"/>
  <c r="BJ256" i="1" s="1"/>
  <c r="BK255" i="1"/>
  <c r="BJ255" i="1" s="1"/>
  <c r="BK253" i="1"/>
  <c r="BJ253" i="1" s="1"/>
  <c r="BK252" i="1"/>
  <c r="BJ252" i="1" s="1"/>
  <c r="BK251" i="1"/>
  <c r="BJ251" i="1" s="1"/>
  <c r="BK250" i="1"/>
  <c r="BJ250" i="1" s="1"/>
  <c r="BK249" i="1"/>
  <c r="BJ249" i="1" s="1"/>
  <c r="BK248" i="1"/>
  <c r="BJ248" i="1" s="1"/>
  <c r="BK247" i="1"/>
  <c r="BJ247" i="1" s="1"/>
  <c r="BK246" i="1"/>
  <c r="BJ246" i="1" s="1"/>
  <c r="BK245" i="1"/>
  <c r="BJ245" i="1" s="1"/>
  <c r="BK244" i="1"/>
  <c r="BJ244" i="1" s="1"/>
  <c r="BK243" i="1"/>
  <c r="BJ243" i="1" s="1"/>
  <c r="BK240" i="1"/>
  <c r="BJ240" i="1" s="1"/>
  <c r="BK239" i="1"/>
  <c r="BJ239" i="1" s="1"/>
  <c r="BK238" i="1"/>
  <c r="BJ238" i="1" s="1"/>
  <c r="BK235" i="1"/>
  <c r="BJ235" i="1" s="1"/>
  <c r="BK234" i="1"/>
  <c r="BJ234" i="1" s="1"/>
  <c r="BK233" i="1"/>
  <c r="BJ233" i="1" s="1"/>
  <c r="BK232" i="1"/>
  <c r="BJ232" i="1" s="1"/>
  <c r="BK231" i="1"/>
  <c r="BJ231" i="1" s="1"/>
  <c r="BK230" i="1"/>
  <c r="BJ230" i="1" s="1"/>
  <c r="BK229" i="1"/>
  <c r="BJ229" i="1" s="1"/>
  <c r="BK228" i="1"/>
  <c r="BJ228" i="1" s="1"/>
  <c r="BK227" i="1"/>
  <c r="BJ227" i="1" s="1"/>
  <c r="BK226" i="1"/>
  <c r="BJ226" i="1" s="1"/>
  <c r="BK225" i="1"/>
  <c r="BJ225" i="1" s="1"/>
  <c r="BK224" i="1"/>
  <c r="BJ224" i="1" s="1"/>
  <c r="BK223" i="1"/>
  <c r="BJ223" i="1" s="1"/>
  <c r="BK222" i="1"/>
  <c r="BJ222" i="1" s="1"/>
  <c r="BK221" i="1"/>
  <c r="BJ221" i="1" s="1"/>
  <c r="BK220" i="1"/>
  <c r="BJ220" i="1" s="1"/>
  <c r="BK217" i="1"/>
  <c r="BJ217" i="1" s="1"/>
  <c r="BK216" i="1"/>
  <c r="BJ216" i="1" s="1"/>
  <c r="BK215" i="1"/>
  <c r="BJ215" i="1" s="1"/>
  <c r="BK214" i="1"/>
  <c r="BJ214" i="1" s="1"/>
  <c r="BK213" i="1"/>
  <c r="BJ213" i="1" s="1"/>
  <c r="BK212" i="1"/>
  <c r="BJ212" i="1" s="1"/>
  <c r="BK210" i="1"/>
  <c r="BJ210" i="1" s="1"/>
  <c r="BK209" i="1"/>
  <c r="BJ209" i="1" s="1"/>
  <c r="BK208" i="1"/>
  <c r="BJ208" i="1" s="1"/>
  <c r="BK207" i="1"/>
  <c r="BJ207" i="1" s="1"/>
  <c r="BK206" i="1"/>
  <c r="BJ206" i="1" s="1"/>
  <c r="BK205" i="1"/>
  <c r="BJ205" i="1" s="1"/>
  <c r="BK204" i="1"/>
  <c r="BJ204" i="1" s="1"/>
  <c r="BK203" i="1"/>
  <c r="BJ203" i="1" s="1"/>
  <c r="BK202" i="1"/>
  <c r="BJ202" i="1" s="1"/>
  <c r="BK201" i="1"/>
  <c r="BJ201" i="1" s="1"/>
  <c r="BK200" i="1"/>
  <c r="BJ200" i="1" s="1"/>
  <c r="BK199" i="1"/>
  <c r="BJ199" i="1" s="1"/>
  <c r="BK198" i="1"/>
  <c r="BJ198" i="1" s="1"/>
  <c r="BK197" i="1"/>
  <c r="BJ197" i="1" s="1"/>
  <c r="BK196" i="1"/>
  <c r="BJ196" i="1" s="1"/>
  <c r="BK195" i="1"/>
  <c r="BJ195" i="1" s="1"/>
  <c r="BK194" i="1"/>
  <c r="BJ194" i="1" s="1"/>
  <c r="BK193" i="1"/>
  <c r="BJ193" i="1" s="1"/>
  <c r="BK191" i="1"/>
  <c r="BJ191" i="1" s="1"/>
  <c r="BK190" i="1"/>
  <c r="BJ190" i="1" s="1"/>
  <c r="BK189" i="1"/>
  <c r="BJ189" i="1" s="1"/>
  <c r="BK188" i="1"/>
  <c r="BJ188" i="1" s="1"/>
  <c r="BK187" i="1"/>
  <c r="BJ187" i="1" s="1"/>
  <c r="BK186" i="1"/>
  <c r="BJ186" i="1" s="1"/>
  <c r="BK184" i="1"/>
  <c r="BJ184" i="1" s="1"/>
  <c r="BK183" i="1"/>
  <c r="BJ183" i="1" s="1"/>
  <c r="BK182" i="1"/>
  <c r="BJ182" i="1" s="1"/>
  <c r="BK181" i="1"/>
  <c r="BJ181" i="1" s="1"/>
  <c r="BK180" i="1"/>
  <c r="BJ180" i="1" s="1"/>
  <c r="BK179" i="1"/>
  <c r="BJ179" i="1" s="1"/>
  <c r="BK178" i="1"/>
  <c r="BJ178" i="1" s="1"/>
  <c r="BK177" i="1"/>
  <c r="BJ177" i="1" s="1"/>
  <c r="BK176" i="1"/>
  <c r="BJ176" i="1" s="1"/>
  <c r="BK175" i="1"/>
  <c r="BJ175" i="1" s="1"/>
  <c r="BK174" i="1"/>
  <c r="BJ174" i="1" s="1"/>
  <c r="BK173" i="1"/>
  <c r="BJ173" i="1" s="1"/>
  <c r="BK171" i="1"/>
  <c r="BJ171" i="1" s="1"/>
  <c r="BK170" i="1"/>
  <c r="BJ170" i="1" s="1"/>
  <c r="BK169" i="1"/>
  <c r="BJ169" i="1" s="1"/>
  <c r="BK168" i="1"/>
  <c r="BJ168" i="1" s="1"/>
  <c r="BK166" i="1"/>
  <c r="BJ166" i="1" s="1"/>
  <c r="BK165" i="1"/>
  <c r="BJ165" i="1" s="1"/>
  <c r="BK164" i="1"/>
  <c r="BJ164" i="1" s="1"/>
  <c r="BK163" i="1"/>
  <c r="BJ163" i="1" s="1"/>
  <c r="BK162" i="1"/>
  <c r="BJ162" i="1" s="1"/>
  <c r="BK161" i="1"/>
  <c r="BJ161" i="1" s="1"/>
  <c r="BK159" i="1"/>
  <c r="BJ159" i="1" s="1"/>
  <c r="BK158" i="1"/>
  <c r="BJ158" i="1" s="1"/>
  <c r="BK151" i="1"/>
  <c r="BJ151" i="1" s="1"/>
  <c r="BK150" i="1"/>
  <c r="BJ150" i="1" s="1"/>
  <c r="BK149" i="1"/>
  <c r="BJ149" i="1" s="1"/>
  <c r="BK148" i="1"/>
  <c r="BJ148" i="1" s="1"/>
  <c r="BK147" i="1"/>
  <c r="BJ147" i="1" s="1"/>
  <c r="BK146" i="1"/>
  <c r="BJ146" i="1" s="1"/>
  <c r="BK145" i="1"/>
  <c r="BJ145" i="1" s="1"/>
  <c r="BK144" i="1"/>
  <c r="BJ144" i="1" s="1"/>
  <c r="BK143" i="1"/>
  <c r="BJ143" i="1" s="1"/>
  <c r="BK142" i="1"/>
  <c r="BJ142" i="1" s="1"/>
  <c r="BK141" i="1"/>
  <c r="BJ141" i="1" s="1"/>
  <c r="BK140" i="1"/>
  <c r="BJ140" i="1" s="1"/>
  <c r="BK139" i="1"/>
  <c r="BJ139" i="1" s="1"/>
  <c r="BK138" i="1"/>
  <c r="BJ138" i="1" s="1"/>
  <c r="BK137" i="1"/>
  <c r="BJ137" i="1" s="1"/>
  <c r="BK136" i="1"/>
  <c r="BJ136" i="1" s="1"/>
  <c r="BK135" i="1"/>
  <c r="BJ135" i="1" s="1"/>
  <c r="BK134" i="1"/>
  <c r="BJ134" i="1" s="1"/>
  <c r="BK131" i="1"/>
  <c r="BJ131" i="1" s="1"/>
  <c r="BK128" i="1"/>
  <c r="BJ128" i="1" s="1"/>
  <c r="BK127" i="1"/>
  <c r="BJ127" i="1" s="1"/>
  <c r="BK126" i="1"/>
  <c r="BJ126" i="1" s="1"/>
  <c r="BK125" i="1"/>
  <c r="BJ125" i="1" s="1"/>
  <c r="BK124" i="1"/>
  <c r="BJ124" i="1" s="1"/>
  <c r="BK123" i="1"/>
  <c r="BJ123" i="1" s="1"/>
  <c r="BK122" i="1"/>
  <c r="BJ122" i="1" s="1"/>
  <c r="BK121" i="1"/>
  <c r="BJ121" i="1" s="1"/>
  <c r="BK120" i="1"/>
  <c r="BJ120" i="1" s="1"/>
  <c r="BK119" i="1"/>
  <c r="BJ119" i="1" s="1"/>
  <c r="BK117" i="1"/>
  <c r="BJ117" i="1" s="1"/>
  <c r="BK116" i="1"/>
  <c r="BJ116" i="1" s="1"/>
  <c r="BK115" i="1"/>
  <c r="BJ115" i="1" s="1"/>
  <c r="BK114" i="1"/>
  <c r="BJ114" i="1" s="1"/>
  <c r="BK113" i="1"/>
  <c r="BJ113" i="1" s="1"/>
  <c r="BK112" i="1"/>
  <c r="BJ112" i="1" s="1"/>
  <c r="BK111" i="1"/>
  <c r="BJ111" i="1" s="1"/>
  <c r="BK110" i="1"/>
  <c r="BJ110" i="1" s="1"/>
  <c r="BK109" i="1"/>
  <c r="BJ109" i="1" s="1"/>
  <c r="BK104" i="1"/>
  <c r="BJ104" i="1" s="1"/>
  <c r="BK103" i="1"/>
  <c r="BJ103" i="1" s="1"/>
  <c r="BK102" i="1"/>
  <c r="BJ102" i="1" s="1"/>
  <c r="BK101" i="1"/>
  <c r="BJ101" i="1" s="1"/>
  <c r="BK100" i="1"/>
  <c r="BJ100" i="1" s="1"/>
  <c r="BK99" i="1"/>
  <c r="BJ99" i="1" s="1"/>
  <c r="BK98" i="1"/>
  <c r="BJ98" i="1" s="1"/>
  <c r="BK97" i="1"/>
  <c r="BJ97" i="1" s="1"/>
  <c r="BK96" i="1"/>
  <c r="BJ96" i="1" s="1"/>
  <c r="BK95" i="1"/>
  <c r="BJ95" i="1" s="1"/>
  <c r="BK94" i="1"/>
  <c r="BJ94" i="1" s="1"/>
  <c r="BK91" i="1"/>
  <c r="BJ91" i="1" s="1"/>
  <c r="BK90" i="1"/>
  <c r="BJ90" i="1" s="1"/>
  <c r="BK89" i="1"/>
  <c r="BJ89" i="1" s="1"/>
  <c r="BK88" i="1"/>
  <c r="BJ88" i="1" s="1"/>
  <c r="BK87" i="1"/>
  <c r="BJ87" i="1" s="1"/>
  <c r="BK84" i="1"/>
  <c r="BJ84" i="1" s="1"/>
  <c r="BK83" i="1"/>
  <c r="BJ83" i="1" s="1"/>
  <c r="BK81" i="1"/>
  <c r="BJ81" i="1" s="1"/>
  <c r="BK80" i="1"/>
  <c r="BJ80" i="1" s="1"/>
  <c r="BK79" i="1"/>
  <c r="BJ79" i="1" s="1"/>
  <c r="BK78" i="1"/>
  <c r="BJ78" i="1" s="1"/>
  <c r="BK77" i="1"/>
  <c r="BJ77" i="1" s="1"/>
  <c r="BK76" i="1"/>
  <c r="BJ76" i="1" s="1"/>
  <c r="BK75" i="1"/>
  <c r="BJ75" i="1" s="1"/>
  <c r="BK72" i="1"/>
  <c r="BJ72" i="1" s="1"/>
  <c r="BK71" i="1"/>
  <c r="BJ71" i="1" s="1"/>
  <c r="BK69" i="1"/>
  <c r="BJ69" i="1" s="1"/>
  <c r="BK68" i="1"/>
  <c r="BJ68" i="1" s="1"/>
  <c r="BK67" i="1"/>
  <c r="BJ67" i="1" s="1"/>
  <c r="BK66" i="1"/>
  <c r="BJ66" i="1" s="1"/>
  <c r="BK65" i="1"/>
  <c r="BJ65" i="1" s="1"/>
  <c r="BK61" i="1"/>
  <c r="BJ61" i="1" s="1"/>
  <c r="BK60" i="1"/>
  <c r="BJ60" i="1" s="1"/>
  <c r="BK59" i="1"/>
  <c r="BJ59" i="1" s="1"/>
  <c r="BK58" i="1"/>
  <c r="BJ58" i="1" s="1"/>
  <c r="BK57" i="1"/>
  <c r="BJ57" i="1" s="1"/>
  <c r="BK56" i="1"/>
  <c r="BJ56" i="1" s="1"/>
  <c r="BK51" i="1"/>
  <c r="BJ51" i="1" s="1"/>
  <c r="BK50" i="1"/>
  <c r="BJ50" i="1" s="1"/>
  <c r="BK49" i="1"/>
  <c r="BJ49" i="1" s="1"/>
  <c r="BK48" i="1"/>
  <c r="BJ48" i="1" s="1"/>
  <c r="BK47" i="1"/>
  <c r="BJ47" i="1" s="1"/>
  <c r="BK46" i="1"/>
  <c r="BJ46" i="1" s="1"/>
  <c r="BK45" i="1"/>
  <c r="BJ45" i="1" s="1"/>
  <c r="BK44" i="1"/>
  <c r="BJ44" i="1" s="1"/>
  <c r="BK43" i="1"/>
  <c r="BJ43" i="1" s="1"/>
  <c r="BK42" i="1"/>
  <c r="BJ42" i="1" s="1"/>
  <c r="BK41" i="1"/>
  <c r="BJ41" i="1" s="1"/>
  <c r="BK40" i="1"/>
  <c r="BJ40" i="1" s="1"/>
  <c r="BK39" i="1"/>
  <c r="BJ39" i="1" s="1"/>
  <c r="BK38" i="1"/>
  <c r="BJ38" i="1" s="1"/>
  <c r="BK37" i="1"/>
  <c r="BJ37" i="1" s="1"/>
  <c r="BK34" i="1"/>
  <c r="BJ34" i="1" s="1"/>
  <c r="BK33" i="1"/>
  <c r="BJ33" i="1" s="1"/>
  <c r="BK31" i="1"/>
  <c r="BJ31" i="1" s="1"/>
  <c r="BK30" i="1"/>
  <c r="BJ30" i="1" s="1"/>
  <c r="BK29" i="1"/>
  <c r="BJ29" i="1" s="1"/>
  <c r="BK25" i="1"/>
  <c r="BJ25" i="1" s="1"/>
  <c r="BK24" i="1"/>
  <c r="BJ24" i="1" s="1"/>
  <c r="BK23" i="1"/>
  <c r="BJ23" i="1" s="1"/>
  <c r="BK22" i="1"/>
  <c r="BJ22" i="1" s="1"/>
  <c r="BK21" i="1"/>
  <c r="BJ21" i="1" s="1"/>
  <c r="BK18" i="1"/>
  <c r="BJ18" i="1" s="1"/>
  <c r="BK17" i="1"/>
  <c r="BJ17" i="1" s="1"/>
  <c r="BK16" i="1"/>
  <c r="BJ16" i="1" s="1"/>
  <c r="BK15" i="1"/>
  <c r="BJ15" i="1" s="1"/>
  <c r="BK13" i="1"/>
  <c r="BJ13" i="1" s="1"/>
  <c r="BC320" i="1"/>
  <c r="BB320" i="1" s="1"/>
  <c r="BB319" i="1" s="1"/>
  <c r="BC317" i="1"/>
  <c r="BC315" i="1"/>
  <c r="BB315" i="1" s="1"/>
  <c r="BC314" i="1"/>
  <c r="BB314" i="1" s="1"/>
  <c r="BC313" i="1"/>
  <c r="BB313" i="1" s="1"/>
  <c r="BC311" i="1"/>
  <c r="BB311" i="1" s="1"/>
  <c r="BC310" i="1"/>
  <c r="BB310" i="1" s="1"/>
  <c r="BC309" i="1"/>
  <c r="BB309" i="1" s="1"/>
  <c r="BC307" i="1"/>
  <c r="BB307" i="1" s="1"/>
  <c r="BC306" i="1"/>
  <c r="BB306" i="1" s="1"/>
  <c r="BC305" i="1"/>
  <c r="BB305" i="1" s="1"/>
  <c r="BC303" i="1"/>
  <c r="BB303" i="1" s="1"/>
  <c r="BC302" i="1"/>
  <c r="BB302" i="1" s="1"/>
  <c r="BC301" i="1"/>
  <c r="BB301" i="1" s="1"/>
  <c r="BC300" i="1"/>
  <c r="BB300" i="1" s="1"/>
  <c r="BC298" i="1"/>
  <c r="BB298" i="1" s="1"/>
  <c r="BB297" i="1" s="1"/>
  <c r="BB294" i="1"/>
  <c r="BB293" i="1"/>
  <c r="BB292" i="1"/>
  <c r="BB291" i="1"/>
  <c r="BB290" i="1"/>
  <c r="BB289" i="1"/>
  <c r="BB287" i="1"/>
  <c r="BB286" i="1"/>
  <c r="BB285" i="1"/>
  <c r="BB284" i="1"/>
  <c r="BB283" i="1"/>
  <c r="BB282" i="1"/>
  <c r="BB281" i="1"/>
  <c r="BB278" i="1"/>
  <c r="BB277" i="1"/>
  <c r="BB276" i="1"/>
  <c r="BB275" i="1"/>
  <c r="BB274" i="1"/>
  <c r="BB267" i="1"/>
  <c r="BC263" i="1"/>
  <c r="BB263" i="1" s="1"/>
  <c r="BC262" i="1"/>
  <c r="BB262" i="1" s="1"/>
  <c r="BC261" i="1"/>
  <c r="BB261" i="1" s="1"/>
  <c r="BC260" i="1"/>
  <c r="BB260" i="1" s="1"/>
  <c r="BC259" i="1"/>
  <c r="BB259" i="1" s="1"/>
  <c r="BC258" i="1"/>
  <c r="BB258" i="1" s="1"/>
  <c r="BC257" i="1"/>
  <c r="BB257" i="1" s="1"/>
  <c r="BC256" i="1"/>
  <c r="BB256" i="1" s="1"/>
  <c r="BC255" i="1"/>
  <c r="BB255" i="1" s="1"/>
  <c r="BC253" i="1"/>
  <c r="BB253" i="1" s="1"/>
  <c r="BC252" i="1"/>
  <c r="BB252" i="1" s="1"/>
  <c r="BC251" i="1"/>
  <c r="BB251" i="1" s="1"/>
  <c r="BC250" i="1"/>
  <c r="BB250" i="1" s="1"/>
  <c r="BC249" i="1"/>
  <c r="BB249" i="1" s="1"/>
  <c r="BC248" i="1"/>
  <c r="BB248" i="1" s="1"/>
  <c r="BC247" i="1"/>
  <c r="BB247" i="1" s="1"/>
  <c r="BC246" i="1"/>
  <c r="BB246" i="1" s="1"/>
  <c r="BC245" i="1"/>
  <c r="BB245" i="1" s="1"/>
  <c r="BC244" i="1"/>
  <c r="BB244" i="1" s="1"/>
  <c r="BC243" i="1"/>
  <c r="BB243" i="1" s="1"/>
  <c r="BC240" i="1"/>
  <c r="BB240" i="1" s="1"/>
  <c r="BC239" i="1"/>
  <c r="BB239" i="1" s="1"/>
  <c r="BC238" i="1"/>
  <c r="BB238" i="1" s="1"/>
  <c r="BC235" i="1"/>
  <c r="BB235" i="1" s="1"/>
  <c r="BC234" i="1"/>
  <c r="BB234" i="1" s="1"/>
  <c r="BC233" i="1"/>
  <c r="BB233" i="1" s="1"/>
  <c r="BC232" i="1"/>
  <c r="BB232" i="1" s="1"/>
  <c r="BC231" i="1"/>
  <c r="BB231" i="1" s="1"/>
  <c r="BC230" i="1"/>
  <c r="BB230" i="1" s="1"/>
  <c r="BC229" i="1"/>
  <c r="BB229" i="1" s="1"/>
  <c r="BC228" i="1"/>
  <c r="BB228" i="1" s="1"/>
  <c r="BC227" i="1"/>
  <c r="BB227" i="1" s="1"/>
  <c r="BC226" i="1"/>
  <c r="BB226" i="1" s="1"/>
  <c r="BC225" i="1"/>
  <c r="BB225" i="1" s="1"/>
  <c r="BC224" i="1"/>
  <c r="BB224" i="1" s="1"/>
  <c r="BC223" i="1"/>
  <c r="BB223" i="1" s="1"/>
  <c r="BC222" i="1"/>
  <c r="BB222" i="1" s="1"/>
  <c r="BC221" i="1"/>
  <c r="BB221" i="1" s="1"/>
  <c r="BC220" i="1"/>
  <c r="BB220" i="1" s="1"/>
  <c r="BC217" i="1"/>
  <c r="BB217" i="1" s="1"/>
  <c r="BC216" i="1"/>
  <c r="BB216" i="1" s="1"/>
  <c r="BC215" i="1"/>
  <c r="BB215" i="1" s="1"/>
  <c r="BC214" i="1"/>
  <c r="BB214" i="1" s="1"/>
  <c r="BC213" i="1"/>
  <c r="BB213" i="1" s="1"/>
  <c r="BC212" i="1"/>
  <c r="BB212" i="1" s="1"/>
  <c r="BC210" i="1"/>
  <c r="BB210" i="1" s="1"/>
  <c r="BC209" i="1"/>
  <c r="BB209" i="1" s="1"/>
  <c r="BC208" i="1"/>
  <c r="BB208" i="1" s="1"/>
  <c r="BC207" i="1"/>
  <c r="BB207" i="1" s="1"/>
  <c r="BC206" i="1"/>
  <c r="BB206" i="1" s="1"/>
  <c r="BC205" i="1"/>
  <c r="BB205" i="1" s="1"/>
  <c r="BC204" i="1"/>
  <c r="BB204" i="1" s="1"/>
  <c r="BC203" i="1"/>
  <c r="BB203" i="1" s="1"/>
  <c r="BC202" i="1"/>
  <c r="BB202" i="1" s="1"/>
  <c r="BC201" i="1"/>
  <c r="BB201" i="1" s="1"/>
  <c r="BC200" i="1"/>
  <c r="BB200" i="1" s="1"/>
  <c r="BC199" i="1"/>
  <c r="BB199" i="1" s="1"/>
  <c r="BC198" i="1"/>
  <c r="BB198" i="1" s="1"/>
  <c r="BC197" i="1"/>
  <c r="BB197" i="1" s="1"/>
  <c r="BC196" i="1"/>
  <c r="BB196" i="1" s="1"/>
  <c r="BC195" i="1"/>
  <c r="BB195" i="1" s="1"/>
  <c r="BC194" i="1"/>
  <c r="BB194" i="1" s="1"/>
  <c r="BC193" i="1"/>
  <c r="BB193" i="1" s="1"/>
  <c r="BC191" i="1"/>
  <c r="BB191" i="1" s="1"/>
  <c r="BC190" i="1"/>
  <c r="BB190" i="1" s="1"/>
  <c r="BC189" i="1"/>
  <c r="BB189" i="1" s="1"/>
  <c r="BC188" i="1"/>
  <c r="BB188" i="1" s="1"/>
  <c r="BC187" i="1"/>
  <c r="BB187" i="1" s="1"/>
  <c r="BC186" i="1"/>
  <c r="BB186" i="1" s="1"/>
  <c r="BC184" i="1"/>
  <c r="BB184" i="1" s="1"/>
  <c r="BC183" i="1"/>
  <c r="BB183" i="1" s="1"/>
  <c r="BC182" i="1"/>
  <c r="BB182" i="1" s="1"/>
  <c r="BC181" i="1"/>
  <c r="BB181" i="1" s="1"/>
  <c r="BC180" i="1"/>
  <c r="BB180" i="1" s="1"/>
  <c r="BC179" i="1"/>
  <c r="BB179" i="1" s="1"/>
  <c r="BC178" i="1"/>
  <c r="BB178" i="1" s="1"/>
  <c r="BC177" i="1"/>
  <c r="BB177" i="1" s="1"/>
  <c r="BC176" i="1"/>
  <c r="BB176" i="1" s="1"/>
  <c r="BC175" i="1"/>
  <c r="BB175" i="1" s="1"/>
  <c r="BC174" i="1"/>
  <c r="BB174" i="1" s="1"/>
  <c r="BC173" i="1"/>
  <c r="BB173" i="1" s="1"/>
  <c r="BC171" i="1"/>
  <c r="BB171" i="1" s="1"/>
  <c r="BC170" i="1"/>
  <c r="BB170" i="1" s="1"/>
  <c r="BC169" i="1"/>
  <c r="BB169" i="1" s="1"/>
  <c r="BC168" i="1"/>
  <c r="BB168" i="1" s="1"/>
  <c r="BC166" i="1"/>
  <c r="BB166" i="1" s="1"/>
  <c r="BC165" i="1"/>
  <c r="BB165" i="1" s="1"/>
  <c r="BC164" i="1"/>
  <c r="BB164" i="1" s="1"/>
  <c r="BC163" i="1"/>
  <c r="BB163" i="1" s="1"/>
  <c r="BC162" i="1"/>
  <c r="BB162" i="1" s="1"/>
  <c r="BC161" i="1"/>
  <c r="BB161" i="1" s="1"/>
  <c r="BC159" i="1"/>
  <c r="BB159" i="1" s="1"/>
  <c r="BC158" i="1"/>
  <c r="BB158" i="1" s="1"/>
  <c r="BC151" i="1"/>
  <c r="BB151" i="1" s="1"/>
  <c r="BC150" i="1"/>
  <c r="BB150" i="1" s="1"/>
  <c r="BC149" i="1"/>
  <c r="BB149" i="1" s="1"/>
  <c r="BC148" i="1"/>
  <c r="BB148" i="1" s="1"/>
  <c r="BC147" i="1"/>
  <c r="BB147" i="1" s="1"/>
  <c r="BC146" i="1"/>
  <c r="BB146" i="1" s="1"/>
  <c r="BC145" i="1"/>
  <c r="BB145" i="1" s="1"/>
  <c r="BC144" i="1"/>
  <c r="BB144" i="1" s="1"/>
  <c r="BC143" i="1"/>
  <c r="BB143" i="1" s="1"/>
  <c r="BC142" i="1"/>
  <c r="BB142" i="1" s="1"/>
  <c r="BC141" i="1"/>
  <c r="BB141" i="1" s="1"/>
  <c r="BC140" i="1"/>
  <c r="BB140" i="1" s="1"/>
  <c r="BC139" i="1"/>
  <c r="BB139" i="1" s="1"/>
  <c r="BC138" i="1"/>
  <c r="BB138" i="1" s="1"/>
  <c r="BC137" i="1"/>
  <c r="BB137" i="1" s="1"/>
  <c r="BC136" i="1"/>
  <c r="BB136" i="1" s="1"/>
  <c r="BC135" i="1"/>
  <c r="BB135" i="1" s="1"/>
  <c r="BC134" i="1"/>
  <c r="BB134" i="1" s="1"/>
  <c r="BC131" i="1"/>
  <c r="BB131" i="1" s="1"/>
  <c r="BC128" i="1"/>
  <c r="BB128" i="1" s="1"/>
  <c r="BC127" i="1"/>
  <c r="BB127" i="1" s="1"/>
  <c r="BC126" i="1"/>
  <c r="BB126" i="1" s="1"/>
  <c r="BC125" i="1"/>
  <c r="BB125" i="1" s="1"/>
  <c r="BC124" i="1"/>
  <c r="BB124" i="1" s="1"/>
  <c r="BC123" i="1"/>
  <c r="BB123" i="1" s="1"/>
  <c r="BC122" i="1"/>
  <c r="BB122" i="1" s="1"/>
  <c r="BC121" i="1"/>
  <c r="BB121" i="1" s="1"/>
  <c r="BC120" i="1"/>
  <c r="BB120" i="1" s="1"/>
  <c r="BC119" i="1"/>
  <c r="BB119" i="1" s="1"/>
  <c r="BC117" i="1"/>
  <c r="BB117" i="1" s="1"/>
  <c r="BC116" i="1"/>
  <c r="BB116" i="1" s="1"/>
  <c r="BC115" i="1"/>
  <c r="BB115" i="1" s="1"/>
  <c r="BC114" i="1"/>
  <c r="BB114" i="1" s="1"/>
  <c r="BC113" i="1"/>
  <c r="BB113" i="1" s="1"/>
  <c r="BC112" i="1"/>
  <c r="BB112" i="1" s="1"/>
  <c r="BC111" i="1"/>
  <c r="BB111" i="1" s="1"/>
  <c r="BC110" i="1"/>
  <c r="BB110" i="1" s="1"/>
  <c r="BC109" i="1"/>
  <c r="BB109" i="1" s="1"/>
  <c r="BC104" i="1"/>
  <c r="BB104" i="1" s="1"/>
  <c r="BC103" i="1"/>
  <c r="BB103" i="1" s="1"/>
  <c r="BC102" i="1"/>
  <c r="BB102" i="1" s="1"/>
  <c r="BC101" i="1"/>
  <c r="BB101" i="1" s="1"/>
  <c r="BC100" i="1"/>
  <c r="BB100" i="1" s="1"/>
  <c r="BC99" i="1"/>
  <c r="BB99" i="1" s="1"/>
  <c r="BC98" i="1"/>
  <c r="BB98" i="1" s="1"/>
  <c r="BC97" i="1"/>
  <c r="BB97" i="1" s="1"/>
  <c r="BC96" i="1"/>
  <c r="BB96" i="1" s="1"/>
  <c r="BC95" i="1"/>
  <c r="BB95" i="1" s="1"/>
  <c r="BC94" i="1"/>
  <c r="BB94" i="1" s="1"/>
  <c r="BC91" i="1"/>
  <c r="BB91" i="1" s="1"/>
  <c r="BC90" i="1"/>
  <c r="BB90" i="1" s="1"/>
  <c r="BC89" i="1"/>
  <c r="BB89" i="1" s="1"/>
  <c r="BC88" i="1"/>
  <c r="BB88" i="1" s="1"/>
  <c r="BC87" i="1"/>
  <c r="BB87" i="1" s="1"/>
  <c r="BC84" i="1"/>
  <c r="BB84" i="1" s="1"/>
  <c r="BC83" i="1"/>
  <c r="BB83" i="1" s="1"/>
  <c r="BC81" i="1"/>
  <c r="BB81" i="1" s="1"/>
  <c r="BC80" i="1"/>
  <c r="BB80" i="1" s="1"/>
  <c r="BC79" i="1"/>
  <c r="BB79" i="1" s="1"/>
  <c r="BC78" i="1"/>
  <c r="BB78" i="1" s="1"/>
  <c r="BC77" i="1"/>
  <c r="BB77" i="1" s="1"/>
  <c r="BC76" i="1"/>
  <c r="BB76" i="1" s="1"/>
  <c r="BC75" i="1"/>
  <c r="BB75" i="1" s="1"/>
  <c r="BC72" i="1"/>
  <c r="BB72" i="1" s="1"/>
  <c r="BC71" i="1"/>
  <c r="BB71" i="1" s="1"/>
  <c r="BC69" i="1"/>
  <c r="BB69" i="1" s="1"/>
  <c r="BC68" i="1"/>
  <c r="BB68" i="1" s="1"/>
  <c r="BC67" i="1"/>
  <c r="BB67" i="1" s="1"/>
  <c r="BC66" i="1"/>
  <c r="BB66" i="1" s="1"/>
  <c r="BC65" i="1"/>
  <c r="BB65" i="1" s="1"/>
  <c r="BC61" i="1"/>
  <c r="BB61" i="1" s="1"/>
  <c r="BC60" i="1"/>
  <c r="BB60" i="1" s="1"/>
  <c r="BC59" i="1"/>
  <c r="BB59" i="1" s="1"/>
  <c r="BC58" i="1"/>
  <c r="BB58" i="1" s="1"/>
  <c r="BC57" i="1"/>
  <c r="BB57" i="1" s="1"/>
  <c r="BC56" i="1"/>
  <c r="BB56" i="1" s="1"/>
  <c r="BC51" i="1"/>
  <c r="BB51" i="1" s="1"/>
  <c r="BC50" i="1"/>
  <c r="BB50" i="1" s="1"/>
  <c r="BC49" i="1"/>
  <c r="BB49" i="1" s="1"/>
  <c r="BC48" i="1"/>
  <c r="BB48" i="1" s="1"/>
  <c r="BC47" i="1"/>
  <c r="BB47" i="1" s="1"/>
  <c r="BC46" i="1"/>
  <c r="BB46" i="1" s="1"/>
  <c r="BC45" i="1"/>
  <c r="BB45" i="1" s="1"/>
  <c r="BC44" i="1"/>
  <c r="BB44" i="1" s="1"/>
  <c r="BC43" i="1"/>
  <c r="BB43" i="1" s="1"/>
  <c r="BC42" i="1"/>
  <c r="BB42" i="1" s="1"/>
  <c r="BC41" i="1"/>
  <c r="BB41" i="1" s="1"/>
  <c r="BC40" i="1"/>
  <c r="BB40" i="1" s="1"/>
  <c r="BC39" i="1"/>
  <c r="BB39" i="1" s="1"/>
  <c r="BC38" i="1"/>
  <c r="BB38" i="1" s="1"/>
  <c r="BC37" i="1"/>
  <c r="BB37" i="1" s="1"/>
  <c r="BC34" i="1"/>
  <c r="BB34" i="1" s="1"/>
  <c r="BC33" i="1"/>
  <c r="BB33" i="1" s="1"/>
  <c r="BC31" i="1"/>
  <c r="BB31" i="1" s="1"/>
  <c r="BC30" i="1"/>
  <c r="BB30" i="1" s="1"/>
  <c r="BC29" i="1"/>
  <c r="BB29" i="1" s="1"/>
  <c r="BC25" i="1"/>
  <c r="BB25" i="1" s="1"/>
  <c r="BC24" i="1"/>
  <c r="BB24" i="1" s="1"/>
  <c r="BC23" i="1"/>
  <c r="BB23" i="1" s="1"/>
  <c r="BC22" i="1"/>
  <c r="BB22" i="1" s="1"/>
  <c r="BC21" i="1"/>
  <c r="BB21" i="1" s="1"/>
  <c r="BC18" i="1"/>
  <c r="BB18" i="1" s="1"/>
  <c r="BC17" i="1"/>
  <c r="BB17" i="1" s="1"/>
  <c r="BC16" i="1"/>
  <c r="BB16" i="1" s="1"/>
  <c r="BC15" i="1"/>
  <c r="BB15" i="1" s="1"/>
  <c r="BC14" i="1"/>
  <c r="BB14" i="1" s="1"/>
  <c r="BC13" i="1"/>
  <c r="BB13" i="1" s="1"/>
  <c r="AP320" i="1"/>
  <c r="AO320" i="1" s="1"/>
  <c r="AO319" i="1" s="1"/>
  <c r="AP317" i="1"/>
  <c r="AP315" i="1"/>
  <c r="AO315" i="1" s="1"/>
  <c r="AP314" i="1"/>
  <c r="AO314" i="1" s="1"/>
  <c r="AP313" i="1"/>
  <c r="AO313" i="1" s="1"/>
  <c r="AP311" i="1"/>
  <c r="AO311" i="1" s="1"/>
  <c r="AP310" i="1"/>
  <c r="AO310" i="1" s="1"/>
  <c r="AP309" i="1"/>
  <c r="AO309" i="1" s="1"/>
  <c r="AP307" i="1"/>
  <c r="AO307" i="1" s="1"/>
  <c r="AP306" i="1"/>
  <c r="AO306" i="1" s="1"/>
  <c r="AP305" i="1"/>
  <c r="AO305" i="1" s="1"/>
  <c r="AP303" i="1"/>
  <c r="AO303" i="1" s="1"/>
  <c r="AP302" i="1"/>
  <c r="AO302" i="1" s="1"/>
  <c r="AP301" i="1"/>
  <c r="AO301" i="1" s="1"/>
  <c r="AP300" i="1"/>
  <c r="AO300" i="1" s="1"/>
  <c r="AP298" i="1"/>
  <c r="AO298" i="1" s="1"/>
  <c r="AO297" i="1" s="1"/>
  <c r="AP295" i="1"/>
  <c r="AO295" i="1" s="1"/>
  <c r="AP294" i="1"/>
  <c r="AO294" i="1" s="1"/>
  <c r="AP293" i="1"/>
  <c r="AO293" i="1" s="1"/>
  <c r="AP292" i="1"/>
  <c r="AO292" i="1" s="1"/>
  <c r="AP291" i="1"/>
  <c r="AO291" i="1" s="1"/>
  <c r="AP290" i="1"/>
  <c r="AO290" i="1" s="1"/>
  <c r="AP289" i="1"/>
  <c r="AO289" i="1" s="1"/>
  <c r="AP287" i="1"/>
  <c r="AO287" i="1" s="1"/>
  <c r="AP286" i="1"/>
  <c r="AO286" i="1" s="1"/>
  <c r="AP285" i="1"/>
  <c r="AO285" i="1" s="1"/>
  <c r="AP284" i="1"/>
  <c r="AO284" i="1" s="1"/>
  <c r="AP283" i="1"/>
  <c r="AO283" i="1" s="1"/>
  <c r="AP282" i="1"/>
  <c r="AO282" i="1" s="1"/>
  <c r="AP281" i="1"/>
  <c r="AO281" i="1" s="1"/>
  <c r="AP278" i="1"/>
  <c r="AO278" i="1" s="1"/>
  <c r="AP277" i="1"/>
  <c r="AO277" i="1" s="1"/>
  <c r="AP276" i="1"/>
  <c r="AO276" i="1" s="1"/>
  <c r="AP275" i="1"/>
  <c r="AO275" i="1" s="1"/>
  <c r="AP274" i="1"/>
  <c r="AO274" i="1" s="1"/>
  <c r="AP273" i="1"/>
  <c r="AO273" i="1" s="1"/>
  <c r="AP268" i="1"/>
  <c r="AO268" i="1" s="1"/>
  <c r="AP267" i="1"/>
  <c r="AO267" i="1" s="1"/>
  <c r="AP263" i="1"/>
  <c r="AO263" i="1" s="1"/>
  <c r="AP262" i="1"/>
  <c r="AO262" i="1" s="1"/>
  <c r="AP261" i="1"/>
  <c r="AO261" i="1" s="1"/>
  <c r="AP260" i="1"/>
  <c r="AO260" i="1" s="1"/>
  <c r="AP259" i="1"/>
  <c r="AO259" i="1" s="1"/>
  <c r="AP258" i="1"/>
  <c r="AO258" i="1" s="1"/>
  <c r="AP257" i="1"/>
  <c r="AO257" i="1" s="1"/>
  <c r="AP256" i="1"/>
  <c r="AO256" i="1" s="1"/>
  <c r="AP255" i="1"/>
  <c r="AO255" i="1" s="1"/>
  <c r="AP253" i="1"/>
  <c r="AO253" i="1" s="1"/>
  <c r="AP252" i="1"/>
  <c r="AO252" i="1" s="1"/>
  <c r="AP251" i="1"/>
  <c r="AO251" i="1" s="1"/>
  <c r="AP250" i="1"/>
  <c r="AO250" i="1" s="1"/>
  <c r="AP249" i="1"/>
  <c r="AO249" i="1" s="1"/>
  <c r="AP248" i="1"/>
  <c r="AO248" i="1" s="1"/>
  <c r="AP247" i="1"/>
  <c r="AO247" i="1" s="1"/>
  <c r="AP246" i="1"/>
  <c r="AO246" i="1" s="1"/>
  <c r="AP245" i="1"/>
  <c r="AO245" i="1" s="1"/>
  <c r="AP244" i="1"/>
  <c r="AO244" i="1" s="1"/>
  <c r="AP243" i="1"/>
  <c r="AO243" i="1" s="1"/>
  <c r="AP240" i="1"/>
  <c r="AO240" i="1" s="1"/>
  <c r="AP239" i="1"/>
  <c r="AO239" i="1" s="1"/>
  <c r="AP238" i="1"/>
  <c r="AO238" i="1" s="1"/>
  <c r="AP235" i="1"/>
  <c r="AO235" i="1" s="1"/>
  <c r="AP234" i="1"/>
  <c r="AO234" i="1" s="1"/>
  <c r="AP233" i="1"/>
  <c r="AO233" i="1" s="1"/>
  <c r="AP232" i="1"/>
  <c r="AO232" i="1" s="1"/>
  <c r="AP231" i="1"/>
  <c r="AO231" i="1" s="1"/>
  <c r="AP230" i="1"/>
  <c r="AO230" i="1" s="1"/>
  <c r="AP229" i="1"/>
  <c r="AO229" i="1" s="1"/>
  <c r="AP228" i="1"/>
  <c r="AO228" i="1" s="1"/>
  <c r="AP227" i="1"/>
  <c r="AO227" i="1" s="1"/>
  <c r="AP226" i="1"/>
  <c r="AO226" i="1" s="1"/>
  <c r="AP225" i="1"/>
  <c r="AO225" i="1" s="1"/>
  <c r="AP224" i="1"/>
  <c r="AO224" i="1" s="1"/>
  <c r="AP223" i="1"/>
  <c r="AO223" i="1" s="1"/>
  <c r="AP222" i="1"/>
  <c r="AO222" i="1" s="1"/>
  <c r="AP221" i="1"/>
  <c r="AO221" i="1" s="1"/>
  <c r="AP220" i="1"/>
  <c r="AO220" i="1" s="1"/>
  <c r="AP217" i="1"/>
  <c r="AO217" i="1" s="1"/>
  <c r="AP216" i="1"/>
  <c r="AO216" i="1" s="1"/>
  <c r="AP215" i="1"/>
  <c r="AO215" i="1" s="1"/>
  <c r="AP214" i="1"/>
  <c r="AO214" i="1" s="1"/>
  <c r="AP213" i="1"/>
  <c r="AO213" i="1" s="1"/>
  <c r="AP212" i="1"/>
  <c r="AO212" i="1" s="1"/>
  <c r="AP210" i="1"/>
  <c r="AO210" i="1" s="1"/>
  <c r="AP209" i="1"/>
  <c r="AO209" i="1" s="1"/>
  <c r="AP208" i="1"/>
  <c r="AO208" i="1" s="1"/>
  <c r="AP207" i="1"/>
  <c r="AO207" i="1" s="1"/>
  <c r="AP206" i="1"/>
  <c r="AO206" i="1" s="1"/>
  <c r="AP205" i="1"/>
  <c r="AO205" i="1" s="1"/>
  <c r="AP204" i="1"/>
  <c r="AO204" i="1" s="1"/>
  <c r="AP203" i="1"/>
  <c r="AO203" i="1" s="1"/>
  <c r="AP202" i="1"/>
  <c r="AO202" i="1" s="1"/>
  <c r="AP201" i="1"/>
  <c r="AO201" i="1" s="1"/>
  <c r="AP200" i="1"/>
  <c r="AO200" i="1" s="1"/>
  <c r="AP199" i="1"/>
  <c r="AO199" i="1" s="1"/>
  <c r="AP198" i="1"/>
  <c r="AO198" i="1" s="1"/>
  <c r="AP197" i="1"/>
  <c r="AO197" i="1" s="1"/>
  <c r="AP196" i="1"/>
  <c r="AO196" i="1" s="1"/>
  <c r="AP195" i="1"/>
  <c r="AO195" i="1" s="1"/>
  <c r="AP194" i="1"/>
  <c r="AO194" i="1" s="1"/>
  <c r="AP193" i="1"/>
  <c r="AO193" i="1" s="1"/>
  <c r="AP191" i="1"/>
  <c r="AO191" i="1" s="1"/>
  <c r="AP190" i="1"/>
  <c r="AO190" i="1" s="1"/>
  <c r="AP189" i="1"/>
  <c r="AO189" i="1" s="1"/>
  <c r="AP188" i="1"/>
  <c r="AO188" i="1" s="1"/>
  <c r="AP187" i="1"/>
  <c r="AO187" i="1" s="1"/>
  <c r="AP186" i="1"/>
  <c r="AO186" i="1" s="1"/>
  <c r="AP184" i="1"/>
  <c r="AO184" i="1" s="1"/>
  <c r="AP183" i="1"/>
  <c r="AO183" i="1" s="1"/>
  <c r="AP182" i="1"/>
  <c r="AO182" i="1" s="1"/>
  <c r="AP181" i="1"/>
  <c r="AO181" i="1" s="1"/>
  <c r="AP180" i="1"/>
  <c r="AO180" i="1" s="1"/>
  <c r="AP179" i="1"/>
  <c r="AO179" i="1" s="1"/>
  <c r="AP178" i="1"/>
  <c r="AO178" i="1" s="1"/>
  <c r="AP177" i="1"/>
  <c r="AO177" i="1" s="1"/>
  <c r="AP176" i="1"/>
  <c r="AO176" i="1" s="1"/>
  <c r="AP175" i="1"/>
  <c r="AO175" i="1" s="1"/>
  <c r="AP174" i="1"/>
  <c r="AO174" i="1" s="1"/>
  <c r="AP173" i="1"/>
  <c r="AO173" i="1" s="1"/>
  <c r="AP171" i="1"/>
  <c r="AO171" i="1" s="1"/>
  <c r="AP170" i="1"/>
  <c r="AO170" i="1" s="1"/>
  <c r="AP169" i="1"/>
  <c r="AO169" i="1" s="1"/>
  <c r="AP168" i="1"/>
  <c r="AO168" i="1" s="1"/>
  <c r="AP166" i="1"/>
  <c r="AO166" i="1" s="1"/>
  <c r="AP165" i="1"/>
  <c r="AO165" i="1" s="1"/>
  <c r="AP164" i="1"/>
  <c r="AO164" i="1" s="1"/>
  <c r="AP163" i="1"/>
  <c r="AO163" i="1" s="1"/>
  <c r="AP162" i="1"/>
  <c r="AO162" i="1" s="1"/>
  <c r="AP161" i="1"/>
  <c r="AO161" i="1" s="1"/>
  <c r="AP159" i="1"/>
  <c r="AO159" i="1" s="1"/>
  <c r="AP158" i="1"/>
  <c r="AO158" i="1" s="1"/>
  <c r="AP151" i="1"/>
  <c r="AO151" i="1" s="1"/>
  <c r="AP150" i="1"/>
  <c r="AO150" i="1" s="1"/>
  <c r="AP149" i="1"/>
  <c r="AO149" i="1" s="1"/>
  <c r="AP148" i="1"/>
  <c r="AO148" i="1" s="1"/>
  <c r="AP147" i="1"/>
  <c r="AO147" i="1" s="1"/>
  <c r="AP146" i="1"/>
  <c r="AO146" i="1" s="1"/>
  <c r="AP145" i="1"/>
  <c r="AO145" i="1" s="1"/>
  <c r="AP144" i="1"/>
  <c r="AO144" i="1" s="1"/>
  <c r="AP143" i="1"/>
  <c r="AO143" i="1" s="1"/>
  <c r="AP142" i="1"/>
  <c r="AO142" i="1" s="1"/>
  <c r="AP141" i="1"/>
  <c r="AO141" i="1" s="1"/>
  <c r="AP140" i="1"/>
  <c r="AO140" i="1" s="1"/>
  <c r="AP139" i="1"/>
  <c r="AO139" i="1" s="1"/>
  <c r="AP138" i="1"/>
  <c r="AO138" i="1" s="1"/>
  <c r="AP137" i="1"/>
  <c r="AO137" i="1" s="1"/>
  <c r="AP136" i="1"/>
  <c r="AO136" i="1" s="1"/>
  <c r="AP135" i="1"/>
  <c r="AO135" i="1" s="1"/>
  <c r="AP134" i="1"/>
  <c r="AO134" i="1" s="1"/>
  <c r="AP131" i="1"/>
  <c r="AO131" i="1" s="1"/>
  <c r="AP128" i="1"/>
  <c r="AO128" i="1" s="1"/>
  <c r="AP127" i="1"/>
  <c r="AO127" i="1" s="1"/>
  <c r="AP126" i="1"/>
  <c r="AO126" i="1" s="1"/>
  <c r="AP125" i="1"/>
  <c r="AO125" i="1" s="1"/>
  <c r="AP124" i="1"/>
  <c r="AO124" i="1" s="1"/>
  <c r="AP123" i="1"/>
  <c r="AO123" i="1" s="1"/>
  <c r="AP122" i="1"/>
  <c r="AO122" i="1" s="1"/>
  <c r="AP121" i="1"/>
  <c r="AO121" i="1" s="1"/>
  <c r="AP120" i="1"/>
  <c r="AO120" i="1" s="1"/>
  <c r="AP119" i="1"/>
  <c r="AO119" i="1" s="1"/>
  <c r="AP117" i="1"/>
  <c r="AO117" i="1" s="1"/>
  <c r="AP116" i="1"/>
  <c r="AO116" i="1" s="1"/>
  <c r="AP115" i="1"/>
  <c r="AO115" i="1" s="1"/>
  <c r="AP114" i="1"/>
  <c r="AO114" i="1" s="1"/>
  <c r="AP113" i="1"/>
  <c r="AO113" i="1" s="1"/>
  <c r="AP112" i="1"/>
  <c r="AO112" i="1" s="1"/>
  <c r="AP111" i="1"/>
  <c r="AO111" i="1" s="1"/>
  <c r="AP110" i="1"/>
  <c r="AO110" i="1" s="1"/>
  <c r="AP109" i="1"/>
  <c r="AO109" i="1" s="1"/>
  <c r="AP104" i="1"/>
  <c r="AO104" i="1" s="1"/>
  <c r="AP103" i="1"/>
  <c r="AO103" i="1" s="1"/>
  <c r="AP102" i="1"/>
  <c r="AO102" i="1" s="1"/>
  <c r="AP101" i="1"/>
  <c r="AO101" i="1" s="1"/>
  <c r="AP100" i="1"/>
  <c r="AO100" i="1" s="1"/>
  <c r="AP99" i="1"/>
  <c r="AO99" i="1" s="1"/>
  <c r="AP98" i="1"/>
  <c r="AO98" i="1" s="1"/>
  <c r="AP97" i="1"/>
  <c r="AO97" i="1" s="1"/>
  <c r="AP96" i="1"/>
  <c r="AO96" i="1" s="1"/>
  <c r="AP95" i="1"/>
  <c r="AO95" i="1" s="1"/>
  <c r="AP94" i="1"/>
  <c r="AO94" i="1" s="1"/>
  <c r="AP91" i="1"/>
  <c r="AO91" i="1" s="1"/>
  <c r="AP90" i="1"/>
  <c r="AO90" i="1" s="1"/>
  <c r="AP89" i="1"/>
  <c r="AO89" i="1" s="1"/>
  <c r="AP88" i="1"/>
  <c r="AO88" i="1" s="1"/>
  <c r="AP87" i="1"/>
  <c r="AO87" i="1" s="1"/>
  <c r="AP84" i="1"/>
  <c r="AO84" i="1" s="1"/>
  <c r="AP83" i="1"/>
  <c r="AO83" i="1" s="1"/>
  <c r="AP81" i="1"/>
  <c r="AO81" i="1" s="1"/>
  <c r="AP80" i="1"/>
  <c r="AO80" i="1" s="1"/>
  <c r="AP79" i="1"/>
  <c r="AO79" i="1" s="1"/>
  <c r="AP78" i="1"/>
  <c r="AO78" i="1" s="1"/>
  <c r="AP77" i="1"/>
  <c r="AO77" i="1" s="1"/>
  <c r="AP76" i="1"/>
  <c r="AO76" i="1" s="1"/>
  <c r="AP75" i="1"/>
  <c r="AO75" i="1" s="1"/>
  <c r="AP72" i="1"/>
  <c r="AO72" i="1" s="1"/>
  <c r="AP71" i="1"/>
  <c r="AO71" i="1" s="1"/>
  <c r="AP69" i="1"/>
  <c r="AO69" i="1" s="1"/>
  <c r="AP68" i="1"/>
  <c r="AO68" i="1" s="1"/>
  <c r="AP67" i="1"/>
  <c r="AO67" i="1" s="1"/>
  <c r="AP66" i="1"/>
  <c r="AO66" i="1" s="1"/>
  <c r="AP65" i="1"/>
  <c r="AO65" i="1" s="1"/>
  <c r="AP61" i="1"/>
  <c r="AO61" i="1" s="1"/>
  <c r="AP60" i="1"/>
  <c r="AO60" i="1" s="1"/>
  <c r="AP59" i="1"/>
  <c r="AO59" i="1" s="1"/>
  <c r="AP58" i="1"/>
  <c r="AO58" i="1" s="1"/>
  <c r="AP57" i="1"/>
  <c r="AO57" i="1" s="1"/>
  <c r="AP56" i="1"/>
  <c r="AO56" i="1" s="1"/>
  <c r="AP51" i="1"/>
  <c r="AO51" i="1" s="1"/>
  <c r="AP50" i="1"/>
  <c r="AO50" i="1" s="1"/>
  <c r="AP49" i="1"/>
  <c r="AO49" i="1" s="1"/>
  <c r="AP48" i="1"/>
  <c r="AO48" i="1" s="1"/>
  <c r="AP47" i="1"/>
  <c r="AO47" i="1" s="1"/>
  <c r="AP46" i="1"/>
  <c r="AO46" i="1" s="1"/>
  <c r="AP45" i="1"/>
  <c r="AO45" i="1" s="1"/>
  <c r="AP44" i="1"/>
  <c r="AO44" i="1" s="1"/>
  <c r="AP43" i="1"/>
  <c r="AO43" i="1" s="1"/>
  <c r="AP42" i="1"/>
  <c r="AO42" i="1" s="1"/>
  <c r="AP41" i="1"/>
  <c r="AO41" i="1" s="1"/>
  <c r="AP40" i="1"/>
  <c r="AO40" i="1" s="1"/>
  <c r="AP39" i="1"/>
  <c r="AO39" i="1" s="1"/>
  <c r="AP38" i="1"/>
  <c r="AO38" i="1" s="1"/>
  <c r="AP37" i="1"/>
  <c r="AO37" i="1" s="1"/>
  <c r="AP34" i="1"/>
  <c r="AO34" i="1" s="1"/>
  <c r="AP33" i="1"/>
  <c r="AO33" i="1" s="1"/>
  <c r="AP31" i="1"/>
  <c r="AO31" i="1" s="1"/>
  <c r="AP30" i="1"/>
  <c r="AO30" i="1" s="1"/>
  <c r="AP29" i="1"/>
  <c r="AO29" i="1" s="1"/>
  <c r="AP25" i="1"/>
  <c r="AO25" i="1" s="1"/>
  <c r="AP24" i="1"/>
  <c r="AO24" i="1" s="1"/>
  <c r="AP23" i="1"/>
  <c r="AO23" i="1" s="1"/>
  <c r="AP22" i="1"/>
  <c r="AO22" i="1" s="1"/>
  <c r="AP21" i="1"/>
  <c r="AO21" i="1" s="1"/>
  <c r="AP18" i="1"/>
  <c r="AO18" i="1" s="1"/>
  <c r="AP17" i="1"/>
  <c r="AO17" i="1" s="1"/>
  <c r="AP16" i="1"/>
  <c r="AO16" i="1" s="1"/>
  <c r="AP15" i="1"/>
  <c r="AO15" i="1" s="1"/>
  <c r="AP14" i="1"/>
  <c r="AO14" i="1" s="1"/>
  <c r="AP13" i="1"/>
  <c r="AO13" i="1" s="1"/>
  <c r="AC320" i="1"/>
  <c r="AB320" i="1" s="1"/>
  <c r="AB319" i="1" s="1"/>
  <c r="AC317" i="1"/>
  <c r="AC314" i="1"/>
  <c r="AB314" i="1" s="1"/>
  <c r="AC313" i="1"/>
  <c r="AB313" i="1" s="1"/>
  <c r="AC311" i="1"/>
  <c r="AB311" i="1" s="1"/>
  <c r="AC310" i="1"/>
  <c r="AB310" i="1" s="1"/>
  <c r="AC309" i="1"/>
  <c r="AB309" i="1" s="1"/>
  <c r="AC307" i="1"/>
  <c r="AB307" i="1" s="1"/>
  <c r="AC306" i="1"/>
  <c r="AB306" i="1" s="1"/>
  <c r="AC305" i="1"/>
  <c r="AB305" i="1" s="1"/>
  <c r="AC303" i="1"/>
  <c r="AB303" i="1" s="1"/>
  <c r="AC302" i="1"/>
  <c r="AB302" i="1" s="1"/>
  <c r="AC301" i="1"/>
  <c r="AB301" i="1" s="1"/>
  <c r="AC300" i="1"/>
  <c r="AB300" i="1" s="1"/>
  <c r="AC298" i="1"/>
  <c r="AB298" i="1" s="1"/>
  <c r="AB297" i="1" s="1"/>
  <c r="AC294" i="1"/>
  <c r="AB294" i="1" s="1"/>
  <c r="AC293" i="1"/>
  <c r="AB293" i="1" s="1"/>
  <c r="AC292" i="1"/>
  <c r="AB292" i="1" s="1"/>
  <c r="AC291" i="1"/>
  <c r="AB291" i="1" s="1"/>
  <c r="AC290" i="1"/>
  <c r="AB290" i="1" s="1"/>
  <c r="AC289" i="1"/>
  <c r="AB289" i="1" s="1"/>
  <c r="AC287" i="1"/>
  <c r="AB287" i="1" s="1"/>
  <c r="AC286" i="1"/>
  <c r="AB286" i="1" s="1"/>
  <c r="AC285" i="1"/>
  <c r="AB285" i="1" s="1"/>
  <c r="AC284" i="1"/>
  <c r="AB284" i="1" s="1"/>
  <c r="AC283" i="1"/>
  <c r="AB283" i="1" s="1"/>
  <c r="AC282" i="1"/>
  <c r="AB282" i="1" s="1"/>
  <c r="AC281" i="1"/>
  <c r="AB281" i="1" s="1"/>
  <c r="AC278" i="1"/>
  <c r="AB278" i="1" s="1"/>
  <c r="AC277" i="1"/>
  <c r="AB277" i="1" s="1"/>
  <c r="AC276" i="1"/>
  <c r="AB276" i="1" s="1"/>
  <c r="AC275" i="1"/>
  <c r="AB275" i="1" s="1"/>
  <c r="AC274" i="1"/>
  <c r="AB274" i="1" s="1"/>
  <c r="AC273" i="1"/>
  <c r="AB273" i="1" s="1"/>
  <c r="AC268" i="1"/>
  <c r="AB268" i="1" s="1"/>
  <c r="AC267" i="1"/>
  <c r="AB267" i="1" s="1"/>
  <c r="AC263" i="1"/>
  <c r="AB263" i="1" s="1"/>
  <c r="AC262" i="1"/>
  <c r="AB262" i="1" s="1"/>
  <c r="AC261" i="1"/>
  <c r="AB261" i="1" s="1"/>
  <c r="AC260" i="1"/>
  <c r="AB260" i="1" s="1"/>
  <c r="AC259" i="1"/>
  <c r="AB259" i="1" s="1"/>
  <c r="AC258" i="1"/>
  <c r="AB258" i="1" s="1"/>
  <c r="AC257" i="1"/>
  <c r="AB257" i="1" s="1"/>
  <c r="AC256" i="1"/>
  <c r="AB256" i="1" s="1"/>
  <c r="AC255" i="1"/>
  <c r="AB255" i="1" s="1"/>
  <c r="AC253" i="1"/>
  <c r="AB253" i="1" s="1"/>
  <c r="AC252" i="1"/>
  <c r="AB252" i="1" s="1"/>
  <c r="AC251" i="1"/>
  <c r="AB251" i="1" s="1"/>
  <c r="AC250" i="1"/>
  <c r="AB250" i="1" s="1"/>
  <c r="AC249" i="1"/>
  <c r="AB249" i="1" s="1"/>
  <c r="AC248" i="1"/>
  <c r="AB248" i="1" s="1"/>
  <c r="AC247" i="1"/>
  <c r="AB247" i="1" s="1"/>
  <c r="AC246" i="1"/>
  <c r="AB246" i="1" s="1"/>
  <c r="AC245" i="1"/>
  <c r="AB245" i="1" s="1"/>
  <c r="AC244" i="1"/>
  <c r="AB244" i="1" s="1"/>
  <c r="AC243" i="1"/>
  <c r="AB243" i="1" s="1"/>
  <c r="AC240" i="1"/>
  <c r="AB240" i="1" s="1"/>
  <c r="AC239" i="1"/>
  <c r="AB239" i="1" s="1"/>
  <c r="AC238" i="1"/>
  <c r="AB238" i="1" s="1"/>
  <c r="AC235" i="1"/>
  <c r="AB235" i="1" s="1"/>
  <c r="AC234" i="1"/>
  <c r="AB234" i="1" s="1"/>
  <c r="AC233" i="1"/>
  <c r="AB233" i="1" s="1"/>
  <c r="AC232" i="1"/>
  <c r="AB232" i="1" s="1"/>
  <c r="AC231" i="1"/>
  <c r="AB231" i="1" s="1"/>
  <c r="AC230" i="1"/>
  <c r="AB230" i="1" s="1"/>
  <c r="AC229" i="1"/>
  <c r="AB229" i="1" s="1"/>
  <c r="AC228" i="1"/>
  <c r="AB228" i="1" s="1"/>
  <c r="AC227" i="1"/>
  <c r="AB227" i="1" s="1"/>
  <c r="AC226" i="1"/>
  <c r="AB226" i="1" s="1"/>
  <c r="AC225" i="1"/>
  <c r="AB225" i="1" s="1"/>
  <c r="AC224" i="1"/>
  <c r="AB224" i="1" s="1"/>
  <c r="AC223" i="1"/>
  <c r="AB223" i="1" s="1"/>
  <c r="AC222" i="1"/>
  <c r="AB222" i="1" s="1"/>
  <c r="AC221" i="1"/>
  <c r="AB221" i="1" s="1"/>
  <c r="AC220" i="1"/>
  <c r="AB220" i="1" s="1"/>
  <c r="AC217" i="1"/>
  <c r="AB217" i="1" s="1"/>
  <c r="AC216" i="1"/>
  <c r="AB216" i="1" s="1"/>
  <c r="AC215" i="1"/>
  <c r="AB215" i="1" s="1"/>
  <c r="AC214" i="1"/>
  <c r="AB214" i="1" s="1"/>
  <c r="AC213" i="1"/>
  <c r="AB213" i="1" s="1"/>
  <c r="AC212" i="1"/>
  <c r="AB212" i="1" s="1"/>
  <c r="AC210" i="1"/>
  <c r="AB210" i="1" s="1"/>
  <c r="AC209" i="1"/>
  <c r="AB209" i="1" s="1"/>
  <c r="AC208" i="1"/>
  <c r="AB208" i="1" s="1"/>
  <c r="AC207" i="1"/>
  <c r="AB207" i="1" s="1"/>
  <c r="AC206" i="1"/>
  <c r="AB206" i="1" s="1"/>
  <c r="AC205" i="1"/>
  <c r="AB205" i="1" s="1"/>
  <c r="AC204" i="1"/>
  <c r="AB204" i="1" s="1"/>
  <c r="AC203" i="1"/>
  <c r="AB203" i="1" s="1"/>
  <c r="AC202" i="1"/>
  <c r="AB202" i="1" s="1"/>
  <c r="AC201" i="1"/>
  <c r="AB201" i="1" s="1"/>
  <c r="AC200" i="1"/>
  <c r="AB200" i="1" s="1"/>
  <c r="AC199" i="1"/>
  <c r="AB199" i="1" s="1"/>
  <c r="AC198" i="1"/>
  <c r="AB198" i="1" s="1"/>
  <c r="AC197" i="1"/>
  <c r="AB197" i="1" s="1"/>
  <c r="AC196" i="1"/>
  <c r="AB196" i="1" s="1"/>
  <c r="AC195" i="1"/>
  <c r="AB195" i="1" s="1"/>
  <c r="AC194" i="1"/>
  <c r="AB194" i="1" s="1"/>
  <c r="AC193" i="1"/>
  <c r="AB193" i="1" s="1"/>
  <c r="AC191" i="1"/>
  <c r="AB191" i="1" s="1"/>
  <c r="AC190" i="1"/>
  <c r="AB190" i="1" s="1"/>
  <c r="AC189" i="1"/>
  <c r="AB189" i="1" s="1"/>
  <c r="AC188" i="1"/>
  <c r="AB188" i="1" s="1"/>
  <c r="AC187" i="1"/>
  <c r="AB187" i="1" s="1"/>
  <c r="AC186" i="1"/>
  <c r="AB186" i="1" s="1"/>
  <c r="AC184" i="1"/>
  <c r="AB184" i="1" s="1"/>
  <c r="AC183" i="1"/>
  <c r="AB183" i="1" s="1"/>
  <c r="AC182" i="1"/>
  <c r="AB182" i="1" s="1"/>
  <c r="AC181" i="1"/>
  <c r="AB181" i="1" s="1"/>
  <c r="AC180" i="1"/>
  <c r="AB180" i="1" s="1"/>
  <c r="AC179" i="1"/>
  <c r="AB179" i="1" s="1"/>
  <c r="AC178" i="1"/>
  <c r="AB178" i="1" s="1"/>
  <c r="AC177" i="1"/>
  <c r="AB177" i="1" s="1"/>
  <c r="AC176" i="1"/>
  <c r="AB176" i="1" s="1"/>
  <c r="AC175" i="1"/>
  <c r="AB175" i="1" s="1"/>
  <c r="AC174" i="1"/>
  <c r="AB174" i="1" s="1"/>
  <c r="AC173" i="1"/>
  <c r="AB173" i="1" s="1"/>
  <c r="AC171" i="1"/>
  <c r="AB171" i="1" s="1"/>
  <c r="AC170" i="1"/>
  <c r="AB170" i="1" s="1"/>
  <c r="AC169" i="1"/>
  <c r="AB169" i="1" s="1"/>
  <c r="AC168" i="1"/>
  <c r="AB168" i="1" s="1"/>
  <c r="AC166" i="1"/>
  <c r="AB166" i="1" s="1"/>
  <c r="AC165" i="1"/>
  <c r="AB165" i="1" s="1"/>
  <c r="AC164" i="1"/>
  <c r="AB164" i="1" s="1"/>
  <c r="AC163" i="1"/>
  <c r="AB163" i="1" s="1"/>
  <c r="AC162" i="1"/>
  <c r="AB162" i="1" s="1"/>
  <c r="AC161" i="1"/>
  <c r="AB161" i="1" s="1"/>
  <c r="AC159" i="1"/>
  <c r="AB159" i="1" s="1"/>
  <c r="AC158" i="1"/>
  <c r="AB158" i="1" s="1"/>
  <c r="AC151" i="1"/>
  <c r="AB151" i="1" s="1"/>
  <c r="AC150" i="1"/>
  <c r="AB150" i="1" s="1"/>
  <c r="AC149" i="1"/>
  <c r="AB149" i="1" s="1"/>
  <c r="AC148" i="1"/>
  <c r="AB148" i="1" s="1"/>
  <c r="AC147" i="1"/>
  <c r="AB147" i="1" s="1"/>
  <c r="AC146" i="1"/>
  <c r="AB146" i="1" s="1"/>
  <c r="AC145" i="1"/>
  <c r="AB145" i="1" s="1"/>
  <c r="AC144" i="1"/>
  <c r="AB144" i="1" s="1"/>
  <c r="AC143" i="1"/>
  <c r="AB143" i="1" s="1"/>
  <c r="AC142" i="1"/>
  <c r="AB142" i="1" s="1"/>
  <c r="AC141" i="1"/>
  <c r="AB141" i="1" s="1"/>
  <c r="AC140" i="1"/>
  <c r="AB140" i="1" s="1"/>
  <c r="AC139" i="1"/>
  <c r="AB139" i="1" s="1"/>
  <c r="AC138" i="1"/>
  <c r="AB138" i="1" s="1"/>
  <c r="AC137" i="1"/>
  <c r="AB137" i="1" s="1"/>
  <c r="AC136" i="1"/>
  <c r="AB136" i="1" s="1"/>
  <c r="AC135" i="1"/>
  <c r="AB135" i="1" s="1"/>
  <c r="AC134" i="1"/>
  <c r="AB134" i="1" s="1"/>
  <c r="AC131" i="1"/>
  <c r="AB131" i="1" s="1"/>
  <c r="AC128" i="1"/>
  <c r="AB128" i="1" s="1"/>
  <c r="AC127" i="1"/>
  <c r="AB127" i="1" s="1"/>
  <c r="AC126" i="1"/>
  <c r="AB126" i="1" s="1"/>
  <c r="AC125" i="1"/>
  <c r="AB125" i="1" s="1"/>
  <c r="AC124" i="1"/>
  <c r="AB124" i="1" s="1"/>
  <c r="AC123" i="1"/>
  <c r="AB123" i="1" s="1"/>
  <c r="AC122" i="1"/>
  <c r="AB122" i="1" s="1"/>
  <c r="AC121" i="1"/>
  <c r="AB121" i="1" s="1"/>
  <c r="AC120" i="1"/>
  <c r="AB120" i="1" s="1"/>
  <c r="AC119" i="1"/>
  <c r="AB119" i="1" s="1"/>
  <c r="AC117" i="1"/>
  <c r="AB117" i="1" s="1"/>
  <c r="AC116" i="1"/>
  <c r="AB116" i="1" s="1"/>
  <c r="AC115" i="1"/>
  <c r="AB115" i="1" s="1"/>
  <c r="AC114" i="1"/>
  <c r="AB114" i="1" s="1"/>
  <c r="AC113" i="1"/>
  <c r="AB113" i="1" s="1"/>
  <c r="AC112" i="1"/>
  <c r="AB112" i="1" s="1"/>
  <c r="AC111" i="1"/>
  <c r="AB111" i="1" s="1"/>
  <c r="AC110" i="1"/>
  <c r="AB110" i="1" s="1"/>
  <c r="AC109" i="1"/>
  <c r="AB109" i="1" s="1"/>
  <c r="AC104" i="1"/>
  <c r="AB104" i="1" s="1"/>
  <c r="AC103" i="1"/>
  <c r="AB103" i="1" s="1"/>
  <c r="AC102" i="1"/>
  <c r="AB102" i="1" s="1"/>
  <c r="AC101" i="1"/>
  <c r="AB101" i="1" s="1"/>
  <c r="AC100" i="1"/>
  <c r="AB100" i="1" s="1"/>
  <c r="AC99" i="1"/>
  <c r="AB99" i="1" s="1"/>
  <c r="AC98" i="1"/>
  <c r="AB98" i="1" s="1"/>
  <c r="AC97" i="1"/>
  <c r="AB97" i="1" s="1"/>
  <c r="AC96" i="1"/>
  <c r="AB96" i="1" s="1"/>
  <c r="AC95" i="1"/>
  <c r="AB95" i="1" s="1"/>
  <c r="AC94" i="1"/>
  <c r="AB94" i="1" s="1"/>
  <c r="AC91" i="1"/>
  <c r="AB91" i="1" s="1"/>
  <c r="AC90" i="1"/>
  <c r="AB90" i="1" s="1"/>
  <c r="AC89" i="1"/>
  <c r="AB89" i="1" s="1"/>
  <c r="AC88" i="1"/>
  <c r="AB88" i="1" s="1"/>
  <c r="AC87" i="1"/>
  <c r="AB87" i="1" s="1"/>
  <c r="AC84" i="1"/>
  <c r="AB84" i="1" s="1"/>
  <c r="AC83" i="1"/>
  <c r="AB83" i="1" s="1"/>
  <c r="AC81" i="1"/>
  <c r="AB81" i="1" s="1"/>
  <c r="AC80" i="1"/>
  <c r="AB80" i="1" s="1"/>
  <c r="AC79" i="1"/>
  <c r="AB79" i="1" s="1"/>
  <c r="AC78" i="1"/>
  <c r="AB78" i="1" s="1"/>
  <c r="AC77" i="1"/>
  <c r="AB77" i="1" s="1"/>
  <c r="AC76" i="1"/>
  <c r="AB76" i="1" s="1"/>
  <c r="AC75" i="1"/>
  <c r="AB75" i="1" s="1"/>
  <c r="AC72" i="1"/>
  <c r="AB72" i="1" s="1"/>
  <c r="AC71" i="1"/>
  <c r="AB71" i="1" s="1"/>
  <c r="AC69" i="1"/>
  <c r="AB69" i="1" s="1"/>
  <c r="AC68" i="1"/>
  <c r="AB68" i="1" s="1"/>
  <c r="AC67" i="1"/>
  <c r="AB67" i="1" s="1"/>
  <c r="AC66" i="1"/>
  <c r="AB66" i="1" s="1"/>
  <c r="AC65" i="1"/>
  <c r="AB65" i="1" s="1"/>
  <c r="AC61" i="1"/>
  <c r="AB61" i="1" s="1"/>
  <c r="AC60" i="1"/>
  <c r="AB60" i="1" s="1"/>
  <c r="AC59" i="1"/>
  <c r="AB59" i="1" s="1"/>
  <c r="AC58" i="1"/>
  <c r="AB58" i="1" s="1"/>
  <c r="AC57" i="1"/>
  <c r="AB57" i="1" s="1"/>
  <c r="AC56" i="1"/>
  <c r="AB56" i="1" s="1"/>
  <c r="AC51" i="1"/>
  <c r="AB51" i="1" s="1"/>
  <c r="AC50" i="1"/>
  <c r="AB50" i="1" s="1"/>
  <c r="AC49" i="1"/>
  <c r="AB49" i="1" s="1"/>
  <c r="AC48" i="1"/>
  <c r="AB48" i="1" s="1"/>
  <c r="AC47" i="1"/>
  <c r="AB47" i="1" s="1"/>
  <c r="AC46" i="1"/>
  <c r="AB46" i="1" s="1"/>
  <c r="AC45" i="1"/>
  <c r="AB45" i="1" s="1"/>
  <c r="AC44" i="1"/>
  <c r="AB44" i="1" s="1"/>
  <c r="AC43" i="1"/>
  <c r="AB43" i="1" s="1"/>
  <c r="AC42" i="1"/>
  <c r="AB42" i="1" s="1"/>
  <c r="AC41" i="1"/>
  <c r="AB41" i="1" s="1"/>
  <c r="AC40" i="1"/>
  <c r="AB40" i="1" s="1"/>
  <c r="AC39" i="1"/>
  <c r="AB39" i="1" s="1"/>
  <c r="AC38" i="1"/>
  <c r="AB38" i="1" s="1"/>
  <c r="AC37" i="1"/>
  <c r="AB37" i="1" s="1"/>
  <c r="AC34" i="1"/>
  <c r="AB34" i="1" s="1"/>
  <c r="AC33" i="1"/>
  <c r="AB33" i="1" s="1"/>
  <c r="AC31" i="1"/>
  <c r="AB31" i="1" s="1"/>
  <c r="AC30" i="1"/>
  <c r="AB30" i="1" s="1"/>
  <c r="AC29" i="1"/>
  <c r="AB29" i="1" s="1"/>
  <c r="AC25" i="1"/>
  <c r="AB25" i="1" s="1"/>
  <c r="AC24" i="1"/>
  <c r="AB24" i="1" s="1"/>
  <c r="AC23" i="1"/>
  <c r="AB23" i="1" s="1"/>
  <c r="AC22" i="1"/>
  <c r="AB22" i="1" s="1"/>
  <c r="AC21" i="1"/>
  <c r="AB21" i="1" s="1"/>
  <c r="AC18" i="1"/>
  <c r="AB18" i="1" s="1"/>
  <c r="AC17" i="1"/>
  <c r="AB17" i="1" s="1"/>
  <c r="AC16" i="1"/>
  <c r="AB16" i="1" s="1"/>
  <c r="AC15" i="1"/>
  <c r="AB15" i="1" s="1"/>
  <c r="AC14" i="1"/>
  <c r="AB14" i="1" s="1"/>
  <c r="AC13" i="1"/>
  <c r="AB13" i="1" s="1"/>
  <c r="H320" i="1"/>
  <c r="G320" i="1" s="1"/>
  <c r="H317" i="1"/>
  <c r="H314" i="1"/>
  <c r="G314" i="1" s="1"/>
  <c r="H313" i="1"/>
  <c r="G313" i="1" s="1"/>
  <c r="H311" i="1"/>
  <c r="G311" i="1" s="1"/>
  <c r="H310" i="1"/>
  <c r="G310" i="1" s="1"/>
  <c r="H309" i="1"/>
  <c r="G309" i="1" s="1"/>
  <c r="H307" i="1"/>
  <c r="G307" i="1" s="1"/>
  <c r="H306" i="1"/>
  <c r="G306" i="1" s="1"/>
  <c r="H305" i="1"/>
  <c r="G305" i="1" s="1"/>
  <c r="H303" i="1"/>
  <c r="G303" i="1" s="1"/>
  <c r="H302" i="1"/>
  <c r="G302" i="1" s="1"/>
  <c r="H301" i="1"/>
  <c r="G301" i="1" s="1"/>
  <c r="H300" i="1"/>
  <c r="G300" i="1" s="1"/>
  <c r="H298" i="1"/>
  <c r="G298" i="1" s="1"/>
  <c r="H294" i="1"/>
  <c r="G294" i="1" s="1"/>
  <c r="H293" i="1"/>
  <c r="G293" i="1" s="1"/>
  <c r="H292" i="1"/>
  <c r="G292" i="1" s="1"/>
  <c r="H291" i="1"/>
  <c r="G291" i="1" s="1"/>
  <c r="H290" i="1"/>
  <c r="G290" i="1" s="1"/>
  <c r="H289" i="1"/>
  <c r="G289" i="1" s="1"/>
  <c r="H287" i="1"/>
  <c r="G287" i="1" s="1"/>
  <c r="H286" i="1"/>
  <c r="G286" i="1" s="1"/>
  <c r="H285" i="1"/>
  <c r="G285" i="1" s="1"/>
  <c r="H284" i="1"/>
  <c r="G284" i="1" s="1"/>
  <c r="H283" i="1"/>
  <c r="G283" i="1" s="1"/>
  <c r="H282" i="1"/>
  <c r="G282" i="1" s="1"/>
  <c r="H281" i="1"/>
  <c r="G281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67" i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0" i="1"/>
  <c r="G240" i="1" s="1"/>
  <c r="H239" i="1"/>
  <c r="G239" i="1" s="1"/>
  <c r="H238" i="1"/>
  <c r="G238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1" i="1"/>
  <c r="G171" i="1" s="1"/>
  <c r="H170" i="1"/>
  <c r="G170" i="1" s="1"/>
  <c r="H169" i="1"/>
  <c r="G169" i="1" s="1"/>
  <c r="H168" i="1"/>
  <c r="G168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59" i="1"/>
  <c r="G159" i="1" s="1"/>
  <c r="H158" i="1"/>
  <c r="G158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1" i="1"/>
  <c r="G131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1" i="1"/>
  <c r="G91" i="1" s="1"/>
  <c r="H90" i="1"/>
  <c r="G90" i="1" s="1"/>
  <c r="H89" i="1"/>
  <c r="G89" i="1" s="1"/>
  <c r="H88" i="1"/>
  <c r="G88" i="1" s="1"/>
  <c r="H87" i="1"/>
  <c r="G87" i="1" s="1"/>
  <c r="H84" i="1"/>
  <c r="G84" i="1" s="1"/>
  <c r="H83" i="1"/>
  <c r="G83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2" i="1"/>
  <c r="G72" i="1" s="1"/>
  <c r="H71" i="1"/>
  <c r="G71" i="1" s="1"/>
  <c r="H69" i="1"/>
  <c r="G69" i="1" s="1"/>
  <c r="H68" i="1"/>
  <c r="G68" i="1" s="1"/>
  <c r="H67" i="1"/>
  <c r="G67" i="1" s="1"/>
  <c r="H66" i="1"/>
  <c r="G66" i="1" s="1"/>
  <c r="H65" i="1"/>
  <c r="G65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K12" i="1"/>
  <c r="BU323" i="1"/>
  <c r="BT323" i="1"/>
  <c r="BS323" i="1"/>
  <c r="BR323" i="1"/>
  <c r="BQ323" i="1"/>
  <c r="BP323" i="1"/>
  <c r="BO323" i="1"/>
  <c r="BN323" i="1"/>
  <c r="BM323" i="1"/>
  <c r="BL323" i="1"/>
  <c r="BU319" i="1"/>
  <c r="BT319" i="1"/>
  <c r="BS319" i="1"/>
  <c r="BR319" i="1"/>
  <c r="BQ319" i="1"/>
  <c r="BP319" i="1"/>
  <c r="BO319" i="1"/>
  <c r="BN319" i="1"/>
  <c r="BM319" i="1"/>
  <c r="BL319" i="1"/>
  <c r="BU312" i="1"/>
  <c r="BT312" i="1"/>
  <c r="BS312" i="1"/>
  <c r="BR312" i="1"/>
  <c r="BQ312" i="1"/>
  <c r="BP312" i="1"/>
  <c r="BO312" i="1"/>
  <c r="BN312" i="1"/>
  <c r="BM312" i="1"/>
  <c r="BL312" i="1"/>
  <c r="BU308" i="1"/>
  <c r="BT308" i="1"/>
  <c r="BS308" i="1"/>
  <c r="BR308" i="1"/>
  <c r="BQ308" i="1"/>
  <c r="BP308" i="1"/>
  <c r="BO308" i="1"/>
  <c r="BN308" i="1"/>
  <c r="BM308" i="1"/>
  <c r="BL308" i="1"/>
  <c r="BU304" i="1"/>
  <c r="BT304" i="1"/>
  <c r="BS304" i="1"/>
  <c r="BR304" i="1"/>
  <c r="BQ304" i="1"/>
  <c r="BP304" i="1"/>
  <c r="BO304" i="1"/>
  <c r="BN304" i="1"/>
  <c r="BM304" i="1"/>
  <c r="BL304" i="1"/>
  <c r="BU299" i="1"/>
  <c r="BT299" i="1"/>
  <c r="BS299" i="1"/>
  <c r="BR299" i="1"/>
  <c r="BQ299" i="1"/>
  <c r="BP299" i="1"/>
  <c r="BO299" i="1"/>
  <c r="BN299" i="1"/>
  <c r="BM299" i="1"/>
  <c r="BL299" i="1"/>
  <c r="BU297" i="1"/>
  <c r="BT297" i="1"/>
  <c r="BS297" i="1"/>
  <c r="BR297" i="1"/>
  <c r="BQ297" i="1"/>
  <c r="BP297" i="1"/>
  <c r="BO297" i="1"/>
  <c r="BN297" i="1"/>
  <c r="BM297" i="1"/>
  <c r="BL297" i="1"/>
  <c r="BK297" i="1"/>
  <c r="BU266" i="1"/>
  <c r="BT266" i="1"/>
  <c r="BS266" i="1"/>
  <c r="BR266" i="1"/>
  <c r="BQ266" i="1"/>
  <c r="BP266" i="1"/>
  <c r="BO266" i="1"/>
  <c r="BN266" i="1"/>
  <c r="BM266" i="1"/>
  <c r="BL266" i="1"/>
  <c r="BU242" i="1"/>
  <c r="BT242" i="1"/>
  <c r="BS242" i="1"/>
  <c r="BR242" i="1"/>
  <c r="BQ242" i="1"/>
  <c r="BP242" i="1"/>
  <c r="BO242" i="1"/>
  <c r="BN242" i="1"/>
  <c r="BM242" i="1"/>
  <c r="BL242" i="1"/>
  <c r="BU133" i="1"/>
  <c r="BT133" i="1"/>
  <c r="BS133" i="1"/>
  <c r="BR133" i="1"/>
  <c r="BQ133" i="1"/>
  <c r="BP133" i="1"/>
  <c r="BO133" i="1"/>
  <c r="BN133" i="1"/>
  <c r="BM133" i="1"/>
  <c r="BL133" i="1"/>
  <c r="BU93" i="1"/>
  <c r="BT93" i="1"/>
  <c r="BS93" i="1"/>
  <c r="BR93" i="1"/>
  <c r="BQ93" i="1"/>
  <c r="BP93" i="1"/>
  <c r="BO93" i="1"/>
  <c r="BN93" i="1"/>
  <c r="BM93" i="1"/>
  <c r="BL93" i="1"/>
  <c r="BU86" i="1"/>
  <c r="BT86" i="1"/>
  <c r="BS86" i="1"/>
  <c r="BR86" i="1"/>
  <c r="BQ86" i="1"/>
  <c r="BP86" i="1"/>
  <c r="BO86" i="1"/>
  <c r="BN86" i="1"/>
  <c r="BM86" i="1"/>
  <c r="BL86" i="1"/>
  <c r="BU74" i="1"/>
  <c r="BT74" i="1"/>
  <c r="BS74" i="1"/>
  <c r="BR74" i="1"/>
  <c r="BQ74" i="1"/>
  <c r="BP74" i="1"/>
  <c r="BO74" i="1"/>
  <c r="BN74" i="1"/>
  <c r="BM74" i="1"/>
  <c r="BL74" i="1"/>
  <c r="BU64" i="1"/>
  <c r="BT64" i="1"/>
  <c r="BS64" i="1"/>
  <c r="BR64" i="1"/>
  <c r="BQ64" i="1"/>
  <c r="BP64" i="1"/>
  <c r="BO64" i="1"/>
  <c r="BN64" i="1"/>
  <c r="BM64" i="1"/>
  <c r="BL64" i="1"/>
  <c r="BU36" i="1"/>
  <c r="BT36" i="1"/>
  <c r="BS36" i="1"/>
  <c r="BR36" i="1"/>
  <c r="BQ36" i="1"/>
  <c r="BP36" i="1"/>
  <c r="BO36" i="1"/>
  <c r="BN36" i="1"/>
  <c r="BM36" i="1"/>
  <c r="BL36" i="1"/>
  <c r="BU28" i="1"/>
  <c r="BT28" i="1"/>
  <c r="BS28" i="1"/>
  <c r="BR28" i="1"/>
  <c r="BQ28" i="1"/>
  <c r="BP28" i="1"/>
  <c r="BO28" i="1"/>
  <c r="BN28" i="1"/>
  <c r="BM28" i="1"/>
  <c r="BL28" i="1"/>
  <c r="BU11" i="1"/>
  <c r="BT11" i="1"/>
  <c r="BS11" i="1"/>
  <c r="BR11" i="1"/>
  <c r="BQ11" i="1"/>
  <c r="BP11" i="1"/>
  <c r="BO11" i="1"/>
  <c r="BN11" i="1"/>
  <c r="BM11" i="1"/>
  <c r="BL11" i="1"/>
  <c r="BC12" i="1"/>
  <c r="BB12" i="1" s="1"/>
  <c r="BH323" i="1"/>
  <c r="BG323" i="1"/>
  <c r="BF323" i="1"/>
  <c r="BE323" i="1"/>
  <c r="BD323" i="1"/>
  <c r="BH319" i="1"/>
  <c r="BG319" i="1"/>
  <c r="BF319" i="1"/>
  <c r="BE319" i="1"/>
  <c r="BD319" i="1"/>
  <c r="BH312" i="1"/>
  <c r="BG312" i="1"/>
  <c r="BF312" i="1"/>
  <c r="BE312" i="1"/>
  <c r="BD312" i="1"/>
  <c r="BH308" i="1"/>
  <c r="BG308" i="1"/>
  <c r="BF308" i="1"/>
  <c r="BE308" i="1"/>
  <c r="BD308" i="1"/>
  <c r="BH304" i="1"/>
  <c r="BG304" i="1"/>
  <c r="BF304" i="1"/>
  <c r="BE304" i="1"/>
  <c r="BD304" i="1"/>
  <c r="BH299" i="1"/>
  <c r="BG299" i="1"/>
  <c r="BF299" i="1"/>
  <c r="BE299" i="1"/>
  <c r="BD299" i="1"/>
  <c r="BH297" i="1"/>
  <c r="BG297" i="1"/>
  <c r="BF297" i="1"/>
  <c r="BE297" i="1"/>
  <c r="BD297" i="1"/>
  <c r="BH266" i="1"/>
  <c r="BG266" i="1"/>
  <c r="BF266" i="1"/>
  <c r="BE266" i="1"/>
  <c r="BD266" i="1"/>
  <c r="BH242" i="1"/>
  <c r="BG242" i="1"/>
  <c r="BF242" i="1"/>
  <c r="BE242" i="1"/>
  <c r="BD242" i="1"/>
  <c r="BH133" i="1"/>
  <c r="BG133" i="1"/>
  <c r="BF133" i="1"/>
  <c r="BE133" i="1"/>
  <c r="BD133" i="1"/>
  <c r="BH93" i="1"/>
  <c r="BG93" i="1"/>
  <c r="BF93" i="1"/>
  <c r="BE93" i="1"/>
  <c r="BD93" i="1"/>
  <c r="BH86" i="1"/>
  <c r="BG86" i="1"/>
  <c r="BF86" i="1"/>
  <c r="BE86" i="1"/>
  <c r="BD86" i="1"/>
  <c r="BH74" i="1"/>
  <c r="BG74" i="1"/>
  <c r="BF74" i="1"/>
  <c r="BE74" i="1"/>
  <c r="BD74" i="1"/>
  <c r="BH64" i="1"/>
  <c r="BG64" i="1"/>
  <c r="BF64" i="1"/>
  <c r="BE64" i="1"/>
  <c r="BD64" i="1"/>
  <c r="BH36" i="1"/>
  <c r="BG36" i="1"/>
  <c r="BF36" i="1"/>
  <c r="BE36" i="1"/>
  <c r="BD36" i="1"/>
  <c r="BH28" i="1"/>
  <c r="BG28" i="1"/>
  <c r="BF28" i="1"/>
  <c r="BE28" i="1"/>
  <c r="BD28" i="1"/>
  <c r="BH11" i="1"/>
  <c r="BG11" i="1"/>
  <c r="BF11" i="1"/>
  <c r="BE11" i="1"/>
  <c r="BD11" i="1"/>
  <c r="AP12" i="1"/>
  <c r="AO12" i="1" s="1"/>
  <c r="AZ323" i="1"/>
  <c r="AY323" i="1"/>
  <c r="AX323" i="1"/>
  <c r="AW323" i="1"/>
  <c r="AV323" i="1"/>
  <c r="AU323" i="1"/>
  <c r="AT323" i="1"/>
  <c r="AS323" i="1"/>
  <c r="AR323" i="1"/>
  <c r="AQ323" i="1"/>
  <c r="AZ319" i="1"/>
  <c r="AY319" i="1"/>
  <c r="AX319" i="1"/>
  <c r="AW319" i="1"/>
  <c r="AV319" i="1"/>
  <c r="AU319" i="1"/>
  <c r="AT319" i="1"/>
  <c r="AS319" i="1"/>
  <c r="AR319" i="1"/>
  <c r="AQ319" i="1"/>
  <c r="AZ312" i="1"/>
  <c r="AY312" i="1"/>
  <c r="AX312" i="1"/>
  <c r="AW312" i="1"/>
  <c r="AV312" i="1"/>
  <c r="AU312" i="1"/>
  <c r="AT312" i="1"/>
  <c r="AS312" i="1"/>
  <c r="AR312" i="1"/>
  <c r="AQ312" i="1"/>
  <c r="AZ308" i="1"/>
  <c r="AY308" i="1"/>
  <c r="AX308" i="1"/>
  <c r="AW308" i="1"/>
  <c r="AV308" i="1"/>
  <c r="AU308" i="1"/>
  <c r="AT308" i="1"/>
  <c r="AS308" i="1"/>
  <c r="AR308" i="1"/>
  <c r="AQ308" i="1"/>
  <c r="AZ304" i="1"/>
  <c r="AY304" i="1"/>
  <c r="AX304" i="1"/>
  <c r="AW304" i="1"/>
  <c r="AV304" i="1"/>
  <c r="AU304" i="1"/>
  <c r="AT304" i="1"/>
  <c r="AS304" i="1"/>
  <c r="AR304" i="1"/>
  <c r="AQ304" i="1"/>
  <c r="AZ299" i="1"/>
  <c r="AY299" i="1"/>
  <c r="AX299" i="1"/>
  <c r="AW299" i="1"/>
  <c r="AV299" i="1"/>
  <c r="AU299" i="1"/>
  <c r="AT299" i="1"/>
  <c r="AS299" i="1"/>
  <c r="AR299" i="1"/>
  <c r="AQ299" i="1"/>
  <c r="AZ297" i="1"/>
  <c r="AY297" i="1"/>
  <c r="AX297" i="1"/>
  <c r="AW297" i="1"/>
  <c r="AV297" i="1"/>
  <c r="AU297" i="1"/>
  <c r="AT297" i="1"/>
  <c r="AS297" i="1"/>
  <c r="AR297" i="1"/>
  <c r="AQ297" i="1"/>
  <c r="AZ266" i="1"/>
  <c r="AY266" i="1"/>
  <c r="AX266" i="1"/>
  <c r="AW266" i="1"/>
  <c r="AV266" i="1"/>
  <c r="AU266" i="1"/>
  <c r="AT266" i="1"/>
  <c r="AS266" i="1"/>
  <c r="AR266" i="1"/>
  <c r="AQ266" i="1"/>
  <c r="AZ242" i="1"/>
  <c r="AY242" i="1"/>
  <c r="AX242" i="1"/>
  <c r="AW242" i="1"/>
  <c r="AV242" i="1"/>
  <c r="AU242" i="1"/>
  <c r="AT242" i="1"/>
  <c r="AS242" i="1"/>
  <c r="AR242" i="1"/>
  <c r="AQ242" i="1"/>
  <c r="AZ133" i="1"/>
  <c r="AY133" i="1"/>
  <c r="AX133" i="1"/>
  <c r="AW133" i="1"/>
  <c r="AV133" i="1"/>
  <c r="AU133" i="1"/>
  <c r="AT133" i="1"/>
  <c r="AS133" i="1"/>
  <c r="AR133" i="1"/>
  <c r="AQ133" i="1"/>
  <c r="AZ93" i="1"/>
  <c r="AY93" i="1"/>
  <c r="AX93" i="1"/>
  <c r="AW93" i="1"/>
  <c r="AV93" i="1"/>
  <c r="AU93" i="1"/>
  <c r="AT93" i="1"/>
  <c r="AS93" i="1"/>
  <c r="AR93" i="1"/>
  <c r="AQ93" i="1"/>
  <c r="AZ86" i="1"/>
  <c r="AY86" i="1"/>
  <c r="AX86" i="1"/>
  <c r="AW86" i="1"/>
  <c r="AV86" i="1"/>
  <c r="AU86" i="1"/>
  <c r="AT86" i="1"/>
  <c r="AS86" i="1"/>
  <c r="AR86" i="1"/>
  <c r="AQ86" i="1"/>
  <c r="AZ74" i="1"/>
  <c r="AY74" i="1"/>
  <c r="AX74" i="1"/>
  <c r="AW74" i="1"/>
  <c r="AV74" i="1"/>
  <c r="AU74" i="1"/>
  <c r="AT74" i="1"/>
  <c r="AS74" i="1"/>
  <c r="AR74" i="1"/>
  <c r="AQ74" i="1"/>
  <c r="AZ64" i="1"/>
  <c r="AY64" i="1"/>
  <c r="AX64" i="1"/>
  <c r="AW64" i="1"/>
  <c r="AV64" i="1"/>
  <c r="AU64" i="1"/>
  <c r="AT64" i="1"/>
  <c r="AS64" i="1"/>
  <c r="AR64" i="1"/>
  <c r="AQ64" i="1"/>
  <c r="AZ36" i="1"/>
  <c r="AY36" i="1"/>
  <c r="AX36" i="1"/>
  <c r="AW36" i="1"/>
  <c r="AV36" i="1"/>
  <c r="AU36" i="1"/>
  <c r="AT36" i="1"/>
  <c r="AS36" i="1"/>
  <c r="AR36" i="1"/>
  <c r="AQ36" i="1"/>
  <c r="AZ28" i="1"/>
  <c r="AY28" i="1"/>
  <c r="AX28" i="1"/>
  <c r="AW28" i="1"/>
  <c r="AV28" i="1"/>
  <c r="AU28" i="1"/>
  <c r="AT28" i="1"/>
  <c r="AS28" i="1"/>
  <c r="AR28" i="1"/>
  <c r="AQ28" i="1"/>
  <c r="AZ11" i="1"/>
  <c r="AY11" i="1"/>
  <c r="AX11" i="1"/>
  <c r="AW11" i="1"/>
  <c r="AV11" i="1"/>
  <c r="AU11" i="1"/>
  <c r="AT11" i="1"/>
  <c r="AS11" i="1"/>
  <c r="AR11" i="1"/>
  <c r="AQ11" i="1"/>
  <c r="AC12" i="1"/>
  <c r="AB12" i="1" s="1"/>
  <c r="AM323" i="1"/>
  <c r="AL323" i="1"/>
  <c r="AK323" i="1"/>
  <c r="AJ323" i="1"/>
  <c r="AI323" i="1"/>
  <c r="AH323" i="1"/>
  <c r="AG323" i="1"/>
  <c r="AF323" i="1"/>
  <c r="AE323" i="1"/>
  <c r="AD323" i="1"/>
  <c r="AM319" i="1"/>
  <c r="AL319" i="1"/>
  <c r="AK319" i="1"/>
  <c r="AJ319" i="1"/>
  <c r="AI319" i="1"/>
  <c r="AH319" i="1"/>
  <c r="AG319" i="1"/>
  <c r="AF319" i="1"/>
  <c r="AE319" i="1"/>
  <c r="AD319" i="1"/>
  <c r="AM312" i="1"/>
  <c r="AL312" i="1"/>
  <c r="AK312" i="1"/>
  <c r="AJ312" i="1"/>
  <c r="AI312" i="1"/>
  <c r="AH312" i="1"/>
  <c r="AG312" i="1"/>
  <c r="AF312" i="1"/>
  <c r="AE312" i="1"/>
  <c r="AD312" i="1"/>
  <c r="AM308" i="1"/>
  <c r="AL308" i="1"/>
  <c r="AK308" i="1"/>
  <c r="AJ308" i="1"/>
  <c r="AI308" i="1"/>
  <c r="AH308" i="1"/>
  <c r="AG308" i="1"/>
  <c r="AF308" i="1"/>
  <c r="AE308" i="1"/>
  <c r="AD308" i="1"/>
  <c r="AM304" i="1"/>
  <c r="AL304" i="1"/>
  <c r="AK304" i="1"/>
  <c r="AJ304" i="1"/>
  <c r="AI304" i="1"/>
  <c r="AH304" i="1"/>
  <c r="AG304" i="1"/>
  <c r="AF304" i="1"/>
  <c r="AE304" i="1"/>
  <c r="AD304" i="1"/>
  <c r="AM299" i="1"/>
  <c r="AL299" i="1"/>
  <c r="AK299" i="1"/>
  <c r="AJ299" i="1"/>
  <c r="AI299" i="1"/>
  <c r="AH299" i="1"/>
  <c r="AG299" i="1"/>
  <c r="AF299" i="1"/>
  <c r="AE299" i="1"/>
  <c r="AD299" i="1"/>
  <c r="AM297" i="1"/>
  <c r="AL297" i="1"/>
  <c r="AK297" i="1"/>
  <c r="AJ297" i="1"/>
  <c r="AI297" i="1"/>
  <c r="AH297" i="1"/>
  <c r="AG297" i="1"/>
  <c r="AF297" i="1"/>
  <c r="AE297" i="1"/>
  <c r="AD297" i="1"/>
  <c r="AM266" i="1"/>
  <c r="AL266" i="1"/>
  <c r="AK266" i="1"/>
  <c r="AJ266" i="1"/>
  <c r="AI266" i="1"/>
  <c r="AH266" i="1"/>
  <c r="AG266" i="1"/>
  <c r="AF266" i="1"/>
  <c r="AE266" i="1"/>
  <c r="AD266" i="1"/>
  <c r="AM242" i="1"/>
  <c r="AL242" i="1"/>
  <c r="AK242" i="1"/>
  <c r="AJ242" i="1"/>
  <c r="AI242" i="1"/>
  <c r="AH242" i="1"/>
  <c r="AG242" i="1"/>
  <c r="AF242" i="1"/>
  <c r="AE242" i="1"/>
  <c r="AD242" i="1"/>
  <c r="AM133" i="1"/>
  <c r="AL133" i="1"/>
  <c r="AK133" i="1"/>
  <c r="AJ133" i="1"/>
  <c r="AI133" i="1"/>
  <c r="AH133" i="1"/>
  <c r="AG133" i="1"/>
  <c r="AF133" i="1"/>
  <c r="AE133" i="1"/>
  <c r="AD133" i="1"/>
  <c r="AM93" i="1"/>
  <c r="AL93" i="1"/>
  <c r="AK93" i="1"/>
  <c r="AJ93" i="1"/>
  <c r="AI93" i="1"/>
  <c r="AH93" i="1"/>
  <c r="AG93" i="1"/>
  <c r="AF93" i="1"/>
  <c r="AE93" i="1"/>
  <c r="AD93" i="1"/>
  <c r="AM86" i="1"/>
  <c r="AL86" i="1"/>
  <c r="AK86" i="1"/>
  <c r="AJ86" i="1"/>
  <c r="AI86" i="1"/>
  <c r="AH86" i="1"/>
  <c r="AG86" i="1"/>
  <c r="AF86" i="1"/>
  <c r="AE86" i="1"/>
  <c r="AD86" i="1"/>
  <c r="AM74" i="1"/>
  <c r="AL74" i="1"/>
  <c r="AK74" i="1"/>
  <c r="AJ74" i="1"/>
  <c r="AI74" i="1"/>
  <c r="AH74" i="1"/>
  <c r="AG74" i="1"/>
  <c r="AF74" i="1"/>
  <c r="AE74" i="1"/>
  <c r="AD74" i="1"/>
  <c r="AM64" i="1"/>
  <c r="AL64" i="1"/>
  <c r="AK64" i="1"/>
  <c r="AJ64" i="1"/>
  <c r="AI64" i="1"/>
  <c r="AH64" i="1"/>
  <c r="AG64" i="1"/>
  <c r="AF64" i="1"/>
  <c r="AE64" i="1"/>
  <c r="AD64" i="1"/>
  <c r="AM36" i="1"/>
  <c r="AL36" i="1"/>
  <c r="AK36" i="1"/>
  <c r="AJ36" i="1"/>
  <c r="AI36" i="1"/>
  <c r="AH36" i="1"/>
  <c r="AG36" i="1"/>
  <c r="AF36" i="1"/>
  <c r="AE36" i="1"/>
  <c r="AD36" i="1"/>
  <c r="AM28" i="1"/>
  <c r="AL28" i="1"/>
  <c r="AK28" i="1"/>
  <c r="AJ28" i="1"/>
  <c r="AI28" i="1"/>
  <c r="AH28" i="1"/>
  <c r="AG28" i="1"/>
  <c r="AF28" i="1"/>
  <c r="AE28" i="1"/>
  <c r="AD28" i="1"/>
  <c r="AM11" i="1"/>
  <c r="AL11" i="1"/>
  <c r="AK11" i="1"/>
  <c r="AJ11" i="1"/>
  <c r="AI11" i="1"/>
  <c r="AH11" i="1"/>
  <c r="AG11" i="1"/>
  <c r="AF11" i="1"/>
  <c r="AE11" i="1"/>
  <c r="AD11" i="1"/>
  <c r="H12" i="1"/>
  <c r="G267" i="1" l="1"/>
  <c r="H266" i="1"/>
  <c r="G317" i="1"/>
  <c r="G316" i="1" s="1"/>
  <c r="H316" i="1"/>
  <c r="AB317" i="1"/>
  <c r="AB316" i="1" s="1"/>
  <c r="AC316" i="1"/>
  <c r="BJ317" i="1"/>
  <c r="BJ316" i="1" s="1"/>
  <c r="BK316" i="1"/>
  <c r="BB317" i="1"/>
  <c r="BB316" i="1" s="1"/>
  <c r="BC316" i="1"/>
  <c r="AO317" i="1"/>
  <c r="AO316" i="1" s="1"/>
  <c r="AP316" i="1"/>
  <c r="D93" i="1"/>
  <c r="BB312" i="1"/>
  <c r="AP297" i="1"/>
  <c r="BC319" i="1"/>
  <c r="BC312" i="1"/>
  <c r="BK312" i="1"/>
  <c r="BK319" i="1"/>
  <c r="AC297" i="1"/>
  <c r="E174" i="1"/>
  <c r="E204" i="1"/>
  <c r="BC86" i="1"/>
  <c r="E111" i="1"/>
  <c r="AC319" i="1"/>
  <c r="AC308" i="1"/>
  <c r="E159" i="1"/>
  <c r="E164" i="1"/>
  <c r="E246" i="1"/>
  <c r="E305" i="1"/>
  <c r="AC304" i="1"/>
  <c r="E213" i="1"/>
  <c r="AP308" i="1"/>
  <c r="BN296" i="1"/>
  <c r="BN324" i="1" s="1"/>
  <c r="BK304" i="1"/>
  <c r="E141" i="1"/>
  <c r="E223" i="1"/>
  <c r="E231" i="1"/>
  <c r="E273" i="1"/>
  <c r="E311" i="1"/>
  <c r="AJ296" i="1"/>
  <c r="AJ324" i="1" s="1"/>
  <c r="AC312" i="1"/>
  <c r="AS296" i="1"/>
  <c r="AS324" i="1" s="1"/>
  <c r="AP304" i="1"/>
  <c r="BC297" i="1"/>
  <c r="E142" i="1"/>
  <c r="E190" i="1"/>
  <c r="E263" i="1"/>
  <c r="AP319" i="1"/>
  <c r="BC299" i="1"/>
  <c r="BC308" i="1"/>
  <c r="BK242" i="1"/>
  <c r="E15" i="1"/>
  <c r="E128" i="1"/>
  <c r="E182" i="1"/>
  <c r="E187" i="1"/>
  <c r="E313" i="1"/>
  <c r="AO312" i="1"/>
  <c r="AC299" i="1"/>
  <c r="BK64" i="1"/>
  <c r="BR296" i="1"/>
  <c r="BR324" i="1" s="1"/>
  <c r="E91" i="1"/>
  <c r="E310" i="1"/>
  <c r="AO304" i="1"/>
  <c r="BJ86" i="1"/>
  <c r="AW296" i="1"/>
  <c r="AW324" i="1" s="1"/>
  <c r="AP312" i="1"/>
  <c r="BC304" i="1"/>
  <c r="BK308" i="1"/>
  <c r="E201" i="1"/>
  <c r="AO299" i="1"/>
  <c r="BJ64" i="1"/>
  <c r="E18" i="1"/>
  <c r="E88" i="1"/>
  <c r="E131" i="1"/>
  <c r="E147" i="1"/>
  <c r="E150" i="1"/>
  <c r="E183" i="1"/>
  <c r="E215" i="1"/>
  <c r="E221" i="1"/>
  <c r="AP93" i="1"/>
  <c r="BC64" i="1"/>
  <c r="E46" i="1"/>
  <c r="E65" i="1"/>
  <c r="E165" i="1"/>
  <c r="E207" i="1"/>
  <c r="BK74" i="1"/>
  <c r="BK86" i="1"/>
  <c r="E76" i="1"/>
  <c r="E145" i="1"/>
  <c r="AC133" i="1"/>
  <c r="AO93" i="1"/>
  <c r="E100" i="1"/>
  <c r="AC74" i="1"/>
  <c r="BK133" i="1"/>
  <c r="E80" i="1"/>
  <c r="E87" i="1"/>
  <c r="E139" i="1"/>
  <c r="E180" i="1"/>
  <c r="E208" i="1"/>
  <c r="AO28" i="1"/>
  <c r="AC64" i="1"/>
  <c r="AC266" i="1"/>
  <c r="BK93" i="1"/>
  <c r="E68" i="1"/>
  <c r="E72" i="1"/>
  <c r="E94" i="1"/>
  <c r="E102" i="1"/>
  <c r="E112" i="1"/>
  <c r="E127" i="1"/>
  <c r="E137" i="1"/>
  <c r="E178" i="1"/>
  <c r="E191" i="1"/>
  <c r="E196" i="1"/>
  <c r="E225" i="1"/>
  <c r="E229" i="1"/>
  <c r="E233" i="1"/>
  <c r="E239" i="1"/>
  <c r="E248" i="1"/>
  <c r="E252" i="1"/>
  <c r="E259" i="1"/>
  <c r="E262" i="1"/>
  <c r="BJ133" i="1"/>
  <c r="AC242" i="1"/>
  <c r="AP133" i="1"/>
  <c r="BC133" i="1"/>
  <c r="E99" i="1"/>
  <c r="E103" i="1"/>
  <c r="E110" i="1"/>
  <c r="E113" i="1"/>
  <c r="E121" i="1"/>
  <c r="E162" i="1"/>
  <c r="E200" i="1"/>
  <c r="E226" i="1"/>
  <c r="E234" i="1"/>
  <c r="E240" i="1"/>
  <c r="E245" i="1"/>
  <c r="E249" i="1"/>
  <c r="BB86" i="1"/>
  <c r="BB74" i="1"/>
  <c r="E31" i="1"/>
  <c r="E37" i="1"/>
  <c r="E17" i="1"/>
  <c r="E29" i="1"/>
  <c r="E42" i="1"/>
  <c r="E45" i="1"/>
  <c r="E48" i="1"/>
  <c r="E56" i="1"/>
  <c r="E58" i="1"/>
  <c r="E43" i="1"/>
  <c r="E49" i="1"/>
  <c r="BC11" i="1"/>
  <c r="BK11" i="1"/>
  <c r="E24" i="1"/>
  <c r="E13" i="1"/>
  <c r="E16" i="1"/>
  <c r="E21" i="1"/>
  <c r="AF296" i="1"/>
  <c r="AF324" i="1" s="1"/>
  <c r="AK296" i="1"/>
  <c r="AK324" i="1" s="1"/>
  <c r="AI296" i="1"/>
  <c r="AI324" i="1" s="1"/>
  <c r="AM296" i="1"/>
  <c r="AM324" i="1" s="1"/>
  <c r="AP323" i="1"/>
  <c r="BK36" i="1"/>
  <c r="BK266" i="1"/>
  <c r="E38" i="1"/>
  <c r="E59" i="1"/>
  <c r="E66" i="1"/>
  <c r="E69" i="1"/>
  <c r="E75" i="1"/>
  <c r="E120" i="1"/>
  <c r="E124" i="1"/>
  <c r="E134" i="1"/>
  <c r="E171" i="1"/>
  <c r="E175" i="1"/>
  <c r="E302" i="1"/>
  <c r="BB304" i="1"/>
  <c r="AH296" i="1"/>
  <c r="AH324" i="1" s="1"/>
  <c r="AP64" i="1"/>
  <c r="AT296" i="1"/>
  <c r="AT324" i="1" s="1"/>
  <c r="AX296" i="1"/>
  <c r="AX324" i="1" s="1"/>
  <c r="AR296" i="1"/>
  <c r="AR324" i="1" s="1"/>
  <c r="AV296" i="1"/>
  <c r="AV324" i="1" s="1"/>
  <c r="AZ296" i="1"/>
  <c r="AZ324" i="1" s="1"/>
  <c r="BC242" i="1"/>
  <c r="BK28" i="1"/>
  <c r="BK299" i="1"/>
  <c r="BO296" i="1"/>
  <c r="BO324" i="1" s="1"/>
  <c r="BS296" i="1"/>
  <c r="BS324" i="1" s="1"/>
  <c r="BM296" i="1"/>
  <c r="BM324" i="1" s="1"/>
  <c r="BQ296" i="1"/>
  <c r="BQ324" i="1" s="1"/>
  <c r="BU296" i="1"/>
  <c r="BU324" i="1" s="1"/>
  <c r="E30" i="1"/>
  <c r="E34" i="1"/>
  <c r="E125" i="1"/>
  <c r="E169" i="1"/>
  <c r="E210" i="1"/>
  <c r="E220" i="1"/>
  <c r="E230" i="1"/>
  <c r="AG265" i="1"/>
  <c r="AL296" i="1"/>
  <c r="AL324" i="1" s="1"/>
  <c r="AP36" i="1"/>
  <c r="AP299" i="1"/>
  <c r="AQ296" i="1"/>
  <c r="AQ324" i="1" s="1"/>
  <c r="AU296" i="1"/>
  <c r="AU324" i="1" s="1"/>
  <c r="AY296" i="1"/>
  <c r="AY324" i="1" s="1"/>
  <c r="BL296" i="1"/>
  <c r="BL324" i="1" s="1"/>
  <c r="BP296" i="1"/>
  <c r="BP324" i="1" s="1"/>
  <c r="BT296" i="1"/>
  <c r="BT324" i="1" s="1"/>
  <c r="BJ12" i="1"/>
  <c r="E25" i="1"/>
  <c r="E104" i="1"/>
  <c r="E114" i="1"/>
  <c r="E194" i="1"/>
  <c r="E135" i="1"/>
  <c r="E140" i="1"/>
  <c r="E143" i="1"/>
  <c r="E148" i="1"/>
  <c r="E151" i="1"/>
  <c r="E163" i="1"/>
  <c r="E166" i="1"/>
  <c r="E173" i="1"/>
  <c r="E176" i="1"/>
  <c r="E181" i="1"/>
  <c r="E184" i="1"/>
  <c r="E195" i="1"/>
  <c r="E198" i="1"/>
  <c r="E202" i="1"/>
  <c r="E212" i="1"/>
  <c r="E227" i="1"/>
  <c r="E235" i="1"/>
  <c r="E274" i="1"/>
  <c r="E278" i="1"/>
  <c r="E283" i="1"/>
  <c r="E287" i="1"/>
  <c r="E292" i="1"/>
  <c r="E320" i="1"/>
  <c r="AO64" i="1"/>
  <c r="E40" i="1"/>
  <c r="E44" i="1"/>
  <c r="E50" i="1"/>
  <c r="E57" i="1"/>
  <c r="E60" i="1"/>
  <c r="E67" i="1"/>
  <c r="E79" i="1"/>
  <c r="E83" i="1"/>
  <c r="E95" i="1"/>
  <c r="E98" i="1"/>
  <c r="E101" i="1"/>
  <c r="E115" i="1"/>
  <c r="E119" i="1"/>
  <c r="E122" i="1"/>
  <c r="E138" i="1"/>
  <c r="E146" i="1"/>
  <c r="E149" i="1"/>
  <c r="E161" i="1"/>
  <c r="E170" i="1"/>
  <c r="E179" i="1"/>
  <c r="E193" i="1"/>
  <c r="E199" i="1"/>
  <c r="E209" i="1"/>
  <c r="E216" i="1"/>
  <c r="E244" i="1"/>
  <c r="E250" i="1"/>
  <c r="E261" i="1"/>
  <c r="AO133" i="1"/>
  <c r="BB28" i="1"/>
  <c r="BB36" i="1"/>
  <c r="E33" i="1"/>
  <c r="E41" i="1"/>
  <c r="E51" i="1"/>
  <c r="E61" i="1"/>
  <c r="E71" i="1"/>
  <c r="E77" i="1"/>
  <c r="E90" i="1"/>
  <c r="E96" i="1"/>
  <c r="E116" i="1"/>
  <c r="E123" i="1"/>
  <c r="E136" i="1"/>
  <c r="E144" i="1"/>
  <c r="E158" i="1"/>
  <c r="E168" i="1"/>
  <c r="E177" i="1"/>
  <c r="E186" i="1"/>
  <c r="E189" i="1"/>
  <c r="E203" i="1"/>
  <c r="E206" i="1"/>
  <c r="E217" i="1"/>
  <c r="E222" i="1"/>
  <c r="E255" i="1"/>
  <c r="E301" i="1"/>
  <c r="E306" i="1"/>
  <c r="AB299" i="1"/>
  <c r="BB308" i="1"/>
  <c r="BJ93" i="1"/>
  <c r="BJ266" i="1"/>
  <c r="E276" i="1"/>
  <c r="E285" i="1"/>
  <c r="E290" i="1"/>
  <c r="E294" i="1"/>
  <c r="E277" i="1"/>
  <c r="E286" i="1"/>
  <c r="E291" i="1"/>
  <c r="AP11" i="1"/>
  <c r="AX265" i="1"/>
  <c r="AP28" i="1"/>
  <c r="AP86" i="1"/>
  <c r="BC74" i="1"/>
  <c r="BC93" i="1"/>
  <c r="E14" i="1"/>
  <c r="E22" i="1"/>
  <c r="E78" i="1"/>
  <c r="E84" i="1"/>
  <c r="E89" i="1"/>
  <c r="E97" i="1"/>
  <c r="E109" i="1"/>
  <c r="E117" i="1"/>
  <c r="E126" i="1"/>
  <c r="E257" i="1"/>
  <c r="E300" i="1"/>
  <c r="E309" i="1"/>
  <c r="E314" i="1"/>
  <c r="AB28" i="1"/>
  <c r="AB133" i="1"/>
  <c r="AB266" i="1"/>
  <c r="AB308" i="1"/>
  <c r="AC36" i="1"/>
  <c r="AC93" i="1"/>
  <c r="AD296" i="1"/>
  <c r="AD324" i="1" s="1"/>
  <c r="AP74" i="1"/>
  <c r="AP266" i="1"/>
  <c r="BN265" i="1"/>
  <c r="E39" i="1"/>
  <c r="E47" i="1"/>
  <c r="E81" i="1"/>
  <c r="E188" i="1"/>
  <c r="E197" i="1"/>
  <c r="E205" i="1"/>
  <c r="E214" i="1"/>
  <c r="E224" i="1"/>
  <c r="E228" i="1"/>
  <c r="E232" i="1"/>
  <c r="E238" i="1"/>
  <c r="E253" i="1"/>
  <c r="E267" i="1"/>
  <c r="E275" i="1"/>
  <c r="E281" i="1"/>
  <c r="E284" i="1"/>
  <c r="E289" i="1"/>
  <c r="E293" i="1"/>
  <c r="AB93" i="1"/>
  <c r="BB64" i="1"/>
  <c r="AF265" i="1"/>
  <c r="AC28" i="1"/>
  <c r="AC86" i="1"/>
  <c r="AE296" i="1"/>
  <c r="AE324" i="1" s="1"/>
  <c r="AP242" i="1"/>
  <c r="BC28" i="1"/>
  <c r="E258" i="1"/>
  <c r="E282" i="1"/>
  <c r="AB36" i="1"/>
  <c r="AB312" i="1"/>
  <c r="AO242" i="1"/>
  <c r="E243" i="1"/>
  <c r="E251" i="1"/>
  <c r="E260" i="1"/>
  <c r="E303" i="1"/>
  <c r="E307" i="1"/>
  <c r="AB64" i="1"/>
  <c r="AB304" i="1"/>
  <c r="BB133" i="1"/>
  <c r="AO266" i="1"/>
  <c r="AO308" i="1"/>
  <c r="E247" i="1"/>
  <c r="E256" i="1"/>
  <c r="E298" i="1"/>
  <c r="BJ304" i="1"/>
  <c r="BC36" i="1"/>
  <c r="BJ74" i="1"/>
  <c r="BB299" i="1"/>
  <c r="BJ312" i="1"/>
  <c r="BJ242" i="1"/>
  <c r="BJ299" i="1"/>
  <c r="BJ308" i="1"/>
  <c r="BC266" i="1"/>
  <c r="BJ36" i="1"/>
  <c r="BJ28" i="1"/>
  <c r="BB266" i="1"/>
  <c r="BB242" i="1"/>
  <c r="BB93" i="1"/>
  <c r="BC323" i="1"/>
  <c r="AO86" i="1"/>
  <c r="AO74" i="1"/>
  <c r="AO36" i="1"/>
  <c r="AB242" i="1"/>
  <c r="AB86" i="1"/>
  <c r="AB74" i="1"/>
  <c r="AB11" i="1"/>
  <c r="AK265" i="1"/>
  <c r="AO323" i="1"/>
  <c r="AO11" i="1"/>
  <c r="BE265" i="1"/>
  <c r="BF296" i="1"/>
  <c r="BF324" i="1" s="1"/>
  <c r="BG296" i="1"/>
  <c r="BG324" i="1" s="1"/>
  <c r="AC11" i="1"/>
  <c r="AC323" i="1"/>
  <c r="BB11" i="1"/>
  <c r="BG265" i="1"/>
  <c r="BD296" i="1"/>
  <c r="BD324" i="1" s="1"/>
  <c r="BH296" i="1"/>
  <c r="BH324" i="1" s="1"/>
  <c r="BK323" i="1"/>
  <c r="BR265" i="1"/>
  <c r="BO265" i="1"/>
  <c r="BS265" i="1"/>
  <c r="BL265" i="1"/>
  <c r="BP265" i="1"/>
  <c r="BT265" i="1"/>
  <c r="BM265" i="1"/>
  <c r="BQ265" i="1"/>
  <c r="BU265" i="1"/>
  <c r="BE296" i="1"/>
  <c r="BE324" i="1" s="1"/>
  <c r="BF265" i="1"/>
  <c r="BD265" i="1"/>
  <c r="BH265" i="1"/>
  <c r="AS265" i="1"/>
  <c r="AW265" i="1"/>
  <c r="AT265" i="1"/>
  <c r="AQ265" i="1"/>
  <c r="AU265" i="1"/>
  <c r="AY265" i="1"/>
  <c r="AR265" i="1"/>
  <c r="AV265" i="1"/>
  <c r="AZ265" i="1"/>
  <c r="AG296" i="1"/>
  <c r="AG324" i="1" s="1"/>
  <c r="AB323" i="1"/>
  <c r="AJ265" i="1"/>
  <c r="AD265" i="1"/>
  <c r="AH265" i="1"/>
  <c r="AL265" i="1"/>
  <c r="AE265" i="1"/>
  <c r="AI265" i="1"/>
  <c r="AM265" i="1"/>
  <c r="H319" i="1"/>
  <c r="H312" i="1"/>
  <c r="H308" i="1"/>
  <c r="H304" i="1"/>
  <c r="H299" i="1"/>
  <c r="H297" i="1"/>
  <c r="H242" i="1"/>
  <c r="H133" i="1"/>
  <c r="H93" i="1"/>
  <c r="H86" i="1"/>
  <c r="H74" i="1"/>
  <c r="H64" i="1"/>
  <c r="H36" i="1"/>
  <c r="H28" i="1"/>
  <c r="BJ323" i="1" l="1"/>
  <c r="BB323" i="1"/>
  <c r="E317" i="1"/>
  <c r="E316" i="1" s="1"/>
  <c r="BJ11" i="1"/>
  <c r="BJ265" i="1" s="1"/>
  <c r="AT322" i="1"/>
  <c r="AD322" i="1"/>
  <c r="BS322" i="1"/>
  <c r="AZ322" i="1"/>
  <c r="AK322" i="1"/>
  <c r="AS322" i="1"/>
  <c r="AV322" i="1"/>
  <c r="AQ322" i="1"/>
  <c r="AU322" i="1"/>
  <c r="BR322" i="1"/>
  <c r="AO296" i="1"/>
  <c r="AO324" i="1" s="1"/>
  <c r="BN322" i="1"/>
  <c r="AC296" i="1"/>
  <c r="AC324" i="1" s="1"/>
  <c r="AE322" i="1"/>
  <c r="AY322" i="1"/>
  <c r="AW322" i="1"/>
  <c r="BQ322" i="1"/>
  <c r="BB296" i="1"/>
  <c r="BB324" i="1" s="1"/>
  <c r="AF322" i="1"/>
  <c r="AX322" i="1"/>
  <c r="AI322" i="1"/>
  <c r="BP322" i="1"/>
  <c r="BC296" i="1"/>
  <c r="BC324" i="1" s="1"/>
  <c r="AJ322" i="1"/>
  <c r="AM322" i="1"/>
  <c r="AH322" i="1"/>
  <c r="AP296" i="1"/>
  <c r="AP324" i="1" s="1"/>
  <c r="BT322" i="1"/>
  <c r="BG322" i="1"/>
  <c r="AR322" i="1"/>
  <c r="AL322" i="1"/>
  <c r="BM322" i="1"/>
  <c r="AB296" i="1"/>
  <c r="AB324" i="1" s="1"/>
  <c r="BK296" i="1"/>
  <c r="BK324" i="1" s="1"/>
  <c r="BK265" i="1"/>
  <c r="BC265" i="1"/>
  <c r="AP265" i="1"/>
  <c r="BU322" i="1"/>
  <c r="BO322" i="1"/>
  <c r="BJ296" i="1"/>
  <c r="BJ324" i="1" s="1"/>
  <c r="BL322" i="1"/>
  <c r="BH322" i="1"/>
  <c r="BD322" i="1"/>
  <c r="BB265" i="1"/>
  <c r="AC265" i="1"/>
  <c r="AB265" i="1"/>
  <c r="H296" i="1"/>
  <c r="BF322" i="1"/>
  <c r="AO265" i="1"/>
  <c r="BE322" i="1"/>
  <c r="AG322" i="1"/>
  <c r="BB322" i="1" l="1"/>
  <c r="D5" i="5" s="1"/>
  <c r="AC322" i="1"/>
  <c r="AB322" i="1"/>
  <c r="AO322" i="1"/>
  <c r="BC322" i="1"/>
  <c r="AP322" i="1"/>
  <c r="BK322" i="1"/>
  <c r="BJ322" i="1"/>
  <c r="E308" i="1"/>
  <c r="E299" i="1"/>
  <c r="E297" i="1"/>
  <c r="E242" i="1"/>
  <c r="Z323" i="1"/>
  <c r="R323" i="1"/>
  <c r="Q323" i="1"/>
  <c r="P323" i="1"/>
  <c r="O323" i="1"/>
  <c r="N323" i="1"/>
  <c r="M323" i="1"/>
  <c r="L323" i="1"/>
  <c r="K323" i="1"/>
  <c r="I323" i="1"/>
  <c r="Z319" i="1"/>
  <c r="R319" i="1"/>
  <c r="Q319" i="1"/>
  <c r="P319" i="1"/>
  <c r="O319" i="1"/>
  <c r="N319" i="1"/>
  <c r="M319" i="1"/>
  <c r="L319" i="1"/>
  <c r="K319" i="1"/>
  <c r="I319" i="1"/>
  <c r="G319" i="1"/>
  <c r="Z312" i="1"/>
  <c r="R312" i="1"/>
  <c r="Q312" i="1"/>
  <c r="P312" i="1"/>
  <c r="O312" i="1"/>
  <c r="N312" i="1"/>
  <c r="M312" i="1"/>
  <c r="L312" i="1"/>
  <c r="K312" i="1"/>
  <c r="I312" i="1"/>
  <c r="G312" i="1"/>
  <c r="Z308" i="1"/>
  <c r="R308" i="1"/>
  <c r="Q308" i="1"/>
  <c r="P308" i="1"/>
  <c r="O308" i="1"/>
  <c r="N308" i="1"/>
  <c r="M308" i="1"/>
  <c r="L308" i="1"/>
  <c r="K308" i="1"/>
  <c r="I308" i="1"/>
  <c r="G308" i="1"/>
  <c r="Z304" i="1"/>
  <c r="R304" i="1"/>
  <c r="Q304" i="1"/>
  <c r="P304" i="1"/>
  <c r="O304" i="1"/>
  <c r="N304" i="1"/>
  <c r="M304" i="1"/>
  <c r="L304" i="1"/>
  <c r="K304" i="1"/>
  <c r="I304" i="1"/>
  <c r="G304" i="1"/>
  <c r="Z299" i="1"/>
  <c r="R299" i="1"/>
  <c r="Q299" i="1"/>
  <c r="P299" i="1"/>
  <c r="O299" i="1"/>
  <c r="N299" i="1"/>
  <c r="M299" i="1"/>
  <c r="L299" i="1"/>
  <c r="K299" i="1"/>
  <c r="I299" i="1"/>
  <c r="G299" i="1"/>
  <c r="Z297" i="1"/>
  <c r="R297" i="1"/>
  <c r="Q297" i="1"/>
  <c r="P297" i="1"/>
  <c r="O297" i="1"/>
  <c r="N297" i="1"/>
  <c r="M297" i="1"/>
  <c r="L297" i="1"/>
  <c r="K297" i="1"/>
  <c r="I297" i="1"/>
  <c r="G297" i="1"/>
  <c r="Z266" i="1"/>
  <c r="R266" i="1"/>
  <c r="Q266" i="1"/>
  <c r="P266" i="1"/>
  <c r="O266" i="1"/>
  <c r="N266" i="1"/>
  <c r="M266" i="1"/>
  <c r="L266" i="1"/>
  <c r="K266" i="1"/>
  <c r="I266" i="1"/>
  <c r="Z242" i="1"/>
  <c r="R242" i="1"/>
  <c r="Q242" i="1"/>
  <c r="P242" i="1"/>
  <c r="O242" i="1"/>
  <c r="N242" i="1"/>
  <c r="M242" i="1"/>
  <c r="L242" i="1"/>
  <c r="K242" i="1"/>
  <c r="I242" i="1"/>
  <c r="G242" i="1"/>
  <c r="Z133" i="1"/>
  <c r="R133" i="1"/>
  <c r="Q133" i="1"/>
  <c r="P133" i="1"/>
  <c r="O133" i="1"/>
  <c r="N133" i="1"/>
  <c r="M133" i="1"/>
  <c r="L133" i="1"/>
  <c r="K133" i="1"/>
  <c r="I133" i="1"/>
  <c r="G133" i="1"/>
  <c r="Z93" i="1"/>
  <c r="R93" i="1"/>
  <c r="Q93" i="1"/>
  <c r="P93" i="1"/>
  <c r="O93" i="1"/>
  <c r="N93" i="1"/>
  <c r="M93" i="1"/>
  <c r="L93" i="1"/>
  <c r="K93" i="1"/>
  <c r="I93" i="1"/>
  <c r="G93" i="1"/>
  <c r="Z86" i="1"/>
  <c r="R86" i="1"/>
  <c r="Q86" i="1"/>
  <c r="P86" i="1"/>
  <c r="O86" i="1"/>
  <c r="N86" i="1"/>
  <c r="M86" i="1"/>
  <c r="L86" i="1"/>
  <c r="K86" i="1"/>
  <c r="I86" i="1"/>
  <c r="G86" i="1"/>
  <c r="R74" i="1"/>
  <c r="Q74" i="1"/>
  <c r="P74" i="1"/>
  <c r="O74" i="1"/>
  <c r="N74" i="1"/>
  <c r="M74" i="1"/>
  <c r="L74" i="1"/>
  <c r="K74" i="1"/>
  <c r="I74" i="1"/>
  <c r="G74" i="1"/>
  <c r="Z64" i="1"/>
  <c r="R64" i="1"/>
  <c r="Q64" i="1"/>
  <c r="P64" i="1"/>
  <c r="O64" i="1"/>
  <c r="N64" i="1"/>
  <c r="M64" i="1"/>
  <c r="L64" i="1"/>
  <c r="K64" i="1"/>
  <c r="I64" i="1"/>
  <c r="G64" i="1"/>
  <c r="Z36" i="1"/>
  <c r="R36" i="1"/>
  <c r="Q36" i="1"/>
  <c r="P36" i="1"/>
  <c r="O36" i="1"/>
  <c r="N36" i="1"/>
  <c r="M36" i="1"/>
  <c r="L36" i="1"/>
  <c r="K36" i="1"/>
  <c r="I36" i="1"/>
  <c r="G36" i="1"/>
  <c r="Z28" i="1"/>
  <c r="R28" i="1"/>
  <c r="Q28" i="1"/>
  <c r="P28" i="1"/>
  <c r="O28" i="1"/>
  <c r="N28" i="1"/>
  <c r="M28" i="1"/>
  <c r="L28" i="1"/>
  <c r="K28" i="1"/>
  <c r="I28" i="1"/>
  <c r="G28" i="1"/>
  <c r="Z11" i="1"/>
  <c r="R11" i="1"/>
  <c r="Q11" i="1"/>
  <c r="P11" i="1"/>
  <c r="O11" i="1"/>
  <c r="N11" i="1"/>
  <c r="M11" i="1"/>
  <c r="L11" i="1"/>
  <c r="K11" i="1"/>
  <c r="I11" i="1"/>
  <c r="D319" i="1"/>
  <c r="D312" i="1"/>
  <c r="D308" i="1"/>
  <c r="D304" i="1"/>
  <c r="D299" i="1"/>
  <c r="D297" i="1"/>
  <c r="D242" i="1"/>
  <c r="D133" i="1"/>
  <c r="D86" i="1"/>
  <c r="D74" i="1"/>
  <c r="D64" i="1"/>
  <c r="D36" i="1"/>
  <c r="D28" i="1"/>
  <c r="E319" i="1"/>
  <c r="B13" i="5" l="1"/>
  <c r="E86" i="1"/>
  <c r="E64" i="1"/>
  <c r="E74" i="1"/>
  <c r="O296" i="1"/>
  <c r="O324" i="1" s="1"/>
  <c r="I296" i="1"/>
  <c r="I324" i="1" s="1"/>
  <c r="N296" i="1"/>
  <c r="N324" i="1" s="1"/>
  <c r="R296" i="1"/>
  <c r="R324" i="1" s="1"/>
  <c r="K296" i="1"/>
  <c r="K324" i="1" s="1"/>
  <c r="Z296" i="1"/>
  <c r="Z324" i="1" s="1"/>
  <c r="L296" i="1"/>
  <c r="L324" i="1" s="1"/>
  <c r="P296" i="1"/>
  <c r="P324" i="1" s="1"/>
  <c r="G296" i="1"/>
  <c r="M296" i="1"/>
  <c r="M324" i="1" s="1"/>
  <c r="Q296" i="1"/>
  <c r="Q324" i="1" s="1"/>
  <c r="E93" i="1"/>
  <c r="E28" i="1"/>
  <c r="E36" i="1"/>
  <c r="I265" i="1"/>
  <c r="E133" i="1"/>
  <c r="E304" i="1"/>
  <c r="E312" i="1"/>
  <c r="D296" i="1"/>
  <c r="M265" i="1"/>
  <c r="K265" i="1"/>
  <c r="O265" i="1"/>
  <c r="R265" i="1"/>
  <c r="Q265" i="1"/>
  <c r="N265" i="1"/>
  <c r="L265" i="1"/>
  <c r="P265" i="1"/>
  <c r="Z265" i="1"/>
  <c r="V91" i="4"/>
  <c r="U91" i="4" s="1"/>
  <c r="V70" i="4"/>
  <c r="U70" i="4" s="1"/>
  <c r="V156" i="4"/>
  <c r="U156" i="4" s="1"/>
  <c r="V155" i="4"/>
  <c r="U155" i="4" s="1"/>
  <c r="V151" i="4"/>
  <c r="U151" i="4" s="1"/>
  <c r="V150" i="4"/>
  <c r="U150" i="4" s="1"/>
  <c r="V142" i="4"/>
  <c r="U142" i="4" s="1"/>
  <c r="V132" i="4"/>
  <c r="U132" i="4" s="1"/>
  <c r="V131" i="4"/>
  <c r="U131" i="4" s="1"/>
  <c r="V141" i="4"/>
  <c r="U141" i="4" s="1"/>
  <c r="V129" i="4"/>
  <c r="V140" i="4"/>
  <c r="U140" i="4" s="1"/>
  <c r="V139" i="4"/>
  <c r="V120" i="4"/>
  <c r="U120" i="4" s="1"/>
  <c r="V119" i="4"/>
  <c r="U119" i="4" s="1"/>
  <c r="V118" i="4"/>
  <c r="U118" i="4" s="1"/>
  <c r="V117" i="4"/>
  <c r="U117" i="4" s="1"/>
  <c r="V116" i="4"/>
  <c r="U116" i="4" s="1"/>
  <c r="V114" i="4"/>
  <c r="U114" i="4" s="1"/>
  <c r="V113" i="4"/>
  <c r="U113" i="4" s="1"/>
  <c r="V112" i="4"/>
  <c r="U112" i="4" s="1"/>
  <c r="V111" i="4"/>
  <c r="U111" i="4" s="1"/>
  <c r="V110" i="4"/>
  <c r="U110" i="4" s="1"/>
  <c r="V108" i="4"/>
  <c r="U108" i="4" s="1"/>
  <c r="V107" i="4"/>
  <c r="U107" i="4" s="1"/>
  <c r="V106" i="4"/>
  <c r="U106" i="4" s="1"/>
  <c r="V105" i="4"/>
  <c r="U105" i="4" s="1"/>
  <c r="V104" i="4"/>
  <c r="U104" i="4" s="1"/>
  <c r="V103" i="4"/>
  <c r="U103" i="4" s="1"/>
  <c r="V102" i="4"/>
  <c r="U102" i="4" s="1"/>
  <c r="V101" i="4"/>
  <c r="U101" i="4" s="1"/>
  <c r="V100" i="4"/>
  <c r="U100" i="4" s="1"/>
  <c r="V99" i="4"/>
  <c r="U99" i="4" s="1"/>
  <c r="V98" i="4"/>
  <c r="U98" i="4" s="1"/>
  <c r="V97" i="4"/>
  <c r="U97" i="4" s="1"/>
  <c r="V96" i="4"/>
  <c r="V90" i="4"/>
  <c r="U90" i="4" s="1"/>
  <c r="U89" i="4" s="1"/>
  <c r="V87" i="4"/>
  <c r="U87" i="4" s="1"/>
  <c r="V86" i="4"/>
  <c r="V85" i="4"/>
  <c r="U85" i="4" s="1"/>
  <c r="V83" i="4"/>
  <c r="U83" i="4" s="1"/>
  <c r="V82" i="4"/>
  <c r="V80" i="4"/>
  <c r="U80" i="4" s="1"/>
  <c r="U79" i="4" s="1"/>
  <c r="V78" i="4"/>
  <c r="U78" i="4" s="1"/>
  <c r="V77" i="4"/>
  <c r="U77" i="4" s="1"/>
  <c r="V74" i="4"/>
  <c r="U74" i="4" s="1"/>
  <c r="V73" i="4"/>
  <c r="V69" i="4"/>
  <c r="U69" i="4" s="1"/>
  <c r="V67" i="4"/>
  <c r="U67" i="4" s="1"/>
  <c r="V66" i="4"/>
  <c r="V63" i="4"/>
  <c r="U63" i="4" s="1"/>
  <c r="U62" i="4" s="1"/>
  <c r="V61" i="4"/>
  <c r="U61" i="4" s="1"/>
  <c r="V60" i="4"/>
  <c r="U60" i="4" s="1"/>
  <c r="V59" i="4"/>
  <c r="V57" i="4"/>
  <c r="V54" i="4"/>
  <c r="V53" i="4" s="1"/>
  <c r="V52" i="4"/>
  <c r="U52" i="4" s="1"/>
  <c r="U51" i="4" s="1"/>
  <c r="V49" i="4"/>
  <c r="V46" i="4"/>
  <c r="U46" i="4" s="1"/>
  <c r="U45" i="4" s="1"/>
  <c r="U44" i="4" s="1"/>
  <c r="V43" i="4"/>
  <c r="U43" i="4" s="1"/>
  <c r="V42" i="4"/>
  <c r="U42" i="4" s="1"/>
  <c r="V41" i="4"/>
  <c r="U41" i="4" s="1"/>
  <c r="V40" i="4"/>
  <c r="U40" i="4" s="1"/>
  <c r="V38" i="4"/>
  <c r="U38" i="4" s="1"/>
  <c r="V37" i="4"/>
  <c r="U37" i="4" s="1"/>
  <c r="V34" i="4"/>
  <c r="V31" i="4"/>
  <c r="U31" i="4" s="1"/>
  <c r="U30" i="4" s="1"/>
  <c r="U29" i="4" s="1"/>
  <c r="V28" i="4"/>
  <c r="V27" i="4" s="1"/>
  <c r="V25" i="4"/>
  <c r="U25" i="4" s="1"/>
  <c r="V24" i="4"/>
  <c r="V22" i="4"/>
  <c r="U22" i="4" s="1"/>
  <c r="V21" i="4"/>
  <c r="U21" i="4" s="1"/>
  <c r="V19" i="4"/>
  <c r="U19" i="4" s="1"/>
  <c r="V18" i="4"/>
  <c r="V13" i="4"/>
  <c r="F34" i="4"/>
  <c r="F33" i="4" s="1"/>
  <c r="F32" i="4" s="1"/>
  <c r="H33" i="4"/>
  <c r="H32" i="4" s="1"/>
  <c r="E33" i="4"/>
  <c r="AG34" i="4"/>
  <c r="G156" i="4"/>
  <c r="F156" i="4" s="1"/>
  <c r="G155" i="4"/>
  <c r="G151" i="4"/>
  <c r="F151" i="4" s="1"/>
  <c r="G150" i="4"/>
  <c r="F150" i="4" s="1"/>
  <c r="G142" i="4"/>
  <c r="F142" i="4" s="1"/>
  <c r="G132" i="4"/>
  <c r="F132" i="4" s="1"/>
  <c r="G131" i="4"/>
  <c r="F131" i="4" s="1"/>
  <c r="G141" i="4"/>
  <c r="F141" i="4" s="1"/>
  <c r="G129" i="4"/>
  <c r="G140" i="4"/>
  <c r="F140" i="4" s="1"/>
  <c r="G139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F154" i="4"/>
  <c r="AF153" i="4" s="1"/>
  <c r="AE154" i="4"/>
  <c r="AE153" i="4" s="1"/>
  <c r="AD154" i="4"/>
  <c r="AD153" i="4" s="1"/>
  <c r="AC154" i="4"/>
  <c r="AC153" i="4" s="1"/>
  <c r="AB154" i="4"/>
  <c r="AB153" i="4" s="1"/>
  <c r="AA154" i="4"/>
  <c r="AA153" i="4" s="1"/>
  <c r="Z154" i="4"/>
  <c r="Z153" i="4" s="1"/>
  <c r="Y154" i="4"/>
  <c r="Y153" i="4" s="1"/>
  <c r="X154" i="4"/>
  <c r="X153" i="4" s="1"/>
  <c r="W154" i="4"/>
  <c r="W153" i="4" s="1"/>
  <c r="AF149" i="4"/>
  <c r="AE149" i="4"/>
  <c r="AD149" i="4"/>
  <c r="AC149" i="4"/>
  <c r="AB149" i="4"/>
  <c r="AA149" i="4"/>
  <c r="Z149" i="4"/>
  <c r="Y149" i="4"/>
  <c r="X149" i="4"/>
  <c r="W149" i="4"/>
  <c r="AF89" i="4"/>
  <c r="AF88" i="4" s="1"/>
  <c r="AE89" i="4"/>
  <c r="AE88" i="4" s="1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AF84" i="4"/>
  <c r="AE84" i="4"/>
  <c r="AD84" i="4"/>
  <c r="AC84" i="4"/>
  <c r="AB84" i="4"/>
  <c r="AA84" i="4"/>
  <c r="Z84" i="4"/>
  <c r="Y84" i="4"/>
  <c r="X84" i="4"/>
  <c r="W84" i="4"/>
  <c r="AF81" i="4"/>
  <c r="AE81" i="4"/>
  <c r="AD81" i="4"/>
  <c r="AC81" i="4"/>
  <c r="AB81" i="4"/>
  <c r="AA81" i="4"/>
  <c r="Z81" i="4"/>
  <c r="Y81" i="4"/>
  <c r="X81" i="4"/>
  <c r="W81" i="4"/>
  <c r="AF79" i="4"/>
  <c r="AE79" i="4"/>
  <c r="AD79" i="4"/>
  <c r="AC79" i="4"/>
  <c r="AB79" i="4"/>
  <c r="AA79" i="4"/>
  <c r="Z79" i="4"/>
  <c r="Y79" i="4"/>
  <c r="X79" i="4"/>
  <c r="W79" i="4"/>
  <c r="AF76" i="4"/>
  <c r="AE76" i="4"/>
  <c r="AD76" i="4"/>
  <c r="AC76" i="4"/>
  <c r="AB76" i="4"/>
  <c r="AA76" i="4"/>
  <c r="Z76" i="4"/>
  <c r="Y76" i="4"/>
  <c r="X76" i="4"/>
  <c r="W76" i="4"/>
  <c r="AF72" i="4"/>
  <c r="AE72" i="4"/>
  <c r="AD72" i="4"/>
  <c r="AC72" i="4"/>
  <c r="AB72" i="4"/>
  <c r="AA72" i="4"/>
  <c r="Z72" i="4"/>
  <c r="Y72" i="4"/>
  <c r="X72" i="4"/>
  <c r="W72" i="4"/>
  <c r="AF68" i="4"/>
  <c r="AE68" i="4"/>
  <c r="AD68" i="4"/>
  <c r="AC68" i="4"/>
  <c r="AB68" i="4"/>
  <c r="AA68" i="4"/>
  <c r="Z68" i="4"/>
  <c r="Y68" i="4"/>
  <c r="X68" i="4"/>
  <c r="W68" i="4"/>
  <c r="AF65" i="4"/>
  <c r="AF64" i="4" s="1"/>
  <c r="AE65" i="4"/>
  <c r="AE64" i="4" s="1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AF62" i="4"/>
  <c r="AE62" i="4"/>
  <c r="AD62" i="4"/>
  <c r="AC62" i="4"/>
  <c r="AB62" i="4"/>
  <c r="AA62" i="4"/>
  <c r="Z62" i="4"/>
  <c r="Y62" i="4"/>
  <c r="X62" i="4"/>
  <c r="W62" i="4"/>
  <c r="AF58" i="4"/>
  <c r="AE58" i="4"/>
  <c r="AD58" i="4"/>
  <c r="AC58" i="4"/>
  <c r="AB58" i="4"/>
  <c r="AA58" i="4"/>
  <c r="Z58" i="4"/>
  <c r="Y58" i="4"/>
  <c r="X58" i="4"/>
  <c r="W58" i="4"/>
  <c r="AF56" i="4"/>
  <c r="AE56" i="4"/>
  <c r="AD56" i="4"/>
  <c r="AC56" i="4"/>
  <c r="AB56" i="4"/>
  <c r="AA56" i="4"/>
  <c r="Z56" i="4"/>
  <c r="Y56" i="4"/>
  <c r="X56" i="4"/>
  <c r="W56" i="4"/>
  <c r="AF53" i="4"/>
  <c r="AE53" i="4"/>
  <c r="AD53" i="4"/>
  <c r="AC53" i="4"/>
  <c r="AB53" i="4"/>
  <c r="AA53" i="4"/>
  <c r="Z53" i="4"/>
  <c r="Y53" i="4"/>
  <c r="X53" i="4"/>
  <c r="W53" i="4"/>
  <c r="AF51" i="4"/>
  <c r="AE51" i="4"/>
  <c r="AD51" i="4"/>
  <c r="AC51" i="4"/>
  <c r="AB51" i="4"/>
  <c r="AA51" i="4"/>
  <c r="Z51" i="4"/>
  <c r="Y51" i="4"/>
  <c r="X51" i="4"/>
  <c r="W51" i="4"/>
  <c r="AF48" i="4"/>
  <c r="AE48" i="4"/>
  <c r="AD48" i="4"/>
  <c r="AC48" i="4"/>
  <c r="AB48" i="4"/>
  <c r="AA48" i="4"/>
  <c r="Z48" i="4"/>
  <c r="Y48" i="4"/>
  <c r="X48" i="4"/>
  <c r="W48" i="4"/>
  <c r="AF45" i="4"/>
  <c r="AF44" i="4" s="1"/>
  <c r="AE45" i="4"/>
  <c r="AE44" i="4" s="1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AF39" i="4"/>
  <c r="AE39" i="4"/>
  <c r="AD39" i="4"/>
  <c r="AC39" i="4"/>
  <c r="AB39" i="4"/>
  <c r="AA39" i="4"/>
  <c r="Z39" i="4"/>
  <c r="Y39" i="4"/>
  <c r="X39" i="4"/>
  <c r="W39" i="4"/>
  <c r="AF36" i="4"/>
  <c r="AE36" i="4"/>
  <c r="AD36" i="4"/>
  <c r="AC36" i="4"/>
  <c r="AB36" i="4"/>
  <c r="AA36" i="4"/>
  <c r="Z36" i="4"/>
  <c r="Y36" i="4"/>
  <c r="X36" i="4"/>
  <c r="W36" i="4"/>
  <c r="AF33" i="4"/>
  <c r="AF32" i="4" s="1"/>
  <c r="AE33" i="4"/>
  <c r="AE32" i="4" s="1"/>
  <c r="AD33" i="4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D32" i="4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F27" i="4"/>
  <c r="AE27" i="4"/>
  <c r="AD27" i="4"/>
  <c r="AC27" i="4"/>
  <c r="AB27" i="4"/>
  <c r="AA27" i="4"/>
  <c r="Z27" i="4"/>
  <c r="Y27" i="4"/>
  <c r="X27" i="4"/>
  <c r="W27" i="4"/>
  <c r="AF23" i="4"/>
  <c r="AE23" i="4"/>
  <c r="AD23" i="4"/>
  <c r="AC23" i="4"/>
  <c r="AB23" i="4"/>
  <c r="AA23" i="4"/>
  <c r="Z23" i="4"/>
  <c r="Y23" i="4"/>
  <c r="X23" i="4"/>
  <c r="W23" i="4"/>
  <c r="AF20" i="4"/>
  <c r="AE20" i="4"/>
  <c r="AD20" i="4"/>
  <c r="AC20" i="4"/>
  <c r="AB20" i="4"/>
  <c r="AA20" i="4"/>
  <c r="Z20" i="4"/>
  <c r="Y20" i="4"/>
  <c r="X20" i="4"/>
  <c r="W20" i="4"/>
  <c r="AF17" i="4"/>
  <c r="AE17" i="4"/>
  <c r="AD17" i="4"/>
  <c r="AC17" i="4"/>
  <c r="AB17" i="4"/>
  <c r="AA17" i="4"/>
  <c r="Z17" i="4"/>
  <c r="Y17" i="4"/>
  <c r="X17" i="4"/>
  <c r="W17" i="4"/>
  <c r="AF11" i="4"/>
  <c r="AF10" i="4" s="1"/>
  <c r="AE11" i="4"/>
  <c r="AE10" i="4" s="1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S154" i="4"/>
  <c r="S153" i="4" s="1"/>
  <c r="P154" i="4"/>
  <c r="P153" i="4" s="1"/>
  <c r="O154" i="4"/>
  <c r="O153" i="4" s="1"/>
  <c r="N154" i="4"/>
  <c r="N153" i="4" s="1"/>
  <c r="M154" i="4"/>
  <c r="M153" i="4" s="1"/>
  <c r="L154" i="4"/>
  <c r="L153" i="4" s="1"/>
  <c r="K154" i="4"/>
  <c r="K153" i="4" s="1"/>
  <c r="J154" i="4"/>
  <c r="J153" i="4" s="1"/>
  <c r="I154" i="4"/>
  <c r="I153" i="4" s="1"/>
  <c r="H154" i="4"/>
  <c r="H153" i="4" s="1"/>
  <c r="S149" i="4"/>
  <c r="P149" i="4"/>
  <c r="O149" i="4"/>
  <c r="N149" i="4"/>
  <c r="M149" i="4"/>
  <c r="L149" i="4"/>
  <c r="K149" i="4"/>
  <c r="J149" i="4"/>
  <c r="I149" i="4"/>
  <c r="H149" i="4"/>
  <c r="S89" i="4"/>
  <c r="S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S84" i="4"/>
  <c r="P84" i="4"/>
  <c r="O84" i="4"/>
  <c r="N84" i="4"/>
  <c r="M84" i="4"/>
  <c r="L84" i="4"/>
  <c r="K84" i="4"/>
  <c r="J84" i="4"/>
  <c r="I84" i="4"/>
  <c r="H84" i="4"/>
  <c r="S81" i="4"/>
  <c r="P81" i="4"/>
  <c r="O81" i="4"/>
  <c r="N81" i="4"/>
  <c r="M81" i="4"/>
  <c r="L81" i="4"/>
  <c r="K81" i="4"/>
  <c r="J81" i="4"/>
  <c r="I81" i="4"/>
  <c r="H81" i="4"/>
  <c r="S79" i="4"/>
  <c r="P79" i="4"/>
  <c r="O79" i="4"/>
  <c r="N79" i="4"/>
  <c r="M79" i="4"/>
  <c r="L79" i="4"/>
  <c r="K79" i="4"/>
  <c r="J79" i="4"/>
  <c r="I79" i="4"/>
  <c r="H79" i="4"/>
  <c r="S76" i="4"/>
  <c r="P76" i="4"/>
  <c r="O76" i="4"/>
  <c r="N76" i="4"/>
  <c r="M76" i="4"/>
  <c r="L76" i="4"/>
  <c r="K76" i="4"/>
  <c r="J76" i="4"/>
  <c r="I76" i="4"/>
  <c r="H76" i="4"/>
  <c r="S72" i="4"/>
  <c r="P72" i="4"/>
  <c r="O72" i="4"/>
  <c r="N72" i="4"/>
  <c r="M72" i="4"/>
  <c r="L72" i="4"/>
  <c r="K72" i="4"/>
  <c r="J72" i="4"/>
  <c r="I72" i="4"/>
  <c r="H72" i="4"/>
  <c r="S68" i="4"/>
  <c r="P68" i="4"/>
  <c r="O68" i="4"/>
  <c r="N68" i="4"/>
  <c r="M68" i="4"/>
  <c r="L68" i="4"/>
  <c r="K68" i="4"/>
  <c r="J68" i="4"/>
  <c r="I68" i="4"/>
  <c r="H68" i="4"/>
  <c r="S65" i="4"/>
  <c r="S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S62" i="4"/>
  <c r="P62" i="4"/>
  <c r="O62" i="4"/>
  <c r="N62" i="4"/>
  <c r="M62" i="4"/>
  <c r="L62" i="4"/>
  <c r="K62" i="4"/>
  <c r="J62" i="4"/>
  <c r="I62" i="4"/>
  <c r="H62" i="4"/>
  <c r="S58" i="4"/>
  <c r="P58" i="4"/>
  <c r="O58" i="4"/>
  <c r="N58" i="4"/>
  <c r="M58" i="4"/>
  <c r="L58" i="4"/>
  <c r="K58" i="4"/>
  <c r="J58" i="4"/>
  <c r="I58" i="4"/>
  <c r="H58" i="4"/>
  <c r="S56" i="4"/>
  <c r="P56" i="4"/>
  <c r="O56" i="4"/>
  <c r="N56" i="4"/>
  <c r="M56" i="4"/>
  <c r="L56" i="4"/>
  <c r="K56" i="4"/>
  <c r="J56" i="4"/>
  <c r="I56" i="4"/>
  <c r="H56" i="4"/>
  <c r="S53" i="4"/>
  <c r="P53" i="4"/>
  <c r="O53" i="4"/>
  <c r="N53" i="4"/>
  <c r="M53" i="4"/>
  <c r="L53" i="4"/>
  <c r="K53" i="4"/>
  <c r="J53" i="4"/>
  <c r="I53" i="4"/>
  <c r="H53" i="4"/>
  <c r="S51" i="4"/>
  <c r="P51" i="4"/>
  <c r="O51" i="4"/>
  <c r="N51" i="4"/>
  <c r="M51" i="4"/>
  <c r="L51" i="4"/>
  <c r="K51" i="4"/>
  <c r="J51" i="4"/>
  <c r="I51" i="4"/>
  <c r="H51" i="4"/>
  <c r="S48" i="4"/>
  <c r="P48" i="4"/>
  <c r="O48" i="4"/>
  <c r="N48" i="4"/>
  <c r="M48" i="4"/>
  <c r="L48" i="4"/>
  <c r="K48" i="4"/>
  <c r="J48" i="4"/>
  <c r="I48" i="4"/>
  <c r="H48" i="4"/>
  <c r="S45" i="4"/>
  <c r="S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S39" i="4"/>
  <c r="P39" i="4"/>
  <c r="O39" i="4"/>
  <c r="N39" i="4"/>
  <c r="M39" i="4"/>
  <c r="L39" i="4"/>
  <c r="K39" i="4"/>
  <c r="J39" i="4"/>
  <c r="I39" i="4"/>
  <c r="H39" i="4"/>
  <c r="S36" i="4"/>
  <c r="P36" i="4"/>
  <c r="O36" i="4"/>
  <c r="N36" i="4"/>
  <c r="M36" i="4"/>
  <c r="L36" i="4"/>
  <c r="K36" i="4"/>
  <c r="J36" i="4"/>
  <c r="I36" i="4"/>
  <c r="H36" i="4"/>
  <c r="S33" i="4"/>
  <c r="S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S30" i="4"/>
  <c r="S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S27" i="4"/>
  <c r="P27" i="4"/>
  <c r="O27" i="4"/>
  <c r="N27" i="4"/>
  <c r="M27" i="4"/>
  <c r="L27" i="4"/>
  <c r="K27" i="4"/>
  <c r="J27" i="4"/>
  <c r="I27" i="4"/>
  <c r="H27" i="4"/>
  <c r="S23" i="4"/>
  <c r="P23" i="4"/>
  <c r="O23" i="4"/>
  <c r="N23" i="4"/>
  <c r="M23" i="4"/>
  <c r="L23" i="4"/>
  <c r="K23" i="4"/>
  <c r="J23" i="4"/>
  <c r="I23" i="4"/>
  <c r="H23" i="4"/>
  <c r="S20" i="4"/>
  <c r="P20" i="4"/>
  <c r="O20" i="4"/>
  <c r="N20" i="4"/>
  <c r="M20" i="4"/>
  <c r="L20" i="4"/>
  <c r="K20" i="4"/>
  <c r="J20" i="4"/>
  <c r="I20" i="4"/>
  <c r="H20" i="4"/>
  <c r="S17" i="4"/>
  <c r="P17" i="4"/>
  <c r="O17" i="4"/>
  <c r="N17" i="4"/>
  <c r="M17" i="4"/>
  <c r="L17" i="4"/>
  <c r="K17" i="4"/>
  <c r="J17" i="4"/>
  <c r="I17" i="4"/>
  <c r="H17" i="4"/>
  <c r="S11" i="4"/>
  <c r="S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G150" i="4"/>
  <c r="AG151" i="4"/>
  <c r="T68" i="4"/>
  <c r="E68" i="4"/>
  <c r="T65" i="4"/>
  <c r="E65" i="4"/>
  <c r="E64" i="4" s="1"/>
  <c r="G56" i="4" l="1"/>
  <c r="V89" i="4"/>
  <c r="V88" i="4" s="1"/>
  <c r="U129" i="4"/>
  <c r="U127" i="4" s="1"/>
  <c r="V127" i="4"/>
  <c r="G137" i="4"/>
  <c r="F129" i="4"/>
  <c r="F127" i="4" s="1"/>
  <c r="G127" i="4"/>
  <c r="V137" i="4"/>
  <c r="F139" i="4"/>
  <c r="F137" i="4" s="1"/>
  <c r="U139" i="4"/>
  <c r="U137" i="4" s="1"/>
  <c r="U96" i="4"/>
  <c r="U95" i="4" s="1"/>
  <c r="V95" i="4"/>
  <c r="U13" i="4"/>
  <c r="AH13" i="4" s="1"/>
  <c r="V12" i="4"/>
  <c r="V11" i="4" s="1"/>
  <c r="V10" i="4" s="1"/>
  <c r="F28" i="4"/>
  <c r="F27" i="4" s="1"/>
  <c r="G95" i="4"/>
  <c r="F51" i="4"/>
  <c r="AH52" i="4"/>
  <c r="AH51" i="4" s="1"/>
  <c r="F31" i="4"/>
  <c r="F30" i="4" s="1"/>
  <c r="F29" i="4" s="1"/>
  <c r="F12" i="4"/>
  <c r="F11" i="4" s="1"/>
  <c r="F10" i="4" s="1"/>
  <c r="I322" i="1"/>
  <c r="X55" i="4"/>
  <c r="AB55" i="4"/>
  <c r="M322" i="1"/>
  <c r="E296" i="1"/>
  <c r="B12" i="5" s="1"/>
  <c r="V30" i="4"/>
  <c r="V29" i="4" s="1"/>
  <c r="V26" i="4" s="1"/>
  <c r="AA50" i="4"/>
  <c r="AA47" i="4" s="1"/>
  <c r="V62" i="4"/>
  <c r="AH83" i="4"/>
  <c r="Y26" i="4"/>
  <c r="AC26" i="4"/>
  <c r="V51" i="4"/>
  <c r="V50" i="4" s="1"/>
  <c r="AC16" i="4"/>
  <c r="AC15" i="4" s="1"/>
  <c r="AF55" i="4"/>
  <c r="I50" i="4"/>
  <c r="I47" i="4" s="1"/>
  <c r="Z147" i="4"/>
  <c r="AD147" i="4"/>
  <c r="AH21" i="4"/>
  <c r="V76" i="4"/>
  <c r="AH77" i="4"/>
  <c r="G30" i="4"/>
  <c r="G29" i="4" s="1"/>
  <c r="H35" i="4"/>
  <c r="L35" i="4"/>
  <c r="P35" i="4"/>
  <c r="H55" i="4"/>
  <c r="L55" i="4"/>
  <c r="P55" i="4"/>
  <c r="G76" i="4"/>
  <c r="X147" i="4"/>
  <c r="AB147" i="4"/>
  <c r="AF147" i="4"/>
  <c r="AH19" i="4"/>
  <c r="AH25" i="4"/>
  <c r="Y35" i="4"/>
  <c r="AC35" i="4"/>
  <c r="Z75" i="4"/>
  <c r="Z71" i="4" s="1"/>
  <c r="AD75" i="4"/>
  <c r="AD71" i="4" s="1"/>
  <c r="AH108" i="4"/>
  <c r="V149" i="4"/>
  <c r="AH106" i="4"/>
  <c r="AH111" i="4"/>
  <c r="AH116" i="4"/>
  <c r="AH120" i="4"/>
  <c r="AH141" i="4"/>
  <c r="AH150" i="4"/>
  <c r="AH70" i="4"/>
  <c r="P322" i="1"/>
  <c r="R322" i="1"/>
  <c r="K322" i="1"/>
  <c r="O322" i="1"/>
  <c r="Z322" i="1"/>
  <c r="N322" i="1"/>
  <c r="Q322" i="1"/>
  <c r="L322" i="1"/>
  <c r="AH38" i="4"/>
  <c r="AH43" i="4"/>
  <c r="U88" i="4"/>
  <c r="AB16" i="4"/>
  <c r="AB15" i="4" s="1"/>
  <c r="V36" i="4"/>
  <c r="Z35" i="4"/>
  <c r="AD35" i="4"/>
  <c r="X35" i="4"/>
  <c r="AF35" i="4"/>
  <c r="AE147" i="4"/>
  <c r="AH98" i="4"/>
  <c r="AH102" i="4"/>
  <c r="V68" i="4"/>
  <c r="AH131" i="4"/>
  <c r="AH151" i="4"/>
  <c r="AH91" i="4"/>
  <c r="AH41" i="4"/>
  <c r="AH97" i="4"/>
  <c r="AH101" i="4"/>
  <c r="U68" i="4"/>
  <c r="G17" i="4"/>
  <c r="AH42" i="4"/>
  <c r="AH60" i="4"/>
  <c r="AH67" i="4"/>
  <c r="AH74" i="4"/>
  <c r="AH87" i="4"/>
  <c r="AH105" i="4"/>
  <c r="AH110" i="4"/>
  <c r="AH114" i="4"/>
  <c r="AH140" i="4"/>
  <c r="AH132" i="4"/>
  <c r="AA147" i="4"/>
  <c r="AH104" i="4"/>
  <c r="AH118" i="4"/>
  <c r="G23" i="4"/>
  <c r="AE26" i="4"/>
  <c r="AE50" i="4"/>
  <c r="AE47" i="4" s="1"/>
  <c r="AH22" i="4"/>
  <c r="AH61" i="4"/>
  <c r="AH99" i="4"/>
  <c r="AH103" i="4"/>
  <c r="AH142" i="4"/>
  <c r="AH37" i="4"/>
  <c r="AH113" i="4"/>
  <c r="W35" i="4"/>
  <c r="AA35" i="4"/>
  <c r="V23" i="4"/>
  <c r="AH40" i="4"/>
  <c r="AH78" i="4"/>
  <c r="AH85" i="4"/>
  <c r="AH100" i="4"/>
  <c r="AH107" i="4"/>
  <c r="AH112" i="4"/>
  <c r="AH117" i="4"/>
  <c r="AH156" i="4"/>
  <c r="AH69" i="4"/>
  <c r="AB35" i="4"/>
  <c r="V154" i="4"/>
  <c r="V153" i="4" s="1"/>
  <c r="AH63" i="4"/>
  <c r="AH62" i="4" s="1"/>
  <c r="Y75" i="4"/>
  <c r="Y71" i="4" s="1"/>
  <c r="G27" i="4"/>
  <c r="X16" i="4"/>
  <c r="X15" i="4" s="1"/>
  <c r="AF16" i="4"/>
  <c r="AF15" i="4" s="1"/>
  <c r="X50" i="4"/>
  <c r="X47" i="4" s="1"/>
  <c r="AB50" i="4"/>
  <c r="AB47" i="4" s="1"/>
  <c r="AF50" i="4"/>
  <c r="AF47" i="4" s="1"/>
  <c r="Y55" i="4"/>
  <c r="AC55" i="4"/>
  <c r="W55" i="4"/>
  <c r="AA55" i="4"/>
  <c r="AE55" i="4"/>
  <c r="W147" i="4"/>
  <c r="U154" i="4"/>
  <c r="U153" i="4" s="1"/>
  <c r="AH80" i="4"/>
  <c r="AH79" i="4" s="1"/>
  <c r="AC75" i="4"/>
  <c r="AC71" i="4" s="1"/>
  <c r="AH90" i="4"/>
  <c r="AH89" i="4" s="1"/>
  <c r="G89" i="4"/>
  <c r="G88" i="4" s="1"/>
  <c r="Y16" i="4"/>
  <c r="Y15" i="4" s="1"/>
  <c r="Y50" i="4"/>
  <c r="Y47" i="4" s="1"/>
  <c r="AC50" i="4"/>
  <c r="AC47" i="4" s="1"/>
  <c r="W50" i="4"/>
  <c r="W47" i="4" s="1"/>
  <c r="Z55" i="4"/>
  <c r="AD55" i="4"/>
  <c r="U28" i="4"/>
  <c r="U149" i="4"/>
  <c r="G62" i="4"/>
  <c r="AE35" i="4"/>
  <c r="V45" i="4"/>
  <c r="V44" i="4" s="1"/>
  <c r="W75" i="4"/>
  <c r="W71" i="4" s="1"/>
  <c r="AA75" i="4"/>
  <c r="AA71" i="4" s="1"/>
  <c r="AE75" i="4"/>
  <c r="AE71" i="4" s="1"/>
  <c r="G45" i="4"/>
  <c r="G44" i="4" s="1"/>
  <c r="Z16" i="4"/>
  <c r="Z15" i="4" s="1"/>
  <c r="AD16" i="4"/>
  <c r="AD15" i="4" s="1"/>
  <c r="Z26" i="4"/>
  <c r="AD26" i="4"/>
  <c r="AB26" i="4"/>
  <c r="AF26" i="4"/>
  <c r="V58" i="4"/>
  <c r="W16" i="4"/>
  <c r="W15" i="4" s="1"/>
  <c r="AA16" i="4"/>
  <c r="AA15" i="4" s="1"/>
  <c r="AE16" i="4"/>
  <c r="AE15" i="4" s="1"/>
  <c r="W26" i="4"/>
  <c r="X26" i="4"/>
  <c r="V39" i="4"/>
  <c r="V79" i="4"/>
  <c r="U54" i="4"/>
  <c r="Y147" i="4"/>
  <c r="AC147" i="4"/>
  <c r="U34" i="4"/>
  <c r="V33" i="4"/>
  <c r="V32" i="4" s="1"/>
  <c r="U39" i="4"/>
  <c r="V65" i="4"/>
  <c r="V64" i="4" s="1"/>
  <c r="U66" i="4"/>
  <c r="U73" i="4"/>
  <c r="V72" i="4"/>
  <c r="AA26" i="4"/>
  <c r="Z50" i="4"/>
  <c r="Z47" i="4" s="1"/>
  <c r="AD50" i="4"/>
  <c r="AD47" i="4" s="1"/>
  <c r="F155" i="4"/>
  <c r="AH155" i="4" s="1"/>
  <c r="G154" i="4"/>
  <c r="G153" i="4" s="1"/>
  <c r="X75" i="4"/>
  <c r="X71" i="4" s="1"/>
  <c r="AB75" i="4"/>
  <c r="AB71" i="4" s="1"/>
  <c r="AF75" i="4"/>
  <c r="AF71" i="4" s="1"/>
  <c r="V17" i="4"/>
  <c r="U18" i="4"/>
  <c r="U49" i="4"/>
  <c r="AH49" i="4" s="1"/>
  <c r="V48" i="4"/>
  <c r="U57" i="4"/>
  <c r="V56" i="4"/>
  <c r="U82" i="4"/>
  <c r="V81" i="4"/>
  <c r="U86" i="4"/>
  <c r="V84" i="4"/>
  <c r="U24" i="4"/>
  <c r="U36" i="4"/>
  <c r="U59" i="4"/>
  <c r="U20" i="4"/>
  <c r="I35" i="4"/>
  <c r="M35" i="4"/>
  <c r="S35" i="4"/>
  <c r="V20" i="4"/>
  <c r="U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S50" i="4"/>
  <c r="S47" i="4" s="1"/>
  <c r="G68" i="4"/>
  <c r="G79" i="4"/>
  <c r="F72" i="4"/>
  <c r="F84" i="4"/>
  <c r="G20" i="4"/>
  <c r="G39" i="4"/>
  <c r="G51" i="4"/>
  <c r="G50" i="4" s="1"/>
  <c r="G72" i="4"/>
  <c r="S75" i="4"/>
  <c r="S71" i="4" s="1"/>
  <c r="G84" i="4"/>
  <c r="G149" i="4"/>
  <c r="F17" i="4"/>
  <c r="F36" i="4"/>
  <c r="F68" i="4"/>
  <c r="F81" i="4"/>
  <c r="F65" i="4"/>
  <c r="F64" i="4" s="1"/>
  <c r="F149" i="4"/>
  <c r="G58" i="4"/>
  <c r="G55" i="4" s="1"/>
  <c r="G81" i="4"/>
  <c r="G65" i="4"/>
  <c r="G64" i="4" s="1"/>
  <c r="M147" i="4"/>
  <c r="F23" i="4"/>
  <c r="F76" i="4"/>
  <c r="F88" i="4"/>
  <c r="F39" i="4"/>
  <c r="S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S147" i="4"/>
  <c r="J35" i="4"/>
  <c r="K50" i="4"/>
  <c r="K47" i="4" s="1"/>
  <c r="O50" i="4"/>
  <c r="O47" i="4" s="1"/>
  <c r="H26" i="4"/>
  <c r="L26" i="4"/>
  <c r="P26" i="4"/>
  <c r="I147" i="4"/>
  <c r="M26" i="4"/>
  <c r="I75" i="4"/>
  <c r="I71" i="4" s="1"/>
  <c r="M75" i="4"/>
  <c r="M71" i="4" s="1"/>
  <c r="I55" i="4"/>
  <c r="M55" i="4"/>
  <c r="S55" i="4"/>
  <c r="J55" i="4"/>
  <c r="N55" i="4"/>
  <c r="K147" i="4"/>
  <c r="I16" i="4"/>
  <c r="I15" i="4" s="1"/>
  <c r="M16" i="4"/>
  <c r="M15" i="4" s="1"/>
  <c r="S16" i="4"/>
  <c r="S15" i="4" s="1"/>
  <c r="I26" i="4"/>
  <c r="H75" i="4"/>
  <c r="H71" i="4" s="1"/>
  <c r="L75" i="4"/>
  <c r="L71" i="4" s="1"/>
  <c r="P75" i="4"/>
  <c r="P71" i="4" s="1"/>
  <c r="K26" i="4"/>
  <c r="O26" i="4"/>
  <c r="K55" i="4"/>
  <c r="O55" i="4"/>
  <c r="O147" i="4"/>
  <c r="J147" i="4"/>
  <c r="N147" i="4"/>
  <c r="H147" i="4"/>
  <c r="L147" i="4"/>
  <c r="P147" i="4"/>
  <c r="F126" i="4" l="1"/>
  <c r="F125" i="4" s="1"/>
  <c r="G126" i="4"/>
  <c r="G125" i="4" s="1"/>
  <c r="AH129" i="4"/>
  <c r="AH127" i="4" s="1"/>
  <c r="AH139" i="4"/>
  <c r="AH137" i="4" s="1"/>
  <c r="V126" i="4"/>
  <c r="V125" i="4" s="1"/>
  <c r="U126" i="4"/>
  <c r="U125" i="4" s="1"/>
  <c r="U12" i="4"/>
  <c r="U11" i="4" s="1"/>
  <c r="U10" i="4" s="1"/>
  <c r="G26" i="4"/>
  <c r="F26" i="4"/>
  <c r="AH31" i="4"/>
  <c r="AH30" i="4" s="1"/>
  <c r="AH29" i="4" s="1"/>
  <c r="AH12" i="4"/>
  <c r="AH11" i="4" s="1"/>
  <c r="AH10" i="4" s="1"/>
  <c r="AH20" i="4"/>
  <c r="AH76" i="4"/>
  <c r="V35" i="4"/>
  <c r="F154" i="4"/>
  <c r="F153" i="4" s="1"/>
  <c r="F147" i="4" s="1"/>
  <c r="AH149" i="4"/>
  <c r="AH36" i="4"/>
  <c r="G16" i="4"/>
  <c r="G15" i="4" s="1"/>
  <c r="V147" i="4"/>
  <c r="AD93" i="4"/>
  <c r="AD8" i="4" s="1"/>
  <c r="AD160" i="4" s="1"/>
  <c r="W93" i="4"/>
  <c r="W8" i="4" s="1"/>
  <c r="W160" i="4" s="1"/>
  <c r="G35" i="4"/>
  <c r="V75" i="4"/>
  <c r="V71" i="4" s="1"/>
  <c r="AH154" i="4"/>
  <c r="AH153" i="4" s="1"/>
  <c r="AC93" i="4"/>
  <c r="AC8" i="4" s="1"/>
  <c r="AC160" i="4" s="1"/>
  <c r="AH68" i="4"/>
  <c r="V55" i="4"/>
  <c r="AH88" i="4"/>
  <c r="V16" i="4"/>
  <c r="V15" i="4" s="1"/>
  <c r="AH39" i="4"/>
  <c r="G147" i="4"/>
  <c r="G47" i="4"/>
  <c r="U147" i="4"/>
  <c r="F35" i="4"/>
  <c r="U35" i="4"/>
  <c r="Z93" i="4"/>
  <c r="Z8" i="4" s="1"/>
  <c r="Z160" i="4" s="1"/>
  <c r="V47" i="4"/>
  <c r="Y93" i="4"/>
  <c r="Y159" i="4" s="1"/>
  <c r="AF93" i="4"/>
  <c r="AF8" i="4" s="1"/>
  <c r="AF160" i="4" s="1"/>
  <c r="U23" i="4"/>
  <c r="AH24" i="4"/>
  <c r="AH23" i="4" s="1"/>
  <c r="U81" i="4"/>
  <c r="AH82" i="4"/>
  <c r="AH81" i="4" s="1"/>
  <c r="U48" i="4"/>
  <c r="AH48" i="4"/>
  <c r="AB93" i="4"/>
  <c r="AB8" i="4" s="1"/>
  <c r="AB160" i="4" s="1"/>
  <c r="U65" i="4"/>
  <c r="U64" i="4" s="1"/>
  <c r="AH66" i="4"/>
  <c r="AH65" i="4" s="1"/>
  <c r="AH64" i="4" s="1"/>
  <c r="U33" i="4"/>
  <c r="U32" i="4" s="1"/>
  <c r="AH34" i="4"/>
  <c r="AH33" i="4" s="1"/>
  <c r="AH32" i="4" s="1"/>
  <c r="AE93" i="4"/>
  <c r="AE8" i="4" s="1"/>
  <c r="AE160" i="4" s="1"/>
  <c r="U72" i="4"/>
  <c r="AH73" i="4"/>
  <c r="AH72" i="4" s="1"/>
  <c r="U58" i="4"/>
  <c r="U17" i="4"/>
  <c r="AH18" i="4"/>
  <c r="AH17" i="4" s="1"/>
  <c r="U27" i="4"/>
  <c r="U26" i="4" s="1"/>
  <c r="AH28" i="4"/>
  <c r="AH27" i="4" s="1"/>
  <c r="U84" i="4"/>
  <c r="AH86" i="4"/>
  <c r="AH84" i="4" s="1"/>
  <c r="U56" i="4"/>
  <c r="AH57" i="4"/>
  <c r="AH56" i="4" s="1"/>
  <c r="U53" i="4"/>
  <c r="U50" i="4" s="1"/>
  <c r="X93" i="4"/>
  <c r="X159" i="4" s="1"/>
  <c r="AA93" i="4"/>
  <c r="AA8" i="4" s="1"/>
  <c r="AA160" i="4" s="1"/>
  <c r="F75" i="4"/>
  <c r="F71" i="4" s="1"/>
  <c r="G75" i="4"/>
  <c r="G71" i="4" s="1"/>
  <c r="J93" i="4"/>
  <c r="J8" i="4" s="1"/>
  <c r="J160" i="4" s="1"/>
  <c r="S93" i="4"/>
  <c r="S8" i="4" s="1"/>
  <c r="S160" i="4" s="1"/>
  <c r="I93" i="4"/>
  <c r="I159" i="4" s="1"/>
  <c r="L93" i="4"/>
  <c r="L159" i="4" s="1"/>
  <c r="F16" i="4"/>
  <c r="F15" i="4" s="1"/>
  <c r="N93" i="4"/>
  <c r="N8" i="4" s="1"/>
  <c r="N160" i="4" s="1"/>
  <c r="H93" i="4"/>
  <c r="H8" i="4" s="1"/>
  <c r="H160" i="4" s="1"/>
  <c r="M93" i="4"/>
  <c r="M8" i="4" s="1"/>
  <c r="M160" i="4" s="1"/>
  <c r="K93" i="4"/>
  <c r="K8" i="4" s="1"/>
  <c r="K160" i="4" s="1"/>
  <c r="P93" i="4"/>
  <c r="P8" i="4" s="1"/>
  <c r="P160" i="4" s="1"/>
  <c r="O93" i="4"/>
  <c r="O8" i="4" s="1"/>
  <c r="O160" i="4" s="1"/>
  <c r="AH126" i="4" l="1"/>
  <c r="AH147" i="4"/>
  <c r="D9" i="5"/>
  <c r="AD159" i="4"/>
  <c r="W159" i="4"/>
  <c r="AH16" i="4"/>
  <c r="AH15" i="4" s="1"/>
  <c r="AH35" i="4"/>
  <c r="G93" i="4"/>
  <c r="G159" i="4" s="1"/>
  <c r="J159" i="4"/>
  <c r="AC159" i="4"/>
  <c r="AB159" i="4"/>
  <c r="Y8" i="4"/>
  <c r="Y160" i="4" s="1"/>
  <c r="V93" i="4"/>
  <c r="V159" i="4" s="1"/>
  <c r="AH26" i="4"/>
  <c r="AA159" i="4"/>
  <c r="AH75" i="4"/>
  <c r="AH71" i="4" s="1"/>
  <c r="S159" i="4"/>
  <c r="Z159" i="4"/>
  <c r="AE159" i="4"/>
  <c r="X8" i="4"/>
  <c r="X160" i="4" s="1"/>
  <c r="U75" i="4"/>
  <c r="U71" i="4" s="1"/>
  <c r="U47" i="4"/>
  <c r="AF159" i="4"/>
  <c r="U16" i="4"/>
  <c r="U15" i="4" s="1"/>
  <c r="U55" i="4"/>
  <c r="I8" i="4"/>
  <c r="I160" i="4" s="1"/>
  <c r="H159" i="4"/>
  <c r="L8" i="4"/>
  <c r="L160" i="4" s="1"/>
  <c r="M159" i="4"/>
  <c r="K159" i="4"/>
  <c r="P159" i="4"/>
  <c r="N159" i="4"/>
  <c r="O159" i="4"/>
  <c r="AH125" i="4" l="1"/>
  <c r="B11" i="5" s="1"/>
  <c r="G8" i="4"/>
  <c r="G160" i="4" s="1"/>
  <c r="V8" i="4"/>
  <c r="V160" i="4" s="1"/>
  <c r="U93" i="4"/>
  <c r="U159" i="4" s="1"/>
  <c r="U8" i="4" l="1"/>
  <c r="U160" i="4" s="1"/>
  <c r="E51" i="4" l="1"/>
  <c r="AG37" i="4" l="1"/>
  <c r="E96" i="4" l="1"/>
  <c r="AG141" i="4"/>
  <c r="F96" i="4" l="1"/>
  <c r="F23" i="1"/>
  <c r="AH96" i="4" l="1"/>
  <c r="D23" i="1"/>
  <c r="G23" i="1"/>
  <c r="E23" i="1" s="1"/>
  <c r="AG142" i="4"/>
  <c r="D11" i="1" l="1"/>
  <c r="D265" i="1" l="1"/>
  <c r="D268" i="1"/>
  <c r="G268" i="1"/>
  <c r="E54" i="4"/>
  <c r="F54" i="4" s="1"/>
  <c r="AH54" i="4" s="1"/>
  <c r="AH53" i="4" s="1"/>
  <c r="F53" i="4" l="1"/>
  <c r="F50" i="4" s="1"/>
  <c r="F47" i="4" s="1"/>
  <c r="E268" i="1"/>
  <c r="E266" i="1" s="1"/>
  <c r="B10" i="5" s="1"/>
  <c r="G266" i="1"/>
  <c r="D266" i="1"/>
  <c r="D324" i="1" s="1"/>
  <c r="D323" i="1"/>
  <c r="AG114" i="4"/>
  <c r="D322" i="1" l="1"/>
  <c r="F319" i="1"/>
  <c r="BI323" i="1"/>
  <c r="BI319" i="1"/>
  <c r="BA319" i="1"/>
  <c r="AN319" i="1"/>
  <c r="AA319" i="1"/>
  <c r="AH50" i="4" l="1"/>
  <c r="AH47" i="4" s="1"/>
  <c r="E59" i="4"/>
  <c r="F59" i="4" s="1"/>
  <c r="F58" i="4" l="1"/>
  <c r="F55" i="4" s="1"/>
  <c r="AH59" i="4"/>
  <c r="AH58" i="4" s="1"/>
  <c r="AH55" i="4" s="1"/>
  <c r="E119" i="4"/>
  <c r="E95" i="4" s="1"/>
  <c r="F119" i="4" l="1"/>
  <c r="F95" i="4" s="1"/>
  <c r="E46" i="4"/>
  <c r="F46" i="4" s="1"/>
  <c r="AH119" i="4" l="1"/>
  <c r="F45" i="4"/>
  <c r="F44" i="4" s="1"/>
  <c r="F93" i="4" s="1"/>
  <c r="AH46" i="4"/>
  <c r="AH45" i="4" s="1"/>
  <c r="AH44" i="4" s="1"/>
  <c r="AH93" i="4" s="1"/>
  <c r="T51" i="4"/>
  <c r="AH95" i="4" l="1"/>
  <c r="B9" i="5" s="1"/>
  <c r="F159" i="4"/>
  <c r="F8" i="4"/>
  <c r="F160" i="4" s="1"/>
  <c r="B4" i="5"/>
  <c r="AH159" i="4"/>
  <c r="BI312" i="1"/>
  <c r="BA312" i="1"/>
  <c r="AN312" i="1"/>
  <c r="AA312" i="1"/>
  <c r="F312" i="1"/>
  <c r="BI308" i="1"/>
  <c r="BA308" i="1"/>
  <c r="AN308" i="1"/>
  <c r="AA308" i="1"/>
  <c r="F308" i="1"/>
  <c r="BI304" i="1"/>
  <c r="BA304" i="1"/>
  <c r="AN304" i="1"/>
  <c r="AA304" i="1"/>
  <c r="F304" i="1"/>
  <c r="BI299" i="1"/>
  <c r="BA299" i="1"/>
  <c r="AN299" i="1"/>
  <c r="AA299" i="1"/>
  <c r="F299" i="1"/>
  <c r="BI297" i="1"/>
  <c r="BA297" i="1"/>
  <c r="AN297" i="1"/>
  <c r="AA297" i="1"/>
  <c r="F297" i="1"/>
  <c r="AH8" i="4" l="1"/>
  <c r="AH160" i="4" s="1"/>
  <c r="AN296" i="1"/>
  <c r="BA296" i="1"/>
  <c r="AA296" i="1"/>
  <c r="BI296" i="1"/>
  <c r="F296" i="1"/>
  <c r="BI266" i="1"/>
  <c r="BA266" i="1"/>
  <c r="AN266" i="1"/>
  <c r="AA266" i="1"/>
  <c r="AG120" i="4" l="1"/>
  <c r="AG119" i="4"/>
  <c r="T62" i="4" l="1"/>
  <c r="AG103" i="4" l="1"/>
  <c r="AG69" i="4" l="1"/>
  <c r="AG63" i="4" l="1"/>
  <c r="E154" i="4" l="1"/>
  <c r="E32" i="4" l="1"/>
  <c r="T33" i="4"/>
  <c r="T32" i="4" s="1"/>
  <c r="E53" i="4" l="1"/>
  <c r="T53" i="4"/>
  <c r="E62" i="4" l="1"/>
  <c r="AG62" i="4"/>
  <c r="AG70" i="4" l="1"/>
  <c r="AG68" i="4" s="1"/>
  <c r="AG74" i="4" l="1"/>
  <c r="AG139" i="4" l="1"/>
  <c r="AG140" i="4"/>
  <c r="AG129" i="4"/>
  <c r="AG131" i="4"/>
  <c r="AG132" i="4"/>
  <c r="AG127" i="4" l="1"/>
  <c r="AG137" i="4"/>
  <c r="T72" i="4"/>
  <c r="E72" i="4"/>
  <c r="AG126" i="4" l="1"/>
  <c r="AG125" i="4" s="1"/>
  <c r="AG33" i="4"/>
  <c r="AG32" i="4" s="1"/>
  <c r="AG13" i="4" l="1"/>
  <c r="AG12" i="4" s="1"/>
  <c r="BI242" i="1" l="1"/>
  <c r="AG156" i="4" l="1"/>
  <c r="AG155" i="4"/>
  <c r="AG118" i="4"/>
  <c r="AG117" i="4"/>
  <c r="AG113" i="4"/>
  <c r="AG112" i="4"/>
  <c r="AG111" i="4"/>
  <c r="AG110" i="4"/>
  <c r="AG107" i="4"/>
  <c r="AG106" i="4"/>
  <c r="AG104" i="4"/>
  <c r="AG102" i="4"/>
  <c r="AG101" i="4"/>
  <c r="AG96" i="4"/>
  <c r="AG87" i="4"/>
  <c r="AG73" i="4"/>
  <c r="AG72" i="4" s="1"/>
  <c r="AG67" i="4"/>
  <c r="AG66" i="4"/>
  <c r="AG61" i="4"/>
  <c r="AG60" i="4"/>
  <c r="AG59" i="4"/>
  <c r="AG57" i="4"/>
  <c r="AG54" i="4"/>
  <c r="AG53" i="4" s="1"/>
  <c r="AG52" i="4" s="1"/>
  <c r="AG49" i="4"/>
  <c r="AG46" i="4"/>
  <c r="AG43" i="4"/>
  <c r="AG42" i="4"/>
  <c r="AG41" i="4"/>
  <c r="AG40" i="4"/>
  <c r="AG38" i="4"/>
  <c r="AG31" i="4"/>
  <c r="AG28" i="4"/>
  <c r="AG25" i="4"/>
  <c r="AG24" i="4"/>
  <c r="AG22" i="4"/>
  <c r="AG21" i="4"/>
  <c r="AG19" i="4"/>
  <c r="AG18" i="4"/>
  <c r="AG65" i="4" l="1"/>
  <c r="AG39" i="4"/>
  <c r="AG51" i="4"/>
  <c r="AG116" i="4"/>
  <c r="AG154" i="4" l="1"/>
  <c r="AG153" i="4" s="1"/>
  <c r="D8" i="5" s="1"/>
  <c r="AG149" i="4"/>
  <c r="D4" i="5" s="1"/>
  <c r="D7" i="5" s="1"/>
  <c r="AG64" i="4"/>
  <c r="AG58" i="4"/>
  <c r="AG56" i="4"/>
  <c r="AG45" i="4"/>
  <c r="AG44" i="4" s="1"/>
  <c r="AG36" i="4"/>
  <c r="AG30" i="4"/>
  <c r="AG29" i="4" s="1"/>
  <c r="AG23" i="4"/>
  <c r="AG20" i="4"/>
  <c r="AG17" i="4"/>
  <c r="AG48" i="4"/>
  <c r="AG27" i="4"/>
  <c r="T154" i="4"/>
  <c r="T153" i="4" s="1"/>
  <c r="T149" i="4"/>
  <c r="T89" i="4"/>
  <c r="T88" i="4" s="1"/>
  <c r="T84" i="4"/>
  <c r="T81" i="4"/>
  <c r="T79" i="4"/>
  <c r="T76" i="4"/>
  <c r="T64" i="4"/>
  <c r="T58" i="4"/>
  <c r="T56" i="4"/>
  <c r="T48" i="4"/>
  <c r="T45" i="4"/>
  <c r="T44" i="4" s="1"/>
  <c r="T39" i="4"/>
  <c r="T36" i="4"/>
  <c r="T30" i="4"/>
  <c r="T29" i="4" s="1"/>
  <c r="T27" i="4"/>
  <c r="T23" i="4"/>
  <c r="T20" i="4"/>
  <c r="T17" i="4"/>
  <c r="T11" i="4"/>
  <c r="T10" i="4" s="1"/>
  <c r="AG55" i="4" l="1"/>
  <c r="T55" i="4"/>
  <c r="AG16" i="4"/>
  <c r="AG15" i="4" s="1"/>
  <c r="AG35" i="4"/>
  <c r="AG11" i="4"/>
  <c r="AG10" i="4" s="1"/>
  <c r="T35" i="4"/>
  <c r="T50" i="4"/>
  <c r="T47" i="4" s="1"/>
  <c r="T16" i="4"/>
  <c r="T15" i="4" s="1"/>
  <c r="AG50" i="4"/>
  <c r="AG47" i="4" s="1"/>
  <c r="AG26" i="4"/>
  <c r="T26" i="4"/>
  <c r="T75" i="4"/>
  <c r="T71" i="4" s="1"/>
  <c r="T147" i="4"/>
  <c r="AG147" i="4"/>
  <c r="T93" i="4" l="1"/>
  <c r="T8" i="4" s="1"/>
  <c r="T160" i="4" s="1"/>
  <c r="T159" i="4" l="1"/>
  <c r="BI11" i="1" l="1"/>
  <c r="BI28" i="1"/>
  <c r="BI36" i="1"/>
  <c r="BI64" i="1"/>
  <c r="BI74" i="1"/>
  <c r="BI86" i="1"/>
  <c r="BI93" i="1"/>
  <c r="BI133" i="1"/>
  <c r="BI324" i="1" l="1"/>
  <c r="BI265" i="1"/>
  <c r="BI322" i="1" s="1"/>
  <c r="AG105" i="4" l="1"/>
  <c r="AN64" i="1" l="1"/>
  <c r="E23" i="4" l="1"/>
  <c r="E20" i="4"/>
  <c r="E17" i="4"/>
  <c r="E16" i="4" l="1"/>
  <c r="E45" i="4" l="1"/>
  <c r="E44" i="4" s="1"/>
  <c r="E50" i="4" l="1"/>
  <c r="E149" i="4" l="1"/>
  <c r="E58" i="4"/>
  <c r="E56" i="4"/>
  <c r="E48" i="4"/>
  <c r="E39" i="4"/>
  <c r="E36" i="4"/>
  <c r="E29" i="4"/>
  <c r="E27" i="4"/>
  <c r="E55" i="4" l="1"/>
  <c r="E26" i="4"/>
  <c r="E153" i="4"/>
  <c r="E11" i="4"/>
  <c r="E10" i="4" s="1"/>
  <c r="E35" i="4"/>
  <c r="E47" i="4"/>
  <c r="E147" i="4" l="1"/>
  <c r="E15" i="4"/>
  <c r="AA86" i="1" l="1"/>
  <c r="AN86" i="1"/>
  <c r="BA86" i="1"/>
  <c r="BV325" i="1" l="1"/>
  <c r="F86" i="1" l="1"/>
  <c r="BA64" i="1" l="1"/>
  <c r="BA28" i="1" l="1"/>
  <c r="AA11" i="1"/>
  <c r="BA11" i="1" l="1"/>
  <c r="AN11" i="1"/>
  <c r="BA93" i="1" l="1"/>
  <c r="AN93" i="1"/>
  <c r="AA93" i="1" l="1"/>
  <c r="AA74" i="1" l="1"/>
  <c r="BA74" i="1" l="1"/>
  <c r="AG98" i="4" l="1"/>
  <c r="AG97" i="4" l="1"/>
  <c r="AG90" i="4" l="1"/>
  <c r="AG89" i="4" s="1"/>
  <c r="E89" i="4"/>
  <c r="AA28" i="1" l="1"/>
  <c r="AN28" i="1"/>
  <c r="AN74" i="1" l="1"/>
  <c r="AA64" i="1" l="1"/>
  <c r="F64" i="1" l="1"/>
  <c r="BA242" i="1" l="1"/>
  <c r="AA242" i="1"/>
  <c r="AN242" i="1"/>
  <c r="AN133" i="1" l="1"/>
  <c r="BA133" i="1" l="1"/>
  <c r="AA133" i="1"/>
  <c r="BA36" i="1" l="1"/>
  <c r="BA323" i="1"/>
  <c r="AN323" i="1"/>
  <c r="AN36" i="1"/>
  <c r="BA324" i="1" l="1"/>
  <c r="BA265" i="1"/>
  <c r="BA322" i="1" s="1"/>
  <c r="AN265" i="1"/>
  <c r="AN322" i="1" s="1"/>
  <c r="AN324" i="1"/>
  <c r="BA325" i="1" l="1"/>
  <c r="AN325" i="1"/>
  <c r="AA323" i="1" l="1"/>
  <c r="AA36" i="1"/>
  <c r="F36" i="1"/>
  <c r="AA324" i="1" l="1"/>
  <c r="AA265" i="1"/>
  <c r="AA322" i="1" s="1"/>
  <c r="AA325" i="1" l="1"/>
  <c r="AG77" i="4" l="1"/>
  <c r="E76" i="4"/>
  <c r="AG78" i="4"/>
  <c r="E81" i="4"/>
  <c r="AG82" i="4"/>
  <c r="AG83" i="4"/>
  <c r="E79" i="4"/>
  <c r="AG80" i="4"/>
  <c r="AG79" i="4" s="1"/>
  <c r="AG85" i="4"/>
  <c r="E84" i="4"/>
  <c r="AG86" i="4"/>
  <c r="E88" i="4"/>
  <c r="AG91" i="4"/>
  <c r="AG88" i="4" s="1"/>
  <c r="AG76" i="4" l="1"/>
  <c r="AG84" i="4"/>
  <c r="AG81" i="4"/>
  <c r="E75" i="4"/>
  <c r="AG75" i="4" l="1"/>
  <c r="AG71" i="4" s="1"/>
  <c r="AG93" i="4" s="1"/>
  <c r="AG159" i="4" s="1"/>
  <c r="E71" i="4"/>
  <c r="E93" i="4" l="1"/>
  <c r="E159" i="4" l="1"/>
  <c r="AG99" i="4" l="1"/>
  <c r="F266" i="1" l="1"/>
  <c r="AG100" i="4" l="1"/>
  <c r="AG95" i="4" s="1"/>
  <c r="E8" i="4" l="1"/>
  <c r="AG8" i="4"/>
  <c r="AG160" i="4" s="1"/>
  <c r="E160" i="4" l="1"/>
  <c r="B8" i="5"/>
  <c r="AG162" i="4" l="1"/>
  <c r="F74" i="1" l="1"/>
  <c r="F133" i="1" l="1"/>
  <c r="F93" i="1"/>
  <c r="F11" i="1"/>
  <c r="F28" i="1"/>
  <c r="F242" i="1"/>
  <c r="F323" i="1"/>
  <c r="F265" i="1" l="1"/>
  <c r="F322" i="1" s="1"/>
  <c r="F324" i="1"/>
  <c r="F325" i="1" l="1"/>
  <c r="D325" i="1" l="1"/>
  <c r="H323" i="1"/>
  <c r="H11" i="1"/>
  <c r="H265" i="1" s="1"/>
  <c r="H322" i="1" s="1"/>
  <c r="G12" i="1"/>
  <c r="G323" i="1" l="1"/>
  <c r="E12" i="1"/>
  <c r="H324" i="1"/>
  <c r="G11" i="1"/>
  <c r="E11" i="1" l="1"/>
  <c r="E323" i="1"/>
  <c r="G324" i="1"/>
  <c r="G265" i="1"/>
  <c r="G322" i="1" s="1"/>
  <c r="E265" i="1" l="1"/>
  <c r="E324" i="1"/>
  <c r="E322" i="1" l="1"/>
  <c r="D328" i="1" s="1"/>
  <c r="B5" i="5"/>
  <c r="B7" i="5" s="1"/>
</calcChain>
</file>

<file path=xl/comments1.xml><?xml version="1.0" encoding="utf-8"?>
<comments xmlns="http://schemas.openxmlformats.org/spreadsheetml/2006/main">
  <authors>
    <author>Elina Markaine</author>
    <author>Kristīne Hermane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3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7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  <comment ref="W273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1405 euro - CFLA līdzekļi, LP projektam, kas ir pašv. kontā, bet ko nepieprasīs LP.</t>
        </r>
      </text>
    </comment>
    <comment ref="K288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132 euro ir iekļauta summā 180983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<sst xmlns="http://schemas.openxmlformats.org/spreadsheetml/2006/main" count="1047" uniqueCount="849">
  <si>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</si>
  <si>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</si>
  <si>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</si>
  <si>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</si>
  <si>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</si>
  <si>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</si>
  <si>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</si>
  <si>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</si>
  <si>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</si>
  <si>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</si>
  <si>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</si>
  <si>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</si>
  <si>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</si>
  <si>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</si>
  <si>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</si>
  <si>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</si>
  <si>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</si>
  <si>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</si>
  <si>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</si>
  <si>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</si>
  <si>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</si>
  <si>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</si>
  <si>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</si>
  <si>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</si>
  <si>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</si>
  <si>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</si>
  <si>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</si>
  <si>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</si>
  <si>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</si>
  <si>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</si>
  <si>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</si>
  <si>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</si>
  <si>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</si>
  <si>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</si>
  <si>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</si>
  <si>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</si>
  <si>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</si>
  <si>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</si>
  <si>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</si>
  <si>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</si>
  <si>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</si>
  <si>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</si>
  <si>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</si>
  <si>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</si>
  <si>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</si>
  <si>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</si>
  <si>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</si>
  <si>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</si>
  <si>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</si>
  <si>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</si>
  <si>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</si>
  <si>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</si>
  <si>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</si>
  <si>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</si>
  <si>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</si>
  <si>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</si>
  <si>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</si>
  <si>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</si>
  <si>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</si>
  <si>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</si>
  <si>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</si>
  <si>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</si>
  <si>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</si>
  <si>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</si>
  <si>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</si>
  <si>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</si>
  <si>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</si>
  <si>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</si>
  <si>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</si>
  <si>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</si>
  <si>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</si>
  <si>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</si>
  <si>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</si>
  <si>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</si>
  <si>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</si>
  <si>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</si>
  <si>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</si>
  <si>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</si>
  <si>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</si>
  <si>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</si>
  <si>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</si>
  <si>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</si>
  <si>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</si>
  <si>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</si>
  <si>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</si>
  <si>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</si>
  <si>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</si>
  <si>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</si>
  <si>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</si>
  <si>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</si>
  <si>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</si>
  <si>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</si>
  <si>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</si>
  <si>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</si>
  <si>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</si>
  <si>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</si>
  <si>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</si>
  <si>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</si>
  <si>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</si>
  <si>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</si>
  <si>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</si>
  <si>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</si>
  <si>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</si>
  <si>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</si>
  <si>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</si>
  <si>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</si>
  <si>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</si>
  <si>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</si>
  <si>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</si>
  <si>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</si>
  <si>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</si>
  <si>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</si>
  <si>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</si>
  <si>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</si>
  <si>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</si>
  <si>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</si>
  <si>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</si>
  <si>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</si>
  <si>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</si>
  <si>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</si>
  <si>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</si>
  <si>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</si>
  <si>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</si>
  <si>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</si>
  <si>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</si>
  <si>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</si>
  <si>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</si>
  <si>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</si>
  <si>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</si>
  <si>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</si>
  <si>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</si>
  <si>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</si>
  <si>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</si>
  <si>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</si>
  <si>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</si>
  <si>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</si>
  <si>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</si>
  <si>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</si>
  <si>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</si>
  <si>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</si>
  <si>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</si>
  <si>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</si>
  <si>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</si>
  <si>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</si>
  <si>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</si>
  <si>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</si>
  <si>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</si>
  <si>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</si>
  <si>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</si>
  <si>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</si>
  <si>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</si>
  <si>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</si>
  <si>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</si>
  <si>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</si>
  <si>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</si>
  <si>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</si>
  <si>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</si>
  <si>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</si>
  <si>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</si>
  <si>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</si>
  <si>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</si>
  <si>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</si>
  <si>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</si>
  <si>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</si>
  <si>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</si>
  <si>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</si>
  <si>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</si>
  <si>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</si>
  <si>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</si>
  <si>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</si>
  <si>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</si>
  <si>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</si>
  <si>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</si>
  <si>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</si>
  <si>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</si>
  <si>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</si>
  <si>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</si>
  <si>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</si>
  <si>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</si>
  <si>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</si>
  <si>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</si>
  <si>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</si>
  <si>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</si>
  <si>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</si>
  <si>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</si>
  <si>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</si>
  <si>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</si>
  <si>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</si>
  <si>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</si>
  <si>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</si>
  <si>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</si>
  <si>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</si>
  <si>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</si>
  <si>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</si>
  <si>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</si>
  <si>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</si>
  <si>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</si>
  <si>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</si>
  <si>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</si>
  <si>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</si>
  <si>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</si>
  <si>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</si>
  <si>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</si>
  <si>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</si>
  <si>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</si>
  <si>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</si>
  <si>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</si>
  <si>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</si>
  <si>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</si>
  <si>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</si>
  <si>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</si>
  <si>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</si>
  <si>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</si>
  <si>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</si>
  <si>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</si>
  <si>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</si>
  <si>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</si>
  <si>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</si>
  <si>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</si>
  <si>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</si>
  <si>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</si>
  <si>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</si>
  <si>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</si>
  <si>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</si>
  <si>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</si>
  <si>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</si>
  <si>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</si>
  <si>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</si>
  <si>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</si>
  <si>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</si>
  <si>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</si>
  <si>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</si>
  <si>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</si>
  <si>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</si>
  <si>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</si>
  <si>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</si>
  <si>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</si>
  <si>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</si>
  <si>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</si>
  <si>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</si>
  <si>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</si>
  <si>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</si>
  <si>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</si>
  <si>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</si>
  <si>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</si>
  <si>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</si>
  <si>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</si>
  <si>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</si>
  <si>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</si>
  <si>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</si>
  <si>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</si>
  <si>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</si>
  <si>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</si>
  <si>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</si>
  <si>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</si>
  <si>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</si>
  <si>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</si>
  <si>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</si>
  <si>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</si>
  <si>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</si>
  <si>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</si>
  <si>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</si>
  <si>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</si>
  <si>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</si>
  <si>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</si>
  <si>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</si>
  <si>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</si>
  <si>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</si>
  <si>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</si>
  <si>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</si>
  <si>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</si>
  <si>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</si>
  <si>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</si>
  <si>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</si>
  <si>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</si>
  <si>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</si>
  <si>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</si>
  <si>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</si>
  <si>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</si>
  <si>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</si>
  <si>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</si>
  <si>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</si>
  <si>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</si>
  <si>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</si>
  <si>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</si>
  <si>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</si>
  <si>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</si>
  <si>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</si>
  <si>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</si>
  <si>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</si>
  <si>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</si>
  <si>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</si>
  <si>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</si>
  <si>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</si>
  <si>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</si>
  <si>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</si>
  <si>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</si>
  <si>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</si>
  <si>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</si>
  <si>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</si>
  <si>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</si>
  <si>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</si>
  <si>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</si>
  <si>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</si>
  <si>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</si>
  <si>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</si>
  <si>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</si>
  <si>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</si>
  <si>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</si>
  <si>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</si>
  <si>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</si>
  <si>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</si>
  <si>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</si>
  <si>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</si>
  <si>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</si>
  <si>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</si>
  <si>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</si>
  <si>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</si>
  <si>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</si>
  <si>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</si>
  <si>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</si>
  <si>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</si>
  <si>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</si>
  <si>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</si>
  <si>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</si>
  <si>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</si>
  <si>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</si>
  <si>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</si>
  <si>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</si>
  <si>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</si>
  <si>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</si>
  <si>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</si>
  <si>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</si>
  <si>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</si>
  <si>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</si>
  <si>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</si>
  <si>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</si>
  <si>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</si>
  <si>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</si>
  <si>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</si>
  <si>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</si>
  <si>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</si>
  <si>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</si>
  <si>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</si>
  <si>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</si>
  <si>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</si>
  <si>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</si>
  <si>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</si>
  <si>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</si>
  <si>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</si>
  <si>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</si>
  <si>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</si>
  <si>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</si>
  <si>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</si>
  <si>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</si>
  <si>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</si>
  <si>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</si>
  <si>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</si>
  <si>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</si>
  <si>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</si>
  <si>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</si>
  <si>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</si>
  <si>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</si>
  <si>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</si>
  <si>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</si>
  <si>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</si>
  <si>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</si>
  <si>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</si>
  <si>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</si>
  <si>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</si>
  <si>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</si>
  <si>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</si>
  <si>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</si>
  <si>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</si>
  <si>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</si>
  <si>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</si>
  <si>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</si>
  <si>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</si>
  <si>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</si>
  <si>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</si>
  <si>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</si>
  <si>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</si>
  <si>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</si>
  <si>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</si>
  <si>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</si>
  <si>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</si>
  <si>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</si>
  <si>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</si>
  <si>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</si>
  <si>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</si>
  <si>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</si>
  <si>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</si>
  <si>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</si>
  <si>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</si>
  <si>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</si>
  <si>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</si>
  <si>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</si>
  <si>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</si>
  <si>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</si>
  <si>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</si>
  <si>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</si>
  <si>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</si>
  <si>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</si>
  <si>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</si>
  <si>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</si>
  <si>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</si>
  <si>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</si>
  <si>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</si>
  <si>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</si>
  <si>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</si>
  <si>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</si>
  <si>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</si>
  <si>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</si>
  <si>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</si>
  <si>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</si>
  <si>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</si>
  <si>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</si>
  <si>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</si>
  <si>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</si>
  <si>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</si>
  <si>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</si>
  <si>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</si>
  <si>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</si>
  <si>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</si>
  <si>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</si>
  <si>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</si>
  <si>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</si>
  <si>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</si>
  <si>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</si>
  <si>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</si>
  <si>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</si>
  <si>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</si>
  <si>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</si>
  <si>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</si>
  <si>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</si>
  <si>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</si>
  <si>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</si>
  <si>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</si>
  <si>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</si>
  <si>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</si>
  <si>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</si>
  <si>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</si>
  <si>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</si>
  <si>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</si>
  <si>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</si>
  <si>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</si>
  <si>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</si>
  <si>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</si>
  <si>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</si>
  <si>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</si>
  <si>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</si>
  <si>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</si>
  <si>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</si>
  <si>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</si>
  <si>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</si>
  <si>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</si>
  <si>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</si>
  <si>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</si>
  <si>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</si>
  <si>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</si>
  <si>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</si>
  <si>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</si>
  <si>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</si>
  <si>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</si>
  <si>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</si>
  <si>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</si>
  <si>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</si>
  <si>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</si>
  <si>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</si>
  <si>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</si>
  <si>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</si>
  <si>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</si>
  <si>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</si>
  <si>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</si>
  <si>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</si>
  <si>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</si>
  <si>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</si>
  <si>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</si>
  <si>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</si>
  <si>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</si>
  <si>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</si>
  <si>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</si>
  <si>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</si>
  <si>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</si>
  <si>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</si>
  <si>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</si>
  <si>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</si>
  <si>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</si>
  <si>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</si>
  <si>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</si>
  <si>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</si>
  <si>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</si>
  <si>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</si>
  <si>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</si>
  <si>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</si>
  <si>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</si>
  <si>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</si>
  <si>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</si>
  <si>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</si>
  <si>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</si>
  <si>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</si>
  <si>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</si>
  <si>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</si>
  <si>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</si>
  <si>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</si>
  <si>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</si>
  <si>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</si>
  <si>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</si>
  <si>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</si>
  <si>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</si>
  <si>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</si>
  <si>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</si>
  <si>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</si>
  <si>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</si>
  <si>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</si>
  <si>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</si>
  <si>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</si>
  <si>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</si>
  <si>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</si>
  <si>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</si>
  <si>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</si>
  <si>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</si>
  <si>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</si>
  <si>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</si>
  <si>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</si>
  <si>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</si>
  <si>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</si>
  <si>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</si>
  <si>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</si>
  <si>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</si>
  <si>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</si>
  <si>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</si>
  <si>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</si>
  <si>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</si>
  <si>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</si>
  <si>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</si>
  <si>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</si>
  <si>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</si>
  <si>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</si>
  <si>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</si>
  <si>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</si>
  <si>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</si>
  <si>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</si>
  <si>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</si>
  <si>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</si>
  <si>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</si>
  <si>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</si>
  <si>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</si>
  <si>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</si>
  <si>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</si>
  <si>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</si>
  <si>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</si>
  <si>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</si>
  <si>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</si>
  <si>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</si>
  <si>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</si>
  <si>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</si>
  <si>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</si>
  <si>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</si>
  <si>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</si>
  <si>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</si>
  <si>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</si>
  <si>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</si>
  <si>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</si>
  <si>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</si>
  <si>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</si>
  <si>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</si>
  <si>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</si>
  <si>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</si>
  <si>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</si>
  <si>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</si>
  <si>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</si>
  <si>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</si>
  <si>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</si>
  <si>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</si>
  <si>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</si>
  <si>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</si>
  <si>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</si>
  <si>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</si>
  <si>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</si>
  <si>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</si>
  <si>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</si>
  <si>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</si>
  <si>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</si>
  <si>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</si>
  <si>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</si>
  <si>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</si>
  <si>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</si>
  <si>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</si>
  <si>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</si>
  <si>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</si>
  <si>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</si>
  <si>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</si>
  <si>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</si>
  <si>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</si>
  <si>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</si>
  <si>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</si>
  <si>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</si>
  <si>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</si>
  <si>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</si>
  <si>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</si>
  <si>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</si>
  <si>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</si>
  <si>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</si>
  <si>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</si>
  <si>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</si>
  <si>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</si>
  <si>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</si>
  <si>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</si>
  <si>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</si>
  <si>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</si>
  <si>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</si>
  <si>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</si>
  <si>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</si>
  <si>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</si>
  <si>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</si>
  <si>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</si>
  <si>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</si>
  <si>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</si>
  <si>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</si>
  <si>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</si>
  <si>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</si>
  <si>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</si>
  <si>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</si>
  <si>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</si>
  <si>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</si>
  <si>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</si>
  <si>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</si>
  <si>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</si>
  <si>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</si>
  <si>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</si>
  <si>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</si>
  <si>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</si>
  <si>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</si>
  <si>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</si>
  <si>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</si>
  <si>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</si>
  <si>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</si>
  <si>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</si>
  <si>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</si>
  <si>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</si>
  <si>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</si>
  <si>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</si>
  <si>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</si>
  <si>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</si>
  <si>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</si>
  <si>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</si>
  <si>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</si>
  <si>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</si>
  <si>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</si>
  <si>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</si>
  <si>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</si>
  <si>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</si>
  <si>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</si>
  <si>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</si>
  <si>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</si>
  <si>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</si>
  <si>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</si>
  <si>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</si>
  <si>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</si>
  <si>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</si>
  <si>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</si>
  <si>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</si>
  <si>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</si>
  <si>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</si>
  <si>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</si>
  <si>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</si>
  <si>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</si>
  <si>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</si>
  <si>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</si>
  <si>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</si>
  <si>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</si>
  <si>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</si>
  <si>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</si>
  <si>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</si>
  <si>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</si>
  <si>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</si>
  <si>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</si>
  <si>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</si>
  <si>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</si>
  <si>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</si>
  <si>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</si>
  <si>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</si>
  <si>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</si>
  <si>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</si>
  <si>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</si>
  <si>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</si>
  <si>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</si>
  <si>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</si>
  <si>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</si>
  <si>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</si>
  <si>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</si>
  <si>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</si>
  <si>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</si>
  <si>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</si>
  <si>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</si>
  <si>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</si>
  <si>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</si>
  <si>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</si>
  <si>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</si>
  <si>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</si>
  <si>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</si>
  <si>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</si>
  <si>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</si>
  <si>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</si>
  <si>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</si>
  <si>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</si>
  <si>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</si>
  <si>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</si>
  <si>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</si>
  <si>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</si>
  <si>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</si>
  <si>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</si>
  <si>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</si>
  <si>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</si>
  <si>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</si>
  <si>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</si>
  <si>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</si>
  <si>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</si>
  <si>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</si>
  <si>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</si>
  <si>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</si>
  <si>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</si>
  <si>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</si>
  <si>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</si>
  <si>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</si>
  <si>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</si>
  <si>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</si>
  <si>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</si>
  <si>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</si>
  <si>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</si>
  <si>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</si>
  <si>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</si>
  <si>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</si>
  <si>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</si>
  <si>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</si>
  <si>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</si>
  <si>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</si>
  <si>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</si>
  <si>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</si>
  <si>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</si>
  <si>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</si>
  <si>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</si>
  <si>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</si>
  <si>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</si>
  <si>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</si>
  <si>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</si>
  <si>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</si>
  <si>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</si>
  <si>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</si>
  <si>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</si>
  <si>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</si>
  <si>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</si>
  <si>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</si>
  <si>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</si>
  <si>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</si>
  <si>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</si>
  <si>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</si>
  <si>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</si>
  <si>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</si>
  <si>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</si>
  <si>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</si>
  <si>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</si>
  <si>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</si>
  <si>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</si>
  <si>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</si>
  <si>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</si>
  <si>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</si>
  <si>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</si>
  <si>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</si>
  <si>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</si>
  <si>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</si>
  <si>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</si>
  <si>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</si>
  <si>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</si>
  <si>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</si>
  <si>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</si>
  <si>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</si>
  <si>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</si>
  <si>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</si>
  <si>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</si>
  <si>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</si>
  <si>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</si>
  <si>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</si>
  <si>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</si>
  <si>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</si>
  <si>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</si>
  <si>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</si>
  <si>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</si>
  <si>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</si>
  <si>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</si>
  <si>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</si>
  <si>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</si>
  <si>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</si>
  <si>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</si>
  <si>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</si>
  <si>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</si>
  <si>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</si>
  <si>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</si>
  <si>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</si>
  <si>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</si>
  <si>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</si>
  <si>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</si>
  <si>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</si>
  <si>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</si>
  <si>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</si>
  <si>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</si>
  <si>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</si>
  <si>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</si>
  <si>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</si>
  <si>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</si>
  <si>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</si>
  <si>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</si>
  <si>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</si>
  <si>
    <t>23.05. SN Nr.19</t>
  </si>
  <si>
    <t>03.06. Nr.1.1-14/174</t>
  </si>
  <si>
    <t>Ūdenstilpju iznomāšana</t>
  </si>
  <si>
    <t>Projekts "Nordplus jauniešu mobilitātes projekts"</t>
  </si>
  <si>
    <t>09.2.3.</t>
  </si>
  <si>
    <t>Projekts "Literārie vakari kopā ar autoru"</t>
  </si>
  <si>
    <t>08.3.3.</t>
  </si>
  <si>
    <t>Ieņēmumu pārsniegums pār izdevumiem uzņemto saistību segšanai</t>
  </si>
  <si>
    <t>09.1.24.</t>
  </si>
  <si>
    <t>20.06. SN Nr.22</t>
  </si>
  <si>
    <t>Jūrmalas pilsētas pamatskola</t>
  </si>
  <si>
    <t>Atgriežamie līdzekļi valsts budžetam programmas "Skolas soma" ietvaros</t>
  </si>
  <si>
    <t>09.23.5.</t>
  </si>
  <si>
    <t>Projekts "Solis tuvāk nākotnes skolai"</t>
  </si>
  <si>
    <t>Projekts "Ķemeru parka pārbūve un restaurācija"</t>
  </si>
  <si>
    <t>08.1.16.</t>
  </si>
  <si>
    <t>19.07. Nr.1.1-14/219</t>
  </si>
  <si>
    <t>Projekts "Ilgtspējīga [sa]darbība"</t>
  </si>
  <si>
    <t>09.1.25.</t>
  </si>
  <si>
    <t>25.07. SN Nr.27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</si>
  <si>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</si>
  <si>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</si>
  <si>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</si>
  <si>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15.08. Nr.1.1-14/239</t>
  </si>
  <si>
    <t>05.2.3.</t>
  </si>
  <si>
    <t>29.08. SN Nr.31</t>
  </si>
  <si>
    <t>2019.gada budžets kopā ar konsolidāciju, apstiprināts</t>
  </si>
  <si>
    <t>Projekts "SKOLĒNU PARLAMENTS-skolas darbības aktivizēšana, izmantojot skolēnu idejas, intereses un viņu aktīvu iesaistīšanos"</t>
  </si>
  <si>
    <t>09.23.6.</t>
  </si>
  <si>
    <t>Projekts "Dalīsimies ar rotaļām"</t>
  </si>
  <si>
    <t>09.21.3.</t>
  </si>
  <si>
    <t>09.5.5.</t>
  </si>
  <si>
    <t>Jūrmalas Valsts ģimnāzijas reģionālās attīstības metodiskā centra darbības nodrošināšana</t>
  </si>
  <si>
    <t>19.09. Nr.1.1-14/277</t>
  </si>
  <si>
    <t xml:space="preserve">Mērķdotācija Latvijas skolas soma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</si>
</sst>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0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vertical="center" wrapText="1"/>
    </xf>
    <xf numFmtId="3" fontId="5" fillId="0" borderId="139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Y1447"/>
  <sheetViews>
    <sheetView view="pageLayout" zoomScaleNormal="100" workbookViewId="0">
      <selection activeCell="BX3" sqref="BX3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9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8" width="8.140625" style="198" hidden="1" customWidth="1" outlineLevel="1"/>
    <col min="19" max="20" width="9.28515625" style="198" hidden="1" customWidth="1" outlineLevel="1"/>
    <col min="21" max="26" width="8.140625" style="198" hidden="1" customWidth="1" outlineLevel="1"/>
    <col min="27" max="27" width="9.42578125" style="172" hidden="1" customWidth="1" outlineLevel="1"/>
    <col min="28" max="28" width="9" style="198" customWidth="1" collapsed="1"/>
    <col min="29" max="29" width="7.5703125" style="198" hidden="1" customWidth="1" outlineLevel="1"/>
    <col min="30" max="30" width="5.85546875" style="198" hidden="1" customWidth="1" outlineLevel="1"/>
    <col min="31" max="31" width="6.7109375" style="198" hidden="1" customWidth="1" outlineLevel="1"/>
    <col min="32" max="32" width="7.7109375" style="198" hidden="1" customWidth="1" outlineLevel="1"/>
    <col min="33" max="39" width="7.5703125" style="198" hidden="1" customWidth="1" outlineLevel="1"/>
    <col min="40" max="40" width="8.42578125" style="1" hidden="1" customWidth="1" outlineLevel="1"/>
    <col min="41" max="41" width="8.5703125" style="198" customWidth="1" collapsed="1"/>
    <col min="42" max="42" width="8.42578125" style="198" hidden="1" customWidth="1" outlineLevel="1"/>
    <col min="43" max="43" width="7.5703125" style="198" hidden="1" customWidth="1" outlineLevel="1"/>
    <col min="44" max="44" width="7" style="198" hidden="1" customWidth="1" outlineLevel="1"/>
    <col min="45" max="52" width="7.5703125" style="198" hidden="1" customWidth="1" outlineLevel="1"/>
    <col min="53" max="53" width="6.7109375" style="1" hidden="1" customWidth="1" outlineLevel="1"/>
    <col min="54" max="54" width="5.28515625" style="198" customWidth="1" collapsed="1"/>
    <col min="55" max="56" width="6.7109375" style="198" hidden="1" customWidth="1" outlineLevel="1"/>
    <col min="57" max="57" width="6.42578125" style="198" hidden="1" customWidth="1" outlineLevel="1"/>
    <col min="58" max="60" width="6.7109375" style="198" hidden="1" customWidth="1" outlineLevel="1"/>
    <col min="61" max="61" width="8.28515625" style="140" hidden="1" customWidth="1" outlineLevel="1"/>
    <col min="62" max="62" width="8.7109375" style="198" customWidth="1" collapsed="1"/>
    <col min="63" max="63" width="8.5703125" style="198" hidden="1" customWidth="1" outlineLevel="1"/>
    <col min="64" max="64" width="6.42578125" style="198" hidden="1" customWidth="1" outlineLevel="1"/>
    <col min="65" max="65" width="8" style="198" hidden="1" customWidth="1" outlineLevel="1"/>
    <col min="66" max="66" width="6.5703125" style="198" hidden="1" customWidth="1" outlineLevel="1"/>
    <col min="67" max="73" width="6.7109375" style="198" hidden="1" customWidth="1" outlineLevel="1"/>
    <col min="74" max="74" width="7" style="2" customWidth="1" collapsed="1"/>
    <col min="75" max="75" width="12.7109375" style="1" customWidth="1"/>
    <col min="76" max="78" width="8.42578125" style="1" customWidth="1"/>
    <col min="79" max="79" width="11" style="1" customWidth="1"/>
    <col min="80" max="16384" width="8.42578125" style="1"/>
  </cols>
  <sheetData>
    <row r="1" spans="1:76" s="198" customFormat="1" x14ac:dyDescent="0.2">
      <c r="D1" s="3"/>
      <c r="E1" s="3"/>
      <c r="BV1" s="2"/>
      <c r="BW1" s="336" t="s">
        <v>738</v>
      </c>
    </row>
    <row r="2" spans="1:76" s="198" customFormat="1" x14ac:dyDescent="0.2">
      <c r="D2" s="3"/>
      <c r="E2" s="3"/>
      <c r="BV2" s="2"/>
      <c r="BW2" s="336" t="s">
        <v>739</v>
      </c>
    </row>
    <row r="3" spans="1:76" s="198" customFormat="1" x14ac:dyDescent="0.2">
      <c r="D3" s="3"/>
      <c r="E3" s="3"/>
      <c r="BV3" s="2"/>
      <c r="BW3" s="336" t="s">
        <v>740</v>
      </c>
    </row>
    <row r="4" spans="1:76" ht="18.75" customHeight="1" x14ac:dyDescent="0.2">
      <c r="A4" s="430" t="s">
        <v>611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</row>
    <row r="5" spans="1:76" ht="12.75" thickBot="1" x14ac:dyDescent="0.25"/>
    <row r="6" spans="1:76" ht="13.5" customHeight="1" thickBot="1" x14ac:dyDescent="0.25">
      <c r="A6" s="431" t="s">
        <v>603</v>
      </c>
      <c r="B6" s="417" t="s">
        <v>610</v>
      </c>
      <c r="C6" s="443" t="s">
        <v>156</v>
      </c>
      <c r="D6" s="436" t="s">
        <v>574</v>
      </c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433" t="s">
        <v>604</v>
      </c>
      <c r="BW6" s="433" t="s">
        <v>192</v>
      </c>
    </row>
    <row r="7" spans="1:76" ht="13.5" customHeight="1" x14ac:dyDescent="0.2">
      <c r="A7" s="432"/>
      <c r="B7" s="418"/>
      <c r="C7" s="444"/>
      <c r="D7" s="415" t="s">
        <v>716</v>
      </c>
      <c r="E7" s="425" t="s">
        <v>0</v>
      </c>
      <c r="F7" s="421" t="s">
        <v>717</v>
      </c>
      <c r="G7" s="421" t="s">
        <v>1</v>
      </c>
      <c r="H7" s="421" t="s">
        <v>719</v>
      </c>
      <c r="I7" s="403" t="s">
        <v>718</v>
      </c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5"/>
      <c r="AA7" s="421" t="s">
        <v>721</v>
      </c>
      <c r="AB7" s="421" t="s">
        <v>128</v>
      </c>
      <c r="AC7" s="421" t="s">
        <v>720</v>
      </c>
      <c r="AD7" s="403" t="s">
        <v>718</v>
      </c>
      <c r="AE7" s="404"/>
      <c r="AF7" s="404"/>
      <c r="AG7" s="404"/>
      <c r="AH7" s="404"/>
      <c r="AI7" s="404"/>
      <c r="AJ7" s="404"/>
      <c r="AK7" s="404"/>
      <c r="AL7" s="404"/>
      <c r="AM7" s="405"/>
      <c r="AN7" s="408" t="s">
        <v>722</v>
      </c>
      <c r="AO7" s="408" t="s">
        <v>2</v>
      </c>
      <c r="AP7" s="408" t="s">
        <v>723</v>
      </c>
      <c r="AQ7" s="403" t="s">
        <v>718</v>
      </c>
      <c r="AR7" s="404"/>
      <c r="AS7" s="404"/>
      <c r="AT7" s="404"/>
      <c r="AU7" s="404"/>
      <c r="AV7" s="404"/>
      <c r="AW7" s="404"/>
      <c r="AX7" s="404"/>
      <c r="AY7" s="404"/>
      <c r="AZ7" s="405"/>
      <c r="BA7" s="410" t="s">
        <v>724</v>
      </c>
      <c r="BB7" s="408" t="s">
        <v>3</v>
      </c>
      <c r="BC7" s="410" t="s">
        <v>725</v>
      </c>
      <c r="BD7" s="403" t="s">
        <v>718</v>
      </c>
      <c r="BE7" s="404"/>
      <c r="BF7" s="404"/>
      <c r="BG7" s="404"/>
      <c r="BH7" s="405"/>
      <c r="BI7" s="408" t="s">
        <v>726</v>
      </c>
      <c r="BJ7" s="408" t="s">
        <v>438</v>
      </c>
      <c r="BK7" s="408" t="s">
        <v>727</v>
      </c>
      <c r="BL7" s="403" t="s">
        <v>718</v>
      </c>
      <c r="BM7" s="404"/>
      <c r="BN7" s="404"/>
      <c r="BO7" s="404"/>
      <c r="BP7" s="404"/>
      <c r="BQ7" s="404"/>
      <c r="BR7" s="404"/>
      <c r="BS7" s="404"/>
      <c r="BT7" s="404"/>
      <c r="BU7" s="405"/>
      <c r="BV7" s="434"/>
      <c r="BW7" s="434"/>
    </row>
    <row r="8" spans="1:76" ht="87" customHeight="1" thickBot="1" x14ac:dyDescent="0.25">
      <c r="A8" s="432"/>
      <c r="B8" s="418"/>
      <c r="C8" s="445"/>
      <c r="D8" s="416"/>
      <c r="E8" s="426"/>
      <c r="F8" s="422"/>
      <c r="G8" s="422"/>
      <c r="H8" s="422"/>
      <c r="I8" s="338" t="s">
        <v>747</v>
      </c>
      <c r="J8" s="339" t="s">
        <v>750</v>
      </c>
      <c r="K8" s="352" t="s">
        <v>782</v>
      </c>
      <c r="L8" s="377" t="s">
        <v>797</v>
      </c>
      <c r="M8" s="383" t="s">
        <v>808</v>
      </c>
      <c r="N8" s="384" t="s">
        <v>809</v>
      </c>
      <c r="O8" s="385" t="s">
        <v>811</v>
      </c>
      <c r="P8" s="339" t="s">
        <v>810</v>
      </c>
      <c r="Q8" s="386" t="s">
        <v>814</v>
      </c>
      <c r="R8" s="339" t="s">
        <v>815</v>
      </c>
      <c r="S8" s="390" t="s">
        <v>823</v>
      </c>
      <c r="T8" s="339" t="s">
        <v>830</v>
      </c>
      <c r="U8" s="396" t="s">
        <v>833</v>
      </c>
      <c r="V8" s="339" t="s">
        <v>837</v>
      </c>
      <c r="W8" s="401" t="s">
        <v>839</v>
      </c>
      <c r="X8" s="339" t="s">
        <v>847</v>
      </c>
      <c r="Y8" s="332" t="s">
        <v>731</v>
      </c>
      <c r="Z8" s="288"/>
      <c r="AA8" s="422"/>
      <c r="AB8" s="422"/>
      <c r="AC8" s="422"/>
      <c r="AD8" s="338" t="s">
        <v>747</v>
      </c>
      <c r="AE8" s="352" t="s">
        <v>782</v>
      </c>
      <c r="AF8" s="383" t="s">
        <v>808</v>
      </c>
      <c r="AG8" s="390" t="s">
        <v>823</v>
      </c>
      <c r="AH8" s="396" t="s">
        <v>833</v>
      </c>
      <c r="AI8" s="401" t="s">
        <v>839</v>
      </c>
      <c r="AJ8" s="332" t="s">
        <v>731</v>
      </c>
      <c r="AK8" s="286"/>
      <c r="AL8" s="286"/>
      <c r="AM8" s="286"/>
      <c r="AN8" s="409"/>
      <c r="AO8" s="409"/>
      <c r="AP8" s="409"/>
      <c r="AQ8" s="352" t="s">
        <v>782</v>
      </c>
      <c r="AR8" s="377" t="s">
        <v>797</v>
      </c>
      <c r="AS8" s="383" t="s">
        <v>808</v>
      </c>
      <c r="AT8" s="384" t="s">
        <v>809</v>
      </c>
      <c r="AU8" s="386" t="s">
        <v>814</v>
      </c>
      <c r="AV8" s="390" t="s">
        <v>823</v>
      </c>
      <c r="AW8" s="401" t="s">
        <v>839</v>
      </c>
      <c r="AX8" s="332" t="s">
        <v>731</v>
      </c>
      <c r="AY8" s="289"/>
      <c r="AZ8" s="289"/>
      <c r="BA8" s="411"/>
      <c r="BB8" s="409"/>
      <c r="BC8" s="411"/>
      <c r="BD8" s="352" t="s">
        <v>782</v>
      </c>
      <c r="BE8" s="332" t="s">
        <v>731</v>
      </c>
      <c r="BF8" s="289"/>
      <c r="BG8" s="289"/>
      <c r="BH8" s="289"/>
      <c r="BI8" s="409"/>
      <c r="BJ8" s="409"/>
      <c r="BK8" s="409"/>
      <c r="BL8" s="338" t="s">
        <v>747</v>
      </c>
      <c r="BM8" s="352" t="s">
        <v>782</v>
      </c>
      <c r="BN8" s="377" t="s">
        <v>797</v>
      </c>
      <c r="BO8" s="383" t="s">
        <v>808</v>
      </c>
      <c r="BP8" s="387" t="s">
        <v>814</v>
      </c>
      <c r="BQ8" s="390" t="s">
        <v>823</v>
      </c>
      <c r="BR8" s="396" t="s">
        <v>833</v>
      </c>
      <c r="BS8" s="401" t="s">
        <v>839</v>
      </c>
      <c r="BT8" s="332" t="s">
        <v>731</v>
      </c>
      <c r="BU8" s="289"/>
      <c r="BV8" s="435"/>
      <c r="BW8" s="435"/>
    </row>
    <row r="9" spans="1:76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>
        <v>11</v>
      </c>
      <c r="AB9" s="134">
        <v>6</v>
      </c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>
        <v>12</v>
      </c>
      <c r="AO9" s="135">
        <v>7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>
        <v>14</v>
      </c>
      <c r="BB9" s="134">
        <v>8</v>
      </c>
      <c r="BC9" s="135"/>
      <c r="BD9" s="135"/>
      <c r="BE9" s="135"/>
      <c r="BF9" s="135"/>
      <c r="BG9" s="135"/>
      <c r="BH9" s="135"/>
      <c r="BI9" s="134">
        <v>15</v>
      </c>
      <c r="BJ9" s="132">
        <v>9</v>
      </c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6" t="s">
        <v>728</v>
      </c>
      <c r="BW9" s="131">
        <v>11</v>
      </c>
    </row>
    <row r="10" spans="1:76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6"/>
      <c r="BC10" s="95"/>
      <c r="BD10" s="95"/>
      <c r="BE10" s="95"/>
      <c r="BF10" s="95"/>
      <c r="BG10" s="95"/>
      <c r="BH10" s="95"/>
      <c r="BI10" s="6"/>
      <c r="BJ10" s="4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7"/>
      <c r="BW10" s="83"/>
    </row>
    <row r="11" spans="1:76" ht="15" customHeight="1" thickBot="1" x14ac:dyDescent="0.25">
      <c r="A11" s="213" t="s">
        <v>4</v>
      </c>
      <c r="B11" s="125" t="s">
        <v>164</v>
      </c>
      <c r="C11" s="318"/>
      <c r="D11" s="8">
        <f t="shared" ref="D11:AP11" si="0">SUM(D12:D27)</f>
        <v>16605017</v>
      </c>
      <c r="E11" s="294">
        <f t="shared" si="0"/>
        <v>14880946</v>
      </c>
      <c r="F11" s="9">
        <f t="shared" si="0"/>
        <v>16595864</v>
      </c>
      <c r="G11" s="9">
        <f t="shared" si="0"/>
        <v>14864119</v>
      </c>
      <c r="H11" s="9">
        <f t="shared" si="0"/>
        <v>-1731745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-2007910</v>
      </c>
      <c r="T11" s="9"/>
      <c r="U11" s="9">
        <f t="shared" si="0"/>
        <v>0</v>
      </c>
      <c r="V11" s="9"/>
      <c r="W11" s="9">
        <f t="shared" si="0"/>
        <v>5370</v>
      </c>
      <c r="X11" s="9">
        <f t="shared" ref="X11" si="1">SUM(X12:X27)</f>
        <v>-5100</v>
      </c>
      <c r="Y11" s="9">
        <f t="shared" si="0"/>
        <v>0</v>
      </c>
      <c r="Z11" s="9">
        <f t="shared" si="0"/>
        <v>0</v>
      </c>
      <c r="AA11" s="9">
        <f t="shared" si="0"/>
        <v>53</v>
      </c>
      <c r="AB11" s="9">
        <f t="shared" si="0"/>
        <v>45776</v>
      </c>
      <c r="AC11" s="9">
        <f t="shared" si="0"/>
        <v>45723</v>
      </c>
      <c r="AD11" s="9">
        <f t="shared" si="0"/>
        <v>0</v>
      </c>
      <c r="AE11" s="9">
        <f t="shared" si="0"/>
        <v>2113</v>
      </c>
      <c r="AF11" s="9">
        <f t="shared" si="0"/>
        <v>41239</v>
      </c>
      <c r="AG11" s="9">
        <f t="shared" si="0"/>
        <v>2390</v>
      </c>
      <c r="AH11" s="9">
        <f t="shared" si="0"/>
        <v>-8</v>
      </c>
      <c r="AI11" s="9">
        <f t="shared" si="0"/>
        <v>-11</v>
      </c>
      <c r="AJ11" s="9">
        <f t="shared" si="0"/>
        <v>0</v>
      </c>
      <c r="AK11" s="9">
        <f t="shared" si="0"/>
        <v>0</v>
      </c>
      <c r="AL11" s="9">
        <f t="shared" si="0"/>
        <v>0</v>
      </c>
      <c r="AM11" s="9">
        <f t="shared" si="0"/>
        <v>0</v>
      </c>
      <c r="AN11" s="9">
        <f t="shared" si="0"/>
        <v>9100</v>
      </c>
      <c r="AO11" s="96">
        <f t="shared" si="0"/>
        <v>32301</v>
      </c>
      <c r="AP11" s="96">
        <f t="shared" si="0"/>
        <v>23201</v>
      </c>
      <c r="AQ11" s="96">
        <f t="shared" ref="AQ11:BU11" si="2">SUM(AQ12:AQ27)</f>
        <v>23201</v>
      </c>
      <c r="AR11" s="96">
        <f t="shared" si="2"/>
        <v>0</v>
      </c>
      <c r="AS11" s="96">
        <f t="shared" si="2"/>
        <v>0</v>
      </c>
      <c r="AT11" s="96">
        <f t="shared" si="2"/>
        <v>0</v>
      </c>
      <c r="AU11" s="96">
        <f t="shared" si="2"/>
        <v>0</v>
      </c>
      <c r="AV11" s="96">
        <f t="shared" si="2"/>
        <v>0</v>
      </c>
      <c r="AW11" s="96">
        <f t="shared" si="2"/>
        <v>0</v>
      </c>
      <c r="AX11" s="96">
        <f t="shared" si="2"/>
        <v>0</v>
      </c>
      <c r="AY11" s="96">
        <f t="shared" si="2"/>
        <v>0</v>
      </c>
      <c r="AZ11" s="96">
        <f t="shared" si="2"/>
        <v>0</v>
      </c>
      <c r="BA11" s="96">
        <f t="shared" si="2"/>
        <v>0</v>
      </c>
      <c r="BB11" s="9">
        <f t="shared" si="2"/>
        <v>0</v>
      </c>
      <c r="BC11" s="96">
        <f t="shared" si="2"/>
        <v>0</v>
      </c>
      <c r="BD11" s="96">
        <f t="shared" si="2"/>
        <v>0</v>
      </c>
      <c r="BE11" s="96">
        <f t="shared" si="2"/>
        <v>0</v>
      </c>
      <c r="BF11" s="96">
        <f t="shared" si="2"/>
        <v>0</v>
      </c>
      <c r="BG11" s="96">
        <f t="shared" si="2"/>
        <v>0</v>
      </c>
      <c r="BH11" s="96">
        <f t="shared" si="2"/>
        <v>0</v>
      </c>
      <c r="BI11" s="9">
        <f t="shared" si="2"/>
        <v>0</v>
      </c>
      <c r="BJ11" s="310">
        <f t="shared" si="2"/>
        <v>-61250</v>
      </c>
      <c r="BK11" s="96">
        <f t="shared" si="2"/>
        <v>-61250</v>
      </c>
      <c r="BL11" s="96">
        <f t="shared" si="2"/>
        <v>0</v>
      </c>
      <c r="BM11" s="96">
        <f t="shared" si="2"/>
        <v>-61250</v>
      </c>
      <c r="BN11" s="96">
        <f t="shared" si="2"/>
        <v>0</v>
      </c>
      <c r="BO11" s="96">
        <f t="shared" si="2"/>
        <v>0</v>
      </c>
      <c r="BP11" s="96">
        <f t="shared" si="2"/>
        <v>0</v>
      </c>
      <c r="BQ11" s="96">
        <f t="shared" si="2"/>
        <v>0</v>
      </c>
      <c r="BR11" s="96">
        <f t="shared" si="2"/>
        <v>0</v>
      </c>
      <c r="BS11" s="96">
        <f t="shared" si="2"/>
        <v>0</v>
      </c>
      <c r="BT11" s="96">
        <f t="shared" si="2"/>
        <v>0</v>
      </c>
      <c r="BU11" s="96">
        <f t="shared" si="2"/>
        <v>0</v>
      </c>
      <c r="BV11" s="10"/>
      <c r="BW11" s="84"/>
    </row>
    <row r="12" spans="1:76" ht="16.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F12+AA12+AN12+BA12+BI12</f>
        <v>901013</v>
      </c>
      <c r="E12" s="295">
        <f>G12+AB12+AO12+BB12+BJ12</f>
        <v>911015</v>
      </c>
      <c r="F12" s="81">
        <v>891913</v>
      </c>
      <c r="G12" s="81">
        <f>F12+H12</f>
        <v>901913</v>
      </c>
      <c r="H12" s="81">
        <f>SUM(I12:Z12)</f>
        <v>10000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>
        <v>10000</v>
      </c>
      <c r="X12" s="81"/>
      <c r="Y12" s="81"/>
      <c r="Z12" s="81"/>
      <c r="AA12" s="81">
        <v>0</v>
      </c>
      <c r="AB12" s="81">
        <f>AA12+AC12</f>
        <v>0</v>
      </c>
      <c r="AC12" s="81">
        <f>SUM(AD12:AM12)</f>
        <v>0</v>
      </c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>
        <v>9100</v>
      </c>
      <c r="AO12" s="81">
        <f>AN12+AP12</f>
        <v>9102</v>
      </c>
      <c r="AP12" s="81">
        <f>SUM(AQ12:AZ12)</f>
        <v>2</v>
      </c>
      <c r="AQ12" s="81">
        <v>2</v>
      </c>
      <c r="AR12" s="81"/>
      <c r="AS12" s="81"/>
      <c r="AT12" s="81"/>
      <c r="AU12" s="81"/>
      <c r="AV12" s="81"/>
      <c r="AW12" s="81"/>
      <c r="AX12" s="81"/>
      <c r="AY12" s="81"/>
      <c r="AZ12" s="81"/>
      <c r="BA12" s="81">
        <v>0</v>
      </c>
      <c r="BB12" s="81">
        <f>BA12+BC12</f>
        <v>0</v>
      </c>
      <c r="BC12" s="98">
        <f>SUM(BD12:BH12)</f>
        <v>0</v>
      </c>
      <c r="BD12" s="98"/>
      <c r="BE12" s="98"/>
      <c r="BF12" s="98"/>
      <c r="BG12" s="98"/>
      <c r="BH12" s="98"/>
      <c r="BI12" s="81"/>
      <c r="BJ12" s="81">
        <f>BI12+BK12</f>
        <v>0</v>
      </c>
      <c r="BK12" s="81">
        <f>SUM(BL12:BU12)</f>
        <v>0</v>
      </c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82" t="s">
        <v>308</v>
      </c>
      <c r="BW12" s="85"/>
      <c r="BX12" s="24"/>
    </row>
    <row r="13" spans="1:76" s="122" customFormat="1" ht="24" x14ac:dyDescent="0.2">
      <c r="A13" s="124"/>
      <c r="B13" s="248"/>
      <c r="C13" s="285" t="s">
        <v>252</v>
      </c>
      <c r="D13" s="80">
        <f t="shared" ref="D13:D25" si="3">F13+AA13+AN13+BA13+BI13</f>
        <v>166267</v>
      </c>
      <c r="E13" s="295">
        <f t="shared" ref="E13:E25" si="4">G13+AB13+AO13+BB13+BJ13</f>
        <v>161267</v>
      </c>
      <c r="F13" s="81">
        <v>166267</v>
      </c>
      <c r="G13" s="81">
        <f t="shared" ref="G13:G25" si="5">F13+H13</f>
        <v>161267</v>
      </c>
      <c r="H13" s="81">
        <f t="shared" ref="H13:H25" si="6">SUM(I13:Z13)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>
        <v>0</v>
      </c>
      <c r="AB13" s="81">
        <f t="shared" ref="AB13:AB25" si="7">AA13+AC13</f>
        <v>0</v>
      </c>
      <c r="AC13" s="81">
        <f t="shared" ref="AC13:AC25" si="8">SUM(AD13:AM13)</f>
        <v>0</v>
      </c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>
        <v>0</v>
      </c>
      <c r="AO13" s="81">
        <f t="shared" ref="AO13:AO25" si="9">AN13+AP13</f>
        <v>0</v>
      </c>
      <c r="AP13" s="81">
        <f t="shared" ref="AP13:AP25" si="10">SUM(AQ13:AZ13)</f>
        <v>0</v>
      </c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>
        <v>0</v>
      </c>
      <c r="BB13" s="81">
        <f t="shared" ref="BB13:BB25" si="11">BA13+BC13</f>
        <v>0</v>
      </c>
      <c r="BC13" s="98">
        <f t="shared" ref="BC13:BC25" si="12">SUM(BD13:BH13)</f>
        <v>0</v>
      </c>
      <c r="BD13" s="98"/>
      <c r="BE13" s="98"/>
      <c r="BF13" s="98"/>
      <c r="BG13" s="98"/>
      <c r="BH13" s="98"/>
      <c r="BI13" s="81"/>
      <c r="BJ13" s="81">
        <f t="shared" ref="BJ13:BJ25" si="13">BI13+BK13</f>
        <v>0</v>
      </c>
      <c r="BK13" s="81">
        <f t="shared" ref="BK13:BK25" si="14">SUM(BL13:BU13)</f>
        <v>0</v>
      </c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82" t="s">
        <v>309</v>
      </c>
      <c r="BW13" s="85"/>
      <c r="BX13" s="24"/>
    </row>
    <row r="14" spans="1:76" ht="24" x14ac:dyDescent="0.2">
      <c r="A14" s="108"/>
      <c r="B14" s="242"/>
      <c r="C14" s="285" t="s">
        <v>224</v>
      </c>
      <c r="D14" s="80">
        <f t="shared" si="3"/>
        <v>680168</v>
      </c>
      <c r="E14" s="295">
        <f t="shared" si="4"/>
        <v>680168</v>
      </c>
      <c r="F14" s="81">
        <v>680168</v>
      </c>
      <c r="G14" s="81">
        <f t="shared" si="5"/>
        <v>680168</v>
      </c>
      <c r="H14" s="81">
        <f t="shared" si="6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>
        <v>0</v>
      </c>
      <c r="AB14" s="81">
        <f t="shared" si="7"/>
        <v>0</v>
      </c>
      <c r="AC14" s="81">
        <f t="shared" si="8"/>
        <v>0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>
        <v>0</v>
      </c>
      <c r="AO14" s="81">
        <f t="shared" si="9"/>
        <v>0</v>
      </c>
      <c r="AP14" s="81">
        <f t="shared" si="10"/>
        <v>0</v>
      </c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>
        <v>0</v>
      </c>
      <c r="BB14" s="81">
        <f t="shared" si="11"/>
        <v>0</v>
      </c>
      <c r="BC14" s="98">
        <f t="shared" si="12"/>
        <v>0</v>
      </c>
      <c r="BD14" s="98"/>
      <c r="BE14" s="98"/>
      <c r="BF14" s="98"/>
      <c r="BG14" s="98"/>
      <c r="BH14" s="98"/>
      <c r="BI14" s="81"/>
      <c r="BJ14" s="81">
        <f t="shared" si="13"/>
        <v>0</v>
      </c>
      <c r="BK14" s="81">
        <f>SUM(BL14:BU14)</f>
        <v>0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82" t="s">
        <v>310</v>
      </c>
      <c r="BW14" s="85"/>
      <c r="BX14" s="24"/>
    </row>
    <row r="15" spans="1:76" s="122" customFormat="1" x14ac:dyDescent="0.2">
      <c r="A15" s="108"/>
      <c r="B15" s="242"/>
      <c r="C15" s="285" t="s">
        <v>264</v>
      </c>
      <c r="D15" s="80">
        <f t="shared" si="3"/>
        <v>2375898</v>
      </c>
      <c r="E15" s="295">
        <f t="shared" si="4"/>
        <v>375898</v>
      </c>
      <c r="F15" s="81">
        <v>2375898</v>
      </c>
      <c r="G15" s="81">
        <f t="shared" si="5"/>
        <v>375898</v>
      </c>
      <c r="H15" s="81">
        <f t="shared" si="6"/>
        <v>-2000000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-2000000</v>
      </c>
      <c r="T15" s="81"/>
      <c r="U15" s="81"/>
      <c r="V15" s="81"/>
      <c r="W15" s="81"/>
      <c r="X15" s="81"/>
      <c r="Y15" s="81"/>
      <c r="Z15" s="81"/>
      <c r="AA15" s="81">
        <v>0</v>
      </c>
      <c r="AB15" s="81">
        <f t="shared" si="7"/>
        <v>0</v>
      </c>
      <c r="AC15" s="81">
        <f t="shared" si="8"/>
        <v>0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>
        <v>0</v>
      </c>
      <c r="AO15" s="81">
        <f t="shared" si="9"/>
        <v>0</v>
      </c>
      <c r="AP15" s="81">
        <f t="shared" si="10"/>
        <v>0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>
        <v>0</v>
      </c>
      <c r="BB15" s="81">
        <f t="shared" si="11"/>
        <v>0</v>
      </c>
      <c r="BC15" s="98">
        <f t="shared" si="12"/>
        <v>0</v>
      </c>
      <c r="BD15" s="98"/>
      <c r="BE15" s="98"/>
      <c r="BF15" s="98"/>
      <c r="BG15" s="98"/>
      <c r="BH15" s="98"/>
      <c r="BI15" s="81"/>
      <c r="BJ15" s="81">
        <f t="shared" si="13"/>
        <v>0</v>
      </c>
      <c r="BK15" s="81">
        <f t="shared" si="14"/>
        <v>0</v>
      </c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82" t="s">
        <v>311</v>
      </c>
      <c r="BW15" s="85" t="s">
        <v>440</v>
      </c>
      <c r="BX15" s="24"/>
    </row>
    <row r="16" spans="1:76" s="122" customFormat="1" ht="24" x14ac:dyDescent="0.2">
      <c r="A16" s="108"/>
      <c r="B16" s="242"/>
      <c r="C16" s="285" t="s">
        <v>265</v>
      </c>
      <c r="D16" s="80">
        <f t="shared" si="3"/>
        <v>6000</v>
      </c>
      <c r="E16" s="295">
        <f t="shared" si="4"/>
        <v>6000</v>
      </c>
      <c r="F16" s="81">
        <v>6000</v>
      </c>
      <c r="G16" s="81">
        <f t="shared" si="5"/>
        <v>6000</v>
      </c>
      <c r="H16" s="81">
        <f t="shared" si="6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>
        <v>0</v>
      </c>
      <c r="AB16" s="81">
        <f t="shared" si="7"/>
        <v>0</v>
      </c>
      <c r="AC16" s="81">
        <f t="shared" si="8"/>
        <v>0</v>
      </c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>
        <v>0</v>
      </c>
      <c r="AO16" s="81">
        <f t="shared" si="9"/>
        <v>0</v>
      </c>
      <c r="AP16" s="81">
        <f t="shared" si="10"/>
        <v>0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>
        <v>0</v>
      </c>
      <c r="BB16" s="81">
        <f t="shared" si="11"/>
        <v>0</v>
      </c>
      <c r="BC16" s="98">
        <f t="shared" si="12"/>
        <v>0</v>
      </c>
      <c r="BD16" s="98"/>
      <c r="BE16" s="98"/>
      <c r="BF16" s="98"/>
      <c r="BG16" s="98"/>
      <c r="BH16" s="98"/>
      <c r="BI16" s="81"/>
      <c r="BJ16" s="81">
        <f t="shared" si="13"/>
        <v>0</v>
      </c>
      <c r="BK16" s="81">
        <f t="shared" si="14"/>
        <v>0</v>
      </c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82" t="s">
        <v>312</v>
      </c>
      <c r="BW16" s="86" t="s">
        <v>482</v>
      </c>
      <c r="BX16" s="24"/>
    </row>
    <row r="17" spans="1:76" s="162" customFormat="1" ht="24" x14ac:dyDescent="0.2">
      <c r="A17" s="108"/>
      <c r="B17" s="242"/>
      <c r="C17" s="285" t="s">
        <v>253</v>
      </c>
      <c r="D17" s="80">
        <f t="shared" si="3"/>
        <v>214303</v>
      </c>
      <c r="E17" s="295">
        <f t="shared" si="4"/>
        <v>299578</v>
      </c>
      <c r="F17" s="81">
        <v>214303</v>
      </c>
      <c r="G17" s="81">
        <f t="shared" si="5"/>
        <v>299578</v>
      </c>
      <c r="H17" s="81">
        <f t="shared" si="6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>
        <v>0</v>
      </c>
      <c r="AB17" s="81">
        <f t="shared" si="7"/>
        <v>0</v>
      </c>
      <c r="AC17" s="81">
        <f t="shared" si="8"/>
        <v>0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>
        <v>0</v>
      </c>
      <c r="AO17" s="81">
        <f t="shared" si="9"/>
        <v>0</v>
      </c>
      <c r="AP17" s="81">
        <f t="shared" si="10"/>
        <v>0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>
        <v>0</v>
      </c>
      <c r="BB17" s="81">
        <f t="shared" si="11"/>
        <v>0</v>
      </c>
      <c r="BC17" s="98">
        <f t="shared" si="12"/>
        <v>0</v>
      </c>
      <c r="BD17" s="81"/>
      <c r="BE17" s="81"/>
      <c r="BF17" s="81"/>
      <c r="BG17" s="81"/>
      <c r="BH17" s="81"/>
      <c r="BI17" s="81"/>
      <c r="BJ17" s="81">
        <f t="shared" si="13"/>
        <v>0</v>
      </c>
      <c r="BK17" s="81">
        <f t="shared" si="14"/>
        <v>0</v>
      </c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2" t="s">
        <v>498</v>
      </c>
      <c r="BW17" s="85" t="s">
        <v>442</v>
      </c>
      <c r="BX17" s="24"/>
    </row>
    <row r="18" spans="1:76" s="144" customFormat="1" ht="25.5" customHeight="1" x14ac:dyDescent="0.2">
      <c r="A18" s="108"/>
      <c r="B18" s="242"/>
      <c r="C18" s="319" t="s">
        <v>536</v>
      </c>
      <c r="D18" s="80">
        <f t="shared" si="3"/>
        <v>0</v>
      </c>
      <c r="E18" s="295">
        <f t="shared" si="4"/>
        <v>0</v>
      </c>
      <c r="F18" s="81">
        <v>0</v>
      </c>
      <c r="G18" s="81">
        <f t="shared" si="5"/>
        <v>0</v>
      </c>
      <c r="H18" s="81">
        <f t="shared" si="6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>
        <v>0</v>
      </c>
      <c r="AB18" s="81">
        <f t="shared" si="7"/>
        <v>0</v>
      </c>
      <c r="AC18" s="81">
        <f t="shared" si="8"/>
        <v>0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>
        <v>0</v>
      </c>
      <c r="AO18" s="81">
        <f t="shared" si="9"/>
        <v>0</v>
      </c>
      <c r="AP18" s="81">
        <f t="shared" si="10"/>
        <v>0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>
        <v>0</v>
      </c>
      <c r="BB18" s="81">
        <f t="shared" si="11"/>
        <v>0</v>
      </c>
      <c r="BC18" s="98">
        <f t="shared" si="12"/>
        <v>0</v>
      </c>
      <c r="BD18" s="98"/>
      <c r="BE18" s="98"/>
      <c r="BF18" s="98"/>
      <c r="BG18" s="98"/>
      <c r="BH18" s="98"/>
      <c r="BI18" s="81"/>
      <c r="BJ18" s="81">
        <f t="shared" si="13"/>
        <v>0</v>
      </c>
      <c r="BK18" s="81">
        <f t="shared" si="14"/>
        <v>0</v>
      </c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82" t="s">
        <v>455</v>
      </c>
      <c r="BW18" s="85"/>
      <c r="BX18" s="24"/>
    </row>
    <row r="19" spans="1:76" s="198" customFormat="1" ht="27.75" customHeight="1" x14ac:dyDescent="0.2">
      <c r="A19" s="108"/>
      <c r="B19" s="242"/>
      <c r="C19" s="319" t="s">
        <v>729</v>
      </c>
      <c r="D19" s="80">
        <f t="shared" ref="D19" si="15">F19+AA19+AN19+BA19+BI19</f>
        <v>0</v>
      </c>
      <c r="E19" s="295">
        <f t="shared" ref="E19" si="16">G19+AB19+AO19+BB19+BJ19</f>
        <v>19565</v>
      </c>
      <c r="F19" s="81"/>
      <c r="G19" s="81">
        <f t="shared" ref="G19" si="17">F19+H19</f>
        <v>19565</v>
      </c>
      <c r="H19" s="81">
        <f t="shared" ref="H19" si="18">SUM(I19:Z19)</f>
        <v>19565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-4630</v>
      </c>
      <c r="X19" s="81"/>
      <c r="Y19" s="81"/>
      <c r="Z19" s="81"/>
      <c r="AA19" s="81"/>
      <c r="AB19" s="81">
        <f t="shared" ref="AB19" si="19">AA19+AC19</f>
        <v>0</v>
      </c>
      <c r="AC19" s="81">
        <f t="shared" ref="AC19" si="20">SUM(AD19:AM19)</f>
        <v>0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>
        <f t="shared" ref="AO19" si="21">AN19+AP19</f>
        <v>0</v>
      </c>
      <c r="AP19" s="81">
        <f t="shared" ref="AP19" si="22">SUM(AQ19:AZ19)</f>
        <v>0</v>
      </c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81">
        <f t="shared" ref="BB19" si="23">BA19+BC19</f>
        <v>0</v>
      </c>
      <c r="BC19" s="98">
        <f t="shared" ref="BC19" si="24">SUM(BD19:BH19)</f>
        <v>0</v>
      </c>
      <c r="BD19" s="98"/>
      <c r="BE19" s="98"/>
      <c r="BF19" s="98"/>
      <c r="BG19" s="98"/>
      <c r="BH19" s="98"/>
      <c r="BI19" s="81"/>
      <c r="BJ19" s="81">
        <f t="shared" ref="BJ19" si="25">BI19+BK19</f>
        <v>0</v>
      </c>
      <c r="BK19" s="81">
        <f t="shared" ref="BK19" si="26">SUM(BL19:BU19)</f>
        <v>0</v>
      </c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82" t="s">
        <v>730</v>
      </c>
      <c r="BW19" s="85"/>
      <c r="BX19" s="24"/>
    </row>
    <row r="20" spans="1:76" s="198" customFormat="1" ht="48" x14ac:dyDescent="0.2">
      <c r="A20" s="108"/>
      <c r="B20" s="242"/>
      <c r="C20" s="319" t="s">
        <v>751</v>
      </c>
      <c r="D20" s="80">
        <f t="shared" ref="D20" si="27">F20+AA20+AN20+BA20+BI20</f>
        <v>0</v>
      </c>
      <c r="E20" s="295">
        <f t="shared" ref="E20" si="28">G20+AB20+AO20+BB20+BJ20</f>
        <v>0</v>
      </c>
      <c r="F20" s="81"/>
      <c r="G20" s="81">
        <f t="shared" ref="G20" si="29">F20+H20</f>
        <v>38051</v>
      </c>
      <c r="H20" s="81">
        <f t="shared" ref="H20" si="30">SUM(I20:Z20)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>
        <f t="shared" ref="AB20" si="31">AA20+AC20</f>
        <v>0</v>
      </c>
      <c r="AC20" s="81">
        <f t="shared" ref="AC20" si="32">SUM(AD20:AM20)</f>
        <v>0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>
        <f t="shared" ref="AO20" si="33">AN20+AP20</f>
        <v>23199</v>
      </c>
      <c r="AP20" s="81">
        <f t="shared" ref="AP20" si="34">SUM(AQ20:AZ20)</f>
        <v>23199</v>
      </c>
      <c r="AQ20" s="98">
        <v>23199</v>
      </c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81">
        <f t="shared" ref="BB20" si="35">BA20+BC20</f>
        <v>0</v>
      </c>
      <c r="BC20" s="98">
        <f t="shared" ref="BC20" si="36">SUM(BD20:BH20)</f>
        <v>0</v>
      </c>
      <c r="BD20" s="98"/>
      <c r="BE20" s="98"/>
      <c r="BF20" s="98"/>
      <c r="BG20" s="98"/>
      <c r="BH20" s="98"/>
      <c r="BI20" s="81"/>
      <c r="BJ20" s="81">
        <f t="shared" ref="BJ20" si="37">BI20+BK20</f>
        <v>-61250</v>
      </c>
      <c r="BK20" s="81">
        <f t="shared" ref="BK20" si="38">SUM(BL20:BU20)</f>
        <v>-61250</v>
      </c>
      <c r="BL20" s="98"/>
      <c r="BM20" s="98">
        <f>-37949-1-101-23199</f>
        <v>-61250</v>
      </c>
      <c r="BN20" s="98"/>
      <c r="BO20" s="98"/>
      <c r="BP20" s="98"/>
      <c r="BQ20" s="98"/>
      <c r="BR20" s="98"/>
      <c r="BS20" s="98"/>
      <c r="BT20" s="98"/>
      <c r="BU20" s="98"/>
      <c r="BV20" s="82" t="s">
        <v>778</v>
      </c>
      <c r="BW20" s="85"/>
      <c r="BX20" s="24"/>
    </row>
    <row r="21" spans="1:76" ht="12" customHeight="1" x14ac:dyDescent="0.2">
      <c r="A21" s="108"/>
      <c r="B21" s="241" t="s">
        <v>167</v>
      </c>
      <c r="C21" s="285" t="s">
        <v>124</v>
      </c>
      <c r="D21" s="80">
        <f t="shared" si="3"/>
        <v>241000</v>
      </c>
      <c r="E21" s="295">
        <f t="shared" si="4"/>
        <v>241000</v>
      </c>
      <c r="F21" s="81">
        <v>241000</v>
      </c>
      <c r="G21" s="81">
        <f t="shared" si="5"/>
        <v>241000</v>
      </c>
      <c r="H21" s="81">
        <f t="shared" si="6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>
        <f t="shared" si="7"/>
        <v>0</v>
      </c>
      <c r="AC21" s="81">
        <f t="shared" si="8"/>
        <v>0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98">
        <f t="shared" si="9"/>
        <v>0</v>
      </c>
      <c r="AP21" s="98">
        <f t="shared" si="10"/>
        <v>0</v>
      </c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81">
        <f t="shared" si="11"/>
        <v>0</v>
      </c>
      <c r="BC21" s="98">
        <f t="shared" si="12"/>
        <v>0</v>
      </c>
      <c r="BD21" s="98"/>
      <c r="BE21" s="98"/>
      <c r="BF21" s="98"/>
      <c r="BG21" s="98"/>
      <c r="BH21" s="98"/>
      <c r="BI21" s="81"/>
      <c r="BJ21" s="81">
        <f t="shared" si="13"/>
        <v>0</v>
      </c>
      <c r="BK21" s="81">
        <f t="shared" si="14"/>
        <v>0</v>
      </c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82" t="s">
        <v>545</v>
      </c>
      <c r="BW21" s="85"/>
      <c r="BX21" s="24"/>
    </row>
    <row r="22" spans="1:76" ht="14.25" customHeight="1" x14ac:dyDescent="0.2">
      <c r="A22" s="108"/>
      <c r="B22" s="242"/>
      <c r="C22" s="285" t="s">
        <v>183</v>
      </c>
      <c r="D22" s="80">
        <f t="shared" si="3"/>
        <v>11531214</v>
      </c>
      <c r="E22" s="295">
        <f t="shared" si="4"/>
        <v>11531214</v>
      </c>
      <c r="F22" s="81">
        <v>11531214</v>
      </c>
      <c r="G22" s="81">
        <f t="shared" si="5"/>
        <v>11531214</v>
      </c>
      <c r="H22" s="81">
        <f t="shared" si="6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>
        <f t="shared" si="7"/>
        <v>0</v>
      </c>
      <c r="AC22" s="81">
        <f t="shared" si="8"/>
        <v>0</v>
      </c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98">
        <f t="shared" si="9"/>
        <v>0</v>
      </c>
      <c r="AP22" s="98">
        <f t="shared" si="10"/>
        <v>0</v>
      </c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81">
        <f t="shared" si="11"/>
        <v>0</v>
      </c>
      <c r="BC22" s="98">
        <f t="shared" si="12"/>
        <v>0</v>
      </c>
      <c r="BD22" s="98"/>
      <c r="BE22" s="98"/>
      <c r="BF22" s="98"/>
      <c r="BG22" s="98"/>
      <c r="BH22" s="98"/>
      <c r="BI22" s="81"/>
      <c r="BJ22" s="81">
        <f t="shared" si="13"/>
        <v>0</v>
      </c>
      <c r="BK22" s="81">
        <f t="shared" si="14"/>
        <v>0</v>
      </c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82" t="s">
        <v>546</v>
      </c>
      <c r="BW22" s="85"/>
      <c r="BX22" s="24"/>
    </row>
    <row r="23" spans="1:76" x14ac:dyDescent="0.2">
      <c r="A23" s="108"/>
      <c r="B23" s="250"/>
      <c r="C23" s="285" t="s">
        <v>184</v>
      </c>
      <c r="D23" s="80">
        <f t="shared" si="3"/>
        <v>102588</v>
      </c>
      <c r="E23" s="295">
        <f t="shared" si="4"/>
        <v>222952</v>
      </c>
      <c r="F23" s="81">
        <f>100000+2588</f>
        <v>102588</v>
      </c>
      <c r="G23" s="81">
        <f t="shared" si="5"/>
        <v>222952</v>
      </c>
      <c r="H23" s="81">
        <f t="shared" si="6"/>
        <v>120364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>
        <v>-7910</v>
      </c>
      <c r="T23" s="81">
        <v>-400</v>
      </c>
      <c r="U23" s="81"/>
      <c r="V23" s="81">
        <v>-3185</v>
      </c>
      <c r="W23" s="81"/>
      <c r="X23" s="81">
        <f>-5100</f>
        <v>-5100</v>
      </c>
      <c r="Y23" s="81"/>
      <c r="Z23" s="81"/>
      <c r="AA23" s="81"/>
      <c r="AB23" s="81">
        <f t="shared" si="7"/>
        <v>0</v>
      </c>
      <c r="AC23" s="81">
        <f t="shared" si="8"/>
        <v>0</v>
      </c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98">
        <f t="shared" si="9"/>
        <v>0</v>
      </c>
      <c r="AP23" s="98">
        <f t="shared" si="10"/>
        <v>0</v>
      </c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81">
        <f t="shared" si="11"/>
        <v>0</v>
      </c>
      <c r="BC23" s="98">
        <f t="shared" si="12"/>
        <v>0</v>
      </c>
      <c r="BD23" s="98"/>
      <c r="BE23" s="98"/>
      <c r="BF23" s="98"/>
      <c r="BG23" s="98"/>
      <c r="BH23" s="98"/>
      <c r="BI23" s="81"/>
      <c r="BJ23" s="81">
        <f t="shared" si="13"/>
        <v>0</v>
      </c>
      <c r="BK23" s="81">
        <f t="shared" si="14"/>
        <v>0</v>
      </c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82" t="s">
        <v>547</v>
      </c>
      <c r="BW23" s="85"/>
      <c r="BX23" s="24"/>
    </row>
    <row r="24" spans="1:76" s="130" customFormat="1" x14ac:dyDescent="0.2">
      <c r="A24" s="108"/>
      <c r="B24" s="250"/>
      <c r="C24" s="285" t="s">
        <v>456</v>
      </c>
      <c r="D24" s="80">
        <f t="shared" si="3"/>
        <v>386513</v>
      </c>
      <c r="E24" s="295">
        <f t="shared" si="4"/>
        <v>386513</v>
      </c>
      <c r="F24" s="81">
        <v>386513</v>
      </c>
      <c r="G24" s="81">
        <f t="shared" si="5"/>
        <v>386513</v>
      </c>
      <c r="H24" s="81">
        <f t="shared" si="6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>
        <f t="shared" si="7"/>
        <v>0</v>
      </c>
      <c r="AC24" s="81">
        <f t="shared" si="8"/>
        <v>0</v>
      </c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98">
        <f t="shared" si="9"/>
        <v>0</v>
      </c>
      <c r="AP24" s="98">
        <f t="shared" si="10"/>
        <v>0</v>
      </c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81">
        <f t="shared" si="11"/>
        <v>0</v>
      </c>
      <c r="BC24" s="98">
        <f t="shared" si="12"/>
        <v>0</v>
      </c>
      <c r="BD24" s="98"/>
      <c r="BE24" s="98"/>
      <c r="BF24" s="98"/>
      <c r="BG24" s="98"/>
      <c r="BH24" s="98"/>
      <c r="BI24" s="81"/>
      <c r="BJ24" s="81">
        <f t="shared" si="13"/>
        <v>0</v>
      </c>
      <c r="BK24" s="81">
        <f t="shared" si="14"/>
        <v>0</v>
      </c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82" t="s">
        <v>548</v>
      </c>
      <c r="BW24" s="85"/>
      <c r="BX24" s="24"/>
    </row>
    <row r="25" spans="1:76" s="198" customFormat="1" x14ac:dyDescent="0.2">
      <c r="A25" s="108"/>
      <c r="B25" s="250"/>
      <c r="C25" s="285" t="s">
        <v>705</v>
      </c>
      <c r="D25" s="80">
        <f t="shared" si="3"/>
        <v>53</v>
      </c>
      <c r="E25" s="295">
        <f t="shared" si="4"/>
        <v>2166</v>
      </c>
      <c r="F25" s="81">
        <v>0</v>
      </c>
      <c r="G25" s="81">
        <f t="shared" si="5"/>
        <v>0</v>
      </c>
      <c r="H25" s="81">
        <f t="shared" si="6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>
        <v>53</v>
      </c>
      <c r="AB25" s="81">
        <f t="shared" si="7"/>
        <v>2166</v>
      </c>
      <c r="AC25" s="81">
        <f t="shared" si="8"/>
        <v>2113</v>
      </c>
      <c r="AD25" s="81"/>
      <c r="AE25" s="81">
        <f>36+2077</f>
        <v>2113</v>
      </c>
      <c r="AF25" s="81"/>
      <c r="AG25" s="81"/>
      <c r="AH25" s="81"/>
      <c r="AI25" s="81"/>
      <c r="AJ25" s="81"/>
      <c r="AK25" s="81"/>
      <c r="AL25" s="81"/>
      <c r="AM25" s="81"/>
      <c r="AN25" s="81">
        <v>0</v>
      </c>
      <c r="AO25" s="81">
        <f t="shared" si="9"/>
        <v>0</v>
      </c>
      <c r="AP25" s="81">
        <f t="shared" si="10"/>
        <v>0</v>
      </c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>
        <v>0</v>
      </c>
      <c r="BB25" s="81">
        <f t="shared" si="11"/>
        <v>0</v>
      </c>
      <c r="BC25" s="98">
        <f t="shared" si="12"/>
        <v>0</v>
      </c>
      <c r="BD25" s="98"/>
      <c r="BE25" s="98"/>
      <c r="BF25" s="98"/>
      <c r="BG25" s="98"/>
      <c r="BH25" s="98"/>
      <c r="BI25" s="81"/>
      <c r="BJ25" s="81">
        <f t="shared" si="13"/>
        <v>0</v>
      </c>
      <c r="BK25" s="81">
        <f t="shared" si="14"/>
        <v>0</v>
      </c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82" t="s">
        <v>706</v>
      </c>
      <c r="BW25" s="85"/>
      <c r="BX25" s="24"/>
    </row>
    <row r="26" spans="1:76" s="198" customFormat="1" ht="24" x14ac:dyDescent="0.2">
      <c r="A26" s="108">
        <v>90000543728</v>
      </c>
      <c r="B26" s="242" t="s">
        <v>804</v>
      </c>
      <c r="C26" s="379" t="s">
        <v>182</v>
      </c>
      <c r="D26" s="80">
        <f t="shared" ref="D26" si="39">F26+AA26+AN26+BA26+BI26</f>
        <v>0</v>
      </c>
      <c r="E26" s="295">
        <f t="shared" ref="E26" si="40">G26+AB26+AO26+BB26+BJ26</f>
        <v>43610</v>
      </c>
      <c r="F26" s="81"/>
      <c r="G26" s="81">
        <f t="shared" ref="G26" si="41">F26+H26</f>
        <v>0</v>
      </c>
      <c r="H26" s="81">
        <f t="shared" ref="H26" si="42">SUM(I26:Z26)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>
        <f t="shared" ref="AB26" si="43">AA26+AC26</f>
        <v>43610</v>
      </c>
      <c r="AC26" s="81">
        <f t="shared" ref="AC26" si="44">SUM(AD26:AM26)</f>
        <v>43610</v>
      </c>
      <c r="AD26" s="81"/>
      <c r="AE26" s="81"/>
      <c r="AF26" s="81">
        <v>41239</v>
      </c>
      <c r="AG26" s="81">
        <v>2390</v>
      </c>
      <c r="AH26" s="81">
        <v>-8</v>
      </c>
      <c r="AI26" s="81">
        <v>-11</v>
      </c>
      <c r="AJ26" s="81"/>
      <c r="AK26" s="81"/>
      <c r="AL26" s="81"/>
      <c r="AM26" s="81"/>
      <c r="AN26" s="81"/>
      <c r="AO26" s="81">
        <f t="shared" ref="AO26" si="45">AN26+AP26</f>
        <v>0</v>
      </c>
      <c r="AP26" s="81">
        <f t="shared" ref="AP26" si="46">SUM(AQ26:AZ26)</f>
        <v>0</v>
      </c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81">
        <f t="shared" ref="BB26" si="47">BA26+BC26</f>
        <v>0</v>
      </c>
      <c r="BC26" s="98">
        <f t="shared" ref="BC26" si="48">SUM(BD26:BH26)</f>
        <v>0</v>
      </c>
      <c r="BD26" s="98"/>
      <c r="BE26" s="98"/>
      <c r="BF26" s="98"/>
      <c r="BG26" s="98"/>
      <c r="BH26" s="98"/>
      <c r="BI26" s="81"/>
      <c r="BJ26" s="81">
        <f t="shared" ref="BJ26" si="49">BI26+BK26</f>
        <v>0</v>
      </c>
      <c r="BK26" s="81">
        <f t="shared" ref="BK26" si="50">SUM(BL26:BU26)</f>
        <v>0</v>
      </c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82" t="s">
        <v>805</v>
      </c>
      <c r="BW26" s="85"/>
      <c r="BX26" s="24"/>
    </row>
    <row r="27" spans="1:76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72"/>
      <c r="BC27" s="97"/>
      <c r="BD27" s="97"/>
      <c r="BE27" s="97"/>
      <c r="BF27" s="97"/>
      <c r="BG27" s="97"/>
      <c r="BH27" s="97"/>
      <c r="BI27" s="72"/>
      <c r="BJ27" s="264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79"/>
      <c r="BW27" s="86"/>
      <c r="BX27" s="24"/>
    </row>
    <row r="28" spans="1:76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3005515</v>
      </c>
      <c r="F28" s="9">
        <f>SUM(F29:F35)</f>
        <v>2876527</v>
      </c>
      <c r="G28" s="9">
        <f t="shared" ref="G28:Z28" si="51">SUM(G29:G35)</f>
        <v>2958646</v>
      </c>
      <c r="H28" s="9">
        <f t="shared" si="51"/>
        <v>82119</v>
      </c>
      <c r="I28" s="9">
        <f t="shared" si="51"/>
        <v>0</v>
      </c>
      <c r="J28" s="9">
        <f t="shared" ref="J28" si="52">SUM(J29:J35)</f>
        <v>0</v>
      </c>
      <c r="K28" s="9">
        <f t="shared" si="51"/>
        <v>62106</v>
      </c>
      <c r="L28" s="9">
        <f t="shared" si="51"/>
        <v>0</v>
      </c>
      <c r="M28" s="9">
        <f t="shared" si="51"/>
        <v>0</v>
      </c>
      <c r="N28" s="9">
        <f t="shared" si="51"/>
        <v>2756</v>
      </c>
      <c r="O28" s="9">
        <f t="shared" si="51"/>
        <v>0</v>
      </c>
      <c r="P28" s="9">
        <f t="shared" si="51"/>
        <v>0</v>
      </c>
      <c r="Q28" s="9">
        <f t="shared" si="51"/>
        <v>0</v>
      </c>
      <c r="R28" s="9">
        <f t="shared" si="51"/>
        <v>0</v>
      </c>
      <c r="S28" s="9">
        <f t="shared" si="51"/>
        <v>0</v>
      </c>
      <c r="T28" s="9"/>
      <c r="U28" s="9">
        <f t="shared" si="51"/>
        <v>0</v>
      </c>
      <c r="V28" s="9"/>
      <c r="W28" s="9">
        <f t="shared" si="51"/>
        <v>17257</v>
      </c>
      <c r="X28" s="9">
        <f t="shared" ref="X28" si="53">SUM(X29:X35)</f>
        <v>0</v>
      </c>
      <c r="Y28" s="9">
        <f t="shared" si="51"/>
        <v>0</v>
      </c>
      <c r="Z28" s="9">
        <f t="shared" si="51"/>
        <v>0</v>
      </c>
      <c r="AA28" s="9">
        <f>SUM(AA29:AA35)</f>
        <v>0</v>
      </c>
      <c r="AB28" s="9">
        <f t="shared" ref="AB28" si="54">SUM(AB29:AB35)</f>
        <v>0</v>
      </c>
      <c r="AC28" s="9">
        <f t="shared" ref="AC28" si="55">SUM(AC29:AC35)</f>
        <v>0</v>
      </c>
      <c r="AD28" s="9">
        <f t="shared" ref="AD28" si="56">SUM(AD29:AD35)</f>
        <v>0</v>
      </c>
      <c r="AE28" s="9">
        <f t="shared" ref="AE28" si="57">SUM(AE29:AE35)</f>
        <v>0</v>
      </c>
      <c r="AF28" s="9">
        <f t="shared" ref="AF28" si="58">SUM(AF29:AF35)</f>
        <v>0</v>
      </c>
      <c r="AG28" s="9">
        <f t="shared" ref="AG28" si="59">SUM(AG29:AG35)</f>
        <v>0</v>
      </c>
      <c r="AH28" s="9">
        <f t="shared" ref="AH28" si="60">SUM(AH29:AH35)</f>
        <v>0</v>
      </c>
      <c r="AI28" s="9">
        <f t="shared" ref="AI28" si="61">SUM(AI29:AI35)</f>
        <v>0</v>
      </c>
      <c r="AJ28" s="9">
        <f t="shared" ref="AJ28" si="62">SUM(AJ29:AJ35)</f>
        <v>0</v>
      </c>
      <c r="AK28" s="9">
        <f t="shared" ref="AK28" si="63">SUM(AK29:AK35)</f>
        <v>0</v>
      </c>
      <c r="AL28" s="9">
        <f t="shared" ref="AL28" si="64">SUM(AL29:AL35)</f>
        <v>0</v>
      </c>
      <c r="AM28" s="9">
        <f t="shared" ref="AM28" si="65">SUM(AM29:AM35)</f>
        <v>0</v>
      </c>
      <c r="AN28" s="9">
        <f>SUM(AN29:AN35)</f>
        <v>46907</v>
      </c>
      <c r="AO28" s="96">
        <f t="shared" ref="AO28" si="66">SUM(AO29:AO35)</f>
        <v>51069</v>
      </c>
      <c r="AP28" s="96">
        <f t="shared" ref="AP28" si="67">SUM(AP29:AP35)</f>
        <v>4162</v>
      </c>
      <c r="AQ28" s="96">
        <f t="shared" ref="AQ28" si="68">SUM(AQ29:AQ35)</f>
        <v>4102</v>
      </c>
      <c r="AR28" s="96">
        <f t="shared" ref="AR28" si="69">SUM(AR29:AR35)</f>
        <v>0</v>
      </c>
      <c r="AS28" s="96">
        <f t="shared" ref="AS28" si="70">SUM(AS29:AS35)</f>
        <v>0</v>
      </c>
      <c r="AT28" s="96">
        <f t="shared" ref="AT28" si="71">SUM(AT29:AT35)</f>
        <v>0</v>
      </c>
      <c r="AU28" s="96">
        <f t="shared" ref="AU28" si="72">SUM(AU29:AU35)</f>
        <v>0</v>
      </c>
      <c r="AV28" s="96">
        <f t="shared" ref="AV28" si="73">SUM(AV29:AV35)</f>
        <v>0</v>
      </c>
      <c r="AW28" s="96">
        <f t="shared" ref="AW28" si="74">SUM(AW29:AW35)</f>
        <v>60</v>
      </c>
      <c r="AX28" s="96">
        <f t="shared" ref="AX28" si="75">SUM(AX29:AX35)</f>
        <v>0</v>
      </c>
      <c r="AY28" s="96">
        <f t="shared" ref="AY28" si="76">SUM(AY29:AY35)</f>
        <v>0</v>
      </c>
      <c r="AZ28" s="96">
        <f t="shared" ref="AZ28" si="77">SUM(AZ29:AZ35)</f>
        <v>0</v>
      </c>
      <c r="BA28" s="96">
        <f>SUM(BA29:BA35)</f>
        <v>0</v>
      </c>
      <c r="BB28" s="9">
        <f t="shared" ref="BB28" si="78">SUM(BB29:BB35)</f>
        <v>0</v>
      </c>
      <c r="BC28" s="96">
        <f t="shared" ref="BC28" si="79">SUM(BC29:BC35)</f>
        <v>0</v>
      </c>
      <c r="BD28" s="96">
        <f t="shared" ref="BD28" si="80">SUM(BD29:BD35)</f>
        <v>0</v>
      </c>
      <c r="BE28" s="96">
        <f t="shared" ref="BE28" si="81">SUM(BE29:BE35)</f>
        <v>0</v>
      </c>
      <c r="BF28" s="96">
        <f t="shared" ref="BF28" si="82">SUM(BF29:BF35)</f>
        <v>0</v>
      </c>
      <c r="BG28" s="96">
        <f t="shared" ref="BG28" si="83">SUM(BG29:BG35)</f>
        <v>0</v>
      </c>
      <c r="BH28" s="96">
        <f t="shared" ref="BH28" si="84">SUM(BH29:BH35)</f>
        <v>0</v>
      </c>
      <c r="BI28" s="9">
        <f>SUM(BI29:BI35)</f>
        <v>-4200</v>
      </c>
      <c r="BJ28" s="310">
        <f t="shared" ref="BJ28" si="85">SUM(BJ29:BJ35)</f>
        <v>-4200</v>
      </c>
      <c r="BK28" s="96">
        <f t="shared" ref="BK28" si="86">SUM(BK29:BK35)</f>
        <v>0</v>
      </c>
      <c r="BL28" s="96">
        <f t="shared" ref="BL28" si="87">SUM(BL29:BL35)</f>
        <v>0</v>
      </c>
      <c r="BM28" s="96">
        <f t="shared" ref="BM28" si="88">SUM(BM29:BM35)</f>
        <v>0</v>
      </c>
      <c r="BN28" s="96">
        <f t="shared" ref="BN28" si="89">SUM(BN29:BN35)</f>
        <v>0</v>
      </c>
      <c r="BO28" s="96">
        <f t="shared" ref="BO28" si="90">SUM(BO29:BO35)</f>
        <v>0</v>
      </c>
      <c r="BP28" s="96">
        <f t="shared" ref="BP28" si="91">SUM(BP29:BP35)</f>
        <v>0</v>
      </c>
      <c r="BQ28" s="96">
        <f t="shared" ref="BQ28" si="92">SUM(BQ29:BQ35)</f>
        <v>0</v>
      </c>
      <c r="BR28" s="96">
        <f t="shared" ref="BR28" si="93">SUM(BR29:BR35)</f>
        <v>0</v>
      </c>
      <c r="BS28" s="96">
        <f t="shared" ref="BS28" si="94">SUM(BS29:BS35)</f>
        <v>0</v>
      </c>
      <c r="BT28" s="96">
        <f t="shared" ref="BT28" si="95">SUM(BT29:BT35)</f>
        <v>0</v>
      </c>
      <c r="BU28" s="96">
        <f t="shared" ref="BU28" si="96">SUM(BU29:BU35)</f>
        <v>0</v>
      </c>
      <c r="BV28" s="12"/>
      <c r="BW28" s="87"/>
      <c r="BX28" s="24"/>
    </row>
    <row r="29" spans="1:76" ht="15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7">F29+AA29+AN29+BA29+BI29</f>
        <v>206605</v>
      </c>
      <c r="E29" s="295">
        <f t="shared" ref="E29:E34" si="98">G29+AB29+AO29+BB29+BJ29</f>
        <v>206605</v>
      </c>
      <c r="F29" s="81">
        <v>206605</v>
      </c>
      <c r="G29" s="81">
        <f t="shared" ref="G29:G34" si="99">F29+H29</f>
        <v>206605</v>
      </c>
      <c r="H29" s="81">
        <f t="shared" ref="H29:H34" si="100">SUM(I29:Z29)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>
        <v>0</v>
      </c>
      <c r="AB29" s="81">
        <f t="shared" ref="AB29:AB34" si="101">AA29+AC29</f>
        <v>0</v>
      </c>
      <c r="AC29" s="81">
        <f t="shared" ref="AC29:AC34" si="102">SUM(AD29:AM29)</f>
        <v>0</v>
      </c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>
        <v>0</v>
      </c>
      <c r="AO29" s="81">
        <f t="shared" ref="AO29:AO34" si="103">AN29+AP29</f>
        <v>0</v>
      </c>
      <c r="AP29" s="81">
        <f t="shared" ref="AP29:AP34" si="104">SUM(AQ29:AZ29)</f>
        <v>0</v>
      </c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>
        <v>0</v>
      </c>
      <c r="BB29" s="81">
        <f t="shared" ref="BB29:BB34" si="105">BA29+BC29</f>
        <v>0</v>
      </c>
      <c r="BC29" s="98">
        <f t="shared" ref="BC29:BC34" si="106">SUM(BD29:BH29)</f>
        <v>0</v>
      </c>
      <c r="BD29" s="98"/>
      <c r="BE29" s="98"/>
      <c r="BF29" s="98"/>
      <c r="BG29" s="98"/>
      <c r="BH29" s="98"/>
      <c r="BI29" s="81"/>
      <c r="BJ29" s="81">
        <f t="shared" ref="BJ29:BJ34" si="107">BI29+BK29</f>
        <v>0</v>
      </c>
      <c r="BK29" s="81">
        <f t="shared" ref="BK29:BK34" si="108">SUM(BL29:BU29)</f>
        <v>0</v>
      </c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82" t="s">
        <v>313</v>
      </c>
      <c r="BW29" s="85"/>
      <c r="BX29" s="24"/>
    </row>
    <row r="30" spans="1:76" s="122" customFormat="1" ht="24" x14ac:dyDescent="0.2">
      <c r="A30" s="126"/>
      <c r="B30" s="248"/>
      <c r="C30" s="285" t="s">
        <v>185</v>
      </c>
      <c r="D30" s="80">
        <f t="shared" si="97"/>
        <v>195274</v>
      </c>
      <c r="E30" s="295">
        <f t="shared" si="98"/>
        <v>197772</v>
      </c>
      <c r="F30" s="81">
        <v>177754</v>
      </c>
      <c r="G30" s="81">
        <f t="shared" si="99"/>
        <v>177754</v>
      </c>
      <c r="H30" s="81">
        <f t="shared" si="100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>
        <v>0</v>
      </c>
      <c r="AB30" s="81">
        <f t="shared" si="101"/>
        <v>0</v>
      </c>
      <c r="AC30" s="81">
        <f t="shared" si="102"/>
        <v>0</v>
      </c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>
        <v>17520</v>
      </c>
      <c r="AO30" s="81">
        <f t="shared" si="103"/>
        <v>20018</v>
      </c>
      <c r="AP30" s="81">
        <f t="shared" si="104"/>
        <v>2498</v>
      </c>
      <c r="AQ30" s="81">
        <v>2498</v>
      </c>
      <c r="AR30" s="81"/>
      <c r="AS30" s="81"/>
      <c r="AT30" s="81"/>
      <c r="AU30" s="81"/>
      <c r="AV30" s="81"/>
      <c r="AW30" s="81"/>
      <c r="AX30" s="81"/>
      <c r="AY30" s="81"/>
      <c r="AZ30" s="81"/>
      <c r="BA30" s="81">
        <v>0</v>
      </c>
      <c r="BB30" s="81">
        <f t="shared" si="105"/>
        <v>0</v>
      </c>
      <c r="BC30" s="98">
        <f t="shared" si="106"/>
        <v>0</v>
      </c>
      <c r="BD30" s="98"/>
      <c r="BE30" s="98"/>
      <c r="BF30" s="98"/>
      <c r="BG30" s="98"/>
      <c r="BH30" s="98"/>
      <c r="BI30" s="81"/>
      <c r="BJ30" s="81">
        <f t="shared" si="107"/>
        <v>0</v>
      </c>
      <c r="BK30" s="81">
        <f t="shared" si="108"/>
        <v>0</v>
      </c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82" t="s">
        <v>314</v>
      </c>
      <c r="BW30" s="85" t="s">
        <v>441</v>
      </c>
      <c r="BX30" s="24"/>
    </row>
    <row r="31" spans="1:76" s="198" customFormat="1" ht="24" x14ac:dyDescent="0.2">
      <c r="A31" s="108"/>
      <c r="B31" s="242"/>
      <c r="C31" s="319" t="s">
        <v>647</v>
      </c>
      <c r="D31" s="80">
        <f t="shared" si="97"/>
        <v>66505</v>
      </c>
      <c r="E31" s="295">
        <f t="shared" si="98"/>
        <v>66505</v>
      </c>
      <c r="F31" s="72">
        <v>66505</v>
      </c>
      <c r="G31" s="72">
        <f t="shared" si="99"/>
        <v>66505</v>
      </c>
      <c r="H31" s="72">
        <f t="shared" si="100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>
        <v>0</v>
      </c>
      <c r="AB31" s="72">
        <f t="shared" si="101"/>
        <v>0</v>
      </c>
      <c r="AC31" s="72">
        <f t="shared" si="102"/>
        <v>0</v>
      </c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>
        <v>0</v>
      </c>
      <c r="AO31" s="72">
        <f t="shared" si="103"/>
        <v>0</v>
      </c>
      <c r="AP31" s="72">
        <f t="shared" si="104"/>
        <v>0</v>
      </c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>
        <v>0</v>
      </c>
      <c r="BB31" s="81">
        <f t="shared" si="105"/>
        <v>0</v>
      </c>
      <c r="BC31" s="98">
        <f t="shared" si="106"/>
        <v>0</v>
      </c>
      <c r="BD31" s="97"/>
      <c r="BE31" s="97"/>
      <c r="BF31" s="97"/>
      <c r="BG31" s="97"/>
      <c r="BH31" s="97"/>
      <c r="BI31" s="72"/>
      <c r="BJ31" s="81">
        <f t="shared" si="107"/>
        <v>0</v>
      </c>
      <c r="BK31" s="81">
        <f t="shared" si="108"/>
        <v>0</v>
      </c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82" t="s">
        <v>315</v>
      </c>
      <c r="BW31" s="85" t="s">
        <v>442</v>
      </c>
      <c r="BX31" s="24"/>
    </row>
    <row r="32" spans="1:76" s="198" customFormat="1" ht="24" x14ac:dyDescent="0.2">
      <c r="A32" s="108"/>
      <c r="B32" s="242"/>
      <c r="C32" s="319" t="s">
        <v>757</v>
      </c>
      <c r="D32" s="80">
        <f t="shared" ref="D32" si="109">F32+AA32+AN32+BA32+BI32</f>
        <v>0</v>
      </c>
      <c r="E32" s="295">
        <f t="shared" ref="E32" si="110">G32+AB32+AO32+BB32+BJ32</f>
        <v>710</v>
      </c>
      <c r="F32" s="72"/>
      <c r="G32" s="72">
        <f t="shared" si="99"/>
        <v>710</v>
      </c>
      <c r="H32" s="72">
        <f t="shared" si="100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>
        <f t="shared" ref="AB32" si="111">AA32+AC32</f>
        <v>0</v>
      </c>
      <c r="AC32" s="72">
        <f t="shared" ref="AC32" si="112">SUM(AD32:AM32)</f>
        <v>0</v>
      </c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81">
        <f t="shared" ref="BB32" si="113">BA32+BC32</f>
        <v>0</v>
      </c>
      <c r="BC32" s="98">
        <f t="shared" ref="BC32" si="114">SUM(BD32:BH32)</f>
        <v>0</v>
      </c>
      <c r="BD32" s="97"/>
      <c r="BE32" s="97"/>
      <c r="BF32" s="97"/>
      <c r="BG32" s="97"/>
      <c r="BH32" s="97"/>
      <c r="BI32" s="72"/>
      <c r="BJ32" s="81">
        <f t="shared" ref="BJ32" si="115">BI32+BK32</f>
        <v>0</v>
      </c>
      <c r="BK32" s="81">
        <f t="shared" ref="BK32" si="116">SUM(BL32:BU32)</f>
        <v>0</v>
      </c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82" t="s">
        <v>758</v>
      </c>
      <c r="BW32" s="85" t="s">
        <v>442</v>
      </c>
      <c r="BX32" s="24"/>
    </row>
    <row r="33" spans="1:76" ht="24" customHeight="1" x14ac:dyDescent="0.2">
      <c r="A33" s="108">
        <v>90000056554</v>
      </c>
      <c r="B33" s="241" t="s">
        <v>449</v>
      </c>
      <c r="C33" s="285" t="s">
        <v>243</v>
      </c>
      <c r="D33" s="80">
        <f t="shared" si="97"/>
        <v>2415850</v>
      </c>
      <c r="E33" s="295">
        <f t="shared" si="98"/>
        <v>2498923</v>
      </c>
      <c r="F33" s="81">
        <v>2390663</v>
      </c>
      <c r="G33" s="81">
        <f t="shared" si="99"/>
        <v>2472072</v>
      </c>
      <c r="H33" s="81">
        <f t="shared" si="100"/>
        <v>81409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/>
      <c r="U33" s="81"/>
      <c r="V33" s="81"/>
      <c r="W33" s="81">
        <f>17257</f>
        <v>17257</v>
      </c>
      <c r="X33" s="81"/>
      <c r="Y33" s="81"/>
      <c r="Z33" s="81"/>
      <c r="AA33" s="81">
        <v>0</v>
      </c>
      <c r="AB33" s="81">
        <f t="shared" si="101"/>
        <v>0</v>
      </c>
      <c r="AC33" s="81">
        <f t="shared" si="102"/>
        <v>0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>
        <v>29387</v>
      </c>
      <c r="AO33" s="81">
        <f t="shared" si="103"/>
        <v>31051</v>
      </c>
      <c r="AP33" s="81">
        <f t="shared" si="104"/>
        <v>1664</v>
      </c>
      <c r="AQ33" s="81">
        <v>1604</v>
      </c>
      <c r="AR33" s="81"/>
      <c r="AS33" s="81"/>
      <c r="AT33" s="81"/>
      <c r="AU33" s="81"/>
      <c r="AV33" s="81"/>
      <c r="AW33" s="81">
        <v>60</v>
      </c>
      <c r="AX33" s="81"/>
      <c r="AY33" s="81"/>
      <c r="AZ33" s="81"/>
      <c r="BA33" s="81">
        <v>0</v>
      </c>
      <c r="BB33" s="81">
        <f t="shared" si="105"/>
        <v>0</v>
      </c>
      <c r="BC33" s="98">
        <f t="shared" si="106"/>
        <v>0</v>
      </c>
      <c r="BD33" s="98"/>
      <c r="BE33" s="98"/>
      <c r="BF33" s="98"/>
      <c r="BG33" s="98"/>
      <c r="BH33" s="98"/>
      <c r="BI33" s="81">
        <v>-4200</v>
      </c>
      <c r="BJ33" s="81">
        <f t="shared" si="107"/>
        <v>-4200</v>
      </c>
      <c r="BK33" s="81">
        <f t="shared" si="108"/>
        <v>0</v>
      </c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82" t="s">
        <v>654</v>
      </c>
      <c r="BW33" s="85"/>
      <c r="BX33" s="24"/>
    </row>
    <row r="34" spans="1:76" ht="26.25" customHeight="1" x14ac:dyDescent="0.2">
      <c r="A34" s="108"/>
      <c r="B34" s="241" t="s">
        <v>167</v>
      </c>
      <c r="C34" s="322" t="s">
        <v>225</v>
      </c>
      <c r="D34" s="80">
        <f t="shared" si="97"/>
        <v>35000</v>
      </c>
      <c r="E34" s="295">
        <f t="shared" si="98"/>
        <v>35000</v>
      </c>
      <c r="F34" s="81">
        <v>35000</v>
      </c>
      <c r="G34" s="81">
        <f t="shared" si="99"/>
        <v>35000</v>
      </c>
      <c r="H34" s="81">
        <f t="shared" si="100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>
        <f t="shared" si="101"/>
        <v>0</v>
      </c>
      <c r="AC34" s="81">
        <f t="shared" si="102"/>
        <v>0</v>
      </c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98">
        <f t="shared" si="103"/>
        <v>0</v>
      </c>
      <c r="AP34" s="98">
        <f t="shared" si="104"/>
        <v>0</v>
      </c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81">
        <f t="shared" si="105"/>
        <v>0</v>
      </c>
      <c r="BC34" s="98">
        <f t="shared" si="106"/>
        <v>0</v>
      </c>
      <c r="BD34" s="98"/>
      <c r="BE34" s="98"/>
      <c r="BF34" s="98"/>
      <c r="BG34" s="98"/>
      <c r="BH34" s="98"/>
      <c r="BI34" s="81"/>
      <c r="BJ34" s="81">
        <f t="shared" si="107"/>
        <v>0</v>
      </c>
      <c r="BK34" s="81">
        <f t="shared" si="108"/>
        <v>0</v>
      </c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82" t="s">
        <v>344</v>
      </c>
      <c r="BW34" s="85"/>
      <c r="BX34" s="24"/>
    </row>
    <row r="35" spans="1:76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72"/>
      <c r="BC35" s="97"/>
      <c r="BD35" s="97"/>
      <c r="BE35" s="97"/>
      <c r="BF35" s="97"/>
      <c r="BG35" s="97"/>
      <c r="BH35" s="97"/>
      <c r="BI35" s="72"/>
      <c r="BJ35" s="264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73"/>
      <c r="BW35" s="86"/>
      <c r="BX35" s="24"/>
    </row>
    <row r="36" spans="1:76" ht="12.75" thickBot="1" x14ac:dyDescent="0.25">
      <c r="A36" s="215" t="s">
        <v>7</v>
      </c>
      <c r="B36" s="125" t="s">
        <v>8</v>
      </c>
      <c r="C36" s="321"/>
      <c r="D36" s="11">
        <f>SUM(D37:D63)</f>
        <v>22014945</v>
      </c>
      <c r="E36" s="297">
        <f>SUM(E37:E63)</f>
        <v>21602871</v>
      </c>
      <c r="F36" s="9">
        <f>SUM(F37:F63)</f>
        <v>20834324</v>
      </c>
      <c r="G36" s="9">
        <f t="shared" ref="G36:Z36" si="117">SUM(G37:G63)</f>
        <v>20371670</v>
      </c>
      <c r="H36" s="9">
        <f t="shared" si="117"/>
        <v>-462654</v>
      </c>
      <c r="I36" s="9">
        <f t="shared" si="117"/>
        <v>-59883</v>
      </c>
      <c r="J36" s="9">
        <f t="shared" ref="J36" si="118">SUM(J37:J63)</f>
        <v>0</v>
      </c>
      <c r="K36" s="9">
        <f t="shared" si="117"/>
        <v>1136346</v>
      </c>
      <c r="L36" s="9">
        <f t="shared" si="117"/>
        <v>609649</v>
      </c>
      <c r="M36" s="9">
        <f t="shared" si="117"/>
        <v>332752</v>
      </c>
      <c r="N36" s="9">
        <f t="shared" si="117"/>
        <v>5000</v>
      </c>
      <c r="O36" s="9">
        <f t="shared" si="117"/>
        <v>121283</v>
      </c>
      <c r="P36" s="9">
        <f t="shared" si="117"/>
        <v>0</v>
      </c>
      <c r="Q36" s="9">
        <f t="shared" si="117"/>
        <v>-239129</v>
      </c>
      <c r="R36" s="9">
        <f t="shared" si="117"/>
        <v>0</v>
      </c>
      <c r="S36" s="9">
        <f t="shared" si="117"/>
        <v>-1797866</v>
      </c>
      <c r="T36" s="9"/>
      <c r="U36" s="9">
        <f t="shared" si="117"/>
        <v>5645</v>
      </c>
      <c r="V36" s="9"/>
      <c r="W36" s="9">
        <f t="shared" si="117"/>
        <v>-586107</v>
      </c>
      <c r="X36" s="9">
        <f t="shared" ref="X36" si="119">SUM(X37:X63)</f>
        <v>0</v>
      </c>
      <c r="Y36" s="9">
        <f t="shared" si="117"/>
        <v>6471</v>
      </c>
      <c r="Z36" s="9">
        <f t="shared" si="117"/>
        <v>0</v>
      </c>
      <c r="AA36" s="9">
        <f>SUM(AA37:AA63)</f>
        <v>1169460</v>
      </c>
      <c r="AB36" s="9">
        <f t="shared" ref="AB36" si="120">SUM(AB37:AB63)</f>
        <v>1225936</v>
      </c>
      <c r="AC36" s="9">
        <f t="shared" ref="AC36" si="121">SUM(AC37:AC63)</f>
        <v>56476</v>
      </c>
      <c r="AD36" s="9">
        <f t="shared" ref="AD36" si="122">SUM(AD37:AD63)</f>
        <v>0</v>
      </c>
      <c r="AE36" s="9">
        <f t="shared" ref="AE36" si="123">SUM(AE37:AE63)</f>
        <v>33077</v>
      </c>
      <c r="AF36" s="9">
        <f t="shared" ref="AF36" si="124">SUM(AF37:AF63)</f>
        <v>0</v>
      </c>
      <c r="AG36" s="9">
        <f t="shared" ref="AG36" si="125">SUM(AG37:AG63)</f>
        <v>23399</v>
      </c>
      <c r="AH36" s="9">
        <f t="shared" ref="AH36" si="126">SUM(AH37:AH63)</f>
        <v>0</v>
      </c>
      <c r="AI36" s="9">
        <f t="shared" ref="AI36" si="127">SUM(AI37:AI63)</f>
        <v>0</v>
      </c>
      <c r="AJ36" s="9">
        <f t="shared" ref="AJ36" si="128">SUM(AJ37:AJ63)</f>
        <v>0</v>
      </c>
      <c r="AK36" s="9">
        <f t="shared" ref="AK36" si="129">SUM(AK37:AK63)</f>
        <v>0</v>
      </c>
      <c r="AL36" s="9">
        <f t="shared" ref="AL36" si="130">SUM(AL37:AL63)</f>
        <v>0</v>
      </c>
      <c r="AM36" s="9">
        <f t="shared" ref="AM36" si="131">SUM(AM37:AM63)</f>
        <v>0</v>
      </c>
      <c r="AN36" s="9">
        <f>SUM(AN37:AN63)</f>
        <v>11161</v>
      </c>
      <c r="AO36" s="96">
        <f t="shared" ref="AO36" si="132">SUM(AO37:AO63)</f>
        <v>5265</v>
      </c>
      <c r="AP36" s="96">
        <f t="shared" ref="AP36" si="133">SUM(AP37:AP63)</f>
        <v>-5896</v>
      </c>
      <c r="AQ36" s="96">
        <f t="shared" ref="AQ36" si="134">SUM(AQ37:AQ63)</f>
        <v>0</v>
      </c>
      <c r="AR36" s="96">
        <f t="shared" ref="AR36" si="135">SUM(AR37:AR63)</f>
        <v>0</v>
      </c>
      <c r="AS36" s="96">
        <f t="shared" ref="AS36" si="136">SUM(AS37:AS63)</f>
        <v>0</v>
      </c>
      <c r="AT36" s="96">
        <f t="shared" ref="AT36" si="137">SUM(AT37:AT63)</f>
        <v>0</v>
      </c>
      <c r="AU36" s="96">
        <f t="shared" ref="AU36" si="138">SUM(AU37:AU63)</f>
        <v>0</v>
      </c>
      <c r="AV36" s="96">
        <f t="shared" ref="AV36" si="139">SUM(AV37:AV63)</f>
        <v>0</v>
      </c>
      <c r="AW36" s="96">
        <f t="shared" ref="AW36" si="140">SUM(AW37:AW63)</f>
        <v>-5896</v>
      </c>
      <c r="AX36" s="96">
        <f t="shared" ref="AX36" si="141">SUM(AX37:AX63)</f>
        <v>0</v>
      </c>
      <c r="AY36" s="96">
        <f t="shared" ref="AY36" si="142">SUM(AY37:AY63)</f>
        <v>0</v>
      </c>
      <c r="AZ36" s="96">
        <f t="shared" ref="AZ36" si="143">SUM(AZ37:AZ63)</f>
        <v>0</v>
      </c>
      <c r="BA36" s="96">
        <f>SUM(BA37:BA63)</f>
        <v>0</v>
      </c>
      <c r="BB36" s="9">
        <f t="shared" ref="BB36" si="144">SUM(BB37:BB63)</f>
        <v>0</v>
      </c>
      <c r="BC36" s="96">
        <f t="shared" ref="BC36" si="145">SUM(BC37:BC63)</f>
        <v>0</v>
      </c>
      <c r="BD36" s="96">
        <f t="shared" ref="BD36" si="146">SUM(BD37:BD63)</f>
        <v>0</v>
      </c>
      <c r="BE36" s="96">
        <f t="shared" ref="BE36" si="147">SUM(BE37:BE63)</f>
        <v>0</v>
      </c>
      <c r="BF36" s="96">
        <f t="shared" ref="BF36" si="148">SUM(BF37:BF63)</f>
        <v>0</v>
      </c>
      <c r="BG36" s="96">
        <f t="shared" ref="BG36" si="149">SUM(BG37:BG63)</f>
        <v>0</v>
      </c>
      <c r="BH36" s="96">
        <f t="shared" ref="BH36" si="150">SUM(BH37:BH63)</f>
        <v>0</v>
      </c>
      <c r="BI36" s="9">
        <f>SUM(BI37:BI63)</f>
        <v>0</v>
      </c>
      <c r="BJ36" s="310">
        <f t="shared" ref="BJ36" si="151">SUM(BJ37:BJ63)</f>
        <v>0</v>
      </c>
      <c r="BK36" s="96">
        <f t="shared" ref="BK36" si="152">SUM(BK37:BK63)</f>
        <v>0</v>
      </c>
      <c r="BL36" s="96">
        <f t="shared" ref="BL36" si="153">SUM(BL37:BL63)</f>
        <v>0</v>
      </c>
      <c r="BM36" s="96">
        <f t="shared" ref="BM36" si="154">SUM(BM37:BM63)</f>
        <v>0</v>
      </c>
      <c r="BN36" s="96">
        <f t="shared" ref="BN36" si="155">SUM(BN37:BN63)</f>
        <v>0</v>
      </c>
      <c r="BO36" s="96">
        <f t="shared" ref="BO36" si="156">SUM(BO37:BO63)</f>
        <v>0</v>
      </c>
      <c r="BP36" s="96">
        <f t="shared" ref="BP36" si="157">SUM(BP37:BP63)</f>
        <v>0</v>
      </c>
      <c r="BQ36" s="96">
        <f t="shared" ref="BQ36" si="158">SUM(BQ37:BQ63)</f>
        <v>0</v>
      </c>
      <c r="BR36" s="96">
        <f t="shared" ref="BR36" si="159">SUM(BR37:BR63)</f>
        <v>0</v>
      </c>
      <c r="BS36" s="96">
        <f t="shared" ref="BS36" si="160">SUM(BS37:BS63)</f>
        <v>0</v>
      </c>
      <c r="BT36" s="96">
        <f t="shared" ref="BT36" si="161">SUM(BT37:BT63)</f>
        <v>0</v>
      </c>
      <c r="BU36" s="96">
        <f t="shared" ref="BU36" si="162">SUM(BU37:BU63)</f>
        <v>0</v>
      </c>
      <c r="BV36" s="12"/>
      <c r="BW36" s="87"/>
      <c r="BX36" s="24"/>
    </row>
    <row r="37" spans="1:76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3">F37+AA37+AN37+BA37+BI37</f>
        <v>3353884</v>
      </c>
      <c r="E37" s="295">
        <f t="shared" ref="E37:E61" si="164">G37+AB37+AO37+BB37+BJ37</f>
        <v>3340884</v>
      </c>
      <c r="F37" s="81">
        <v>3353884</v>
      </c>
      <c r="G37" s="81">
        <f t="shared" ref="G37:G61" si="165">F37+H37</f>
        <v>3340884</v>
      </c>
      <c r="H37" s="81">
        <f t="shared" ref="H37:H61" si="166">SUM(I37:Z37)</f>
        <v>-13000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>
        <v>7000</v>
      </c>
      <c r="V37" s="81"/>
      <c r="W37" s="81">
        <v>-20000</v>
      </c>
      <c r="X37" s="81"/>
      <c r="Y37" s="81"/>
      <c r="Z37" s="81"/>
      <c r="AA37" s="81">
        <v>0</v>
      </c>
      <c r="AB37" s="81">
        <f t="shared" ref="AB37:AB61" si="167">AA37+AC37</f>
        <v>0</v>
      </c>
      <c r="AC37" s="81">
        <f t="shared" ref="AC37:AC61" si="168">SUM(AD37:AM37)</f>
        <v>0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>
        <v>0</v>
      </c>
      <c r="AO37" s="81">
        <f t="shared" ref="AO37:AO61" si="169">AN37+AP37</f>
        <v>0</v>
      </c>
      <c r="AP37" s="81">
        <f t="shared" ref="AP37:AP61" si="170">SUM(AQ37:AZ37)</f>
        <v>0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>
        <v>0</v>
      </c>
      <c r="BB37" s="81">
        <f t="shared" ref="BB37:BB61" si="171">BA37+BC37</f>
        <v>0</v>
      </c>
      <c r="BC37" s="98">
        <f t="shared" ref="BC37:BC61" si="172">SUM(BD37:BH37)</f>
        <v>0</v>
      </c>
      <c r="BD37" s="98"/>
      <c r="BE37" s="98"/>
      <c r="BF37" s="98"/>
      <c r="BG37" s="98"/>
      <c r="BH37" s="98"/>
      <c r="BI37" s="81"/>
      <c r="BJ37" s="81">
        <f t="shared" ref="BJ37:BJ61" si="173">BI37+BK37</f>
        <v>0</v>
      </c>
      <c r="BK37" s="81">
        <f t="shared" ref="BK37:BK61" si="174">SUM(BL37:BU37)</f>
        <v>0</v>
      </c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82" t="s">
        <v>651</v>
      </c>
      <c r="BW37" s="85"/>
      <c r="BX37" s="24"/>
    </row>
    <row r="38" spans="1:76" s="122" customFormat="1" ht="12.75" x14ac:dyDescent="0.2">
      <c r="A38" s="108"/>
      <c r="B38" s="246"/>
      <c r="C38" s="285" t="s">
        <v>252</v>
      </c>
      <c r="D38" s="80">
        <f t="shared" si="163"/>
        <v>5388</v>
      </c>
      <c r="E38" s="295">
        <f t="shared" si="164"/>
        <v>5388</v>
      </c>
      <c r="F38" s="81">
        <v>5388</v>
      </c>
      <c r="G38" s="81">
        <f t="shared" si="165"/>
        <v>5388</v>
      </c>
      <c r="H38" s="81">
        <f t="shared" si="166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>
        <v>0</v>
      </c>
      <c r="AB38" s="81">
        <f t="shared" si="167"/>
        <v>0</v>
      </c>
      <c r="AC38" s="81">
        <f t="shared" si="168"/>
        <v>0</v>
      </c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>
        <v>0</v>
      </c>
      <c r="AO38" s="81">
        <f t="shared" si="169"/>
        <v>0</v>
      </c>
      <c r="AP38" s="81">
        <f t="shared" si="170"/>
        <v>0</v>
      </c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>
        <v>0</v>
      </c>
      <c r="BB38" s="81">
        <f t="shared" si="171"/>
        <v>0</v>
      </c>
      <c r="BC38" s="98">
        <f t="shared" si="172"/>
        <v>0</v>
      </c>
      <c r="BD38" s="199"/>
      <c r="BE38" s="199"/>
      <c r="BF38" s="199"/>
      <c r="BG38" s="199"/>
      <c r="BH38" s="199"/>
      <c r="BI38" s="163"/>
      <c r="BJ38" s="81">
        <f t="shared" si="173"/>
        <v>0</v>
      </c>
      <c r="BK38" s="81">
        <f t="shared" si="174"/>
        <v>0</v>
      </c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220" t="s">
        <v>655</v>
      </c>
      <c r="BW38" s="85"/>
      <c r="BX38" s="24"/>
    </row>
    <row r="39" spans="1:76" ht="12.75" x14ac:dyDescent="0.2">
      <c r="A39" s="108"/>
      <c r="B39" s="243"/>
      <c r="C39" s="285" t="s">
        <v>215</v>
      </c>
      <c r="D39" s="80">
        <f t="shared" si="163"/>
        <v>2305016</v>
      </c>
      <c r="E39" s="295">
        <f t="shared" si="164"/>
        <v>2271871</v>
      </c>
      <c r="F39" s="81">
        <v>2112120</v>
      </c>
      <c r="G39" s="81">
        <f t="shared" si="165"/>
        <v>2084871</v>
      </c>
      <c r="H39" s="81">
        <f t="shared" si="166"/>
        <v>-27249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>
        <v>-19000</v>
      </c>
      <c r="T39" s="81"/>
      <c r="U39" s="81">
        <v>-965</v>
      </c>
      <c r="V39" s="81">
        <v>3185</v>
      </c>
      <c r="W39" s="81">
        <f>-4879-233-4130-1227</f>
        <v>-10469</v>
      </c>
      <c r="X39" s="81"/>
      <c r="Y39" s="81"/>
      <c r="Z39" s="81"/>
      <c r="AA39" s="81">
        <v>187000</v>
      </c>
      <c r="AB39" s="81">
        <f t="shared" si="167"/>
        <v>187000</v>
      </c>
      <c r="AC39" s="81">
        <f t="shared" si="168"/>
        <v>0</v>
      </c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>
        <v>5896</v>
      </c>
      <c r="AO39" s="81">
        <f t="shared" si="169"/>
        <v>0</v>
      </c>
      <c r="AP39" s="81">
        <f t="shared" si="170"/>
        <v>-5896</v>
      </c>
      <c r="AQ39" s="81"/>
      <c r="AR39" s="81"/>
      <c r="AS39" s="81"/>
      <c r="AT39" s="81"/>
      <c r="AU39" s="81"/>
      <c r="AV39" s="81"/>
      <c r="AW39" s="81">
        <f>4225-4225+965-965-5896</f>
        <v>-5896</v>
      </c>
      <c r="AX39" s="81"/>
      <c r="AY39" s="81"/>
      <c r="AZ39" s="81"/>
      <c r="BA39" s="81">
        <v>0</v>
      </c>
      <c r="BB39" s="81">
        <f t="shared" si="171"/>
        <v>0</v>
      </c>
      <c r="BC39" s="98">
        <f t="shared" si="172"/>
        <v>0</v>
      </c>
      <c r="BD39" s="81"/>
      <c r="BE39" s="81"/>
      <c r="BF39" s="81"/>
      <c r="BG39" s="81"/>
      <c r="BH39" s="81"/>
      <c r="BI39" s="81"/>
      <c r="BJ39" s="81">
        <f t="shared" si="173"/>
        <v>0</v>
      </c>
      <c r="BK39" s="81">
        <f t="shared" si="174"/>
        <v>0</v>
      </c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220" t="s">
        <v>316</v>
      </c>
      <c r="BW39" s="85" t="s">
        <v>661</v>
      </c>
      <c r="BX39" s="24"/>
    </row>
    <row r="40" spans="1:76" s="106" customFormat="1" ht="24" x14ac:dyDescent="0.2">
      <c r="A40" s="108"/>
      <c r="B40" s="246"/>
      <c r="C40" s="285" t="s">
        <v>244</v>
      </c>
      <c r="D40" s="80">
        <f t="shared" si="163"/>
        <v>54303</v>
      </c>
      <c r="E40" s="295">
        <f t="shared" si="164"/>
        <v>42844</v>
      </c>
      <c r="F40" s="163">
        <v>54303</v>
      </c>
      <c r="G40" s="163">
        <f t="shared" si="165"/>
        <v>42844</v>
      </c>
      <c r="H40" s="163">
        <f t="shared" si="166"/>
        <v>-11459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>
        <f>-11459</f>
        <v>-11459</v>
      </c>
      <c r="Z40" s="163"/>
      <c r="AA40" s="163">
        <v>0</v>
      </c>
      <c r="AB40" s="163">
        <f t="shared" si="167"/>
        <v>0</v>
      </c>
      <c r="AC40" s="163">
        <f t="shared" si="168"/>
        <v>0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>
        <v>0</v>
      </c>
      <c r="AO40" s="163">
        <f t="shared" si="169"/>
        <v>0</v>
      </c>
      <c r="AP40" s="163">
        <f t="shared" si="170"/>
        <v>0</v>
      </c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>
        <v>0</v>
      </c>
      <c r="BB40" s="81">
        <f t="shared" si="171"/>
        <v>0</v>
      </c>
      <c r="BC40" s="98">
        <f t="shared" si="172"/>
        <v>0</v>
      </c>
      <c r="BD40" s="163"/>
      <c r="BE40" s="163"/>
      <c r="BF40" s="163"/>
      <c r="BG40" s="163"/>
      <c r="BH40" s="163"/>
      <c r="BI40" s="163"/>
      <c r="BJ40" s="81">
        <f t="shared" si="173"/>
        <v>0</v>
      </c>
      <c r="BK40" s="81">
        <f t="shared" si="174"/>
        <v>0</v>
      </c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220" t="s">
        <v>549</v>
      </c>
      <c r="BW40" s="85" t="s">
        <v>568</v>
      </c>
      <c r="BX40" s="24"/>
    </row>
    <row r="41" spans="1:76" s="162" customFormat="1" ht="12.75" x14ac:dyDescent="0.2">
      <c r="A41" s="108"/>
      <c r="B41" s="246"/>
      <c r="C41" s="285" t="s">
        <v>220</v>
      </c>
      <c r="D41" s="80">
        <f t="shared" si="163"/>
        <v>461728</v>
      </c>
      <c r="E41" s="295">
        <f t="shared" si="164"/>
        <v>461728</v>
      </c>
      <c r="F41" s="81">
        <v>456463</v>
      </c>
      <c r="G41" s="81">
        <f t="shared" si="165"/>
        <v>456463</v>
      </c>
      <c r="H41" s="81">
        <f t="shared" si="166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>
        <v>0</v>
      </c>
      <c r="AB41" s="81">
        <f t="shared" si="167"/>
        <v>0</v>
      </c>
      <c r="AC41" s="81">
        <f t="shared" si="168"/>
        <v>0</v>
      </c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>
        <v>5265</v>
      </c>
      <c r="AO41" s="81">
        <f t="shared" si="169"/>
        <v>5265</v>
      </c>
      <c r="AP41" s="81">
        <f t="shared" si="170"/>
        <v>0</v>
      </c>
      <c r="AQ41" s="81">
        <v>0</v>
      </c>
      <c r="AR41" s="81"/>
      <c r="AS41" s="81"/>
      <c r="AT41" s="81"/>
      <c r="AU41" s="81"/>
      <c r="AV41" s="81"/>
      <c r="AW41" s="81"/>
      <c r="AX41" s="81"/>
      <c r="AY41" s="81"/>
      <c r="AZ41" s="81"/>
      <c r="BA41" s="81">
        <v>0</v>
      </c>
      <c r="BB41" s="81">
        <f t="shared" si="171"/>
        <v>0</v>
      </c>
      <c r="BC41" s="98">
        <f t="shared" si="172"/>
        <v>0</v>
      </c>
      <c r="BD41" s="81"/>
      <c r="BE41" s="81"/>
      <c r="BF41" s="81"/>
      <c r="BG41" s="81"/>
      <c r="BH41" s="81"/>
      <c r="BI41" s="81"/>
      <c r="BJ41" s="81">
        <f t="shared" si="173"/>
        <v>0</v>
      </c>
      <c r="BK41" s="81">
        <f t="shared" si="174"/>
        <v>0</v>
      </c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220" t="s">
        <v>317</v>
      </c>
      <c r="BW41" s="85" t="s">
        <v>789</v>
      </c>
      <c r="BX41" s="24"/>
    </row>
    <row r="42" spans="1:76" s="121" customFormat="1" ht="24" x14ac:dyDescent="0.2">
      <c r="A42" s="108"/>
      <c r="B42" s="243"/>
      <c r="C42" s="285" t="s">
        <v>251</v>
      </c>
      <c r="D42" s="80">
        <f t="shared" si="163"/>
        <v>807594</v>
      </c>
      <c r="E42" s="295">
        <f t="shared" si="164"/>
        <v>726800</v>
      </c>
      <c r="F42" s="81">
        <v>807594</v>
      </c>
      <c r="G42" s="81">
        <f t="shared" si="165"/>
        <v>726800</v>
      </c>
      <c r="H42" s="81">
        <f t="shared" si="166"/>
        <v>-80794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>
        <v>-13400</v>
      </c>
      <c r="T42" s="81"/>
      <c r="U42" s="81">
        <f>5500+965</f>
        <v>6465</v>
      </c>
      <c r="V42" s="81"/>
      <c r="W42" s="81">
        <f>-15121-30000</f>
        <v>-45121</v>
      </c>
      <c r="X42" s="81"/>
      <c r="Y42" s="81">
        <v>-37195</v>
      </c>
      <c r="Z42" s="81"/>
      <c r="AA42" s="81">
        <v>0</v>
      </c>
      <c r="AB42" s="81">
        <f t="shared" si="167"/>
        <v>0</v>
      </c>
      <c r="AC42" s="81">
        <f t="shared" si="168"/>
        <v>0</v>
      </c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>
        <v>0</v>
      </c>
      <c r="AO42" s="81">
        <f t="shared" si="169"/>
        <v>0</v>
      </c>
      <c r="AP42" s="81">
        <f t="shared" si="170"/>
        <v>0</v>
      </c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>
        <v>0</v>
      </c>
      <c r="BB42" s="81">
        <f t="shared" si="171"/>
        <v>0</v>
      </c>
      <c r="BC42" s="98">
        <f t="shared" si="172"/>
        <v>0</v>
      </c>
      <c r="BD42" s="81"/>
      <c r="BE42" s="81"/>
      <c r="BF42" s="81"/>
      <c r="BG42" s="81"/>
      <c r="BH42" s="81"/>
      <c r="BI42" s="81"/>
      <c r="BJ42" s="81">
        <f t="shared" si="173"/>
        <v>0</v>
      </c>
      <c r="BK42" s="81">
        <f t="shared" si="174"/>
        <v>0</v>
      </c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220" t="s">
        <v>318</v>
      </c>
      <c r="BW42" s="85" t="s">
        <v>662</v>
      </c>
      <c r="BX42" s="24"/>
    </row>
    <row r="43" spans="1:76" s="162" customFormat="1" ht="24" x14ac:dyDescent="0.2">
      <c r="A43" s="108"/>
      <c r="B43" s="243"/>
      <c r="C43" s="285" t="s">
        <v>260</v>
      </c>
      <c r="D43" s="80">
        <f t="shared" si="163"/>
        <v>114100</v>
      </c>
      <c r="E43" s="295">
        <f t="shared" si="164"/>
        <v>114100</v>
      </c>
      <c r="F43" s="163">
        <v>114100</v>
      </c>
      <c r="G43" s="163">
        <f t="shared" si="165"/>
        <v>114100</v>
      </c>
      <c r="H43" s="163">
        <f t="shared" si="166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>
        <v>0</v>
      </c>
      <c r="AB43" s="163">
        <f t="shared" si="167"/>
        <v>0</v>
      </c>
      <c r="AC43" s="163">
        <f t="shared" si="168"/>
        <v>0</v>
      </c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>
        <v>0</v>
      </c>
      <c r="AO43" s="163">
        <f t="shared" si="169"/>
        <v>0</v>
      </c>
      <c r="AP43" s="163">
        <f t="shared" si="170"/>
        <v>0</v>
      </c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>
        <v>0</v>
      </c>
      <c r="BB43" s="81">
        <f t="shared" si="171"/>
        <v>0</v>
      </c>
      <c r="BC43" s="98">
        <f t="shared" si="172"/>
        <v>0</v>
      </c>
      <c r="BD43" s="163"/>
      <c r="BE43" s="163"/>
      <c r="BF43" s="163"/>
      <c r="BG43" s="163"/>
      <c r="BH43" s="163"/>
      <c r="BI43" s="163"/>
      <c r="BJ43" s="81">
        <f t="shared" si="173"/>
        <v>0</v>
      </c>
      <c r="BK43" s="81">
        <f t="shared" si="174"/>
        <v>0</v>
      </c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220" t="s">
        <v>319</v>
      </c>
      <c r="BW43" s="86" t="s">
        <v>481</v>
      </c>
      <c r="BX43" s="24"/>
    </row>
    <row r="44" spans="1:76" s="162" customFormat="1" ht="24" x14ac:dyDescent="0.2">
      <c r="A44" s="108"/>
      <c r="B44" s="243"/>
      <c r="C44" s="285" t="s">
        <v>707</v>
      </c>
      <c r="D44" s="80">
        <f t="shared" si="163"/>
        <v>8257247</v>
      </c>
      <c r="E44" s="295">
        <f t="shared" si="164"/>
        <v>8752103</v>
      </c>
      <c r="F44" s="81">
        <v>7367846</v>
      </c>
      <c r="G44" s="81">
        <f t="shared" si="165"/>
        <v>7713167</v>
      </c>
      <c r="H44" s="81">
        <f t="shared" si="166"/>
        <v>345321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>
        <f>-1148816+1263198</f>
        <v>114382</v>
      </c>
      <c r="T44" s="81"/>
      <c r="U44" s="81"/>
      <c r="V44" s="81"/>
      <c r="W44" s="81">
        <v>20000</v>
      </c>
      <c r="X44" s="81"/>
      <c r="Y44" s="81">
        <v>55845</v>
      </c>
      <c r="Z44" s="81"/>
      <c r="AA44" s="81">
        <v>889401</v>
      </c>
      <c r="AB44" s="81">
        <f t="shared" si="167"/>
        <v>1038936</v>
      </c>
      <c r="AC44" s="81">
        <f t="shared" si="168"/>
        <v>149535</v>
      </c>
      <c r="AD44" s="81"/>
      <c r="AE44" s="81">
        <v>33077</v>
      </c>
      <c r="AF44" s="81"/>
      <c r="AG44" s="81">
        <f>23399+93059</f>
        <v>116458</v>
      </c>
      <c r="AH44" s="81"/>
      <c r="AI44" s="81"/>
      <c r="AJ44" s="81"/>
      <c r="AK44" s="81"/>
      <c r="AL44" s="81"/>
      <c r="AM44" s="81"/>
      <c r="AN44" s="81">
        <v>0</v>
      </c>
      <c r="AO44" s="81">
        <f t="shared" si="169"/>
        <v>0</v>
      </c>
      <c r="AP44" s="81">
        <f t="shared" si="170"/>
        <v>0</v>
      </c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>
        <v>0</v>
      </c>
      <c r="BB44" s="81">
        <f t="shared" si="171"/>
        <v>0</v>
      </c>
      <c r="BC44" s="98">
        <f t="shared" si="172"/>
        <v>0</v>
      </c>
      <c r="BD44" s="81"/>
      <c r="BE44" s="81"/>
      <c r="BF44" s="81"/>
      <c r="BG44" s="81"/>
      <c r="BH44" s="81"/>
      <c r="BI44" s="81"/>
      <c r="BJ44" s="81">
        <f t="shared" si="173"/>
        <v>0</v>
      </c>
      <c r="BK44" s="81">
        <f t="shared" si="174"/>
        <v>0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220" t="s">
        <v>656</v>
      </c>
      <c r="BW44" s="85" t="s">
        <v>439</v>
      </c>
      <c r="BX44" s="24"/>
    </row>
    <row r="45" spans="1:76" s="198" customFormat="1" ht="24" x14ac:dyDescent="0.2">
      <c r="A45" s="108"/>
      <c r="B45" s="243"/>
      <c r="C45" s="285" t="s">
        <v>642</v>
      </c>
      <c r="D45" s="80">
        <f t="shared" si="163"/>
        <v>584436</v>
      </c>
      <c r="E45" s="295">
        <f t="shared" si="164"/>
        <v>605936</v>
      </c>
      <c r="F45" s="81">
        <v>584436</v>
      </c>
      <c r="G45" s="81">
        <f t="shared" si="165"/>
        <v>605936</v>
      </c>
      <c r="H45" s="81">
        <f t="shared" si="166"/>
        <v>21500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>
        <v>16500</v>
      </c>
      <c r="T45" s="81"/>
      <c r="U45" s="81"/>
      <c r="V45" s="81"/>
      <c r="W45" s="81"/>
      <c r="X45" s="81"/>
      <c r="Y45" s="81"/>
      <c r="Z45" s="81"/>
      <c r="AA45" s="81">
        <v>0</v>
      </c>
      <c r="AB45" s="81">
        <f t="shared" si="167"/>
        <v>0</v>
      </c>
      <c r="AC45" s="81">
        <f t="shared" si="168"/>
        <v>0</v>
      </c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>
        <v>0</v>
      </c>
      <c r="AO45" s="81">
        <f t="shared" si="169"/>
        <v>0</v>
      </c>
      <c r="AP45" s="81">
        <f t="shared" si="170"/>
        <v>0</v>
      </c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>
        <v>0</v>
      </c>
      <c r="BB45" s="81">
        <f t="shared" si="171"/>
        <v>0</v>
      </c>
      <c r="BC45" s="98">
        <f t="shared" si="172"/>
        <v>0</v>
      </c>
      <c r="BD45" s="199"/>
      <c r="BE45" s="199"/>
      <c r="BF45" s="199"/>
      <c r="BG45" s="199"/>
      <c r="BH45" s="199"/>
      <c r="BI45" s="163"/>
      <c r="BJ45" s="81">
        <f t="shared" si="173"/>
        <v>0</v>
      </c>
      <c r="BK45" s="81">
        <f t="shared" si="174"/>
        <v>0</v>
      </c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220" t="s">
        <v>657</v>
      </c>
      <c r="BW45" s="85" t="s">
        <v>441</v>
      </c>
      <c r="BX45" s="24"/>
    </row>
    <row r="46" spans="1:76" s="159" customFormat="1" ht="36" x14ac:dyDescent="0.2">
      <c r="A46" s="108"/>
      <c r="B46" s="243"/>
      <c r="C46" s="285" t="s">
        <v>702</v>
      </c>
      <c r="D46" s="80">
        <f t="shared" si="163"/>
        <v>24315</v>
      </c>
      <c r="E46" s="295">
        <f t="shared" si="164"/>
        <v>24315</v>
      </c>
      <c r="F46" s="81">
        <v>24315</v>
      </c>
      <c r="G46" s="81">
        <f t="shared" si="165"/>
        <v>24315</v>
      </c>
      <c r="H46" s="81">
        <f t="shared" si="166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>
        <v>0</v>
      </c>
      <c r="AB46" s="81">
        <f t="shared" si="167"/>
        <v>0</v>
      </c>
      <c r="AC46" s="81">
        <f t="shared" si="168"/>
        <v>0</v>
      </c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>
        <v>0</v>
      </c>
      <c r="AO46" s="81">
        <f t="shared" si="169"/>
        <v>0</v>
      </c>
      <c r="AP46" s="81">
        <f t="shared" si="170"/>
        <v>0</v>
      </c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>
        <v>0</v>
      </c>
      <c r="BB46" s="81">
        <f t="shared" si="171"/>
        <v>0</v>
      </c>
      <c r="BC46" s="98">
        <f t="shared" si="172"/>
        <v>0</v>
      </c>
      <c r="BD46" s="199"/>
      <c r="BE46" s="199"/>
      <c r="BF46" s="199"/>
      <c r="BG46" s="199"/>
      <c r="BH46" s="199"/>
      <c r="BI46" s="163"/>
      <c r="BJ46" s="81">
        <f t="shared" si="173"/>
        <v>0</v>
      </c>
      <c r="BK46" s="81">
        <f t="shared" si="174"/>
        <v>0</v>
      </c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220" t="s">
        <v>658</v>
      </c>
      <c r="BW46" s="85"/>
      <c r="BX46" s="24"/>
    </row>
    <row r="47" spans="1:76" s="130" customFormat="1" ht="15" customHeight="1" x14ac:dyDescent="0.2">
      <c r="A47" s="108"/>
      <c r="B47" s="243"/>
      <c r="C47" s="285" t="s">
        <v>622</v>
      </c>
      <c r="D47" s="80">
        <f t="shared" si="163"/>
        <v>2600</v>
      </c>
      <c r="E47" s="295">
        <f t="shared" si="164"/>
        <v>2569</v>
      </c>
      <c r="F47" s="81">
        <v>2600</v>
      </c>
      <c r="G47" s="81">
        <f t="shared" si="165"/>
        <v>2569</v>
      </c>
      <c r="H47" s="81">
        <f t="shared" si="166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>
        <v>0</v>
      </c>
      <c r="AB47" s="81">
        <f t="shared" si="167"/>
        <v>0</v>
      </c>
      <c r="AC47" s="81">
        <f t="shared" si="168"/>
        <v>0</v>
      </c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>
        <v>0</v>
      </c>
      <c r="AO47" s="81">
        <f t="shared" si="169"/>
        <v>0</v>
      </c>
      <c r="AP47" s="81">
        <f t="shared" si="170"/>
        <v>0</v>
      </c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>
        <v>0</v>
      </c>
      <c r="BB47" s="81">
        <f t="shared" si="171"/>
        <v>0</v>
      </c>
      <c r="BC47" s="98">
        <f t="shared" si="172"/>
        <v>0</v>
      </c>
      <c r="BD47" s="199"/>
      <c r="BE47" s="199"/>
      <c r="BF47" s="199"/>
      <c r="BG47" s="199"/>
      <c r="BH47" s="199"/>
      <c r="BI47" s="163"/>
      <c r="BJ47" s="81">
        <f t="shared" si="173"/>
        <v>0</v>
      </c>
      <c r="BK47" s="81">
        <f t="shared" si="174"/>
        <v>0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20" t="s">
        <v>659</v>
      </c>
      <c r="BW47" s="85"/>
      <c r="BX47" s="24"/>
    </row>
    <row r="48" spans="1:76" s="198" customFormat="1" ht="24" x14ac:dyDescent="0.2">
      <c r="A48" s="108"/>
      <c r="B48" s="243"/>
      <c r="C48" s="285" t="s">
        <v>623</v>
      </c>
      <c r="D48" s="80">
        <f t="shared" si="163"/>
        <v>10397</v>
      </c>
      <c r="E48" s="295">
        <f t="shared" si="164"/>
        <v>10537</v>
      </c>
      <c r="F48" s="81">
        <v>10397</v>
      </c>
      <c r="G48" s="81">
        <f t="shared" si="165"/>
        <v>10537</v>
      </c>
      <c r="H48" s="81">
        <f t="shared" si="166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>
        <v>0</v>
      </c>
      <c r="AB48" s="81">
        <f t="shared" si="167"/>
        <v>0</v>
      </c>
      <c r="AC48" s="81">
        <f t="shared" si="168"/>
        <v>0</v>
      </c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>
        <v>0</v>
      </c>
      <c r="AO48" s="81">
        <f t="shared" si="169"/>
        <v>0</v>
      </c>
      <c r="AP48" s="81">
        <f t="shared" si="170"/>
        <v>0</v>
      </c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>
        <v>0</v>
      </c>
      <c r="BB48" s="81">
        <f t="shared" si="171"/>
        <v>0</v>
      </c>
      <c r="BC48" s="98">
        <f t="shared" si="172"/>
        <v>0</v>
      </c>
      <c r="BD48" s="199"/>
      <c r="BE48" s="199"/>
      <c r="BF48" s="199"/>
      <c r="BG48" s="199"/>
      <c r="BH48" s="199"/>
      <c r="BI48" s="163"/>
      <c r="BJ48" s="81">
        <f t="shared" si="173"/>
        <v>0</v>
      </c>
      <c r="BK48" s="81">
        <f t="shared" si="174"/>
        <v>0</v>
      </c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220" t="s">
        <v>500</v>
      </c>
      <c r="BW48" s="85"/>
      <c r="BX48" s="24"/>
    </row>
    <row r="49" spans="1:76" s="198" customFormat="1" ht="12.75" x14ac:dyDescent="0.2">
      <c r="A49" s="108"/>
      <c r="B49" s="243"/>
      <c r="C49" s="285" t="s">
        <v>624</v>
      </c>
      <c r="D49" s="80">
        <f t="shared" si="163"/>
        <v>0</v>
      </c>
      <c r="E49" s="295">
        <f t="shared" si="164"/>
        <v>48073</v>
      </c>
      <c r="F49" s="81">
        <v>0</v>
      </c>
      <c r="G49" s="81">
        <f t="shared" si="165"/>
        <v>48073</v>
      </c>
      <c r="H49" s="81">
        <f t="shared" si="166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>
        <v>0</v>
      </c>
      <c r="AB49" s="81">
        <f t="shared" si="167"/>
        <v>0</v>
      </c>
      <c r="AC49" s="81">
        <f t="shared" si="168"/>
        <v>0</v>
      </c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>
        <v>0</v>
      </c>
      <c r="AO49" s="81">
        <f t="shared" si="169"/>
        <v>0</v>
      </c>
      <c r="AP49" s="81">
        <f t="shared" si="170"/>
        <v>0</v>
      </c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>
        <v>0</v>
      </c>
      <c r="BB49" s="81">
        <f t="shared" si="171"/>
        <v>0</v>
      </c>
      <c r="BC49" s="98">
        <f t="shared" si="172"/>
        <v>0</v>
      </c>
      <c r="BD49" s="199"/>
      <c r="BE49" s="199"/>
      <c r="BF49" s="199"/>
      <c r="BG49" s="199"/>
      <c r="BH49" s="199"/>
      <c r="BI49" s="163"/>
      <c r="BJ49" s="81">
        <f t="shared" si="173"/>
        <v>0</v>
      </c>
      <c r="BK49" s="81">
        <f t="shared" si="174"/>
        <v>0</v>
      </c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220" t="s">
        <v>660</v>
      </c>
      <c r="BW49" s="85"/>
      <c r="BX49" s="24"/>
    </row>
    <row r="50" spans="1:76" s="198" customFormat="1" ht="24" x14ac:dyDescent="0.2">
      <c r="A50" s="108"/>
      <c r="B50" s="243"/>
      <c r="C50" s="285" t="s">
        <v>626</v>
      </c>
      <c r="D50" s="80">
        <f t="shared" si="163"/>
        <v>3330726</v>
      </c>
      <c r="E50" s="295">
        <f t="shared" si="164"/>
        <v>3043322</v>
      </c>
      <c r="F50" s="81">
        <v>3330726</v>
      </c>
      <c r="G50" s="81">
        <f t="shared" si="165"/>
        <v>3043322</v>
      </c>
      <c r="H50" s="81">
        <f t="shared" si="166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>
        <v>0</v>
      </c>
      <c r="AB50" s="81">
        <f t="shared" si="167"/>
        <v>0</v>
      </c>
      <c r="AC50" s="81">
        <f t="shared" si="168"/>
        <v>0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>
        <v>0</v>
      </c>
      <c r="AO50" s="81">
        <f t="shared" si="169"/>
        <v>0</v>
      </c>
      <c r="AP50" s="81">
        <f t="shared" si="170"/>
        <v>0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>
        <v>0</v>
      </c>
      <c r="BB50" s="81">
        <f t="shared" si="171"/>
        <v>0</v>
      </c>
      <c r="BC50" s="98">
        <f t="shared" si="172"/>
        <v>0</v>
      </c>
      <c r="BD50" s="98"/>
      <c r="BE50" s="98"/>
      <c r="BF50" s="98"/>
      <c r="BG50" s="98"/>
      <c r="BH50" s="98"/>
      <c r="BI50" s="81"/>
      <c r="BJ50" s="81">
        <f t="shared" si="173"/>
        <v>0</v>
      </c>
      <c r="BK50" s="81">
        <f t="shared" si="174"/>
        <v>0</v>
      </c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220" t="s">
        <v>559</v>
      </c>
      <c r="BW50" s="85"/>
      <c r="BX50" s="24"/>
    </row>
    <row r="51" spans="1:76" s="198" customFormat="1" ht="36" x14ac:dyDescent="0.2">
      <c r="A51" s="108"/>
      <c r="B51" s="243"/>
      <c r="C51" s="319" t="s">
        <v>625</v>
      </c>
      <c r="D51" s="80">
        <f t="shared" si="163"/>
        <v>2177258</v>
      </c>
      <c r="E51" s="295">
        <f t="shared" si="164"/>
        <v>241241</v>
      </c>
      <c r="F51" s="163">
        <v>2084199</v>
      </c>
      <c r="G51" s="163">
        <f t="shared" si="165"/>
        <v>241241</v>
      </c>
      <c r="H51" s="163">
        <f t="shared" si="166"/>
        <v>-1842958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>
        <v>-1832690</v>
      </c>
      <c r="T51" s="163"/>
      <c r="U51" s="163"/>
      <c r="V51" s="163"/>
      <c r="W51" s="163"/>
      <c r="X51" s="163"/>
      <c r="Y51" s="163"/>
      <c r="Z51" s="163"/>
      <c r="AA51" s="163">
        <v>93059</v>
      </c>
      <c r="AB51" s="163">
        <f t="shared" si="167"/>
        <v>0</v>
      </c>
      <c r="AC51" s="163">
        <f t="shared" si="168"/>
        <v>-93059</v>
      </c>
      <c r="AD51" s="163"/>
      <c r="AE51" s="163"/>
      <c r="AF51" s="163"/>
      <c r="AG51" s="163">
        <v>-93059</v>
      </c>
      <c r="AH51" s="163"/>
      <c r="AI51" s="163"/>
      <c r="AJ51" s="163"/>
      <c r="AK51" s="163"/>
      <c r="AL51" s="163"/>
      <c r="AM51" s="163"/>
      <c r="AN51" s="163">
        <v>0</v>
      </c>
      <c r="AO51" s="163">
        <f t="shared" si="169"/>
        <v>0</v>
      </c>
      <c r="AP51" s="163">
        <f t="shared" si="170"/>
        <v>0</v>
      </c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>
        <v>0</v>
      </c>
      <c r="BB51" s="81">
        <f t="shared" si="171"/>
        <v>0</v>
      </c>
      <c r="BC51" s="98">
        <f t="shared" si="172"/>
        <v>0</v>
      </c>
      <c r="BD51" s="199"/>
      <c r="BE51" s="199"/>
      <c r="BF51" s="199"/>
      <c r="BG51" s="199"/>
      <c r="BH51" s="199"/>
      <c r="BI51" s="163"/>
      <c r="BJ51" s="81">
        <f t="shared" si="173"/>
        <v>0</v>
      </c>
      <c r="BK51" s="81">
        <f t="shared" si="174"/>
        <v>0</v>
      </c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220" t="s">
        <v>560</v>
      </c>
      <c r="BW51" s="200"/>
      <c r="BX51" s="24"/>
    </row>
    <row r="52" spans="1:76" s="198" customFormat="1" ht="24" x14ac:dyDescent="0.2">
      <c r="A52" s="108"/>
      <c r="B52" s="243"/>
      <c r="C52" s="319" t="s">
        <v>732</v>
      </c>
      <c r="D52" s="80">
        <f t="shared" ref="D52:D53" si="175">F52+AA52+AN52+BA52+BI52</f>
        <v>0</v>
      </c>
      <c r="E52" s="295">
        <f t="shared" ref="E52:E53" si="176">G52+AB52+AO52+BB52+BJ52</f>
        <v>8614</v>
      </c>
      <c r="F52" s="163"/>
      <c r="G52" s="163">
        <f t="shared" ref="G52" si="177">F52+H52</f>
        <v>8614</v>
      </c>
      <c r="H52" s="163">
        <f t="shared" ref="H52" si="178">SUM(I52:Z52)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>
        <f t="shared" ref="AB52" si="179">AA52+AC52</f>
        <v>0</v>
      </c>
      <c r="AC52" s="163">
        <f t="shared" ref="AC52" si="180">SUM(AD52:AM52)</f>
        <v>0</v>
      </c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>
        <f t="shared" ref="AO52" si="181">AN52+AP52</f>
        <v>0</v>
      </c>
      <c r="AP52" s="163">
        <f t="shared" ref="AP52" si="182">SUM(AQ52:AZ52)</f>
        <v>0</v>
      </c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81">
        <f t="shared" ref="BB52" si="183">BA52+BC52</f>
        <v>0</v>
      </c>
      <c r="BC52" s="98">
        <f t="shared" ref="BC52" si="184">SUM(BD52:BH52)</f>
        <v>0</v>
      </c>
      <c r="BD52" s="199"/>
      <c r="BE52" s="199"/>
      <c r="BF52" s="199"/>
      <c r="BG52" s="199"/>
      <c r="BH52" s="199"/>
      <c r="BI52" s="163"/>
      <c r="BJ52" s="81">
        <f t="shared" ref="BJ52" si="185">BI52+BK52</f>
        <v>0</v>
      </c>
      <c r="BK52" s="81">
        <f t="shared" ref="BK52" si="186">SUM(BL52:BU52)</f>
        <v>0</v>
      </c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220" t="s">
        <v>733</v>
      </c>
      <c r="BW52" s="200"/>
      <c r="BX52" s="24"/>
    </row>
    <row r="53" spans="1:76" s="198" customFormat="1" ht="22.5" customHeight="1" x14ac:dyDescent="0.2">
      <c r="A53" s="108"/>
      <c r="B53" s="243"/>
      <c r="C53" s="319" t="s">
        <v>772</v>
      </c>
      <c r="D53" s="80">
        <f t="shared" si="175"/>
        <v>0</v>
      </c>
      <c r="E53" s="295">
        <f t="shared" si="176"/>
        <v>62027</v>
      </c>
      <c r="F53" s="163"/>
      <c r="G53" s="163">
        <f t="shared" ref="G53" si="187">F53+H53</f>
        <v>62027</v>
      </c>
      <c r="H53" s="163">
        <f t="shared" ref="H53" si="188">SUM(I53:Z53)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>
        <f t="shared" ref="AB53" si="189">AA53+AC53</f>
        <v>0</v>
      </c>
      <c r="AC53" s="163">
        <f t="shared" ref="AC53" si="190">SUM(AD53:AM53)</f>
        <v>0</v>
      </c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>
        <f t="shared" ref="AO53" si="191">AN53+AP53</f>
        <v>0</v>
      </c>
      <c r="AP53" s="163">
        <f t="shared" ref="AP53" si="192">SUM(AQ53:AZ53)</f>
        <v>0</v>
      </c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81">
        <f t="shared" ref="BB53" si="193">BA53+BC53</f>
        <v>0</v>
      </c>
      <c r="BC53" s="98">
        <f t="shared" ref="BC53" si="194">SUM(BD53:BH53)</f>
        <v>0</v>
      </c>
      <c r="BD53" s="199"/>
      <c r="BE53" s="199"/>
      <c r="BF53" s="199"/>
      <c r="BG53" s="199"/>
      <c r="BH53" s="199"/>
      <c r="BI53" s="163"/>
      <c r="BJ53" s="81">
        <f t="shared" ref="BJ53" si="195">BI53+BK53</f>
        <v>0</v>
      </c>
      <c r="BK53" s="81">
        <f t="shared" ref="BK53" si="196">SUM(BL53:BU53)</f>
        <v>0</v>
      </c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220" t="s">
        <v>748</v>
      </c>
      <c r="BW53" s="200"/>
      <c r="BX53" s="24"/>
    </row>
    <row r="54" spans="1:76" s="198" customFormat="1" ht="36" x14ac:dyDescent="0.2">
      <c r="A54" s="108"/>
      <c r="B54" s="243"/>
      <c r="C54" s="319" t="s">
        <v>764</v>
      </c>
      <c r="D54" s="80">
        <f t="shared" ref="D54" si="197">F54+AA54+AN54+BA54+BI54</f>
        <v>0</v>
      </c>
      <c r="E54" s="295">
        <f t="shared" ref="E54" si="198">G54+AB54+AO54+BB54+BJ54</f>
        <v>331567</v>
      </c>
      <c r="F54" s="163"/>
      <c r="G54" s="163">
        <f t="shared" ref="G54" si="199">F54+H54</f>
        <v>331567</v>
      </c>
      <c r="H54" s="163">
        <f t="shared" ref="H54" si="200">SUM(I54:Z54)</f>
        <v>331567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/>
      <c r="V54" s="163"/>
      <c r="W54" s="163">
        <v>-529860</v>
      </c>
      <c r="X54" s="163"/>
      <c r="Y54" s="163"/>
      <c r="Z54" s="163"/>
      <c r="AA54" s="163"/>
      <c r="AB54" s="163">
        <f t="shared" ref="AB54" si="201">AA54+AC54</f>
        <v>0</v>
      </c>
      <c r="AC54" s="163">
        <f t="shared" ref="AC54" si="202">SUM(AD54:AM54)</f>
        <v>0</v>
      </c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>
        <f t="shared" ref="AO54" si="203">AN54+AP54</f>
        <v>0</v>
      </c>
      <c r="AP54" s="163">
        <f t="shared" ref="AP54" si="204">SUM(AQ54:AZ54)</f>
        <v>0</v>
      </c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81">
        <f t="shared" ref="BB54" si="205">BA54+BC54</f>
        <v>0</v>
      </c>
      <c r="BC54" s="98">
        <f t="shared" ref="BC54" si="206">SUM(BD54:BH54)</f>
        <v>0</v>
      </c>
      <c r="BD54" s="199"/>
      <c r="BE54" s="199"/>
      <c r="BF54" s="199"/>
      <c r="BG54" s="199"/>
      <c r="BH54" s="199"/>
      <c r="BI54" s="163"/>
      <c r="BJ54" s="81">
        <f t="shared" ref="BJ54" si="207">BI54+BK54</f>
        <v>0</v>
      </c>
      <c r="BK54" s="81">
        <f t="shared" ref="BK54" si="208">SUM(BL54:BU54)</f>
        <v>0</v>
      </c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220" t="s">
        <v>763</v>
      </c>
      <c r="BW54" s="200"/>
      <c r="BX54" s="24"/>
    </row>
    <row r="55" spans="1:76" s="198" customFormat="1" ht="24" x14ac:dyDescent="0.2">
      <c r="A55" s="108"/>
      <c r="B55" s="243"/>
      <c r="C55" s="319" t="s">
        <v>793</v>
      </c>
      <c r="D55" s="80">
        <f t="shared" ref="D55" si="209">F55+AA55+AN55+BA55+BI55</f>
        <v>0</v>
      </c>
      <c r="E55" s="295">
        <f t="shared" ref="E55" si="210">G55+AB55+AO55+BB55+BJ55</f>
        <v>1205889</v>
      </c>
      <c r="F55" s="163"/>
      <c r="G55" s="163">
        <f t="shared" ref="G55" si="211">F55+H55</f>
        <v>1205889</v>
      </c>
      <c r="H55" s="163">
        <f t="shared" ref="H55" si="212">SUM(I55:Z55)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>
        <f t="shared" ref="AB55" si="213">AA55+AC55</f>
        <v>0</v>
      </c>
      <c r="AC55" s="163">
        <f t="shared" ref="AC55" si="214">SUM(AD55:AM55)</f>
        <v>0</v>
      </c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>
        <f t="shared" ref="AO55" si="215">AN55+AP55</f>
        <v>0</v>
      </c>
      <c r="AP55" s="163">
        <f t="shared" ref="AP55" si="216">SUM(AQ55:AZ55)</f>
        <v>0</v>
      </c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81">
        <f t="shared" ref="BB55" si="217">BA55+BC55</f>
        <v>0</v>
      </c>
      <c r="BC55" s="98">
        <f t="shared" ref="BC55" si="218">SUM(BD55:BH55)</f>
        <v>0</v>
      </c>
      <c r="BD55" s="199"/>
      <c r="BE55" s="199"/>
      <c r="BF55" s="199"/>
      <c r="BG55" s="199"/>
      <c r="BH55" s="199"/>
      <c r="BI55" s="163"/>
      <c r="BJ55" s="81">
        <f t="shared" ref="BJ55" si="219">BI55+BK55</f>
        <v>0</v>
      </c>
      <c r="BK55" s="81">
        <f t="shared" ref="BK55" si="220">SUM(BL55:BU55)</f>
        <v>0</v>
      </c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220" t="s">
        <v>792</v>
      </c>
      <c r="BW55" s="200"/>
      <c r="BX55" s="24"/>
    </row>
    <row r="56" spans="1:76" ht="24" customHeight="1" x14ac:dyDescent="0.2">
      <c r="A56" s="108">
        <v>90000518538</v>
      </c>
      <c r="B56" s="241" t="s">
        <v>298</v>
      </c>
      <c r="C56" s="285" t="s">
        <v>186</v>
      </c>
      <c r="D56" s="80">
        <f t="shared" si="163"/>
        <v>91353</v>
      </c>
      <c r="E56" s="295">
        <f t="shared" si="164"/>
        <v>91353</v>
      </c>
      <c r="F56" s="81">
        <v>91353</v>
      </c>
      <c r="G56" s="81">
        <f t="shared" si="165"/>
        <v>91353</v>
      </c>
      <c r="H56" s="81">
        <f t="shared" si="166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>
        <v>0</v>
      </c>
      <c r="AB56" s="81">
        <f t="shared" si="167"/>
        <v>0</v>
      </c>
      <c r="AC56" s="81">
        <f t="shared" si="168"/>
        <v>0</v>
      </c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>
        <v>0</v>
      </c>
      <c r="AO56" s="81">
        <f t="shared" si="169"/>
        <v>0</v>
      </c>
      <c r="AP56" s="81">
        <f t="shared" si="170"/>
        <v>0</v>
      </c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>
        <v>0</v>
      </c>
      <c r="BB56" s="81">
        <f t="shared" si="171"/>
        <v>0</v>
      </c>
      <c r="BC56" s="98">
        <f t="shared" si="172"/>
        <v>0</v>
      </c>
      <c r="BD56" s="98"/>
      <c r="BE56" s="98"/>
      <c r="BF56" s="98"/>
      <c r="BG56" s="98"/>
      <c r="BH56" s="98"/>
      <c r="BI56" s="81"/>
      <c r="BJ56" s="81">
        <f t="shared" si="173"/>
        <v>0</v>
      </c>
      <c r="BK56" s="81">
        <f t="shared" si="174"/>
        <v>0</v>
      </c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82" t="s">
        <v>443</v>
      </c>
      <c r="BW56" s="85"/>
      <c r="BX56" s="24"/>
    </row>
    <row r="57" spans="1:76" ht="39" customHeight="1" x14ac:dyDescent="0.2">
      <c r="A57" s="108"/>
      <c r="B57" s="241" t="s">
        <v>167</v>
      </c>
      <c r="C57" s="322" t="s">
        <v>168</v>
      </c>
      <c r="D57" s="80">
        <f t="shared" si="163"/>
        <v>231300</v>
      </c>
      <c r="E57" s="295">
        <f t="shared" si="164"/>
        <v>24955</v>
      </c>
      <c r="F57" s="81">
        <v>231300</v>
      </c>
      <c r="G57" s="81">
        <f t="shared" si="165"/>
        <v>24955</v>
      </c>
      <c r="H57" s="81">
        <f t="shared" si="166"/>
        <v>-206345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>
        <f>-3462-60196</f>
        <v>-63658</v>
      </c>
      <c r="T57" s="81"/>
      <c r="U57" s="81">
        <f>-5500-1355</f>
        <v>-6855</v>
      </c>
      <c r="V57" s="81"/>
      <c r="W57" s="81">
        <v>-657</v>
      </c>
      <c r="X57" s="81"/>
      <c r="Y57" s="81">
        <v>-720</v>
      </c>
      <c r="Z57" s="81"/>
      <c r="AA57" s="81"/>
      <c r="AB57" s="81">
        <f t="shared" si="167"/>
        <v>0</v>
      </c>
      <c r="AC57" s="81">
        <f t="shared" si="168"/>
        <v>0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98">
        <f t="shared" si="169"/>
        <v>0</v>
      </c>
      <c r="AP57" s="98">
        <f t="shared" si="170"/>
        <v>0</v>
      </c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81">
        <f t="shared" si="171"/>
        <v>0</v>
      </c>
      <c r="BC57" s="98">
        <f t="shared" si="172"/>
        <v>0</v>
      </c>
      <c r="BD57" s="98"/>
      <c r="BE57" s="98"/>
      <c r="BF57" s="98"/>
      <c r="BG57" s="98"/>
      <c r="BH57" s="98"/>
      <c r="BI57" s="81"/>
      <c r="BJ57" s="81">
        <f t="shared" si="173"/>
        <v>0</v>
      </c>
      <c r="BK57" s="81">
        <f t="shared" si="174"/>
        <v>0</v>
      </c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82" t="s">
        <v>326</v>
      </c>
      <c r="BW57" s="85"/>
      <c r="BX57" s="24"/>
    </row>
    <row r="58" spans="1:76" ht="12.75" x14ac:dyDescent="0.2">
      <c r="A58" s="108"/>
      <c r="B58" s="243"/>
      <c r="C58" s="322" t="s">
        <v>195</v>
      </c>
      <c r="D58" s="80">
        <f t="shared" si="163"/>
        <v>16800</v>
      </c>
      <c r="E58" s="295">
        <f t="shared" si="164"/>
        <v>16800</v>
      </c>
      <c r="F58" s="81">
        <v>16800</v>
      </c>
      <c r="G58" s="81">
        <f t="shared" si="165"/>
        <v>16800</v>
      </c>
      <c r="H58" s="81">
        <f t="shared" si="166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>
        <v>0</v>
      </c>
      <c r="AB58" s="81">
        <f t="shared" si="167"/>
        <v>0</v>
      </c>
      <c r="AC58" s="81">
        <f t="shared" si="168"/>
        <v>0</v>
      </c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>
        <v>0</v>
      </c>
      <c r="AO58" s="81">
        <f t="shared" si="169"/>
        <v>0</v>
      </c>
      <c r="AP58" s="81">
        <f t="shared" si="170"/>
        <v>0</v>
      </c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>
        <v>0</v>
      </c>
      <c r="BB58" s="81">
        <f t="shared" si="171"/>
        <v>0</v>
      </c>
      <c r="BC58" s="98">
        <f t="shared" si="172"/>
        <v>0</v>
      </c>
      <c r="BD58" s="98"/>
      <c r="BE58" s="98"/>
      <c r="BF58" s="98"/>
      <c r="BG58" s="98"/>
      <c r="BH58" s="98"/>
      <c r="BI58" s="81"/>
      <c r="BJ58" s="81">
        <f t="shared" si="173"/>
        <v>0</v>
      </c>
      <c r="BK58" s="81">
        <f t="shared" si="174"/>
        <v>0</v>
      </c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82" t="s">
        <v>327</v>
      </c>
      <c r="BW58" s="85"/>
      <c r="BX58" s="24"/>
    </row>
    <row r="59" spans="1:76" ht="12.75" x14ac:dyDescent="0.2">
      <c r="A59" s="108"/>
      <c r="B59" s="243"/>
      <c r="C59" s="322" t="s">
        <v>181</v>
      </c>
      <c r="D59" s="80">
        <f t="shared" si="163"/>
        <v>150000</v>
      </c>
      <c r="E59" s="295">
        <f t="shared" si="164"/>
        <v>116000</v>
      </c>
      <c r="F59" s="81">
        <v>150000</v>
      </c>
      <c r="G59" s="81">
        <f t="shared" si="165"/>
        <v>116000</v>
      </c>
      <c r="H59" s="81">
        <f t="shared" si="166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>
        <f t="shared" si="167"/>
        <v>0</v>
      </c>
      <c r="AC59" s="81">
        <f t="shared" si="168"/>
        <v>0</v>
      </c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98">
        <f t="shared" si="169"/>
        <v>0</v>
      </c>
      <c r="AP59" s="98">
        <f t="shared" si="170"/>
        <v>0</v>
      </c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81">
        <f t="shared" si="171"/>
        <v>0</v>
      </c>
      <c r="BC59" s="98">
        <f t="shared" si="172"/>
        <v>0</v>
      </c>
      <c r="BD59" s="98"/>
      <c r="BE59" s="98"/>
      <c r="BF59" s="98"/>
      <c r="BG59" s="98"/>
      <c r="BH59" s="98"/>
      <c r="BI59" s="81"/>
      <c r="BJ59" s="81">
        <f t="shared" si="173"/>
        <v>0</v>
      </c>
      <c r="BK59" s="81">
        <f t="shared" si="174"/>
        <v>0</v>
      </c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82" t="s">
        <v>328</v>
      </c>
      <c r="BW59" s="85"/>
      <c r="BX59" s="24"/>
    </row>
    <row r="60" spans="1:76" s="168" customFormat="1" ht="24" x14ac:dyDescent="0.2">
      <c r="A60" s="108"/>
      <c r="B60" s="243"/>
      <c r="C60" s="322" t="s">
        <v>493</v>
      </c>
      <c r="D60" s="80">
        <f t="shared" si="163"/>
        <v>30000</v>
      </c>
      <c r="E60" s="295">
        <f t="shared" si="164"/>
        <v>30000</v>
      </c>
      <c r="F60" s="81">
        <v>30000</v>
      </c>
      <c r="G60" s="81">
        <f t="shared" si="165"/>
        <v>30000</v>
      </c>
      <c r="H60" s="81">
        <f t="shared" si="166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>
        <f t="shared" si="167"/>
        <v>0</v>
      </c>
      <c r="AC60" s="81">
        <f t="shared" si="168"/>
        <v>0</v>
      </c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98">
        <f t="shared" si="169"/>
        <v>0</v>
      </c>
      <c r="AP60" s="98">
        <f t="shared" si="170"/>
        <v>0</v>
      </c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81">
        <f t="shared" si="171"/>
        <v>0</v>
      </c>
      <c r="BC60" s="98">
        <f t="shared" si="172"/>
        <v>0</v>
      </c>
      <c r="BD60" s="98"/>
      <c r="BE60" s="98"/>
      <c r="BF60" s="98"/>
      <c r="BG60" s="98"/>
      <c r="BH60" s="98"/>
      <c r="BI60" s="81"/>
      <c r="BJ60" s="81">
        <f t="shared" si="173"/>
        <v>0</v>
      </c>
      <c r="BK60" s="81">
        <f t="shared" si="174"/>
        <v>0</v>
      </c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82" t="s">
        <v>494</v>
      </c>
      <c r="BW60" s="85"/>
      <c r="BX60" s="24"/>
    </row>
    <row r="61" spans="1:76" s="198" customFormat="1" ht="36" x14ac:dyDescent="0.2">
      <c r="A61" s="108"/>
      <c r="B61" s="243"/>
      <c r="C61" s="322" t="s">
        <v>646</v>
      </c>
      <c r="D61" s="80">
        <f t="shared" si="163"/>
        <v>6500</v>
      </c>
      <c r="E61" s="295">
        <f t="shared" si="164"/>
        <v>6500</v>
      </c>
      <c r="F61" s="81">
        <v>6500</v>
      </c>
      <c r="G61" s="81">
        <f t="shared" si="165"/>
        <v>6500</v>
      </c>
      <c r="H61" s="81">
        <f t="shared" si="166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>
        <v>0</v>
      </c>
      <c r="AB61" s="81">
        <f t="shared" si="167"/>
        <v>0</v>
      </c>
      <c r="AC61" s="81">
        <f t="shared" si="168"/>
        <v>0</v>
      </c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>
        <v>0</v>
      </c>
      <c r="AO61" s="81">
        <f t="shared" si="169"/>
        <v>0</v>
      </c>
      <c r="AP61" s="81">
        <f t="shared" si="170"/>
        <v>0</v>
      </c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>
        <v>0</v>
      </c>
      <c r="BB61" s="81">
        <f t="shared" si="171"/>
        <v>0</v>
      </c>
      <c r="BC61" s="98">
        <f t="shared" si="172"/>
        <v>0</v>
      </c>
      <c r="BD61" s="98"/>
      <c r="BE61" s="98"/>
      <c r="BF61" s="98"/>
      <c r="BG61" s="98"/>
      <c r="BH61" s="98"/>
      <c r="BI61" s="81"/>
      <c r="BJ61" s="81">
        <f t="shared" si="173"/>
        <v>0</v>
      </c>
      <c r="BK61" s="81">
        <f t="shared" si="174"/>
        <v>0</v>
      </c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82" t="s">
        <v>663</v>
      </c>
      <c r="BW61" s="85"/>
      <c r="BX61" s="24"/>
    </row>
    <row r="62" spans="1:76" s="198" customFormat="1" ht="36" x14ac:dyDescent="0.2">
      <c r="A62" s="126">
        <v>90000056554</v>
      </c>
      <c r="B62" s="394" t="s">
        <v>449</v>
      </c>
      <c r="C62" s="322" t="s">
        <v>812</v>
      </c>
      <c r="D62" s="80">
        <f t="shared" ref="D62" si="221">F62+AA62+AN62+BA62+BI62</f>
        <v>0</v>
      </c>
      <c r="E62" s="295">
        <f t="shared" ref="E62" si="222">G62+AB62+AO62+BB62+BJ62</f>
        <v>17455</v>
      </c>
      <c r="F62" s="72"/>
      <c r="G62" s="81">
        <f t="shared" ref="G62" si="223">F62+H62</f>
        <v>17455</v>
      </c>
      <c r="H62" s="81">
        <f t="shared" ref="H62" si="224">SUM(I62:Z62)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81">
        <f t="shared" ref="AB62" si="225">AA62+AC62</f>
        <v>0</v>
      </c>
      <c r="AC62" s="81">
        <f t="shared" ref="AC62" si="226">SUM(AD62:AM62)</f>
        <v>0</v>
      </c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81">
        <f t="shared" ref="AO62" si="227">AN62+AP62</f>
        <v>0</v>
      </c>
      <c r="AP62" s="81">
        <f t="shared" ref="AP62" si="228">SUM(AQ62:AZ62)</f>
        <v>0</v>
      </c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81">
        <f t="shared" ref="BB62" si="229">BA62+BC62</f>
        <v>0</v>
      </c>
      <c r="BC62" s="98">
        <f t="shared" ref="BC62" si="230">SUM(BD62:BH62)</f>
        <v>0</v>
      </c>
      <c r="BD62" s="97"/>
      <c r="BE62" s="97"/>
      <c r="BF62" s="97"/>
      <c r="BG62" s="97"/>
      <c r="BH62" s="97"/>
      <c r="BI62" s="72"/>
      <c r="BJ62" s="81">
        <f t="shared" ref="BJ62" si="231">BI62+BK62</f>
        <v>0</v>
      </c>
      <c r="BK62" s="81">
        <f t="shared" ref="BK62" si="232">SUM(BL62:BU62)</f>
        <v>0</v>
      </c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73" t="s">
        <v>813</v>
      </c>
      <c r="BW62" s="86"/>
      <c r="BX62" s="24"/>
    </row>
    <row r="63" spans="1:76" ht="10.5" customHeight="1" thickBot="1" x14ac:dyDescent="0.25">
      <c r="A63" s="126"/>
      <c r="B63" s="251"/>
      <c r="C63" s="323"/>
      <c r="D63" s="71"/>
      <c r="E63" s="29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72"/>
      <c r="BC63" s="97"/>
      <c r="BD63" s="97"/>
      <c r="BE63" s="97"/>
      <c r="BF63" s="97"/>
      <c r="BG63" s="97"/>
      <c r="BH63" s="97"/>
      <c r="BI63" s="72"/>
      <c r="BJ63" s="264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73"/>
      <c r="BW63" s="86"/>
      <c r="BX63" s="24"/>
    </row>
    <row r="64" spans="1:76" ht="12.75" thickBot="1" x14ac:dyDescent="0.25">
      <c r="A64" s="215" t="s">
        <v>9</v>
      </c>
      <c r="B64" s="125" t="s">
        <v>10</v>
      </c>
      <c r="C64" s="321"/>
      <c r="D64" s="11">
        <f t="shared" ref="D64:E64" si="233">SUM(D65:D73)</f>
        <v>5323770</v>
      </c>
      <c r="E64" s="297">
        <f t="shared" si="233"/>
        <v>4943095</v>
      </c>
      <c r="F64" s="9">
        <f t="shared" ref="F64:BU64" si="234">SUM(F65:F73)</f>
        <v>4698388</v>
      </c>
      <c r="G64" s="9">
        <f t="shared" si="234"/>
        <v>4317713</v>
      </c>
      <c r="H64" s="9">
        <f t="shared" ref="H64" si="235">SUM(H65:H73)</f>
        <v>-380675</v>
      </c>
      <c r="I64" s="9">
        <f t="shared" si="234"/>
        <v>0</v>
      </c>
      <c r="J64" s="9">
        <f t="shared" ref="J64" si="236">SUM(J65:J73)</f>
        <v>0</v>
      </c>
      <c r="K64" s="9">
        <f t="shared" si="234"/>
        <v>25000</v>
      </c>
      <c r="L64" s="9">
        <f t="shared" si="234"/>
        <v>0</v>
      </c>
      <c r="M64" s="9">
        <f t="shared" si="234"/>
        <v>50000</v>
      </c>
      <c r="N64" s="9">
        <f t="shared" si="234"/>
        <v>0</v>
      </c>
      <c r="O64" s="9">
        <f t="shared" si="234"/>
        <v>0</v>
      </c>
      <c r="P64" s="9">
        <f t="shared" si="234"/>
        <v>0</v>
      </c>
      <c r="Q64" s="9">
        <f t="shared" si="234"/>
        <v>0</v>
      </c>
      <c r="R64" s="9">
        <f t="shared" si="234"/>
        <v>0</v>
      </c>
      <c r="S64" s="9">
        <f t="shared" si="234"/>
        <v>0</v>
      </c>
      <c r="T64" s="9"/>
      <c r="U64" s="9">
        <f t="shared" si="234"/>
        <v>0</v>
      </c>
      <c r="V64" s="9"/>
      <c r="W64" s="9">
        <f t="shared" si="234"/>
        <v>-455675</v>
      </c>
      <c r="X64" s="9">
        <f t="shared" ref="X64" si="237">SUM(X65:X73)</f>
        <v>0</v>
      </c>
      <c r="Y64" s="9">
        <f t="shared" si="234"/>
        <v>0</v>
      </c>
      <c r="Z64" s="9">
        <f t="shared" si="234"/>
        <v>0</v>
      </c>
      <c r="AA64" s="9">
        <f t="shared" si="234"/>
        <v>625382</v>
      </c>
      <c r="AB64" s="9">
        <f t="shared" ref="AB64:AM64" si="238">SUM(AB65:AB73)</f>
        <v>625382</v>
      </c>
      <c r="AC64" s="9">
        <f t="shared" si="238"/>
        <v>0</v>
      </c>
      <c r="AD64" s="9">
        <f t="shared" si="238"/>
        <v>0</v>
      </c>
      <c r="AE64" s="9">
        <f t="shared" si="238"/>
        <v>0</v>
      </c>
      <c r="AF64" s="9">
        <f t="shared" si="238"/>
        <v>0</v>
      </c>
      <c r="AG64" s="9">
        <f t="shared" si="238"/>
        <v>0</v>
      </c>
      <c r="AH64" s="9">
        <f t="shared" si="238"/>
        <v>0</v>
      </c>
      <c r="AI64" s="9">
        <f t="shared" si="238"/>
        <v>0</v>
      </c>
      <c r="AJ64" s="9">
        <f t="shared" si="238"/>
        <v>0</v>
      </c>
      <c r="AK64" s="9">
        <f t="shared" si="238"/>
        <v>0</v>
      </c>
      <c r="AL64" s="9">
        <f t="shared" si="238"/>
        <v>0</v>
      </c>
      <c r="AM64" s="9">
        <f t="shared" si="238"/>
        <v>0</v>
      </c>
      <c r="AN64" s="9">
        <f t="shared" si="234"/>
        <v>0</v>
      </c>
      <c r="AO64" s="96">
        <f t="shared" si="234"/>
        <v>0</v>
      </c>
      <c r="AP64" s="96">
        <f t="shared" si="234"/>
        <v>0</v>
      </c>
      <c r="AQ64" s="96">
        <f t="shared" si="234"/>
        <v>0</v>
      </c>
      <c r="AR64" s="96">
        <f t="shared" si="234"/>
        <v>0</v>
      </c>
      <c r="AS64" s="96">
        <f t="shared" si="234"/>
        <v>0</v>
      </c>
      <c r="AT64" s="96">
        <f t="shared" si="234"/>
        <v>0</v>
      </c>
      <c r="AU64" s="96">
        <f t="shared" si="234"/>
        <v>0</v>
      </c>
      <c r="AV64" s="96">
        <f t="shared" si="234"/>
        <v>0</v>
      </c>
      <c r="AW64" s="96">
        <f t="shared" si="234"/>
        <v>0</v>
      </c>
      <c r="AX64" s="96">
        <f t="shared" si="234"/>
        <v>0</v>
      </c>
      <c r="AY64" s="96">
        <f t="shared" si="234"/>
        <v>0</v>
      </c>
      <c r="AZ64" s="96">
        <f t="shared" si="234"/>
        <v>0</v>
      </c>
      <c r="BA64" s="96">
        <f t="shared" si="234"/>
        <v>0</v>
      </c>
      <c r="BB64" s="9">
        <f t="shared" ref="BB64:BH64" si="239">SUM(BB65:BB73)</f>
        <v>0</v>
      </c>
      <c r="BC64" s="96">
        <f t="shared" si="239"/>
        <v>0</v>
      </c>
      <c r="BD64" s="96">
        <f t="shared" si="239"/>
        <v>0</v>
      </c>
      <c r="BE64" s="96">
        <f t="shared" si="239"/>
        <v>0</v>
      </c>
      <c r="BF64" s="96">
        <f t="shared" si="239"/>
        <v>0</v>
      </c>
      <c r="BG64" s="96">
        <f t="shared" si="239"/>
        <v>0</v>
      </c>
      <c r="BH64" s="96">
        <f t="shared" si="239"/>
        <v>0</v>
      </c>
      <c r="BI64" s="9">
        <f t="shared" si="234"/>
        <v>0</v>
      </c>
      <c r="BJ64" s="310">
        <f t="shared" si="234"/>
        <v>0</v>
      </c>
      <c r="BK64" s="96">
        <f t="shared" si="234"/>
        <v>0</v>
      </c>
      <c r="BL64" s="96">
        <f t="shared" si="234"/>
        <v>0</v>
      </c>
      <c r="BM64" s="96">
        <f t="shared" si="234"/>
        <v>0</v>
      </c>
      <c r="BN64" s="96">
        <f t="shared" si="234"/>
        <v>0</v>
      </c>
      <c r="BO64" s="96">
        <f t="shared" si="234"/>
        <v>0</v>
      </c>
      <c r="BP64" s="96">
        <f t="shared" si="234"/>
        <v>0</v>
      </c>
      <c r="BQ64" s="96">
        <f t="shared" si="234"/>
        <v>0</v>
      </c>
      <c r="BR64" s="96">
        <f t="shared" si="234"/>
        <v>0</v>
      </c>
      <c r="BS64" s="96">
        <f t="shared" si="234"/>
        <v>0</v>
      </c>
      <c r="BT64" s="96">
        <f t="shared" si="234"/>
        <v>0</v>
      </c>
      <c r="BU64" s="96">
        <f t="shared" si="234"/>
        <v>0</v>
      </c>
      <c r="BV64" s="12"/>
      <c r="BW64" s="87"/>
      <c r="BX64" s="24"/>
    </row>
    <row r="65" spans="1:76" ht="12.75" customHeight="1" thickTop="1" x14ac:dyDescent="0.2">
      <c r="A65" s="108">
        <v>90000056357</v>
      </c>
      <c r="B65" s="247" t="s">
        <v>5</v>
      </c>
      <c r="C65" s="324" t="s">
        <v>262</v>
      </c>
      <c r="D65" s="80">
        <f t="shared" ref="D65:D72" si="240">F65+AA65+AN65+BA65+BI65</f>
        <v>35534</v>
      </c>
      <c r="E65" s="295">
        <f t="shared" ref="E65:E72" si="241">G65+AB65+AO65+BB65+BJ65</f>
        <v>37734</v>
      </c>
      <c r="F65" s="164">
        <v>35534</v>
      </c>
      <c r="G65" s="164">
        <f t="shared" ref="G65:G72" si="242">F65+H65</f>
        <v>37734</v>
      </c>
      <c r="H65" s="164">
        <f t="shared" ref="H65:H72" si="243">SUM(I65:Z65)</f>
        <v>2200</v>
      </c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>
        <v>2200</v>
      </c>
      <c r="V65" s="164"/>
      <c r="W65" s="164"/>
      <c r="X65" s="164"/>
      <c r="Y65" s="164"/>
      <c r="Z65" s="164"/>
      <c r="AA65" s="164">
        <v>0</v>
      </c>
      <c r="AB65" s="164">
        <f t="shared" ref="AB65:AB72" si="244">AA65+AC65</f>
        <v>0</v>
      </c>
      <c r="AC65" s="164">
        <f t="shared" ref="AC65:AC72" si="245">SUM(AD65:AM65)</f>
        <v>0</v>
      </c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>
        <v>0</v>
      </c>
      <c r="AO65" s="164">
        <f t="shared" ref="AO65:AO72" si="246">AN65+AP65</f>
        <v>0</v>
      </c>
      <c r="AP65" s="164">
        <f t="shared" ref="AP65:AP72" si="247">SUM(AQ65:AZ65)</f>
        <v>0</v>
      </c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>
        <v>0</v>
      </c>
      <c r="BB65" s="81">
        <f t="shared" ref="BB65:BB72" si="248">BA65+BC65</f>
        <v>0</v>
      </c>
      <c r="BC65" s="98">
        <f t="shared" ref="BC65:BC72" si="249">SUM(BD65:BH65)</f>
        <v>0</v>
      </c>
      <c r="BD65" s="164"/>
      <c r="BE65" s="164"/>
      <c r="BF65" s="164"/>
      <c r="BG65" s="164"/>
      <c r="BH65" s="164"/>
      <c r="BI65" s="164"/>
      <c r="BJ65" s="81">
        <f t="shared" ref="BJ65:BJ72" si="250">BI65+BK65</f>
        <v>0</v>
      </c>
      <c r="BK65" s="81">
        <f t="shared" ref="BK65:BK72" si="251">SUM(BL65:BU65)</f>
        <v>0</v>
      </c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205" t="s">
        <v>320</v>
      </c>
      <c r="BW65" s="206" t="s">
        <v>569</v>
      </c>
      <c r="BX65" s="24"/>
    </row>
    <row r="66" spans="1:76" s="122" customFormat="1" ht="24" x14ac:dyDescent="0.2">
      <c r="A66" s="108"/>
      <c r="B66" s="242"/>
      <c r="C66" s="285" t="s">
        <v>263</v>
      </c>
      <c r="D66" s="80">
        <f t="shared" si="240"/>
        <v>38900</v>
      </c>
      <c r="E66" s="295">
        <f t="shared" si="241"/>
        <v>38900</v>
      </c>
      <c r="F66" s="81">
        <v>38900</v>
      </c>
      <c r="G66" s="81">
        <f t="shared" si="242"/>
        <v>38900</v>
      </c>
      <c r="H66" s="81">
        <f t="shared" si="243"/>
        <v>0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>
        <v>0</v>
      </c>
      <c r="AB66" s="81">
        <f t="shared" si="244"/>
        <v>0</v>
      </c>
      <c r="AC66" s="81">
        <f t="shared" si="245"/>
        <v>0</v>
      </c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>
        <v>0</v>
      </c>
      <c r="AO66" s="81">
        <f t="shared" si="246"/>
        <v>0</v>
      </c>
      <c r="AP66" s="81">
        <f t="shared" si="247"/>
        <v>0</v>
      </c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>
        <v>0</v>
      </c>
      <c r="BB66" s="81">
        <f t="shared" si="248"/>
        <v>0</v>
      </c>
      <c r="BC66" s="98">
        <f t="shared" si="249"/>
        <v>0</v>
      </c>
      <c r="BD66" s="81"/>
      <c r="BE66" s="81"/>
      <c r="BF66" s="81"/>
      <c r="BG66" s="81"/>
      <c r="BH66" s="81"/>
      <c r="BI66" s="81"/>
      <c r="BJ66" s="81">
        <f t="shared" si="250"/>
        <v>0</v>
      </c>
      <c r="BK66" s="81">
        <f t="shared" si="251"/>
        <v>0</v>
      </c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2" t="s">
        <v>321</v>
      </c>
      <c r="BW66" s="85" t="s">
        <v>569</v>
      </c>
      <c r="BX66" s="24"/>
    </row>
    <row r="67" spans="1:76" s="122" customFormat="1" ht="24" x14ac:dyDescent="0.2">
      <c r="A67" s="108"/>
      <c r="B67" s="248"/>
      <c r="C67" s="319" t="s">
        <v>216</v>
      </c>
      <c r="D67" s="80">
        <f t="shared" si="240"/>
        <v>22712</v>
      </c>
      <c r="E67" s="295">
        <f t="shared" si="241"/>
        <v>20512</v>
      </c>
      <c r="F67" s="72">
        <v>22712</v>
      </c>
      <c r="G67" s="72">
        <f t="shared" si="242"/>
        <v>20512</v>
      </c>
      <c r="H67" s="72">
        <f t="shared" si="243"/>
        <v>-2200</v>
      </c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>
        <v>-2200</v>
      </c>
      <c r="V67" s="72"/>
      <c r="W67" s="72"/>
      <c r="X67" s="72"/>
      <c r="Y67" s="72"/>
      <c r="Z67" s="72"/>
      <c r="AA67" s="72">
        <v>0</v>
      </c>
      <c r="AB67" s="72">
        <f t="shared" si="244"/>
        <v>0</v>
      </c>
      <c r="AC67" s="72">
        <f t="shared" si="245"/>
        <v>0</v>
      </c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>
        <v>0</v>
      </c>
      <c r="AO67" s="72">
        <f t="shared" si="246"/>
        <v>0</v>
      </c>
      <c r="AP67" s="72">
        <f t="shared" si="247"/>
        <v>0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>
        <v>0</v>
      </c>
      <c r="BB67" s="81">
        <f t="shared" si="248"/>
        <v>0</v>
      </c>
      <c r="BC67" s="98">
        <f t="shared" si="249"/>
        <v>0</v>
      </c>
      <c r="BD67" s="72"/>
      <c r="BE67" s="72"/>
      <c r="BF67" s="72"/>
      <c r="BG67" s="72"/>
      <c r="BH67" s="72"/>
      <c r="BI67" s="72"/>
      <c r="BJ67" s="81">
        <f t="shared" si="250"/>
        <v>0</v>
      </c>
      <c r="BK67" s="81">
        <f t="shared" si="251"/>
        <v>0</v>
      </c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82" t="s">
        <v>322</v>
      </c>
      <c r="BW67" s="85" t="s">
        <v>569</v>
      </c>
      <c r="BX67" s="24"/>
    </row>
    <row r="68" spans="1:76" ht="24" x14ac:dyDescent="0.2">
      <c r="A68" s="108"/>
      <c r="B68" s="242"/>
      <c r="C68" s="285" t="s">
        <v>226</v>
      </c>
      <c r="D68" s="80">
        <f t="shared" si="240"/>
        <v>2642168</v>
      </c>
      <c r="E68" s="295">
        <f t="shared" si="241"/>
        <v>2731748</v>
      </c>
      <c r="F68" s="81">
        <v>2642168</v>
      </c>
      <c r="G68" s="81">
        <f t="shared" si="242"/>
        <v>2731748</v>
      </c>
      <c r="H68" s="81">
        <f t="shared" si="243"/>
        <v>89580</v>
      </c>
      <c r="I68" s="81"/>
      <c r="J68" s="81"/>
      <c r="K68" s="81">
        <f>25000-19033</f>
        <v>5967</v>
      </c>
      <c r="L68" s="81"/>
      <c r="M68" s="81">
        <v>50000</v>
      </c>
      <c r="N68" s="81"/>
      <c r="O68" s="81"/>
      <c r="P68" s="81"/>
      <c r="Q68" s="81"/>
      <c r="R68" s="81"/>
      <c r="S68" s="81"/>
      <c r="T68" s="81"/>
      <c r="U68" s="81"/>
      <c r="V68" s="81"/>
      <c r="W68" s="81">
        <f>34920-1307</f>
        <v>33613</v>
      </c>
      <c r="X68" s="81"/>
      <c r="Y68" s="81"/>
      <c r="Z68" s="81"/>
      <c r="AA68" s="81">
        <v>0</v>
      </c>
      <c r="AB68" s="81">
        <f t="shared" si="244"/>
        <v>0</v>
      </c>
      <c r="AC68" s="81">
        <f t="shared" si="245"/>
        <v>0</v>
      </c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>
        <v>0</v>
      </c>
      <c r="AO68" s="81">
        <f t="shared" si="246"/>
        <v>0</v>
      </c>
      <c r="AP68" s="81">
        <f t="shared" si="247"/>
        <v>0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>
        <v>0</v>
      </c>
      <c r="BB68" s="81">
        <f t="shared" si="248"/>
        <v>0</v>
      </c>
      <c r="BC68" s="98">
        <f t="shared" si="249"/>
        <v>0</v>
      </c>
      <c r="BD68" s="81"/>
      <c r="BE68" s="81"/>
      <c r="BF68" s="81"/>
      <c r="BG68" s="81"/>
      <c r="BH68" s="81"/>
      <c r="BI68" s="81"/>
      <c r="BJ68" s="81">
        <f t="shared" si="250"/>
        <v>0</v>
      </c>
      <c r="BK68" s="81">
        <f t="shared" si="251"/>
        <v>0</v>
      </c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2" t="s">
        <v>323</v>
      </c>
      <c r="BW68" s="85" t="s">
        <v>567</v>
      </c>
      <c r="BX68" s="24"/>
    </row>
    <row r="69" spans="1:76" ht="24" x14ac:dyDescent="0.2">
      <c r="A69" s="108"/>
      <c r="B69" s="242"/>
      <c r="C69" s="285" t="s">
        <v>707</v>
      </c>
      <c r="D69" s="80">
        <f t="shared" si="240"/>
        <v>1421347</v>
      </c>
      <c r="E69" s="295">
        <f t="shared" si="241"/>
        <v>1421347</v>
      </c>
      <c r="F69" s="81">
        <v>795965</v>
      </c>
      <c r="G69" s="81">
        <f t="shared" si="242"/>
        <v>795965</v>
      </c>
      <c r="H69" s="81">
        <f t="shared" si="243"/>
        <v>0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>
        <v>625382</v>
      </c>
      <c r="AB69" s="81">
        <f t="shared" si="244"/>
        <v>625382</v>
      </c>
      <c r="AC69" s="81">
        <f t="shared" si="245"/>
        <v>0</v>
      </c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>
        <v>0</v>
      </c>
      <c r="AO69" s="81">
        <f t="shared" si="246"/>
        <v>0</v>
      </c>
      <c r="AP69" s="81">
        <f t="shared" si="247"/>
        <v>0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>
        <v>0</v>
      </c>
      <c r="BB69" s="81">
        <f t="shared" si="248"/>
        <v>0</v>
      </c>
      <c r="BC69" s="98">
        <f t="shared" si="249"/>
        <v>0</v>
      </c>
      <c r="BD69" s="81"/>
      <c r="BE69" s="81"/>
      <c r="BF69" s="81"/>
      <c r="BG69" s="81"/>
      <c r="BH69" s="81"/>
      <c r="BI69" s="81"/>
      <c r="BJ69" s="81">
        <f t="shared" si="250"/>
        <v>0</v>
      </c>
      <c r="BK69" s="81">
        <f t="shared" si="251"/>
        <v>0</v>
      </c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2" t="s">
        <v>324</v>
      </c>
      <c r="BW69" s="85" t="s">
        <v>439</v>
      </c>
      <c r="BX69" s="24"/>
    </row>
    <row r="70" spans="1:76" s="198" customFormat="1" ht="48" x14ac:dyDescent="0.2">
      <c r="A70" s="108"/>
      <c r="B70" s="242"/>
      <c r="C70" s="347" t="s">
        <v>774</v>
      </c>
      <c r="D70" s="80">
        <f t="shared" ref="D70" si="252">F70+AA70+AN70+BA70+BI70</f>
        <v>0</v>
      </c>
      <c r="E70" s="295">
        <f t="shared" ref="E70" si="253">G70+AB70+AO70+BB70+BJ70</f>
        <v>19033</v>
      </c>
      <c r="F70" s="81"/>
      <c r="G70" s="81">
        <f t="shared" ref="G70" si="254">F70+H70</f>
        <v>19033</v>
      </c>
      <c r="H70" s="81">
        <f t="shared" ref="H70" si="255">SUM(I70:Z70)</f>
        <v>19033</v>
      </c>
      <c r="I70" s="81"/>
      <c r="J70" s="81"/>
      <c r="K70" s="81">
        <v>19033</v>
      </c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>
        <f t="shared" ref="AB70" si="256">AA70+AC70</f>
        <v>0</v>
      </c>
      <c r="AC70" s="81">
        <f t="shared" ref="AC70" si="257">SUM(AD70:AM70)</f>
        <v>0</v>
      </c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>
        <f t="shared" ref="AO70" si="258">AN70+AP70</f>
        <v>0</v>
      </c>
      <c r="AP70" s="81">
        <f t="shared" ref="AP70" si="259">SUM(AQ70:AZ70)</f>
        <v>0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>
        <f t="shared" ref="BB70" si="260">BA70+BC70</f>
        <v>0</v>
      </c>
      <c r="BC70" s="98">
        <f t="shared" ref="BC70" si="261">SUM(BD70:BH70)</f>
        <v>0</v>
      </c>
      <c r="BD70" s="98"/>
      <c r="BE70" s="98"/>
      <c r="BF70" s="98"/>
      <c r="BG70" s="98"/>
      <c r="BH70" s="98"/>
      <c r="BI70" s="81"/>
      <c r="BJ70" s="81">
        <f t="shared" ref="BJ70" si="262">BI70+BK70</f>
        <v>0</v>
      </c>
      <c r="BK70" s="81">
        <f t="shared" ref="BK70" si="263">SUM(BL70:BU70)</f>
        <v>0</v>
      </c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82" t="s">
        <v>773</v>
      </c>
      <c r="BW70" s="85"/>
      <c r="BX70" s="24"/>
    </row>
    <row r="71" spans="1:76" ht="24" customHeight="1" x14ac:dyDescent="0.2">
      <c r="A71" s="108">
        <v>40003275333</v>
      </c>
      <c r="B71" s="241" t="s">
        <v>306</v>
      </c>
      <c r="C71" s="285" t="s">
        <v>246</v>
      </c>
      <c r="D71" s="80">
        <f t="shared" si="240"/>
        <v>400579</v>
      </c>
      <c r="E71" s="295">
        <f t="shared" si="241"/>
        <v>400579</v>
      </c>
      <c r="F71" s="81">
        <v>400579</v>
      </c>
      <c r="G71" s="81">
        <f t="shared" si="242"/>
        <v>400579</v>
      </c>
      <c r="H71" s="81">
        <f t="shared" si="243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>
        <v>0</v>
      </c>
      <c r="AB71" s="81">
        <f t="shared" si="244"/>
        <v>0</v>
      </c>
      <c r="AC71" s="81">
        <f t="shared" si="245"/>
        <v>0</v>
      </c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>
        <v>0</v>
      </c>
      <c r="AO71" s="81">
        <f t="shared" si="246"/>
        <v>0</v>
      </c>
      <c r="AP71" s="81">
        <f t="shared" si="247"/>
        <v>0</v>
      </c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>
        <v>0</v>
      </c>
      <c r="BB71" s="81">
        <f t="shared" si="248"/>
        <v>0</v>
      </c>
      <c r="BC71" s="98">
        <f t="shared" si="249"/>
        <v>0</v>
      </c>
      <c r="BD71" s="98"/>
      <c r="BE71" s="98"/>
      <c r="BF71" s="98"/>
      <c r="BG71" s="98"/>
      <c r="BH71" s="98"/>
      <c r="BI71" s="81"/>
      <c r="BJ71" s="81">
        <f t="shared" si="250"/>
        <v>0</v>
      </c>
      <c r="BK71" s="81">
        <f t="shared" si="251"/>
        <v>0</v>
      </c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82" t="s">
        <v>325</v>
      </c>
      <c r="BW71" s="85"/>
      <c r="BX71" s="24"/>
    </row>
    <row r="72" spans="1:76" ht="24" x14ac:dyDescent="0.2">
      <c r="A72" s="108"/>
      <c r="B72" s="243"/>
      <c r="C72" s="285" t="s">
        <v>307</v>
      </c>
      <c r="D72" s="80">
        <f t="shared" si="240"/>
        <v>762530</v>
      </c>
      <c r="E72" s="295">
        <f t="shared" si="241"/>
        <v>273242</v>
      </c>
      <c r="F72" s="81">
        <v>762530</v>
      </c>
      <c r="G72" s="81">
        <f t="shared" si="242"/>
        <v>273242</v>
      </c>
      <c r="H72" s="81">
        <f t="shared" si="243"/>
        <v>-489288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>
        <v>-489288</v>
      </c>
      <c r="X72" s="81"/>
      <c r="Y72" s="81"/>
      <c r="Z72" s="81"/>
      <c r="AA72" s="81">
        <v>0</v>
      </c>
      <c r="AB72" s="81">
        <f t="shared" si="244"/>
        <v>0</v>
      </c>
      <c r="AC72" s="81">
        <f t="shared" si="245"/>
        <v>0</v>
      </c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>
        <v>0</v>
      </c>
      <c r="AO72" s="81">
        <f t="shared" si="246"/>
        <v>0</v>
      </c>
      <c r="AP72" s="81">
        <f t="shared" si="247"/>
        <v>0</v>
      </c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>
        <v>0</v>
      </c>
      <c r="BB72" s="81">
        <f t="shared" si="248"/>
        <v>0</v>
      </c>
      <c r="BC72" s="98">
        <f t="shared" si="249"/>
        <v>0</v>
      </c>
      <c r="BD72" s="98"/>
      <c r="BE72" s="98"/>
      <c r="BF72" s="98"/>
      <c r="BG72" s="98"/>
      <c r="BH72" s="98"/>
      <c r="BI72" s="81"/>
      <c r="BJ72" s="81">
        <f t="shared" si="250"/>
        <v>0</v>
      </c>
      <c r="BK72" s="81">
        <f t="shared" si="251"/>
        <v>0</v>
      </c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82" t="s">
        <v>345</v>
      </c>
      <c r="BW72" s="85"/>
      <c r="BX72" s="24"/>
    </row>
    <row r="73" spans="1:76" ht="12.75" thickBot="1" x14ac:dyDescent="0.25">
      <c r="A73" s="108"/>
      <c r="B73" s="216"/>
      <c r="C73" s="323"/>
      <c r="D73" s="71"/>
      <c r="E73" s="296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72"/>
      <c r="BC73" s="97"/>
      <c r="BD73" s="97"/>
      <c r="BE73" s="97"/>
      <c r="BF73" s="97"/>
      <c r="BG73" s="97"/>
      <c r="BH73" s="97"/>
      <c r="BI73" s="72"/>
      <c r="BJ73" s="264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73"/>
      <c r="BW73" s="86"/>
      <c r="BX73" s="24"/>
    </row>
    <row r="74" spans="1:76" ht="27.75" customHeight="1" thickBot="1" x14ac:dyDescent="0.25">
      <c r="A74" s="215" t="s">
        <v>11</v>
      </c>
      <c r="B74" s="125" t="s">
        <v>166</v>
      </c>
      <c r="C74" s="321"/>
      <c r="D74" s="11">
        <f>SUM(D75:D85)</f>
        <v>7501042</v>
      </c>
      <c r="E74" s="297">
        <f>SUM(E75:E85)</f>
        <v>7689000</v>
      </c>
      <c r="F74" s="9">
        <f>SUM(F75:F85)</f>
        <v>7156610</v>
      </c>
      <c r="G74" s="9">
        <f t="shared" ref="G74:Z74" si="264">SUM(G75:G85)</f>
        <v>7389293</v>
      </c>
      <c r="H74" s="9">
        <f t="shared" si="264"/>
        <v>232683</v>
      </c>
      <c r="I74" s="9">
        <f t="shared" si="264"/>
        <v>19807</v>
      </c>
      <c r="J74" s="9">
        <f t="shared" ref="J74" si="265">SUM(J75:J85)</f>
        <v>1808</v>
      </c>
      <c r="K74" s="9">
        <f t="shared" si="264"/>
        <v>7073</v>
      </c>
      <c r="L74" s="9">
        <f t="shared" si="264"/>
        <v>84080</v>
      </c>
      <c r="M74" s="9">
        <f t="shared" si="264"/>
        <v>75280</v>
      </c>
      <c r="N74" s="9">
        <f t="shared" si="264"/>
        <v>0</v>
      </c>
      <c r="O74" s="9">
        <f t="shared" si="264"/>
        <v>0</v>
      </c>
      <c r="P74" s="9">
        <f t="shared" si="264"/>
        <v>0</v>
      </c>
      <c r="Q74" s="9">
        <f t="shared" si="264"/>
        <v>2018</v>
      </c>
      <c r="R74" s="9">
        <f t="shared" si="264"/>
        <v>0</v>
      </c>
      <c r="S74" s="9">
        <f t="shared" si="264"/>
        <v>45720</v>
      </c>
      <c r="T74" s="9"/>
      <c r="U74" s="9">
        <f t="shared" si="264"/>
        <v>12193</v>
      </c>
      <c r="V74" s="9"/>
      <c r="W74" s="9">
        <f t="shared" si="264"/>
        <v>-8789</v>
      </c>
      <c r="X74" s="9">
        <f t="shared" ref="X74" si="266">SUM(X75:X85)</f>
        <v>0</v>
      </c>
      <c r="Y74" s="9">
        <f t="shared" si="264"/>
        <v>-6907</v>
      </c>
      <c r="Z74" s="9">
        <f t="shared" si="264"/>
        <v>0</v>
      </c>
      <c r="AA74" s="9">
        <f>SUM(AA75:AA85)</f>
        <v>0</v>
      </c>
      <c r="AB74" s="9">
        <f t="shared" ref="AB74" si="267">SUM(AB75:AB85)</f>
        <v>4000</v>
      </c>
      <c r="AC74" s="9">
        <f t="shared" ref="AC74" si="268">SUM(AC75:AC85)</f>
        <v>4000</v>
      </c>
      <c r="AD74" s="9">
        <f t="shared" ref="AD74" si="269">SUM(AD75:AD85)</f>
        <v>0</v>
      </c>
      <c r="AE74" s="9">
        <f t="shared" ref="AE74" si="270">SUM(AE75:AE85)</f>
        <v>4000</v>
      </c>
      <c r="AF74" s="9">
        <f t="shared" ref="AF74" si="271">SUM(AF75:AF85)</f>
        <v>0</v>
      </c>
      <c r="AG74" s="9">
        <f t="shared" ref="AG74" si="272">SUM(AG75:AG85)</f>
        <v>0</v>
      </c>
      <c r="AH74" s="9">
        <f t="shared" ref="AH74" si="273">SUM(AH75:AH85)</f>
        <v>0</v>
      </c>
      <c r="AI74" s="9">
        <f t="shared" ref="AI74" si="274">SUM(AI75:AI85)</f>
        <v>0</v>
      </c>
      <c r="AJ74" s="9">
        <f t="shared" ref="AJ74" si="275">SUM(AJ75:AJ85)</f>
        <v>0</v>
      </c>
      <c r="AK74" s="9">
        <f t="shared" ref="AK74" si="276">SUM(AK75:AK85)</f>
        <v>0</v>
      </c>
      <c r="AL74" s="9">
        <f t="shared" ref="AL74" si="277">SUM(AL75:AL85)</f>
        <v>0</v>
      </c>
      <c r="AM74" s="9">
        <f t="shared" ref="AM74" si="278">SUM(AM75:AM85)</f>
        <v>0</v>
      </c>
      <c r="AN74" s="9">
        <f>SUM(AN75:AN85)</f>
        <v>345542</v>
      </c>
      <c r="AO74" s="96">
        <f t="shared" ref="AO74" si="279">SUM(AO75:AO85)</f>
        <v>297968</v>
      </c>
      <c r="AP74" s="96">
        <f t="shared" ref="AP74" si="280">SUM(AP75:AP85)</f>
        <v>-47574</v>
      </c>
      <c r="AQ74" s="96">
        <f t="shared" ref="AQ74" si="281">SUM(AQ75:AQ85)</f>
        <v>48159</v>
      </c>
      <c r="AR74" s="96">
        <f t="shared" ref="AR74" si="282">SUM(AR75:AR85)</f>
        <v>-99908</v>
      </c>
      <c r="AS74" s="96">
        <f t="shared" ref="AS74" si="283">SUM(AS75:AS85)</f>
        <v>0</v>
      </c>
      <c r="AT74" s="96">
        <f t="shared" ref="AT74" si="284">SUM(AT75:AT85)</f>
        <v>2875</v>
      </c>
      <c r="AU74" s="96">
        <f t="shared" ref="AU74" si="285">SUM(AU75:AU85)</f>
        <v>0</v>
      </c>
      <c r="AV74" s="96">
        <f t="shared" ref="AV74" si="286">SUM(AV75:AV85)</f>
        <v>1300</v>
      </c>
      <c r="AW74" s="96">
        <f t="shared" ref="AW74" si="287">SUM(AW75:AW85)</f>
        <v>0</v>
      </c>
      <c r="AX74" s="96">
        <f t="shared" ref="AX74" si="288">SUM(AX75:AX85)</f>
        <v>0</v>
      </c>
      <c r="AY74" s="96">
        <f t="shared" ref="AY74" si="289">SUM(AY75:AY85)</f>
        <v>0</v>
      </c>
      <c r="AZ74" s="96">
        <f t="shared" ref="AZ74" si="290">SUM(AZ75:AZ85)</f>
        <v>0</v>
      </c>
      <c r="BA74" s="96">
        <f>SUM(BA75:BA85)</f>
        <v>0</v>
      </c>
      <c r="BB74" s="9">
        <f t="shared" ref="BB74" si="291">SUM(BB75:BB85)</f>
        <v>0</v>
      </c>
      <c r="BC74" s="96">
        <f t="shared" ref="BC74" si="292">SUM(BC75:BC85)</f>
        <v>0</v>
      </c>
      <c r="BD74" s="96">
        <f t="shared" ref="BD74" si="293">SUM(BD75:BD85)</f>
        <v>0</v>
      </c>
      <c r="BE74" s="96">
        <f t="shared" ref="BE74" si="294">SUM(BE75:BE85)</f>
        <v>0</v>
      </c>
      <c r="BF74" s="96">
        <f t="shared" ref="BF74" si="295">SUM(BF75:BF85)</f>
        <v>0</v>
      </c>
      <c r="BG74" s="96">
        <f t="shared" ref="BG74" si="296">SUM(BG75:BG85)</f>
        <v>0</v>
      </c>
      <c r="BH74" s="96">
        <f t="shared" ref="BH74" si="297">SUM(BH75:BH85)</f>
        <v>0</v>
      </c>
      <c r="BI74" s="9">
        <f>SUM(BI75:BI85)</f>
        <v>-1110</v>
      </c>
      <c r="BJ74" s="310">
        <f t="shared" ref="BJ74" si="298">SUM(BJ75:BJ85)</f>
        <v>-2261</v>
      </c>
      <c r="BK74" s="96">
        <f t="shared" ref="BK74" si="299">SUM(BK75:BK85)</f>
        <v>-1151</v>
      </c>
      <c r="BL74" s="96">
        <f t="shared" ref="BL74" si="300">SUM(BL75:BL85)</f>
        <v>0</v>
      </c>
      <c r="BM74" s="96">
        <f t="shared" ref="BM74" si="301">SUM(BM75:BM85)</f>
        <v>-113</v>
      </c>
      <c r="BN74" s="96">
        <f t="shared" ref="BN74" si="302">SUM(BN75:BN85)</f>
        <v>-1038</v>
      </c>
      <c r="BO74" s="96">
        <f t="shared" ref="BO74" si="303">SUM(BO75:BO85)</f>
        <v>0</v>
      </c>
      <c r="BP74" s="96">
        <f t="shared" ref="BP74" si="304">SUM(BP75:BP85)</f>
        <v>0</v>
      </c>
      <c r="BQ74" s="96">
        <f t="shared" ref="BQ74" si="305">SUM(BQ75:BQ85)</f>
        <v>0</v>
      </c>
      <c r="BR74" s="96">
        <f t="shared" ref="BR74" si="306">SUM(BR75:BR85)</f>
        <v>0</v>
      </c>
      <c r="BS74" s="96">
        <f t="shared" ref="BS74" si="307">SUM(BS75:BS85)</f>
        <v>0</v>
      </c>
      <c r="BT74" s="96">
        <f t="shared" ref="BT74" si="308">SUM(BT75:BT85)</f>
        <v>0</v>
      </c>
      <c r="BU74" s="96">
        <f t="shared" ref="BU74" si="309">SUM(BU75:BU85)</f>
        <v>0</v>
      </c>
      <c r="BV74" s="12"/>
      <c r="BW74" s="87"/>
      <c r="BX74" s="24"/>
    </row>
    <row r="75" spans="1:76" s="94" customFormat="1" ht="12.75" customHeight="1" thickTop="1" x14ac:dyDescent="0.2">
      <c r="A75" s="108">
        <v>90000056357</v>
      </c>
      <c r="B75" s="247" t="s">
        <v>5</v>
      </c>
      <c r="C75" s="324" t="s">
        <v>182</v>
      </c>
      <c r="D75" s="80">
        <f t="shared" ref="D75:D84" si="310">F75+AA75+AN75+BA75+BI75</f>
        <v>2856577</v>
      </c>
      <c r="E75" s="295">
        <f t="shared" ref="E75:E84" si="311">G75+AB75+AO75+BB75+BJ75</f>
        <v>2913045</v>
      </c>
      <c r="F75" s="164">
        <v>2669094</v>
      </c>
      <c r="G75" s="164">
        <f t="shared" ref="G75:G84" si="312">F75+H75</f>
        <v>2676694</v>
      </c>
      <c r="H75" s="164">
        <f t="shared" ref="H75:H84" si="313">SUM(I75:Z75)</f>
        <v>7600</v>
      </c>
      <c r="I75" s="164"/>
      <c r="J75" s="164"/>
      <c r="K75" s="164"/>
      <c r="L75" s="164"/>
      <c r="M75" s="164">
        <v>19100</v>
      </c>
      <c r="N75" s="164"/>
      <c r="O75" s="164"/>
      <c r="P75" s="164"/>
      <c r="Q75" s="164"/>
      <c r="R75" s="164"/>
      <c r="S75" s="164">
        <v>-5000</v>
      </c>
      <c r="T75" s="164"/>
      <c r="U75" s="164"/>
      <c r="V75" s="164"/>
      <c r="W75" s="164">
        <v>-6500</v>
      </c>
      <c r="X75" s="164"/>
      <c r="Y75" s="164"/>
      <c r="Z75" s="164"/>
      <c r="AA75" s="164">
        <v>0</v>
      </c>
      <c r="AB75" s="164">
        <f t="shared" ref="AB75:AB84" si="314">AA75+AC75</f>
        <v>0</v>
      </c>
      <c r="AC75" s="164">
        <f t="shared" ref="AC75:AC84" si="315">SUM(AD75:AM75)</f>
        <v>0</v>
      </c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>
        <v>188593</v>
      </c>
      <c r="AO75" s="164">
        <f t="shared" ref="AO75:AO84" si="316">AN75+AP75</f>
        <v>237574</v>
      </c>
      <c r="AP75" s="164">
        <f t="shared" ref="AP75:AP84" si="317">SUM(AQ75:AZ75)</f>
        <v>48981</v>
      </c>
      <c r="AQ75" s="164">
        <v>48981</v>
      </c>
      <c r="AR75" s="164"/>
      <c r="AS75" s="164"/>
      <c r="AT75" s="164"/>
      <c r="AU75" s="164"/>
      <c r="AV75" s="164"/>
      <c r="AW75" s="164"/>
      <c r="AX75" s="164"/>
      <c r="AY75" s="164"/>
      <c r="AZ75" s="164"/>
      <c r="BA75" s="164">
        <v>0</v>
      </c>
      <c r="BB75" s="81">
        <f t="shared" ref="BB75:BB84" si="318">BA75+BC75</f>
        <v>0</v>
      </c>
      <c r="BC75" s="98">
        <f t="shared" ref="BC75:BC84" si="319">SUM(BD75:BH75)</f>
        <v>0</v>
      </c>
      <c r="BD75" s="305"/>
      <c r="BE75" s="305"/>
      <c r="BF75" s="305"/>
      <c r="BG75" s="305"/>
      <c r="BH75" s="305"/>
      <c r="BI75" s="164">
        <v>-1110</v>
      </c>
      <c r="BJ75" s="81">
        <f t="shared" ref="BJ75:BJ84" si="320">BI75+BK75</f>
        <v>-1223</v>
      </c>
      <c r="BK75" s="81">
        <f t="shared" ref="BK75:BK84" si="321">SUM(BL75:BU75)</f>
        <v>-113</v>
      </c>
      <c r="BL75" s="305"/>
      <c r="BM75" s="305">
        <v>-113</v>
      </c>
      <c r="BN75" s="305"/>
      <c r="BO75" s="305"/>
      <c r="BP75" s="305"/>
      <c r="BQ75" s="305"/>
      <c r="BR75" s="305"/>
      <c r="BS75" s="305"/>
      <c r="BT75" s="305"/>
      <c r="BU75" s="305"/>
      <c r="BV75" s="229" t="s">
        <v>329</v>
      </c>
      <c r="BW75" s="206"/>
      <c r="BX75" s="24"/>
    </row>
    <row r="76" spans="1:76" s="94" customFormat="1" x14ac:dyDescent="0.2">
      <c r="A76" s="108"/>
      <c r="B76" s="244"/>
      <c r="C76" s="319" t="s">
        <v>252</v>
      </c>
      <c r="D76" s="80">
        <f t="shared" si="310"/>
        <v>2300</v>
      </c>
      <c r="E76" s="295">
        <f t="shared" si="311"/>
        <v>2700</v>
      </c>
      <c r="F76" s="163">
        <v>2300</v>
      </c>
      <c r="G76" s="163">
        <f t="shared" si="312"/>
        <v>2700</v>
      </c>
      <c r="H76" s="163">
        <f t="shared" si="313"/>
        <v>400</v>
      </c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>
        <v>400</v>
      </c>
      <c r="U76" s="163"/>
      <c r="V76" s="163"/>
      <c r="W76" s="163"/>
      <c r="X76" s="163"/>
      <c r="Y76" s="163"/>
      <c r="Z76" s="163"/>
      <c r="AA76" s="163">
        <v>0</v>
      </c>
      <c r="AB76" s="163">
        <f t="shared" si="314"/>
        <v>0</v>
      </c>
      <c r="AC76" s="163">
        <f t="shared" si="315"/>
        <v>0</v>
      </c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>
        <v>0</v>
      </c>
      <c r="AO76" s="163">
        <f t="shared" si="316"/>
        <v>0</v>
      </c>
      <c r="AP76" s="163">
        <f t="shared" si="317"/>
        <v>0</v>
      </c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>
        <v>0</v>
      </c>
      <c r="BB76" s="81">
        <f t="shared" si="318"/>
        <v>0</v>
      </c>
      <c r="BC76" s="98">
        <f t="shared" si="319"/>
        <v>0</v>
      </c>
      <c r="BD76" s="199"/>
      <c r="BE76" s="199"/>
      <c r="BF76" s="199"/>
      <c r="BG76" s="199"/>
      <c r="BH76" s="199"/>
      <c r="BI76" s="163"/>
      <c r="BJ76" s="81">
        <f t="shared" si="320"/>
        <v>0</v>
      </c>
      <c r="BK76" s="81">
        <f t="shared" si="321"/>
        <v>0</v>
      </c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82" t="s">
        <v>330</v>
      </c>
      <c r="BW76" s="200"/>
      <c r="BX76" s="24"/>
    </row>
    <row r="77" spans="1:76" s="93" customFormat="1" ht="24" x14ac:dyDescent="0.2">
      <c r="A77" s="108"/>
      <c r="B77" s="242"/>
      <c r="C77" s="285" t="s">
        <v>277</v>
      </c>
      <c r="D77" s="80">
        <f t="shared" si="310"/>
        <v>755607</v>
      </c>
      <c r="E77" s="295">
        <f t="shared" si="311"/>
        <v>760928</v>
      </c>
      <c r="F77" s="81">
        <v>755607</v>
      </c>
      <c r="G77" s="81">
        <f t="shared" si="312"/>
        <v>756928</v>
      </c>
      <c r="H77" s="81">
        <f t="shared" si="313"/>
        <v>1321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>
        <f>-432-1857</f>
        <v>-2289</v>
      </c>
      <c r="X77" s="81"/>
      <c r="Y77" s="81">
        <v>3610</v>
      </c>
      <c r="Z77" s="81"/>
      <c r="AA77" s="81">
        <v>0</v>
      </c>
      <c r="AB77" s="81">
        <f t="shared" si="314"/>
        <v>4000</v>
      </c>
      <c r="AC77" s="81">
        <f t="shared" si="315"/>
        <v>4000</v>
      </c>
      <c r="AD77" s="81"/>
      <c r="AE77" s="81">
        <v>4000</v>
      </c>
      <c r="AF77" s="81"/>
      <c r="AG77" s="81"/>
      <c r="AH77" s="81"/>
      <c r="AI77" s="81"/>
      <c r="AJ77" s="81"/>
      <c r="AK77" s="81"/>
      <c r="AL77" s="81"/>
      <c r="AM77" s="81"/>
      <c r="AN77" s="81">
        <v>0</v>
      </c>
      <c r="AO77" s="81">
        <f t="shared" si="316"/>
        <v>0</v>
      </c>
      <c r="AP77" s="81">
        <f t="shared" si="317"/>
        <v>0</v>
      </c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>
        <v>0</v>
      </c>
      <c r="BB77" s="81">
        <f t="shared" si="318"/>
        <v>0</v>
      </c>
      <c r="BC77" s="98">
        <f t="shared" si="319"/>
        <v>0</v>
      </c>
      <c r="BD77" s="81"/>
      <c r="BE77" s="81"/>
      <c r="BF77" s="81"/>
      <c r="BG77" s="81"/>
      <c r="BH77" s="81"/>
      <c r="BI77" s="81"/>
      <c r="BJ77" s="81">
        <f t="shared" si="320"/>
        <v>0</v>
      </c>
      <c r="BK77" s="81">
        <f t="shared" si="321"/>
        <v>0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2" t="s">
        <v>332</v>
      </c>
      <c r="BW77" s="85" t="s">
        <v>666</v>
      </c>
      <c r="BX77" s="24"/>
    </row>
    <row r="78" spans="1:76" s="93" customFormat="1" x14ac:dyDescent="0.2">
      <c r="A78" s="108"/>
      <c r="B78" s="242"/>
      <c r="C78" s="285" t="s">
        <v>223</v>
      </c>
      <c r="D78" s="80">
        <f t="shared" si="310"/>
        <v>186882</v>
      </c>
      <c r="E78" s="295">
        <f t="shared" si="311"/>
        <v>186882</v>
      </c>
      <c r="F78" s="81">
        <v>186882</v>
      </c>
      <c r="G78" s="81">
        <f t="shared" si="312"/>
        <v>186882</v>
      </c>
      <c r="H78" s="81">
        <f t="shared" si="313"/>
        <v>0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>
        <v>0</v>
      </c>
      <c r="AB78" s="81">
        <f t="shared" si="314"/>
        <v>0</v>
      </c>
      <c r="AC78" s="81">
        <f t="shared" si="315"/>
        <v>0</v>
      </c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>
        <v>0</v>
      </c>
      <c r="AO78" s="81">
        <f t="shared" si="316"/>
        <v>0</v>
      </c>
      <c r="AP78" s="81">
        <f t="shared" si="317"/>
        <v>0</v>
      </c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>
        <v>0</v>
      </c>
      <c r="BB78" s="81">
        <f t="shared" si="318"/>
        <v>0</v>
      </c>
      <c r="BC78" s="98">
        <f t="shared" si="319"/>
        <v>0</v>
      </c>
      <c r="BD78" s="81"/>
      <c r="BE78" s="81"/>
      <c r="BF78" s="81"/>
      <c r="BG78" s="81"/>
      <c r="BH78" s="81"/>
      <c r="BI78" s="81"/>
      <c r="BJ78" s="81">
        <f t="shared" si="320"/>
        <v>0</v>
      </c>
      <c r="BK78" s="81">
        <f t="shared" si="321"/>
        <v>0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2" t="s">
        <v>331</v>
      </c>
      <c r="BW78" s="85" t="s">
        <v>445</v>
      </c>
      <c r="BX78" s="24"/>
    </row>
    <row r="79" spans="1:76" s="93" customFormat="1" ht="15" customHeight="1" x14ac:dyDescent="0.2">
      <c r="A79" s="108"/>
      <c r="B79" s="242"/>
      <c r="C79" s="285" t="s">
        <v>218</v>
      </c>
      <c r="D79" s="80">
        <f t="shared" si="310"/>
        <v>902294</v>
      </c>
      <c r="E79" s="295">
        <f t="shared" si="311"/>
        <v>904842</v>
      </c>
      <c r="F79" s="81">
        <v>865224</v>
      </c>
      <c r="G79" s="81">
        <f t="shared" si="312"/>
        <v>867772</v>
      </c>
      <c r="H79" s="81">
        <f t="shared" si="313"/>
        <v>2548</v>
      </c>
      <c r="I79" s="81"/>
      <c r="J79" s="81">
        <v>1808</v>
      </c>
      <c r="K79" s="81"/>
      <c r="L79" s="81"/>
      <c r="M79" s="81"/>
      <c r="N79" s="81"/>
      <c r="O79" s="81"/>
      <c r="P79" s="81"/>
      <c r="Q79" s="81">
        <v>740</v>
      </c>
      <c r="R79" s="81"/>
      <c r="S79" s="81"/>
      <c r="T79" s="81"/>
      <c r="U79" s="81"/>
      <c r="V79" s="81"/>
      <c r="W79" s="81"/>
      <c r="X79" s="81"/>
      <c r="Y79" s="81"/>
      <c r="Z79" s="81"/>
      <c r="AA79" s="81">
        <v>0</v>
      </c>
      <c r="AB79" s="81">
        <f t="shared" si="314"/>
        <v>0</v>
      </c>
      <c r="AC79" s="81">
        <f t="shared" si="315"/>
        <v>0</v>
      </c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>
        <v>37070</v>
      </c>
      <c r="AO79" s="81">
        <f t="shared" si="316"/>
        <v>37070</v>
      </c>
      <c r="AP79" s="81">
        <f t="shared" si="317"/>
        <v>0</v>
      </c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>
        <v>0</v>
      </c>
      <c r="BB79" s="81">
        <f t="shared" si="318"/>
        <v>0</v>
      </c>
      <c r="BC79" s="98">
        <f t="shared" si="319"/>
        <v>0</v>
      </c>
      <c r="BD79" s="81"/>
      <c r="BE79" s="81"/>
      <c r="BF79" s="81"/>
      <c r="BG79" s="81"/>
      <c r="BH79" s="81"/>
      <c r="BI79" s="81"/>
      <c r="BJ79" s="81">
        <f t="shared" si="320"/>
        <v>0</v>
      </c>
      <c r="BK79" s="81">
        <f t="shared" si="321"/>
        <v>0</v>
      </c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2" t="s">
        <v>333</v>
      </c>
      <c r="BW79" s="85" t="s">
        <v>667</v>
      </c>
      <c r="BX79" s="24"/>
    </row>
    <row r="80" spans="1:76" s="94" customFormat="1" ht="24" x14ac:dyDescent="0.2">
      <c r="A80" s="108"/>
      <c r="B80" s="244"/>
      <c r="C80" s="319" t="s">
        <v>254</v>
      </c>
      <c r="D80" s="80">
        <f t="shared" si="310"/>
        <v>629977</v>
      </c>
      <c r="E80" s="295">
        <f t="shared" si="311"/>
        <v>700331</v>
      </c>
      <c r="F80" s="163">
        <v>629977</v>
      </c>
      <c r="G80" s="163">
        <f t="shared" si="312"/>
        <v>700331</v>
      </c>
      <c r="H80" s="163">
        <f t="shared" si="313"/>
        <v>70354</v>
      </c>
      <c r="I80" s="163"/>
      <c r="J80" s="163"/>
      <c r="K80" s="163">
        <f>-557-1222+8852</f>
        <v>7073</v>
      </c>
      <c r="L80" s="163">
        <v>2671</v>
      </c>
      <c r="M80" s="163">
        <v>56180</v>
      </c>
      <c r="N80" s="163"/>
      <c r="O80" s="163"/>
      <c r="P80" s="163"/>
      <c r="Q80" s="163">
        <v>1278</v>
      </c>
      <c r="R80" s="163"/>
      <c r="S80" s="163">
        <f>-18599+20075</f>
        <v>1476</v>
      </c>
      <c r="T80" s="163"/>
      <c r="U80" s="163">
        <v>12193</v>
      </c>
      <c r="V80" s="163"/>
      <c r="W80" s="163"/>
      <c r="X80" s="163"/>
      <c r="Y80" s="163">
        <f>-18650+8133</f>
        <v>-10517</v>
      </c>
      <c r="Z80" s="163"/>
      <c r="AA80" s="163">
        <v>0</v>
      </c>
      <c r="AB80" s="163">
        <f t="shared" si="314"/>
        <v>0</v>
      </c>
      <c r="AC80" s="163">
        <f t="shared" si="315"/>
        <v>0</v>
      </c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>
        <v>0</v>
      </c>
      <c r="AO80" s="163">
        <f t="shared" si="316"/>
        <v>0</v>
      </c>
      <c r="AP80" s="163">
        <f t="shared" si="317"/>
        <v>0</v>
      </c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>
        <v>0</v>
      </c>
      <c r="BB80" s="81">
        <f t="shared" si="318"/>
        <v>0</v>
      </c>
      <c r="BC80" s="98">
        <f t="shared" si="319"/>
        <v>0</v>
      </c>
      <c r="BD80" s="163"/>
      <c r="BE80" s="163"/>
      <c r="BF80" s="163"/>
      <c r="BG80" s="163"/>
      <c r="BH80" s="163"/>
      <c r="BI80" s="163"/>
      <c r="BJ80" s="81">
        <f t="shared" si="320"/>
        <v>0</v>
      </c>
      <c r="BK80" s="81">
        <f t="shared" si="321"/>
        <v>0</v>
      </c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220" t="s">
        <v>664</v>
      </c>
      <c r="BW80" s="200" t="s">
        <v>672</v>
      </c>
      <c r="BX80" s="24"/>
    </row>
    <row r="81" spans="1:76" s="192" customFormat="1" ht="24" x14ac:dyDescent="0.2">
      <c r="A81" s="108"/>
      <c r="B81" s="244"/>
      <c r="C81" s="319" t="s">
        <v>641</v>
      </c>
      <c r="D81" s="80">
        <f t="shared" si="310"/>
        <v>76560</v>
      </c>
      <c r="E81" s="295">
        <f t="shared" si="311"/>
        <v>76560</v>
      </c>
      <c r="F81" s="163">
        <v>76560</v>
      </c>
      <c r="G81" s="163">
        <f t="shared" si="312"/>
        <v>76560</v>
      </c>
      <c r="H81" s="163">
        <f t="shared" si="313"/>
        <v>0</v>
      </c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>
        <v>0</v>
      </c>
      <c r="AB81" s="163">
        <f t="shared" si="314"/>
        <v>0</v>
      </c>
      <c r="AC81" s="163">
        <f t="shared" si="315"/>
        <v>0</v>
      </c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>
        <v>0</v>
      </c>
      <c r="AO81" s="163">
        <f t="shared" si="316"/>
        <v>0</v>
      </c>
      <c r="AP81" s="163">
        <f t="shared" si="317"/>
        <v>0</v>
      </c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>
        <v>0</v>
      </c>
      <c r="BB81" s="81">
        <f t="shared" si="318"/>
        <v>0</v>
      </c>
      <c r="BC81" s="98">
        <f t="shared" si="319"/>
        <v>0</v>
      </c>
      <c r="BD81" s="199"/>
      <c r="BE81" s="199"/>
      <c r="BF81" s="199"/>
      <c r="BG81" s="199"/>
      <c r="BH81" s="199"/>
      <c r="BI81" s="163"/>
      <c r="BJ81" s="81">
        <f t="shared" si="320"/>
        <v>0</v>
      </c>
      <c r="BK81" s="81">
        <f t="shared" si="321"/>
        <v>0</v>
      </c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82" t="s">
        <v>665</v>
      </c>
      <c r="BW81" s="200"/>
      <c r="BX81" s="24"/>
    </row>
    <row r="82" spans="1:76" s="198" customFormat="1" ht="36" x14ac:dyDescent="0.2">
      <c r="A82" s="108"/>
      <c r="B82" s="244"/>
      <c r="C82" s="319" t="s">
        <v>745</v>
      </c>
      <c r="D82" s="80">
        <f t="shared" ref="D82" si="322">F82+AA82+AN82+BA82+BI82</f>
        <v>0</v>
      </c>
      <c r="E82" s="295">
        <f t="shared" ref="E82" si="323">G82+AB82+AO82+BB82+BJ82</f>
        <v>19807</v>
      </c>
      <c r="F82" s="163"/>
      <c r="G82" s="163">
        <f t="shared" ref="G82" si="324">F82+H82</f>
        <v>19807</v>
      </c>
      <c r="H82" s="163">
        <f t="shared" ref="H82" si="325">SUM(I82:Z82)</f>
        <v>19807</v>
      </c>
      <c r="I82" s="163">
        <v>19807</v>
      </c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>
        <f t="shared" ref="AB82" si="326">AA82+AC82</f>
        <v>0</v>
      </c>
      <c r="AC82" s="163">
        <f t="shared" ref="AC82" si="327">SUM(AD82:AM82)</f>
        <v>0</v>
      </c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>
        <f t="shared" ref="AO82" si="328">AN82+AP82</f>
        <v>0</v>
      </c>
      <c r="AP82" s="163">
        <f t="shared" ref="AP82" si="329">SUM(AQ82:AZ82)</f>
        <v>0</v>
      </c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81">
        <f t="shared" ref="BB82" si="330">BA82+BC82</f>
        <v>0</v>
      </c>
      <c r="BC82" s="98">
        <f t="shared" ref="BC82" si="331">SUM(BD82:BH82)</f>
        <v>0</v>
      </c>
      <c r="BD82" s="199"/>
      <c r="BE82" s="199"/>
      <c r="BF82" s="199"/>
      <c r="BG82" s="199"/>
      <c r="BH82" s="199"/>
      <c r="BI82" s="163"/>
      <c r="BJ82" s="81">
        <f t="shared" ref="BJ82" si="332">BI82+BK82</f>
        <v>0</v>
      </c>
      <c r="BK82" s="81">
        <f t="shared" ref="BK82" si="333">SUM(BL82:BU82)</f>
        <v>0</v>
      </c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82" t="s">
        <v>746</v>
      </c>
      <c r="BW82" s="200"/>
      <c r="BX82" s="24"/>
    </row>
    <row r="83" spans="1:76" ht="24" x14ac:dyDescent="0.2">
      <c r="A83" s="108">
        <v>42803002568</v>
      </c>
      <c r="B83" s="241" t="s">
        <v>299</v>
      </c>
      <c r="C83" s="285" t="s">
        <v>278</v>
      </c>
      <c r="D83" s="80">
        <f t="shared" si="310"/>
        <v>1704582</v>
      </c>
      <c r="E83" s="295">
        <f t="shared" si="311"/>
        <v>1704582</v>
      </c>
      <c r="F83" s="81">
        <v>1704582</v>
      </c>
      <c r="G83" s="81">
        <f t="shared" si="312"/>
        <v>1704582</v>
      </c>
      <c r="H83" s="81">
        <f t="shared" si="313"/>
        <v>0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>
        <v>0</v>
      </c>
      <c r="AB83" s="81">
        <f t="shared" si="314"/>
        <v>0</v>
      </c>
      <c r="AC83" s="81">
        <f t="shared" si="315"/>
        <v>0</v>
      </c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>
        <v>0</v>
      </c>
      <c r="AO83" s="81">
        <f t="shared" si="316"/>
        <v>0</v>
      </c>
      <c r="AP83" s="81">
        <f t="shared" si="317"/>
        <v>0</v>
      </c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>
        <v>0</v>
      </c>
      <c r="BB83" s="81">
        <f t="shared" si="318"/>
        <v>0</v>
      </c>
      <c r="BC83" s="98">
        <f t="shared" si="319"/>
        <v>0</v>
      </c>
      <c r="BD83" s="98"/>
      <c r="BE83" s="98"/>
      <c r="BF83" s="98"/>
      <c r="BG83" s="98"/>
      <c r="BH83" s="98"/>
      <c r="BI83" s="81"/>
      <c r="BJ83" s="81">
        <f t="shared" si="320"/>
        <v>0</v>
      </c>
      <c r="BK83" s="81">
        <f t="shared" si="321"/>
        <v>0</v>
      </c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82" t="s">
        <v>346</v>
      </c>
      <c r="BW83" s="85"/>
      <c r="BX83" s="24"/>
    </row>
    <row r="84" spans="1:76" ht="24" x14ac:dyDescent="0.2">
      <c r="A84" s="108">
        <v>90010691331</v>
      </c>
      <c r="B84" s="249" t="s">
        <v>701</v>
      </c>
      <c r="C84" s="325" t="s">
        <v>187</v>
      </c>
      <c r="D84" s="80">
        <f t="shared" si="310"/>
        <v>386263</v>
      </c>
      <c r="E84" s="295">
        <f t="shared" si="311"/>
        <v>419323</v>
      </c>
      <c r="F84" s="158">
        <v>266384</v>
      </c>
      <c r="G84" s="158">
        <f t="shared" si="312"/>
        <v>397037</v>
      </c>
      <c r="H84" s="158">
        <f t="shared" si="313"/>
        <v>130653</v>
      </c>
      <c r="I84" s="158"/>
      <c r="J84" s="158"/>
      <c r="K84" s="158"/>
      <c r="L84" s="158">
        <v>81409</v>
      </c>
      <c r="M84" s="158"/>
      <c r="N84" s="158"/>
      <c r="O84" s="158"/>
      <c r="P84" s="158"/>
      <c r="Q84" s="158"/>
      <c r="R84" s="158"/>
      <c r="S84" s="158">
        <v>49244</v>
      </c>
      <c r="T84" s="158"/>
      <c r="U84" s="158"/>
      <c r="V84" s="158"/>
      <c r="W84" s="158"/>
      <c r="X84" s="158"/>
      <c r="Y84" s="158"/>
      <c r="Z84" s="158"/>
      <c r="AA84" s="158">
        <v>0</v>
      </c>
      <c r="AB84" s="158">
        <f t="shared" si="314"/>
        <v>0</v>
      </c>
      <c r="AC84" s="158">
        <f t="shared" si="315"/>
        <v>0</v>
      </c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>
        <v>119879</v>
      </c>
      <c r="AO84" s="158">
        <f t="shared" si="316"/>
        <v>23324</v>
      </c>
      <c r="AP84" s="158">
        <f t="shared" si="317"/>
        <v>-96555</v>
      </c>
      <c r="AQ84" s="158">
        <v>-822</v>
      </c>
      <c r="AR84" s="158">
        <v>-99908</v>
      </c>
      <c r="AS84" s="158"/>
      <c r="AT84" s="158">
        <v>2875</v>
      </c>
      <c r="AU84" s="158"/>
      <c r="AV84" s="158">
        <v>1300</v>
      </c>
      <c r="AW84" s="158"/>
      <c r="AX84" s="158"/>
      <c r="AY84" s="158"/>
      <c r="AZ84" s="158"/>
      <c r="BA84" s="158">
        <v>0</v>
      </c>
      <c r="BB84" s="81">
        <f t="shared" si="318"/>
        <v>0</v>
      </c>
      <c r="BC84" s="98">
        <f t="shared" si="319"/>
        <v>0</v>
      </c>
      <c r="BD84" s="306"/>
      <c r="BE84" s="306"/>
      <c r="BF84" s="306"/>
      <c r="BG84" s="306"/>
      <c r="BH84" s="306"/>
      <c r="BI84" s="158"/>
      <c r="BJ84" s="81">
        <f t="shared" si="320"/>
        <v>-1038</v>
      </c>
      <c r="BK84" s="81">
        <f t="shared" si="321"/>
        <v>-1038</v>
      </c>
      <c r="BL84" s="306"/>
      <c r="BM84" s="306"/>
      <c r="BN84" s="306">
        <v>-1038</v>
      </c>
      <c r="BO84" s="306"/>
      <c r="BP84" s="306"/>
      <c r="BQ84" s="306"/>
      <c r="BR84" s="306"/>
      <c r="BS84" s="306"/>
      <c r="BT84" s="306"/>
      <c r="BU84" s="306"/>
      <c r="BV84" s="261" t="s">
        <v>347</v>
      </c>
      <c r="BW84" s="262"/>
      <c r="BX84" s="24"/>
    </row>
    <row r="85" spans="1:76" ht="9" customHeight="1" thickBot="1" x14ac:dyDescent="0.25">
      <c r="A85" s="108"/>
      <c r="B85" s="216"/>
      <c r="C85" s="323"/>
      <c r="D85" s="71"/>
      <c r="E85" s="296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72"/>
      <c r="BC85" s="97"/>
      <c r="BD85" s="97"/>
      <c r="BE85" s="97"/>
      <c r="BF85" s="97"/>
      <c r="BG85" s="97"/>
      <c r="BH85" s="97"/>
      <c r="BI85" s="72"/>
      <c r="BJ85" s="264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73"/>
      <c r="BW85" s="86"/>
      <c r="BX85" s="24"/>
    </row>
    <row r="86" spans="1:76" ht="12.75" thickBot="1" x14ac:dyDescent="0.25">
      <c r="A86" s="215" t="s">
        <v>12</v>
      </c>
      <c r="B86" s="125" t="s">
        <v>13</v>
      </c>
      <c r="C86" s="321"/>
      <c r="D86" s="11">
        <f t="shared" ref="D86:E86" si="334">SUM(D87:D92)</f>
        <v>488078</v>
      </c>
      <c r="E86" s="298">
        <f t="shared" si="334"/>
        <v>489515</v>
      </c>
      <c r="F86" s="96">
        <f t="shared" ref="F86:BU86" si="335">SUM(F87:F92)</f>
        <v>488078</v>
      </c>
      <c r="G86" s="96">
        <f t="shared" si="335"/>
        <v>489515</v>
      </c>
      <c r="H86" s="96">
        <f t="shared" ref="H86" si="336">SUM(H87:H92)</f>
        <v>1437</v>
      </c>
      <c r="I86" s="96">
        <f t="shared" si="335"/>
        <v>0</v>
      </c>
      <c r="J86" s="96">
        <f t="shared" ref="J86" si="337">SUM(J87:J92)</f>
        <v>0</v>
      </c>
      <c r="K86" s="96">
        <f t="shared" si="335"/>
        <v>0</v>
      </c>
      <c r="L86" s="96">
        <f t="shared" si="335"/>
        <v>0</v>
      </c>
      <c r="M86" s="96">
        <f t="shared" si="335"/>
        <v>0</v>
      </c>
      <c r="N86" s="96">
        <f t="shared" si="335"/>
        <v>0</v>
      </c>
      <c r="O86" s="96">
        <f t="shared" si="335"/>
        <v>0</v>
      </c>
      <c r="P86" s="96">
        <f t="shared" si="335"/>
        <v>0</v>
      </c>
      <c r="Q86" s="96">
        <f t="shared" si="335"/>
        <v>0</v>
      </c>
      <c r="R86" s="96">
        <f t="shared" si="335"/>
        <v>0</v>
      </c>
      <c r="S86" s="96">
        <f t="shared" si="335"/>
        <v>0</v>
      </c>
      <c r="T86" s="96"/>
      <c r="U86" s="96">
        <f t="shared" si="335"/>
        <v>0</v>
      </c>
      <c r="V86" s="96"/>
      <c r="W86" s="96">
        <f t="shared" si="335"/>
        <v>1437</v>
      </c>
      <c r="X86" s="96">
        <f t="shared" ref="X86" si="338">SUM(X87:X92)</f>
        <v>0</v>
      </c>
      <c r="Y86" s="96">
        <f t="shared" si="335"/>
        <v>0</v>
      </c>
      <c r="Z86" s="96">
        <f t="shared" si="335"/>
        <v>0</v>
      </c>
      <c r="AA86" s="96">
        <f t="shared" si="335"/>
        <v>0</v>
      </c>
      <c r="AB86" s="96">
        <f t="shared" ref="AB86:AM86" si="339">SUM(AB87:AB92)</f>
        <v>0</v>
      </c>
      <c r="AC86" s="96">
        <f t="shared" si="339"/>
        <v>0</v>
      </c>
      <c r="AD86" s="96">
        <f t="shared" si="339"/>
        <v>0</v>
      </c>
      <c r="AE86" s="96">
        <f t="shared" si="339"/>
        <v>0</v>
      </c>
      <c r="AF86" s="96">
        <f t="shared" si="339"/>
        <v>0</v>
      </c>
      <c r="AG86" s="96">
        <f t="shared" si="339"/>
        <v>0</v>
      </c>
      <c r="AH86" s="96">
        <f t="shared" si="339"/>
        <v>0</v>
      </c>
      <c r="AI86" s="96">
        <f t="shared" si="339"/>
        <v>0</v>
      </c>
      <c r="AJ86" s="96">
        <f t="shared" si="339"/>
        <v>0</v>
      </c>
      <c r="AK86" s="96">
        <f t="shared" si="339"/>
        <v>0</v>
      </c>
      <c r="AL86" s="96">
        <f t="shared" si="339"/>
        <v>0</v>
      </c>
      <c r="AM86" s="96">
        <f t="shared" si="339"/>
        <v>0</v>
      </c>
      <c r="AN86" s="96">
        <f t="shared" si="335"/>
        <v>0</v>
      </c>
      <c r="AO86" s="96">
        <f t="shared" si="335"/>
        <v>0</v>
      </c>
      <c r="AP86" s="96">
        <f t="shared" si="335"/>
        <v>0</v>
      </c>
      <c r="AQ86" s="96">
        <f t="shared" si="335"/>
        <v>0</v>
      </c>
      <c r="AR86" s="96">
        <f t="shared" si="335"/>
        <v>0</v>
      </c>
      <c r="AS86" s="96">
        <f t="shared" si="335"/>
        <v>0</v>
      </c>
      <c r="AT86" s="96">
        <f t="shared" si="335"/>
        <v>0</v>
      </c>
      <c r="AU86" s="96">
        <f t="shared" si="335"/>
        <v>0</v>
      </c>
      <c r="AV86" s="96">
        <f t="shared" si="335"/>
        <v>0</v>
      </c>
      <c r="AW86" s="96">
        <f t="shared" si="335"/>
        <v>0</v>
      </c>
      <c r="AX86" s="96">
        <f t="shared" si="335"/>
        <v>0</v>
      </c>
      <c r="AY86" s="96">
        <f t="shared" si="335"/>
        <v>0</v>
      </c>
      <c r="AZ86" s="96">
        <f t="shared" si="335"/>
        <v>0</v>
      </c>
      <c r="BA86" s="96">
        <f t="shared" si="335"/>
        <v>0</v>
      </c>
      <c r="BB86" s="9">
        <f t="shared" ref="BB86:BH86" si="340">SUM(BB87:BB92)</f>
        <v>0</v>
      </c>
      <c r="BC86" s="96">
        <f t="shared" si="340"/>
        <v>0</v>
      </c>
      <c r="BD86" s="96">
        <f t="shared" si="340"/>
        <v>0</v>
      </c>
      <c r="BE86" s="96">
        <f t="shared" si="340"/>
        <v>0</v>
      </c>
      <c r="BF86" s="96">
        <f t="shared" si="340"/>
        <v>0</v>
      </c>
      <c r="BG86" s="96">
        <f t="shared" si="340"/>
        <v>0</v>
      </c>
      <c r="BH86" s="96">
        <f t="shared" si="340"/>
        <v>0</v>
      </c>
      <c r="BI86" s="9">
        <f t="shared" si="335"/>
        <v>0</v>
      </c>
      <c r="BJ86" s="310">
        <f t="shared" si="335"/>
        <v>0</v>
      </c>
      <c r="BK86" s="96">
        <f t="shared" si="335"/>
        <v>0</v>
      </c>
      <c r="BL86" s="96">
        <f t="shared" si="335"/>
        <v>0</v>
      </c>
      <c r="BM86" s="96">
        <f t="shared" si="335"/>
        <v>0</v>
      </c>
      <c r="BN86" s="96">
        <f t="shared" si="335"/>
        <v>0</v>
      </c>
      <c r="BO86" s="96">
        <f t="shared" si="335"/>
        <v>0</v>
      </c>
      <c r="BP86" s="96">
        <f t="shared" si="335"/>
        <v>0</v>
      </c>
      <c r="BQ86" s="96">
        <f t="shared" si="335"/>
        <v>0</v>
      </c>
      <c r="BR86" s="96">
        <f t="shared" si="335"/>
        <v>0</v>
      </c>
      <c r="BS86" s="96">
        <f t="shared" si="335"/>
        <v>0</v>
      </c>
      <c r="BT86" s="96">
        <f t="shared" si="335"/>
        <v>0</v>
      </c>
      <c r="BU86" s="96">
        <f t="shared" si="335"/>
        <v>0</v>
      </c>
      <c r="BV86" s="12"/>
      <c r="BW86" s="87"/>
      <c r="BX86" s="24"/>
    </row>
    <row r="87" spans="1:76" ht="24.75" customHeight="1" thickTop="1" x14ac:dyDescent="0.2">
      <c r="A87" s="108">
        <v>90000594245</v>
      </c>
      <c r="B87" s="247" t="s">
        <v>524</v>
      </c>
      <c r="C87" s="285" t="s">
        <v>188</v>
      </c>
      <c r="D87" s="80">
        <f t="shared" ref="D87:D91" si="341">F87+AA87+AN87+BA87+BI87</f>
        <v>45712</v>
      </c>
      <c r="E87" s="295">
        <f t="shared" ref="E87:E91" si="342">G87+AB87+AO87+BB87+BJ87</f>
        <v>45712</v>
      </c>
      <c r="F87" s="81">
        <v>45712</v>
      </c>
      <c r="G87" s="81">
        <f t="shared" ref="G87:G91" si="343">F87+H87</f>
        <v>45712</v>
      </c>
      <c r="H87" s="81">
        <f t="shared" ref="H87:H91" si="344">SUM(I87:Z87)</f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>
        <v>0</v>
      </c>
      <c r="AB87" s="81">
        <f t="shared" ref="AB87:AB91" si="345">AA87+AC87</f>
        <v>0</v>
      </c>
      <c r="AC87" s="81">
        <f t="shared" ref="AC87:AC91" si="346">SUM(AD87:AM87)</f>
        <v>0</v>
      </c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>
        <v>0</v>
      </c>
      <c r="AO87" s="81">
        <f t="shared" ref="AO87:AO91" si="347">AN87+AP87</f>
        <v>0</v>
      </c>
      <c r="AP87" s="81">
        <f t="shared" ref="AP87:AP91" si="348">SUM(AQ87:AZ87)</f>
        <v>0</v>
      </c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>
        <v>0</v>
      </c>
      <c r="BB87" s="81">
        <f t="shared" ref="BB87:BB91" si="349">BA87+BC87</f>
        <v>0</v>
      </c>
      <c r="BC87" s="98">
        <f t="shared" ref="BC87:BC91" si="350">SUM(BD87:BH87)</f>
        <v>0</v>
      </c>
      <c r="BD87" s="98"/>
      <c r="BE87" s="98"/>
      <c r="BF87" s="98"/>
      <c r="BG87" s="98"/>
      <c r="BH87" s="98"/>
      <c r="BI87" s="81"/>
      <c r="BJ87" s="81">
        <f t="shared" ref="BJ87:BJ91" si="351">BI87+BK87</f>
        <v>0</v>
      </c>
      <c r="BK87" s="81">
        <f t="shared" ref="BK87:BK91" si="352">SUM(BL87:BU87)</f>
        <v>0</v>
      </c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82" t="s">
        <v>348</v>
      </c>
      <c r="BW87" s="85" t="s">
        <v>668</v>
      </c>
      <c r="BX87" s="24"/>
    </row>
    <row r="88" spans="1:76" x14ac:dyDescent="0.2">
      <c r="A88" s="108"/>
      <c r="B88" s="242"/>
      <c r="C88" s="285" t="s">
        <v>209</v>
      </c>
      <c r="D88" s="80">
        <f t="shared" si="341"/>
        <v>28724</v>
      </c>
      <c r="E88" s="295">
        <f t="shared" si="342"/>
        <v>28909</v>
      </c>
      <c r="F88" s="81">
        <v>28724</v>
      </c>
      <c r="G88" s="81">
        <f t="shared" si="343"/>
        <v>28909</v>
      </c>
      <c r="H88" s="81">
        <f t="shared" si="344"/>
        <v>185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>
        <v>185</v>
      </c>
      <c r="X88" s="81"/>
      <c r="Y88" s="81"/>
      <c r="Z88" s="81"/>
      <c r="AA88" s="81">
        <v>0</v>
      </c>
      <c r="AB88" s="81">
        <f t="shared" si="345"/>
        <v>0</v>
      </c>
      <c r="AC88" s="81">
        <f t="shared" si="346"/>
        <v>0</v>
      </c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>
        <v>0</v>
      </c>
      <c r="AO88" s="81">
        <f t="shared" si="347"/>
        <v>0</v>
      </c>
      <c r="AP88" s="81">
        <f t="shared" si="348"/>
        <v>0</v>
      </c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>
        <v>0</v>
      </c>
      <c r="BB88" s="81">
        <f t="shared" si="349"/>
        <v>0</v>
      </c>
      <c r="BC88" s="98">
        <f t="shared" si="350"/>
        <v>0</v>
      </c>
      <c r="BD88" s="98"/>
      <c r="BE88" s="98"/>
      <c r="BF88" s="98"/>
      <c r="BG88" s="98"/>
      <c r="BH88" s="98"/>
      <c r="BI88" s="81"/>
      <c r="BJ88" s="81">
        <f t="shared" si="351"/>
        <v>0</v>
      </c>
      <c r="BK88" s="81">
        <f t="shared" si="352"/>
        <v>0</v>
      </c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82" t="s">
        <v>349</v>
      </c>
      <c r="BW88" s="85" t="s">
        <v>668</v>
      </c>
      <c r="BX88" s="24"/>
    </row>
    <row r="89" spans="1:76" ht="24" x14ac:dyDescent="0.2">
      <c r="A89" s="108"/>
      <c r="B89" s="242"/>
      <c r="C89" s="285" t="s">
        <v>203</v>
      </c>
      <c r="D89" s="80">
        <f t="shared" si="341"/>
        <v>62365</v>
      </c>
      <c r="E89" s="295">
        <f t="shared" si="342"/>
        <v>64365</v>
      </c>
      <c r="F89" s="81">
        <v>62365</v>
      </c>
      <c r="G89" s="81">
        <f t="shared" si="343"/>
        <v>64365</v>
      </c>
      <c r="H89" s="81">
        <f t="shared" si="344"/>
        <v>2000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2000</v>
      </c>
      <c r="X89" s="81"/>
      <c r="Y89" s="81"/>
      <c r="Z89" s="81"/>
      <c r="AA89" s="81">
        <v>0</v>
      </c>
      <c r="AB89" s="81">
        <f t="shared" si="345"/>
        <v>0</v>
      </c>
      <c r="AC89" s="81">
        <f t="shared" si="346"/>
        <v>0</v>
      </c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>
        <v>0</v>
      </c>
      <c r="AO89" s="81">
        <f t="shared" si="347"/>
        <v>0</v>
      </c>
      <c r="AP89" s="81">
        <f t="shared" si="348"/>
        <v>0</v>
      </c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>
        <v>0</v>
      </c>
      <c r="BB89" s="81">
        <f t="shared" si="349"/>
        <v>0</v>
      </c>
      <c r="BC89" s="98">
        <f t="shared" si="350"/>
        <v>0</v>
      </c>
      <c r="BD89" s="98"/>
      <c r="BE89" s="98"/>
      <c r="BF89" s="98"/>
      <c r="BG89" s="98"/>
      <c r="BH89" s="98"/>
      <c r="BI89" s="81"/>
      <c r="BJ89" s="81">
        <f t="shared" si="351"/>
        <v>0</v>
      </c>
      <c r="BK89" s="81">
        <f t="shared" si="352"/>
        <v>0</v>
      </c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82" t="s">
        <v>350</v>
      </c>
      <c r="BW89" s="85" t="s">
        <v>668</v>
      </c>
      <c r="BX89" s="24"/>
    </row>
    <row r="90" spans="1:76" s="192" customFormat="1" ht="27" customHeight="1" x14ac:dyDescent="0.2">
      <c r="A90" s="108"/>
      <c r="B90" s="242"/>
      <c r="C90" s="285" t="s">
        <v>537</v>
      </c>
      <c r="D90" s="80">
        <f t="shared" si="341"/>
        <v>241680</v>
      </c>
      <c r="E90" s="295">
        <f t="shared" si="342"/>
        <v>240932</v>
      </c>
      <c r="F90" s="81">
        <v>241680</v>
      </c>
      <c r="G90" s="81">
        <f t="shared" si="343"/>
        <v>240932</v>
      </c>
      <c r="H90" s="81">
        <f t="shared" si="344"/>
        <v>-748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f>657-1405</f>
        <v>-748</v>
      </c>
      <c r="X90" s="81"/>
      <c r="Y90" s="81"/>
      <c r="Z90" s="81"/>
      <c r="AA90" s="81">
        <v>0</v>
      </c>
      <c r="AB90" s="81">
        <f t="shared" si="345"/>
        <v>0</v>
      </c>
      <c r="AC90" s="81">
        <f t="shared" si="346"/>
        <v>0</v>
      </c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>
        <v>0</v>
      </c>
      <c r="AO90" s="81">
        <f t="shared" si="347"/>
        <v>0</v>
      </c>
      <c r="AP90" s="81">
        <f t="shared" si="348"/>
        <v>0</v>
      </c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>
        <v>0</v>
      </c>
      <c r="BB90" s="81">
        <f t="shared" si="349"/>
        <v>0</v>
      </c>
      <c r="BC90" s="98">
        <f t="shared" si="350"/>
        <v>0</v>
      </c>
      <c r="BD90" s="98"/>
      <c r="BE90" s="98"/>
      <c r="BF90" s="98"/>
      <c r="BG90" s="98"/>
      <c r="BH90" s="98"/>
      <c r="BI90" s="81"/>
      <c r="BJ90" s="81">
        <f t="shared" si="351"/>
        <v>0</v>
      </c>
      <c r="BK90" s="81">
        <f t="shared" si="352"/>
        <v>0</v>
      </c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82" t="s">
        <v>550</v>
      </c>
      <c r="BW90" s="85"/>
      <c r="BX90" s="24"/>
    </row>
    <row r="91" spans="1:76" ht="48" x14ac:dyDescent="0.2">
      <c r="A91" s="108">
        <v>90010991438</v>
      </c>
      <c r="B91" s="241" t="s">
        <v>472</v>
      </c>
      <c r="C91" s="285" t="s">
        <v>495</v>
      </c>
      <c r="D91" s="80">
        <f t="shared" si="341"/>
        <v>109597</v>
      </c>
      <c r="E91" s="295">
        <f t="shared" si="342"/>
        <v>109597</v>
      </c>
      <c r="F91" s="81">
        <v>109597</v>
      </c>
      <c r="G91" s="81">
        <f t="shared" si="343"/>
        <v>109597</v>
      </c>
      <c r="H91" s="81">
        <f t="shared" si="344"/>
        <v>0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>
        <v>0</v>
      </c>
      <c r="AB91" s="81">
        <f t="shared" si="345"/>
        <v>0</v>
      </c>
      <c r="AC91" s="81">
        <f t="shared" si="346"/>
        <v>0</v>
      </c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>
        <v>0</v>
      </c>
      <c r="AO91" s="81">
        <f t="shared" si="347"/>
        <v>0</v>
      </c>
      <c r="AP91" s="81">
        <f t="shared" si="348"/>
        <v>0</v>
      </c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>
        <v>0</v>
      </c>
      <c r="BB91" s="81">
        <f t="shared" si="349"/>
        <v>0</v>
      </c>
      <c r="BC91" s="98">
        <f t="shared" si="350"/>
        <v>0</v>
      </c>
      <c r="BD91" s="98"/>
      <c r="BE91" s="98"/>
      <c r="BF91" s="98"/>
      <c r="BG91" s="98"/>
      <c r="BH91" s="98"/>
      <c r="BI91" s="81"/>
      <c r="BJ91" s="81">
        <f t="shared" si="351"/>
        <v>0</v>
      </c>
      <c r="BK91" s="81">
        <f t="shared" si="352"/>
        <v>0</v>
      </c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82" t="s">
        <v>351</v>
      </c>
      <c r="BW91" s="85"/>
      <c r="BX91" s="24"/>
    </row>
    <row r="92" spans="1:76" ht="9.75" customHeight="1" thickBot="1" x14ac:dyDescent="0.25">
      <c r="A92" s="108"/>
      <c r="B92" s="216"/>
      <c r="C92" s="323"/>
      <c r="D92" s="71"/>
      <c r="E92" s="296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72"/>
      <c r="BC92" s="97"/>
      <c r="BD92" s="97"/>
      <c r="BE92" s="97"/>
      <c r="BF92" s="97"/>
      <c r="BG92" s="97"/>
      <c r="BH92" s="97"/>
      <c r="BI92" s="72"/>
      <c r="BJ92" s="264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73"/>
      <c r="BW92" s="86"/>
      <c r="BX92" s="24"/>
    </row>
    <row r="93" spans="1:76" ht="12.75" thickBot="1" x14ac:dyDescent="0.25">
      <c r="A93" s="215" t="s">
        <v>14</v>
      </c>
      <c r="B93" s="125" t="s">
        <v>15</v>
      </c>
      <c r="C93" s="321"/>
      <c r="D93" s="11">
        <f>SUM(D94:D132)</f>
        <v>9478586</v>
      </c>
      <c r="E93" s="297">
        <f>SUM(E94:E132)</f>
        <v>11574004</v>
      </c>
      <c r="F93" s="9">
        <f>SUM(F94:F132)</f>
        <v>9232349</v>
      </c>
      <c r="G93" s="9">
        <f t="shared" ref="G93:Z93" si="353">SUM(G94:G132)</f>
        <v>11319415</v>
      </c>
      <c r="H93" s="9">
        <f t="shared" si="353"/>
        <v>2087066</v>
      </c>
      <c r="I93" s="9">
        <f t="shared" si="353"/>
        <v>34000</v>
      </c>
      <c r="J93" s="9">
        <f t="shared" ref="J93" si="354">SUM(J94:J132)</f>
        <v>3591</v>
      </c>
      <c r="K93" s="9">
        <f t="shared" si="353"/>
        <v>100001</v>
      </c>
      <c r="L93" s="9">
        <f t="shared" si="353"/>
        <v>28829</v>
      </c>
      <c r="M93" s="9">
        <f t="shared" si="353"/>
        <v>25058</v>
      </c>
      <c r="N93" s="9">
        <f t="shared" si="353"/>
        <v>0</v>
      </c>
      <c r="O93" s="9">
        <f t="shared" si="353"/>
        <v>0</v>
      </c>
      <c r="P93" s="9">
        <f t="shared" si="353"/>
        <v>0</v>
      </c>
      <c r="Q93" s="9">
        <f t="shared" si="353"/>
        <v>107022</v>
      </c>
      <c r="R93" s="9">
        <f t="shared" si="353"/>
        <v>0</v>
      </c>
      <c r="S93" s="9">
        <f t="shared" si="353"/>
        <v>-22539</v>
      </c>
      <c r="T93" s="9"/>
      <c r="U93" s="9">
        <f t="shared" si="353"/>
        <v>1790920</v>
      </c>
      <c r="V93" s="9"/>
      <c r="W93" s="9">
        <f t="shared" si="353"/>
        <v>1167</v>
      </c>
      <c r="X93" s="9">
        <f t="shared" ref="X93" si="355">SUM(X94:X132)</f>
        <v>0</v>
      </c>
      <c r="Y93" s="9">
        <f t="shared" si="353"/>
        <v>19017</v>
      </c>
      <c r="Z93" s="9">
        <f t="shared" si="353"/>
        <v>0</v>
      </c>
      <c r="AA93" s="9">
        <f>SUM(AA94:AA132)</f>
        <v>9522</v>
      </c>
      <c r="AB93" s="9">
        <f t="shared" ref="AB93" si="356">SUM(AB94:AB132)</f>
        <v>10724</v>
      </c>
      <c r="AC93" s="9">
        <f t="shared" ref="AC93" si="357">SUM(AC94:AC132)</f>
        <v>1202</v>
      </c>
      <c r="AD93" s="9">
        <f t="shared" ref="AD93" si="358">SUM(AD94:AD132)</f>
        <v>0</v>
      </c>
      <c r="AE93" s="9">
        <f t="shared" ref="AE93" si="359">SUM(AE94:AE132)</f>
        <v>0</v>
      </c>
      <c r="AF93" s="9">
        <f t="shared" ref="AF93" si="360">SUM(AF94:AF132)</f>
        <v>0</v>
      </c>
      <c r="AG93" s="9">
        <f t="shared" ref="AG93" si="361">SUM(AG94:AG132)</f>
        <v>1202</v>
      </c>
      <c r="AH93" s="9">
        <f t="shared" ref="AH93" si="362">SUM(AH94:AH132)</f>
        <v>0</v>
      </c>
      <c r="AI93" s="9">
        <f t="shared" ref="AI93" si="363">SUM(AI94:AI132)</f>
        <v>0</v>
      </c>
      <c r="AJ93" s="9">
        <f t="shared" ref="AJ93" si="364">SUM(AJ94:AJ132)</f>
        <v>0</v>
      </c>
      <c r="AK93" s="9">
        <f t="shared" ref="AK93" si="365">SUM(AK94:AK132)</f>
        <v>0</v>
      </c>
      <c r="AL93" s="9">
        <f t="shared" ref="AL93" si="366">SUM(AL94:AL132)</f>
        <v>0</v>
      </c>
      <c r="AM93" s="9">
        <f t="shared" ref="AM93" si="367">SUM(AM94:AM132)</f>
        <v>0</v>
      </c>
      <c r="AN93" s="9">
        <f>SUM(AN94:AN132)</f>
        <v>236715</v>
      </c>
      <c r="AO93" s="96">
        <f t="shared" ref="AO93" si="368">SUM(AO94:AO132)</f>
        <v>243879</v>
      </c>
      <c r="AP93" s="96">
        <f t="shared" ref="AP93" si="369">SUM(AP94:AP132)</f>
        <v>7164</v>
      </c>
      <c r="AQ93" s="96">
        <f t="shared" ref="AQ93" si="370">SUM(AQ94:AQ132)</f>
        <v>6405</v>
      </c>
      <c r="AR93" s="96">
        <f t="shared" ref="AR93" si="371">SUM(AR94:AR132)</f>
        <v>0</v>
      </c>
      <c r="AS93" s="96">
        <f t="shared" ref="AS93" si="372">SUM(AS94:AS132)</f>
        <v>0</v>
      </c>
      <c r="AT93" s="96">
        <f t="shared" ref="AT93" si="373">SUM(AT94:AT132)</f>
        <v>0</v>
      </c>
      <c r="AU93" s="96">
        <f t="shared" ref="AU93" si="374">SUM(AU94:AU132)</f>
        <v>0</v>
      </c>
      <c r="AV93" s="96">
        <f t="shared" ref="AV93" si="375">SUM(AV94:AV132)</f>
        <v>214</v>
      </c>
      <c r="AW93" s="96">
        <f t="shared" ref="AW93" si="376">SUM(AW94:AW132)</f>
        <v>14</v>
      </c>
      <c r="AX93" s="96">
        <f t="shared" ref="AX93" si="377">SUM(AX94:AX132)</f>
        <v>531</v>
      </c>
      <c r="AY93" s="96">
        <f t="shared" ref="AY93" si="378">SUM(AY94:AY132)</f>
        <v>0</v>
      </c>
      <c r="AZ93" s="96">
        <f t="shared" ref="AZ93" si="379">SUM(AZ94:AZ132)</f>
        <v>0</v>
      </c>
      <c r="BA93" s="96">
        <f>SUM(BA94:BA132)</f>
        <v>0</v>
      </c>
      <c r="BB93" s="9">
        <f t="shared" ref="BB93" si="380">SUM(BB94:BB132)</f>
        <v>0</v>
      </c>
      <c r="BC93" s="96">
        <f t="shared" ref="BC93" si="381">SUM(BC94:BC132)</f>
        <v>0</v>
      </c>
      <c r="BD93" s="96">
        <f t="shared" ref="BD93" si="382">SUM(BD94:BD132)</f>
        <v>0</v>
      </c>
      <c r="BE93" s="96">
        <f t="shared" ref="BE93" si="383">SUM(BE94:BE132)</f>
        <v>0</v>
      </c>
      <c r="BF93" s="96">
        <f t="shared" ref="BF93" si="384">SUM(BF94:BF132)</f>
        <v>0</v>
      </c>
      <c r="BG93" s="96">
        <f t="shared" ref="BG93" si="385">SUM(BG94:BG132)</f>
        <v>0</v>
      </c>
      <c r="BH93" s="96">
        <f t="shared" ref="BH93" si="386">SUM(BH94:BH132)</f>
        <v>0</v>
      </c>
      <c r="BI93" s="9">
        <f>SUM(BI94:BI132)</f>
        <v>0</v>
      </c>
      <c r="BJ93" s="310">
        <f t="shared" ref="BJ93" si="387">SUM(BJ94:BJ132)</f>
        <v>-14</v>
      </c>
      <c r="BK93" s="96">
        <f t="shared" ref="BK93" si="388">SUM(BK94:BK132)</f>
        <v>-14</v>
      </c>
      <c r="BL93" s="96">
        <f t="shared" ref="BL93" si="389">SUM(BL94:BL132)</f>
        <v>0</v>
      </c>
      <c r="BM93" s="96">
        <f t="shared" ref="BM93" si="390">SUM(BM94:BM132)</f>
        <v>0</v>
      </c>
      <c r="BN93" s="96">
        <f t="shared" ref="BN93" si="391">SUM(BN94:BN132)</f>
        <v>0</v>
      </c>
      <c r="BO93" s="96">
        <f t="shared" ref="BO93" si="392">SUM(BO94:BO132)</f>
        <v>0</v>
      </c>
      <c r="BP93" s="96">
        <f t="shared" ref="BP93" si="393">SUM(BP94:BP132)</f>
        <v>0</v>
      </c>
      <c r="BQ93" s="96">
        <f t="shared" ref="BQ93" si="394">SUM(BQ94:BQ132)</f>
        <v>0</v>
      </c>
      <c r="BR93" s="96">
        <f t="shared" ref="BR93" si="395">SUM(BR94:BR132)</f>
        <v>0</v>
      </c>
      <c r="BS93" s="96">
        <f t="shared" ref="BS93" si="396">SUM(BS94:BS132)</f>
        <v>-14</v>
      </c>
      <c r="BT93" s="96">
        <f t="shared" ref="BT93" si="397">SUM(BT94:BT132)</f>
        <v>0</v>
      </c>
      <c r="BU93" s="96">
        <f t="shared" ref="BU93" si="398">SUM(BU94:BU132)</f>
        <v>0</v>
      </c>
      <c r="BV93" s="12"/>
      <c r="BW93" s="87"/>
      <c r="BX93" s="24"/>
    </row>
    <row r="94" spans="1:76" ht="23.25" customHeight="1" thickTop="1" x14ac:dyDescent="0.2">
      <c r="A94" s="129">
        <v>90000056357</v>
      </c>
      <c r="B94" s="247" t="s">
        <v>5</v>
      </c>
      <c r="C94" s="285" t="s">
        <v>182</v>
      </c>
      <c r="D94" s="80">
        <f t="shared" ref="D94:D131" si="399">F94+AA94+AN94+BA94+BI94</f>
        <v>708734</v>
      </c>
      <c r="E94" s="295">
        <f t="shared" ref="E94:E131" si="400">G94+AB94+AO94+BB94+BJ94</f>
        <v>710734</v>
      </c>
      <c r="F94" s="164">
        <v>708734</v>
      </c>
      <c r="G94" s="164">
        <f t="shared" ref="G94:G131" si="401">F94+H94</f>
        <v>710734</v>
      </c>
      <c r="H94" s="164">
        <f t="shared" ref="H94:H131" si="402">SUM(I94:Z94)</f>
        <v>2000</v>
      </c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>
        <v>2000</v>
      </c>
      <c r="X94" s="164"/>
      <c r="Y94" s="164"/>
      <c r="Z94" s="164"/>
      <c r="AA94" s="164">
        <v>0</v>
      </c>
      <c r="AB94" s="164">
        <f t="shared" ref="AB94:AB131" si="403">AA94+AC94</f>
        <v>0</v>
      </c>
      <c r="AC94" s="164">
        <f t="shared" ref="AC94:AC131" si="404">SUM(AD94:AM94)</f>
        <v>0</v>
      </c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>
        <v>0</v>
      </c>
      <c r="AO94" s="164">
        <f t="shared" ref="AO94:AO131" si="405">AN94+AP94</f>
        <v>0</v>
      </c>
      <c r="AP94" s="164">
        <f t="shared" ref="AP94:AP131" si="406">SUM(AQ94:AZ94)</f>
        <v>0</v>
      </c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>
        <v>0</v>
      </c>
      <c r="BB94" s="81">
        <f t="shared" ref="BB94:BB131" si="407">BA94+BC94</f>
        <v>0</v>
      </c>
      <c r="BC94" s="98">
        <f t="shared" ref="BC94:BC131" si="408">SUM(BD94:BH94)</f>
        <v>0</v>
      </c>
      <c r="BD94" s="199"/>
      <c r="BE94" s="199"/>
      <c r="BF94" s="199"/>
      <c r="BG94" s="199"/>
      <c r="BH94" s="199"/>
      <c r="BI94" s="163"/>
      <c r="BJ94" s="81">
        <f t="shared" ref="BJ94:BJ131" si="409">BI94+BK94</f>
        <v>0</v>
      </c>
      <c r="BK94" s="81">
        <f t="shared" ref="BK94:BK131" si="410">SUM(BL94:BU94)</f>
        <v>0</v>
      </c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82" t="s">
        <v>461</v>
      </c>
      <c r="BW94" s="85"/>
      <c r="BX94" s="24"/>
    </row>
    <row r="95" spans="1:76" ht="24" x14ac:dyDescent="0.2">
      <c r="A95" s="108"/>
      <c r="B95" s="243"/>
      <c r="C95" s="285" t="s">
        <v>511</v>
      </c>
      <c r="D95" s="80">
        <f t="shared" si="399"/>
        <v>981862</v>
      </c>
      <c r="E95" s="295">
        <f t="shared" si="400"/>
        <v>933844</v>
      </c>
      <c r="F95" s="81">
        <v>981862</v>
      </c>
      <c r="G95" s="81">
        <f t="shared" si="401"/>
        <v>933844</v>
      </c>
      <c r="H95" s="81">
        <f t="shared" si="402"/>
        <v>-48018</v>
      </c>
      <c r="I95" s="81"/>
      <c r="J95" s="81"/>
      <c r="K95" s="81">
        <v>13063</v>
      </c>
      <c r="L95" s="81"/>
      <c r="M95" s="81">
        <v>-8591</v>
      </c>
      <c r="N95" s="81"/>
      <c r="O95" s="81"/>
      <c r="P95" s="81"/>
      <c r="Q95" s="81"/>
      <c r="R95" s="81">
        <v>-2104</v>
      </c>
      <c r="S95" s="81">
        <v>-25689</v>
      </c>
      <c r="T95" s="81"/>
      <c r="U95" s="81">
        <f>-12193-5549</f>
        <v>-17742</v>
      </c>
      <c r="V95" s="81"/>
      <c r="W95" s="81">
        <f>-17677-1057+4221</f>
        <v>-14513</v>
      </c>
      <c r="X95" s="81"/>
      <c r="Y95" s="81">
        <f>7558</f>
        <v>7558</v>
      </c>
      <c r="Z95" s="81"/>
      <c r="AA95" s="81">
        <v>0</v>
      </c>
      <c r="AB95" s="81">
        <f t="shared" si="403"/>
        <v>0</v>
      </c>
      <c r="AC95" s="81">
        <f t="shared" si="404"/>
        <v>0</v>
      </c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>
        <v>0</v>
      </c>
      <c r="AO95" s="81">
        <f t="shared" si="405"/>
        <v>0</v>
      </c>
      <c r="AP95" s="81">
        <f t="shared" si="406"/>
        <v>0</v>
      </c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>
        <v>0</v>
      </c>
      <c r="BB95" s="81">
        <f t="shared" si="407"/>
        <v>0</v>
      </c>
      <c r="BC95" s="98">
        <f t="shared" si="408"/>
        <v>0</v>
      </c>
      <c r="BD95" s="81"/>
      <c r="BE95" s="81"/>
      <c r="BF95" s="81"/>
      <c r="BG95" s="81"/>
      <c r="BH95" s="81"/>
      <c r="BI95" s="81"/>
      <c r="BJ95" s="81">
        <f t="shared" si="409"/>
        <v>0</v>
      </c>
      <c r="BK95" s="81">
        <f t="shared" si="410"/>
        <v>0</v>
      </c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2" t="s">
        <v>334</v>
      </c>
      <c r="BW95" s="85" t="s">
        <v>670</v>
      </c>
      <c r="BX95" s="24"/>
    </row>
    <row r="96" spans="1:76" ht="15" customHeight="1" x14ac:dyDescent="0.2">
      <c r="A96" s="108"/>
      <c r="B96" s="243"/>
      <c r="C96" s="285" t="s">
        <v>239</v>
      </c>
      <c r="D96" s="80">
        <f t="shared" si="399"/>
        <v>30000</v>
      </c>
      <c r="E96" s="295">
        <f t="shared" si="400"/>
        <v>64000</v>
      </c>
      <c r="F96" s="81">
        <v>30000</v>
      </c>
      <c r="G96" s="81">
        <f t="shared" si="401"/>
        <v>64000</v>
      </c>
      <c r="H96" s="81">
        <f t="shared" si="402"/>
        <v>34000</v>
      </c>
      <c r="I96" s="81">
        <v>34000</v>
      </c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>
        <v>0</v>
      </c>
      <c r="AB96" s="81">
        <f t="shared" si="403"/>
        <v>0</v>
      </c>
      <c r="AC96" s="81">
        <f t="shared" si="404"/>
        <v>0</v>
      </c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>
        <v>0</v>
      </c>
      <c r="AO96" s="81">
        <f t="shared" si="405"/>
        <v>0</v>
      </c>
      <c r="AP96" s="81">
        <f t="shared" si="406"/>
        <v>0</v>
      </c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>
        <v>0</v>
      </c>
      <c r="BB96" s="81">
        <f t="shared" si="407"/>
        <v>0</v>
      </c>
      <c r="BC96" s="98">
        <f t="shared" si="408"/>
        <v>0</v>
      </c>
      <c r="BD96" s="81"/>
      <c r="BE96" s="81"/>
      <c r="BF96" s="81"/>
      <c r="BG96" s="81"/>
      <c r="BH96" s="81"/>
      <c r="BI96" s="81"/>
      <c r="BJ96" s="81">
        <f t="shared" si="409"/>
        <v>0</v>
      </c>
      <c r="BK96" s="81">
        <f t="shared" si="410"/>
        <v>0</v>
      </c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2" t="s">
        <v>335</v>
      </c>
      <c r="BW96" s="85" t="s">
        <v>445</v>
      </c>
      <c r="BX96" s="24"/>
    </row>
    <row r="97" spans="1:76" ht="12.75" x14ac:dyDescent="0.2">
      <c r="A97" s="108"/>
      <c r="B97" s="243"/>
      <c r="C97" s="319" t="s">
        <v>471</v>
      </c>
      <c r="D97" s="80">
        <f t="shared" si="399"/>
        <v>986282</v>
      </c>
      <c r="E97" s="295">
        <f t="shared" si="400"/>
        <v>1000141</v>
      </c>
      <c r="F97" s="81">
        <v>986282</v>
      </c>
      <c r="G97" s="81">
        <f t="shared" si="401"/>
        <v>1000141</v>
      </c>
      <c r="H97" s="81">
        <f t="shared" si="402"/>
        <v>13859</v>
      </c>
      <c r="I97" s="81"/>
      <c r="J97" s="81"/>
      <c r="K97" s="81">
        <v>2400</v>
      </c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>
        <f>11459</f>
        <v>11459</v>
      </c>
      <c r="Z97" s="81"/>
      <c r="AA97" s="81">
        <v>0</v>
      </c>
      <c r="AB97" s="81">
        <f t="shared" si="403"/>
        <v>0</v>
      </c>
      <c r="AC97" s="81">
        <f t="shared" si="404"/>
        <v>0</v>
      </c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>
        <v>0</v>
      </c>
      <c r="AO97" s="81">
        <f t="shared" si="405"/>
        <v>0</v>
      </c>
      <c r="AP97" s="81">
        <f t="shared" si="406"/>
        <v>0</v>
      </c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>
        <v>0</v>
      </c>
      <c r="BB97" s="81">
        <f t="shared" si="407"/>
        <v>0</v>
      </c>
      <c r="BC97" s="98">
        <f t="shared" si="408"/>
        <v>0</v>
      </c>
      <c r="BD97" s="81"/>
      <c r="BE97" s="81"/>
      <c r="BF97" s="81"/>
      <c r="BG97" s="81"/>
      <c r="BH97" s="81"/>
      <c r="BI97" s="81"/>
      <c r="BJ97" s="81">
        <f t="shared" si="409"/>
        <v>0</v>
      </c>
      <c r="BK97" s="81">
        <f t="shared" si="410"/>
        <v>0</v>
      </c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2" t="s">
        <v>336</v>
      </c>
      <c r="BW97" s="85" t="s">
        <v>566</v>
      </c>
      <c r="BX97" s="24"/>
    </row>
    <row r="98" spans="1:76" ht="12.75" x14ac:dyDescent="0.2">
      <c r="A98" s="108"/>
      <c r="B98" s="243"/>
      <c r="C98" s="285" t="s">
        <v>261</v>
      </c>
      <c r="D98" s="80">
        <f t="shared" si="399"/>
        <v>174568</v>
      </c>
      <c r="E98" s="295">
        <f t="shared" si="400"/>
        <v>174568</v>
      </c>
      <c r="F98" s="81">
        <v>174568</v>
      </c>
      <c r="G98" s="81">
        <f t="shared" si="401"/>
        <v>174568</v>
      </c>
      <c r="H98" s="81">
        <f t="shared" si="402"/>
        <v>0</v>
      </c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>
        <v>0</v>
      </c>
      <c r="AB98" s="81">
        <f t="shared" si="403"/>
        <v>0</v>
      </c>
      <c r="AC98" s="81">
        <f t="shared" si="404"/>
        <v>0</v>
      </c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>
        <v>0</v>
      </c>
      <c r="AO98" s="81">
        <f t="shared" si="405"/>
        <v>0</v>
      </c>
      <c r="AP98" s="81">
        <f t="shared" si="406"/>
        <v>0</v>
      </c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>
        <v>0</v>
      </c>
      <c r="BB98" s="81">
        <f t="shared" si="407"/>
        <v>0</v>
      </c>
      <c r="BC98" s="98">
        <f t="shared" si="408"/>
        <v>0</v>
      </c>
      <c r="BD98" s="81"/>
      <c r="BE98" s="81"/>
      <c r="BF98" s="81"/>
      <c r="BG98" s="81"/>
      <c r="BH98" s="81"/>
      <c r="BI98" s="81"/>
      <c r="BJ98" s="81">
        <f t="shared" si="409"/>
        <v>0</v>
      </c>
      <c r="BK98" s="81">
        <f t="shared" si="410"/>
        <v>0</v>
      </c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2" t="s">
        <v>337</v>
      </c>
      <c r="BW98" s="85" t="s">
        <v>671</v>
      </c>
      <c r="BX98" s="24"/>
    </row>
    <row r="99" spans="1:76" s="162" customFormat="1" ht="12.75" x14ac:dyDescent="0.2">
      <c r="A99" s="108"/>
      <c r="B99" s="243"/>
      <c r="C99" s="285" t="s">
        <v>219</v>
      </c>
      <c r="D99" s="80">
        <f t="shared" si="399"/>
        <v>696192</v>
      </c>
      <c r="E99" s="295">
        <f t="shared" si="400"/>
        <v>696982</v>
      </c>
      <c r="F99" s="81">
        <v>696192</v>
      </c>
      <c r="G99" s="81">
        <f t="shared" si="401"/>
        <v>696982</v>
      </c>
      <c r="H99" s="81">
        <f t="shared" si="402"/>
        <v>790</v>
      </c>
      <c r="I99" s="81"/>
      <c r="J99" s="81">
        <v>1140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>
        <v>-350</v>
      </c>
      <c r="X99" s="81"/>
      <c r="Y99" s="81"/>
      <c r="Z99" s="81"/>
      <c r="AA99" s="81">
        <v>0</v>
      </c>
      <c r="AB99" s="81">
        <f t="shared" si="403"/>
        <v>0</v>
      </c>
      <c r="AC99" s="81">
        <f t="shared" si="404"/>
        <v>0</v>
      </c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>
        <v>0</v>
      </c>
      <c r="AO99" s="81">
        <f t="shared" si="405"/>
        <v>0</v>
      </c>
      <c r="AP99" s="81">
        <f t="shared" si="406"/>
        <v>0</v>
      </c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>
        <v>0</v>
      </c>
      <c r="BB99" s="81">
        <f t="shared" si="407"/>
        <v>0</v>
      </c>
      <c r="BC99" s="98">
        <f t="shared" si="408"/>
        <v>0</v>
      </c>
      <c r="BD99" s="81"/>
      <c r="BE99" s="81"/>
      <c r="BF99" s="81"/>
      <c r="BG99" s="81"/>
      <c r="BH99" s="81"/>
      <c r="BI99" s="81"/>
      <c r="BJ99" s="81">
        <f t="shared" si="409"/>
        <v>0</v>
      </c>
      <c r="BK99" s="81">
        <f t="shared" si="410"/>
        <v>0</v>
      </c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2" t="s">
        <v>338</v>
      </c>
      <c r="BW99" s="85" t="s">
        <v>448</v>
      </c>
      <c r="BX99" s="24"/>
    </row>
    <row r="100" spans="1:76" s="162" customFormat="1" ht="12.75" x14ac:dyDescent="0.2">
      <c r="A100" s="108"/>
      <c r="B100" s="243"/>
      <c r="C100" s="285" t="s">
        <v>478</v>
      </c>
      <c r="D100" s="80">
        <f t="shared" si="399"/>
        <v>375248</v>
      </c>
      <c r="E100" s="295">
        <f t="shared" si="400"/>
        <v>384218</v>
      </c>
      <c r="F100" s="81">
        <v>375248</v>
      </c>
      <c r="G100" s="81">
        <f t="shared" si="401"/>
        <v>384218</v>
      </c>
      <c r="H100" s="81">
        <f t="shared" si="402"/>
        <v>8970</v>
      </c>
      <c r="I100" s="81"/>
      <c r="J100" s="81">
        <v>2451</v>
      </c>
      <c r="K100" s="81">
        <v>6169</v>
      </c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>
        <v>350</v>
      </c>
      <c r="X100" s="81"/>
      <c r="Y100" s="81"/>
      <c r="Z100" s="81"/>
      <c r="AA100" s="81">
        <v>0</v>
      </c>
      <c r="AB100" s="81">
        <f t="shared" si="403"/>
        <v>0</v>
      </c>
      <c r="AC100" s="81">
        <f t="shared" si="404"/>
        <v>0</v>
      </c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>
        <v>0</v>
      </c>
      <c r="AO100" s="81">
        <f t="shared" si="405"/>
        <v>0</v>
      </c>
      <c r="AP100" s="81">
        <f t="shared" si="406"/>
        <v>0</v>
      </c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>
        <v>0</v>
      </c>
      <c r="BB100" s="81">
        <f t="shared" si="407"/>
        <v>0</v>
      </c>
      <c r="BC100" s="98">
        <f t="shared" si="408"/>
        <v>0</v>
      </c>
      <c r="BD100" s="81"/>
      <c r="BE100" s="81"/>
      <c r="BF100" s="81"/>
      <c r="BG100" s="81"/>
      <c r="BH100" s="81"/>
      <c r="BI100" s="81"/>
      <c r="BJ100" s="81">
        <f t="shared" si="409"/>
        <v>0</v>
      </c>
      <c r="BK100" s="81">
        <f t="shared" si="410"/>
        <v>0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2" t="s">
        <v>483</v>
      </c>
      <c r="BW100" s="85" t="s">
        <v>448</v>
      </c>
      <c r="BX100" s="24"/>
    </row>
    <row r="101" spans="1:76" s="140" customFormat="1" ht="12.75" x14ac:dyDescent="0.2">
      <c r="A101" s="108"/>
      <c r="B101" s="243"/>
      <c r="C101" s="285" t="s">
        <v>459</v>
      </c>
      <c r="D101" s="80">
        <f t="shared" si="399"/>
        <v>7000</v>
      </c>
      <c r="E101" s="295">
        <f t="shared" si="400"/>
        <v>7000</v>
      </c>
      <c r="F101" s="81">
        <v>7000</v>
      </c>
      <c r="G101" s="81">
        <f t="shared" si="401"/>
        <v>7000</v>
      </c>
      <c r="H101" s="81">
        <f t="shared" si="402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>
        <v>0</v>
      </c>
      <c r="AB101" s="81">
        <f t="shared" si="403"/>
        <v>0</v>
      </c>
      <c r="AC101" s="81">
        <f t="shared" si="404"/>
        <v>0</v>
      </c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>
        <v>0</v>
      </c>
      <c r="AO101" s="81">
        <f t="shared" si="405"/>
        <v>0</v>
      </c>
      <c r="AP101" s="81">
        <f t="shared" si="406"/>
        <v>0</v>
      </c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>
        <v>0</v>
      </c>
      <c r="BB101" s="81">
        <f t="shared" si="407"/>
        <v>0</v>
      </c>
      <c r="BC101" s="98">
        <f t="shared" si="408"/>
        <v>0</v>
      </c>
      <c r="BD101" s="81"/>
      <c r="BE101" s="81"/>
      <c r="BF101" s="81"/>
      <c r="BG101" s="81"/>
      <c r="BH101" s="81"/>
      <c r="BI101" s="81"/>
      <c r="BJ101" s="81">
        <f t="shared" si="409"/>
        <v>0</v>
      </c>
      <c r="BK101" s="81">
        <f t="shared" si="410"/>
        <v>0</v>
      </c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2" t="s">
        <v>501</v>
      </c>
      <c r="BW101" s="85" t="s">
        <v>448</v>
      </c>
      <c r="BX101" s="24"/>
    </row>
    <row r="102" spans="1:76" s="162" customFormat="1" ht="24.75" customHeight="1" x14ac:dyDescent="0.2">
      <c r="A102" s="108"/>
      <c r="B102" s="243"/>
      <c r="C102" s="285" t="s">
        <v>259</v>
      </c>
      <c r="D102" s="80">
        <f t="shared" si="399"/>
        <v>304004</v>
      </c>
      <c r="E102" s="295">
        <f t="shared" si="400"/>
        <v>304004</v>
      </c>
      <c r="F102" s="81">
        <v>304004</v>
      </c>
      <c r="G102" s="81">
        <f t="shared" si="401"/>
        <v>304004</v>
      </c>
      <c r="H102" s="81">
        <f t="shared" si="402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>
        <v>0</v>
      </c>
      <c r="AB102" s="81">
        <f t="shared" si="403"/>
        <v>0</v>
      </c>
      <c r="AC102" s="81">
        <f t="shared" si="404"/>
        <v>0</v>
      </c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>
        <v>0</v>
      </c>
      <c r="AO102" s="81">
        <f t="shared" si="405"/>
        <v>0</v>
      </c>
      <c r="AP102" s="81">
        <f t="shared" si="406"/>
        <v>0</v>
      </c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>
        <v>0</v>
      </c>
      <c r="BB102" s="81">
        <f t="shared" si="407"/>
        <v>0</v>
      </c>
      <c r="BC102" s="98">
        <f t="shared" si="408"/>
        <v>0</v>
      </c>
      <c r="BD102" s="81"/>
      <c r="BE102" s="81"/>
      <c r="BF102" s="81"/>
      <c r="BG102" s="81"/>
      <c r="BH102" s="81"/>
      <c r="BI102" s="81"/>
      <c r="BJ102" s="81">
        <f t="shared" si="409"/>
        <v>0</v>
      </c>
      <c r="BK102" s="81">
        <f t="shared" si="410"/>
        <v>0</v>
      </c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2" t="s">
        <v>496</v>
      </c>
      <c r="BW102" s="85" t="s">
        <v>442</v>
      </c>
      <c r="BX102" s="24"/>
    </row>
    <row r="103" spans="1:76" s="162" customFormat="1" ht="24" x14ac:dyDescent="0.2">
      <c r="A103" s="108"/>
      <c r="B103" s="243"/>
      <c r="C103" s="285" t="s">
        <v>255</v>
      </c>
      <c r="D103" s="80">
        <f t="shared" si="399"/>
        <v>91758</v>
      </c>
      <c r="E103" s="295">
        <f t="shared" si="400"/>
        <v>222570</v>
      </c>
      <c r="F103" s="81">
        <v>91758</v>
      </c>
      <c r="G103" s="81">
        <f t="shared" si="401"/>
        <v>222570</v>
      </c>
      <c r="H103" s="81">
        <f t="shared" si="402"/>
        <v>130812</v>
      </c>
      <c r="I103" s="81"/>
      <c r="J103" s="81"/>
      <c r="K103" s="81">
        <v>5107</v>
      </c>
      <c r="L103" s="81">
        <v>-2671</v>
      </c>
      <c r="M103" s="81">
        <v>13785</v>
      </c>
      <c r="N103" s="81"/>
      <c r="O103" s="81"/>
      <c r="P103" s="81"/>
      <c r="Q103" s="81">
        <v>107022</v>
      </c>
      <c r="R103" s="81">
        <v>2104</v>
      </c>
      <c r="S103" s="81">
        <v>2550</v>
      </c>
      <c r="T103" s="81"/>
      <c r="U103" s="81"/>
      <c r="V103" s="81"/>
      <c r="W103" s="81">
        <v>2915</v>
      </c>
      <c r="X103" s="81"/>
      <c r="Y103" s="81"/>
      <c r="Z103" s="81"/>
      <c r="AA103" s="81">
        <v>0</v>
      </c>
      <c r="AB103" s="81">
        <f t="shared" si="403"/>
        <v>0</v>
      </c>
      <c r="AC103" s="81">
        <f t="shared" si="404"/>
        <v>0</v>
      </c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>
        <v>0</v>
      </c>
      <c r="AO103" s="81">
        <f t="shared" si="405"/>
        <v>0</v>
      </c>
      <c r="AP103" s="81">
        <f t="shared" si="406"/>
        <v>0</v>
      </c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>
        <v>0</v>
      </c>
      <c r="BB103" s="81">
        <f t="shared" si="407"/>
        <v>0</v>
      </c>
      <c r="BC103" s="98">
        <f t="shared" si="408"/>
        <v>0</v>
      </c>
      <c r="BD103" s="81"/>
      <c r="BE103" s="81"/>
      <c r="BF103" s="81"/>
      <c r="BG103" s="81"/>
      <c r="BH103" s="81"/>
      <c r="BI103" s="81"/>
      <c r="BJ103" s="81">
        <f t="shared" si="409"/>
        <v>0</v>
      </c>
      <c r="BK103" s="81">
        <f t="shared" si="410"/>
        <v>0</v>
      </c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2" t="s">
        <v>499</v>
      </c>
      <c r="BW103" s="85" t="s">
        <v>672</v>
      </c>
      <c r="BX103" s="24"/>
    </row>
    <row r="104" spans="1:76" s="162" customFormat="1" ht="24" x14ac:dyDescent="0.2">
      <c r="A104" s="108"/>
      <c r="B104" s="243"/>
      <c r="C104" s="285" t="s">
        <v>523</v>
      </c>
      <c r="D104" s="80">
        <f t="shared" si="399"/>
        <v>15161</v>
      </c>
      <c r="E104" s="295">
        <f t="shared" si="400"/>
        <v>15161</v>
      </c>
      <c r="F104" s="81">
        <v>15161</v>
      </c>
      <c r="G104" s="81">
        <f t="shared" si="401"/>
        <v>15161</v>
      </c>
      <c r="H104" s="81">
        <f t="shared" si="402"/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>
        <v>0</v>
      </c>
      <c r="AB104" s="81">
        <f t="shared" si="403"/>
        <v>0</v>
      </c>
      <c r="AC104" s="81">
        <f t="shared" si="404"/>
        <v>0</v>
      </c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>
        <v>0</v>
      </c>
      <c r="AO104" s="81">
        <f t="shared" si="405"/>
        <v>0</v>
      </c>
      <c r="AP104" s="81">
        <f t="shared" si="406"/>
        <v>0</v>
      </c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>
        <v>0</v>
      </c>
      <c r="BB104" s="81">
        <f t="shared" si="407"/>
        <v>0</v>
      </c>
      <c r="BC104" s="98">
        <f t="shared" si="408"/>
        <v>0</v>
      </c>
      <c r="BD104" s="81"/>
      <c r="BE104" s="81"/>
      <c r="BF104" s="81"/>
      <c r="BG104" s="81"/>
      <c r="BH104" s="81"/>
      <c r="BI104" s="81"/>
      <c r="BJ104" s="81">
        <f t="shared" si="409"/>
        <v>0</v>
      </c>
      <c r="BK104" s="81">
        <f t="shared" si="410"/>
        <v>0</v>
      </c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2" t="s">
        <v>708</v>
      </c>
      <c r="BW104" s="85" t="s">
        <v>709</v>
      </c>
      <c r="BX104" s="24"/>
    </row>
    <row r="105" spans="1:76" s="198" customFormat="1" ht="36" x14ac:dyDescent="0.2">
      <c r="A105" s="108"/>
      <c r="B105" s="243"/>
      <c r="C105" s="344" t="s">
        <v>771</v>
      </c>
      <c r="D105" s="80">
        <f t="shared" ref="D105" si="411">F105+AA105+AN105+BA105+BI105</f>
        <v>0</v>
      </c>
      <c r="E105" s="295">
        <f t="shared" ref="E105" si="412">G105+AB105+AO105+BB105+BJ105</f>
        <v>0</v>
      </c>
      <c r="F105" s="81"/>
      <c r="G105" s="81">
        <f t="shared" ref="G105" si="413">F105+H105</f>
        <v>0</v>
      </c>
      <c r="H105" s="81">
        <f t="shared" ref="H105" si="414">SUM(I105:Z105)</f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>
        <f t="shared" ref="AB105" si="415">AA105+AC105</f>
        <v>0</v>
      </c>
      <c r="AC105" s="81">
        <f t="shared" ref="AC105" si="416">SUM(AD105:AM105)</f>
        <v>0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>
        <f t="shared" ref="AO105" si="417">AN105+AP105</f>
        <v>0</v>
      </c>
      <c r="AP105" s="81">
        <f t="shared" ref="AP105" si="418">SUM(AQ105:AZ105)</f>
        <v>0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>
        <f t="shared" ref="BB105" si="419">BA105+BC105</f>
        <v>0</v>
      </c>
      <c r="BC105" s="98">
        <f t="shared" ref="BC105" si="420">SUM(BD105:BH105)</f>
        <v>0</v>
      </c>
      <c r="BD105" s="98"/>
      <c r="BE105" s="98"/>
      <c r="BF105" s="98"/>
      <c r="BG105" s="98"/>
      <c r="BH105" s="98"/>
      <c r="BI105" s="81"/>
      <c r="BJ105" s="81">
        <f t="shared" ref="BJ105" si="421">BI105+BK105</f>
        <v>0</v>
      </c>
      <c r="BK105" s="81">
        <f t="shared" ref="BK105" si="422">SUM(BL105:BU105)</f>
        <v>0</v>
      </c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82" t="s">
        <v>770</v>
      </c>
      <c r="BW105" s="85"/>
      <c r="BX105" s="24"/>
    </row>
    <row r="106" spans="1:76" s="198" customFormat="1" ht="36" x14ac:dyDescent="0.2">
      <c r="A106" s="108"/>
      <c r="B106" s="243"/>
      <c r="C106" s="355" t="s">
        <v>790</v>
      </c>
      <c r="D106" s="80">
        <f t="shared" ref="D106" si="423">F106+AA106+AN106+BA106+BI106</f>
        <v>0</v>
      </c>
      <c r="E106" s="295">
        <f t="shared" ref="E106" si="424">G106+AB106+AO106+BB106+BJ106</f>
        <v>31500</v>
      </c>
      <c r="F106" s="81"/>
      <c r="G106" s="81">
        <f t="shared" ref="G106" si="425">F106+H106</f>
        <v>31500</v>
      </c>
      <c r="H106" s="81">
        <f t="shared" ref="H106" si="426">SUM(I106:Z106)</f>
        <v>31500</v>
      </c>
      <c r="I106" s="81"/>
      <c r="J106" s="81"/>
      <c r="K106" s="81"/>
      <c r="L106" s="81">
        <v>31500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>
        <f t="shared" ref="AB106" si="427">AA106+AC106</f>
        <v>0</v>
      </c>
      <c r="AC106" s="81">
        <f t="shared" ref="AC106" si="428">SUM(AD106:AM106)</f>
        <v>0</v>
      </c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>
        <f t="shared" ref="AO106" si="429">AN106+AP106</f>
        <v>0</v>
      </c>
      <c r="AP106" s="81">
        <f t="shared" ref="AP106" si="430">SUM(AQ106:AZ106)</f>
        <v>0</v>
      </c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>
        <f t="shared" ref="BB106" si="431">BA106+BC106</f>
        <v>0</v>
      </c>
      <c r="BC106" s="98">
        <f t="shared" ref="BC106" si="432">SUM(BD106:BH106)</f>
        <v>0</v>
      </c>
      <c r="BD106" s="98"/>
      <c r="BE106" s="98"/>
      <c r="BF106" s="98"/>
      <c r="BG106" s="98"/>
      <c r="BH106" s="98"/>
      <c r="BI106" s="81"/>
      <c r="BJ106" s="81">
        <f t="shared" ref="BJ106" si="433">BI106+BK106</f>
        <v>0</v>
      </c>
      <c r="BK106" s="81">
        <f t="shared" ref="BK106" si="434">SUM(BL106:BU106)</f>
        <v>0</v>
      </c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82" t="s">
        <v>791</v>
      </c>
      <c r="BW106" s="85"/>
      <c r="BX106" s="24"/>
    </row>
    <row r="107" spans="1:76" s="198" customFormat="1" ht="24.75" customHeight="1" x14ac:dyDescent="0.2">
      <c r="A107" s="108"/>
      <c r="B107" s="243"/>
      <c r="C107" s="378" t="s">
        <v>798</v>
      </c>
      <c r="D107" s="80">
        <f t="shared" ref="D107:D108" si="435">F107+AA107+AN107+BA107+BI107</f>
        <v>0</v>
      </c>
      <c r="E107" s="295">
        <f t="shared" ref="E107:E108" si="436">G107+AB107+AO107+BB107+BJ107</f>
        <v>6598</v>
      </c>
      <c r="F107" s="81"/>
      <c r="G107" s="81">
        <f t="shared" ref="G107:G108" si="437">F107+H107</f>
        <v>6598</v>
      </c>
      <c r="H107" s="81">
        <f t="shared" ref="H107:H108" si="438">SUM(I107:Z107)</f>
        <v>6598</v>
      </c>
      <c r="I107" s="81"/>
      <c r="J107" s="81"/>
      <c r="K107" s="81"/>
      <c r="L107" s="81"/>
      <c r="M107" s="81">
        <v>1357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>
        <v>5241</v>
      </c>
      <c r="X107" s="81"/>
      <c r="Y107" s="81"/>
      <c r="Z107" s="81"/>
      <c r="AA107" s="81"/>
      <c r="AB107" s="81">
        <f t="shared" ref="AB107:AB108" si="439">AA107+AC107</f>
        <v>0</v>
      </c>
      <c r="AC107" s="81">
        <f t="shared" ref="AC107:AC108" si="440">SUM(AD107:AM107)</f>
        <v>0</v>
      </c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>
        <f t="shared" ref="AO107:AO108" si="441">AN107+AP107</f>
        <v>0</v>
      </c>
      <c r="AP107" s="81">
        <f t="shared" ref="AP107:AP108" si="442">SUM(AQ107:AZ107)</f>
        <v>0</v>
      </c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>
        <f t="shared" ref="BB107:BB108" si="443">BA107+BC107</f>
        <v>0</v>
      </c>
      <c r="BC107" s="98">
        <f t="shared" ref="BC107:BC108" si="444">SUM(BD107:BH107)</f>
        <v>0</v>
      </c>
      <c r="BD107" s="98"/>
      <c r="BE107" s="98"/>
      <c r="BF107" s="98"/>
      <c r="BG107" s="98"/>
      <c r="BH107" s="98"/>
      <c r="BI107" s="81"/>
      <c r="BJ107" s="81">
        <f t="shared" ref="BJ107:BJ108" si="445">BI107+BK107</f>
        <v>0</v>
      </c>
      <c r="BK107" s="81">
        <f t="shared" ref="BK107:BK108" si="446">SUM(BL107:BU107)</f>
        <v>0</v>
      </c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82" t="s">
        <v>799</v>
      </c>
      <c r="BW107" s="85" t="s">
        <v>442</v>
      </c>
      <c r="BX107" s="24"/>
    </row>
    <row r="108" spans="1:76" s="198" customFormat="1" ht="15" customHeight="1" x14ac:dyDescent="0.2">
      <c r="A108" s="108"/>
      <c r="B108" s="243"/>
      <c r="C108" s="392" t="s">
        <v>828</v>
      </c>
      <c r="D108" s="80">
        <f t="shared" si="435"/>
        <v>0</v>
      </c>
      <c r="E108" s="295">
        <f t="shared" si="436"/>
        <v>1808662</v>
      </c>
      <c r="F108" s="81"/>
      <c r="G108" s="81">
        <f t="shared" si="437"/>
        <v>1808662</v>
      </c>
      <c r="H108" s="81">
        <f t="shared" si="438"/>
        <v>1808662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>
        <v>1808662</v>
      </c>
      <c r="V108" s="81"/>
      <c r="W108" s="81"/>
      <c r="X108" s="81"/>
      <c r="Y108" s="81"/>
      <c r="Z108" s="81"/>
      <c r="AA108" s="81"/>
      <c r="AB108" s="81">
        <f t="shared" si="439"/>
        <v>0</v>
      </c>
      <c r="AC108" s="81">
        <f t="shared" si="440"/>
        <v>0</v>
      </c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>
        <f t="shared" si="441"/>
        <v>0</v>
      </c>
      <c r="AP108" s="81">
        <f t="shared" si="442"/>
        <v>0</v>
      </c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>
        <f t="shared" si="443"/>
        <v>0</v>
      </c>
      <c r="BC108" s="98">
        <f t="shared" si="444"/>
        <v>0</v>
      </c>
      <c r="BD108" s="98"/>
      <c r="BE108" s="98"/>
      <c r="BF108" s="98"/>
      <c r="BG108" s="98"/>
      <c r="BH108" s="98"/>
      <c r="BI108" s="81"/>
      <c r="BJ108" s="81">
        <f t="shared" si="445"/>
        <v>0</v>
      </c>
      <c r="BK108" s="81">
        <f t="shared" si="446"/>
        <v>0</v>
      </c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82" t="s">
        <v>829</v>
      </c>
      <c r="BW108" s="85"/>
      <c r="BX108" s="24"/>
    </row>
    <row r="109" spans="1:76" ht="24.75" customHeight="1" x14ac:dyDescent="0.2">
      <c r="A109" s="108">
        <v>90000594245</v>
      </c>
      <c r="B109" s="241" t="s">
        <v>524</v>
      </c>
      <c r="C109" s="285" t="s">
        <v>204</v>
      </c>
      <c r="D109" s="80">
        <f t="shared" si="399"/>
        <v>33241</v>
      </c>
      <c r="E109" s="295">
        <f t="shared" si="400"/>
        <v>33241</v>
      </c>
      <c r="F109" s="81">
        <v>33241</v>
      </c>
      <c r="G109" s="81">
        <f t="shared" si="401"/>
        <v>33241</v>
      </c>
      <c r="H109" s="81">
        <f t="shared" si="402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>
        <v>0</v>
      </c>
      <c r="AB109" s="81">
        <f t="shared" si="403"/>
        <v>0</v>
      </c>
      <c r="AC109" s="81">
        <f t="shared" si="404"/>
        <v>0</v>
      </c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>
        <v>0</v>
      </c>
      <c r="AO109" s="81">
        <f t="shared" si="405"/>
        <v>0</v>
      </c>
      <c r="AP109" s="81">
        <f t="shared" si="406"/>
        <v>0</v>
      </c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>
        <v>0</v>
      </c>
      <c r="BB109" s="81">
        <f t="shared" si="407"/>
        <v>0</v>
      </c>
      <c r="BC109" s="98">
        <f t="shared" si="408"/>
        <v>0</v>
      </c>
      <c r="BD109" s="98"/>
      <c r="BE109" s="98"/>
      <c r="BF109" s="98"/>
      <c r="BG109" s="98"/>
      <c r="BH109" s="98"/>
      <c r="BI109" s="81"/>
      <c r="BJ109" s="81">
        <f t="shared" si="409"/>
        <v>0</v>
      </c>
      <c r="BK109" s="81">
        <f t="shared" si="410"/>
        <v>0</v>
      </c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82" t="s">
        <v>352</v>
      </c>
      <c r="BW109" s="85" t="s">
        <v>673</v>
      </c>
      <c r="BX109" s="24"/>
    </row>
    <row r="110" spans="1:76" s="122" customFormat="1" ht="15" customHeight="1" x14ac:dyDescent="0.2">
      <c r="A110" s="108"/>
      <c r="B110" s="242"/>
      <c r="C110" s="285" t="s">
        <v>266</v>
      </c>
      <c r="D110" s="80">
        <f t="shared" si="399"/>
        <v>4850</v>
      </c>
      <c r="E110" s="295">
        <f t="shared" si="400"/>
        <v>4850</v>
      </c>
      <c r="F110" s="81">
        <v>4850</v>
      </c>
      <c r="G110" s="81">
        <f t="shared" si="401"/>
        <v>4850</v>
      </c>
      <c r="H110" s="81">
        <f t="shared" si="402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>
        <v>0</v>
      </c>
      <c r="AB110" s="81">
        <f t="shared" si="403"/>
        <v>0</v>
      </c>
      <c r="AC110" s="81">
        <f t="shared" si="404"/>
        <v>0</v>
      </c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>
        <v>0</v>
      </c>
      <c r="AO110" s="81">
        <f t="shared" si="405"/>
        <v>0</v>
      </c>
      <c r="AP110" s="81">
        <f t="shared" si="406"/>
        <v>0</v>
      </c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>
        <v>0</v>
      </c>
      <c r="BB110" s="81">
        <f t="shared" si="407"/>
        <v>0</v>
      </c>
      <c r="BC110" s="98">
        <f t="shared" si="408"/>
        <v>0</v>
      </c>
      <c r="BD110" s="98"/>
      <c r="BE110" s="98"/>
      <c r="BF110" s="98"/>
      <c r="BG110" s="98"/>
      <c r="BH110" s="98"/>
      <c r="BI110" s="81"/>
      <c r="BJ110" s="81">
        <f t="shared" si="409"/>
        <v>0</v>
      </c>
      <c r="BK110" s="81">
        <f t="shared" si="410"/>
        <v>0</v>
      </c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82" t="s">
        <v>353</v>
      </c>
      <c r="BW110" s="85" t="s">
        <v>673</v>
      </c>
      <c r="BX110" s="24"/>
    </row>
    <row r="111" spans="1:76" s="122" customFormat="1" ht="15" customHeight="1" x14ac:dyDescent="0.2">
      <c r="A111" s="108"/>
      <c r="B111" s="242"/>
      <c r="C111" s="285" t="s">
        <v>267</v>
      </c>
      <c r="D111" s="80">
        <f t="shared" si="399"/>
        <v>11400</v>
      </c>
      <c r="E111" s="295">
        <f t="shared" si="400"/>
        <v>11400</v>
      </c>
      <c r="F111" s="81">
        <v>11400</v>
      </c>
      <c r="G111" s="81">
        <f t="shared" si="401"/>
        <v>11400</v>
      </c>
      <c r="H111" s="81">
        <f t="shared" si="402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>
        <v>0</v>
      </c>
      <c r="AB111" s="81">
        <f t="shared" si="403"/>
        <v>0</v>
      </c>
      <c r="AC111" s="81">
        <f t="shared" si="404"/>
        <v>0</v>
      </c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>
        <v>0</v>
      </c>
      <c r="AO111" s="81">
        <f t="shared" si="405"/>
        <v>0</v>
      </c>
      <c r="AP111" s="81">
        <f t="shared" si="406"/>
        <v>0</v>
      </c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>
        <v>0</v>
      </c>
      <c r="BB111" s="81">
        <f t="shared" si="407"/>
        <v>0</v>
      </c>
      <c r="BC111" s="98">
        <f t="shared" si="408"/>
        <v>0</v>
      </c>
      <c r="BD111" s="98"/>
      <c r="BE111" s="98"/>
      <c r="BF111" s="98"/>
      <c r="BG111" s="98"/>
      <c r="BH111" s="98"/>
      <c r="BI111" s="81"/>
      <c r="BJ111" s="81">
        <f t="shared" si="409"/>
        <v>0</v>
      </c>
      <c r="BK111" s="81">
        <f t="shared" si="410"/>
        <v>0</v>
      </c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82" t="s">
        <v>354</v>
      </c>
      <c r="BW111" s="85" t="s">
        <v>673</v>
      </c>
      <c r="BX111" s="24"/>
    </row>
    <row r="112" spans="1:76" s="122" customFormat="1" ht="15" customHeight="1" x14ac:dyDescent="0.2">
      <c r="A112" s="108"/>
      <c r="B112" s="242"/>
      <c r="C112" s="285" t="s">
        <v>268</v>
      </c>
      <c r="D112" s="80">
        <f t="shared" si="399"/>
        <v>5878</v>
      </c>
      <c r="E112" s="295">
        <f t="shared" si="400"/>
        <v>5478</v>
      </c>
      <c r="F112" s="81">
        <v>5878</v>
      </c>
      <c r="G112" s="81">
        <f t="shared" si="401"/>
        <v>5478</v>
      </c>
      <c r="H112" s="81">
        <f t="shared" si="402"/>
        <v>-400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>
        <v>-400</v>
      </c>
      <c r="X112" s="81"/>
      <c r="Y112" s="81"/>
      <c r="Z112" s="81"/>
      <c r="AA112" s="81">
        <v>0</v>
      </c>
      <c r="AB112" s="81">
        <f t="shared" si="403"/>
        <v>0</v>
      </c>
      <c r="AC112" s="81">
        <f t="shared" si="404"/>
        <v>0</v>
      </c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>
        <v>0</v>
      </c>
      <c r="AO112" s="81">
        <f t="shared" si="405"/>
        <v>0</v>
      </c>
      <c r="AP112" s="81">
        <f t="shared" si="406"/>
        <v>0</v>
      </c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>
        <v>0</v>
      </c>
      <c r="BB112" s="81">
        <f t="shared" si="407"/>
        <v>0</v>
      </c>
      <c r="BC112" s="98">
        <f t="shared" si="408"/>
        <v>0</v>
      </c>
      <c r="BD112" s="98"/>
      <c r="BE112" s="98"/>
      <c r="BF112" s="98"/>
      <c r="BG112" s="98"/>
      <c r="BH112" s="98"/>
      <c r="BI112" s="81"/>
      <c r="BJ112" s="81">
        <f t="shared" si="409"/>
        <v>0</v>
      </c>
      <c r="BK112" s="81">
        <f t="shared" si="410"/>
        <v>0</v>
      </c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82" t="s">
        <v>355</v>
      </c>
      <c r="BW112" s="85" t="s">
        <v>673</v>
      </c>
      <c r="BX112" s="24"/>
    </row>
    <row r="113" spans="1:76" s="122" customFormat="1" ht="15" customHeight="1" x14ac:dyDescent="0.2">
      <c r="A113" s="108"/>
      <c r="B113" s="242"/>
      <c r="C113" s="285" t="s">
        <v>269</v>
      </c>
      <c r="D113" s="80">
        <f t="shared" si="399"/>
        <v>50938</v>
      </c>
      <c r="E113" s="295">
        <f t="shared" si="400"/>
        <v>51338</v>
      </c>
      <c r="F113" s="81">
        <v>50938</v>
      </c>
      <c r="G113" s="81">
        <f t="shared" si="401"/>
        <v>51338</v>
      </c>
      <c r="H113" s="81">
        <f t="shared" si="402"/>
        <v>400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>
        <v>400</v>
      </c>
      <c r="X113" s="81"/>
      <c r="Y113" s="81"/>
      <c r="Z113" s="81"/>
      <c r="AA113" s="81">
        <v>0</v>
      </c>
      <c r="AB113" s="81">
        <f t="shared" si="403"/>
        <v>0</v>
      </c>
      <c r="AC113" s="81">
        <f t="shared" si="404"/>
        <v>0</v>
      </c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>
        <v>0</v>
      </c>
      <c r="AO113" s="81">
        <f t="shared" si="405"/>
        <v>0</v>
      </c>
      <c r="AP113" s="81">
        <f t="shared" si="406"/>
        <v>0</v>
      </c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>
        <v>0</v>
      </c>
      <c r="BB113" s="81">
        <f t="shared" si="407"/>
        <v>0</v>
      </c>
      <c r="BC113" s="98">
        <f t="shared" si="408"/>
        <v>0</v>
      </c>
      <c r="BD113" s="98"/>
      <c r="BE113" s="98"/>
      <c r="BF113" s="98"/>
      <c r="BG113" s="98"/>
      <c r="BH113" s="98"/>
      <c r="BI113" s="81"/>
      <c r="BJ113" s="81">
        <f t="shared" si="409"/>
        <v>0</v>
      </c>
      <c r="BK113" s="81">
        <f t="shared" si="410"/>
        <v>0</v>
      </c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82" t="s">
        <v>356</v>
      </c>
      <c r="BW113" s="85" t="s">
        <v>673</v>
      </c>
      <c r="BX113" s="24"/>
    </row>
    <row r="114" spans="1:76" s="122" customFormat="1" x14ac:dyDescent="0.2">
      <c r="A114" s="108"/>
      <c r="B114" s="242"/>
      <c r="C114" s="285" t="s">
        <v>270</v>
      </c>
      <c r="D114" s="80">
        <f t="shared" si="399"/>
        <v>1500</v>
      </c>
      <c r="E114" s="295">
        <f t="shared" si="400"/>
        <v>1500</v>
      </c>
      <c r="F114" s="81">
        <v>1500</v>
      </c>
      <c r="G114" s="81">
        <f t="shared" si="401"/>
        <v>1500</v>
      </c>
      <c r="H114" s="81">
        <f t="shared" si="402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>
        <v>0</v>
      </c>
      <c r="AB114" s="81">
        <f t="shared" si="403"/>
        <v>0</v>
      </c>
      <c r="AC114" s="81">
        <f t="shared" si="404"/>
        <v>0</v>
      </c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>
        <v>0</v>
      </c>
      <c r="AO114" s="81">
        <f t="shared" si="405"/>
        <v>0</v>
      </c>
      <c r="AP114" s="81">
        <f t="shared" si="406"/>
        <v>0</v>
      </c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>
        <v>0</v>
      </c>
      <c r="BB114" s="81">
        <f t="shared" si="407"/>
        <v>0</v>
      </c>
      <c r="BC114" s="98">
        <f t="shared" si="408"/>
        <v>0</v>
      </c>
      <c r="BD114" s="98"/>
      <c r="BE114" s="98"/>
      <c r="BF114" s="98"/>
      <c r="BG114" s="98"/>
      <c r="BH114" s="98"/>
      <c r="BI114" s="81"/>
      <c r="BJ114" s="81">
        <f t="shared" si="409"/>
        <v>0</v>
      </c>
      <c r="BK114" s="81">
        <f t="shared" si="410"/>
        <v>0</v>
      </c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82" t="s">
        <v>357</v>
      </c>
      <c r="BW114" s="85" t="s">
        <v>673</v>
      </c>
      <c r="BX114" s="24"/>
    </row>
    <row r="115" spans="1:76" s="122" customFormat="1" x14ac:dyDescent="0.2">
      <c r="A115" s="108"/>
      <c r="B115" s="242"/>
      <c r="C115" s="285" t="s">
        <v>271</v>
      </c>
      <c r="D115" s="80">
        <f t="shared" si="399"/>
        <v>2420</v>
      </c>
      <c r="E115" s="295">
        <f t="shared" si="400"/>
        <v>2420</v>
      </c>
      <c r="F115" s="81">
        <v>2420</v>
      </c>
      <c r="G115" s="81">
        <f t="shared" si="401"/>
        <v>2420</v>
      </c>
      <c r="H115" s="81">
        <f t="shared" si="402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>
        <v>0</v>
      </c>
      <c r="AB115" s="81">
        <f t="shared" si="403"/>
        <v>0</v>
      </c>
      <c r="AC115" s="81">
        <f t="shared" si="404"/>
        <v>0</v>
      </c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>
        <v>0</v>
      </c>
      <c r="AO115" s="81">
        <f t="shared" si="405"/>
        <v>0</v>
      </c>
      <c r="AP115" s="81">
        <f t="shared" si="406"/>
        <v>0</v>
      </c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>
        <v>0</v>
      </c>
      <c r="BB115" s="81">
        <f t="shared" si="407"/>
        <v>0</v>
      </c>
      <c r="BC115" s="98">
        <f t="shared" si="408"/>
        <v>0</v>
      </c>
      <c r="BD115" s="98"/>
      <c r="BE115" s="98"/>
      <c r="BF115" s="98"/>
      <c r="BG115" s="98"/>
      <c r="BH115" s="98"/>
      <c r="BI115" s="81"/>
      <c r="BJ115" s="81">
        <f t="shared" si="409"/>
        <v>0</v>
      </c>
      <c r="BK115" s="81">
        <f t="shared" si="410"/>
        <v>0</v>
      </c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82" t="s">
        <v>358</v>
      </c>
      <c r="BW115" s="85" t="s">
        <v>673</v>
      </c>
      <c r="BX115" s="24"/>
    </row>
    <row r="116" spans="1:76" ht="24" customHeight="1" x14ac:dyDescent="0.2">
      <c r="A116" s="108">
        <v>90000056450</v>
      </c>
      <c r="B116" s="241" t="s">
        <v>196</v>
      </c>
      <c r="C116" s="285" t="s">
        <v>450</v>
      </c>
      <c r="D116" s="80">
        <f t="shared" si="399"/>
        <v>842399</v>
      </c>
      <c r="E116" s="295">
        <f t="shared" si="400"/>
        <v>843739</v>
      </c>
      <c r="F116" s="81">
        <v>835752</v>
      </c>
      <c r="G116" s="81">
        <f t="shared" si="401"/>
        <v>836721</v>
      </c>
      <c r="H116" s="81">
        <f t="shared" si="402"/>
        <v>969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>
        <f>196+773</f>
        <v>969</v>
      </c>
      <c r="X116" s="81"/>
      <c r="Y116" s="81"/>
      <c r="Z116" s="81"/>
      <c r="AA116" s="81">
        <v>0</v>
      </c>
      <c r="AB116" s="81">
        <f t="shared" si="403"/>
        <v>0</v>
      </c>
      <c r="AC116" s="81">
        <f t="shared" si="404"/>
        <v>0</v>
      </c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>
        <v>6647</v>
      </c>
      <c r="AO116" s="81">
        <f t="shared" si="405"/>
        <v>7032</v>
      </c>
      <c r="AP116" s="81">
        <f t="shared" si="406"/>
        <v>385</v>
      </c>
      <c r="AQ116" s="81">
        <v>371</v>
      </c>
      <c r="AR116" s="81"/>
      <c r="AS116" s="81"/>
      <c r="AT116" s="81"/>
      <c r="AU116" s="81"/>
      <c r="AV116" s="81"/>
      <c r="AW116" s="81">
        <v>14</v>
      </c>
      <c r="AX116" s="81"/>
      <c r="AY116" s="81"/>
      <c r="AZ116" s="81"/>
      <c r="BA116" s="81">
        <v>0</v>
      </c>
      <c r="BB116" s="81">
        <f t="shared" si="407"/>
        <v>0</v>
      </c>
      <c r="BC116" s="98">
        <f t="shared" si="408"/>
        <v>0</v>
      </c>
      <c r="BD116" s="98"/>
      <c r="BE116" s="98"/>
      <c r="BF116" s="98"/>
      <c r="BG116" s="98"/>
      <c r="BH116" s="98"/>
      <c r="BI116" s="81"/>
      <c r="BJ116" s="81">
        <f t="shared" si="409"/>
        <v>-14</v>
      </c>
      <c r="BK116" s="81">
        <f t="shared" si="410"/>
        <v>-14</v>
      </c>
      <c r="BL116" s="98"/>
      <c r="BM116" s="98"/>
      <c r="BN116" s="98"/>
      <c r="BO116" s="98"/>
      <c r="BP116" s="98"/>
      <c r="BQ116" s="98"/>
      <c r="BR116" s="98"/>
      <c r="BS116" s="98">
        <v>-14</v>
      </c>
      <c r="BT116" s="98"/>
      <c r="BU116" s="98"/>
      <c r="BV116" s="82" t="s">
        <v>359</v>
      </c>
      <c r="BW116" s="85"/>
      <c r="BX116" s="24"/>
    </row>
    <row r="117" spans="1:76" s="198" customFormat="1" x14ac:dyDescent="0.2">
      <c r="A117" s="108"/>
      <c r="B117" s="241"/>
      <c r="C117" s="359" t="s">
        <v>627</v>
      </c>
      <c r="D117" s="80">
        <f t="shared" si="399"/>
        <v>1200</v>
      </c>
      <c r="E117" s="295">
        <f t="shared" si="400"/>
        <v>1200</v>
      </c>
      <c r="F117" s="81">
        <v>1200</v>
      </c>
      <c r="G117" s="81">
        <f t="shared" si="401"/>
        <v>1200</v>
      </c>
      <c r="H117" s="81">
        <f t="shared" si="402"/>
        <v>0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>
        <v>0</v>
      </c>
      <c r="AB117" s="81">
        <f t="shared" si="403"/>
        <v>0</v>
      </c>
      <c r="AC117" s="81">
        <f t="shared" si="404"/>
        <v>0</v>
      </c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>
        <v>0</v>
      </c>
      <c r="AO117" s="81">
        <f t="shared" si="405"/>
        <v>0</v>
      </c>
      <c r="AP117" s="81">
        <f t="shared" si="406"/>
        <v>0</v>
      </c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>
        <v>0</v>
      </c>
      <c r="BB117" s="81">
        <f t="shared" si="407"/>
        <v>0</v>
      </c>
      <c r="BC117" s="98">
        <f t="shared" si="408"/>
        <v>0</v>
      </c>
      <c r="BD117" s="98"/>
      <c r="BE117" s="98"/>
      <c r="BF117" s="98"/>
      <c r="BG117" s="98"/>
      <c r="BH117" s="98"/>
      <c r="BI117" s="81"/>
      <c r="BJ117" s="81">
        <f t="shared" si="409"/>
        <v>0</v>
      </c>
      <c r="BK117" s="81">
        <f t="shared" si="410"/>
        <v>0</v>
      </c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82" t="s">
        <v>669</v>
      </c>
      <c r="BW117" s="85"/>
      <c r="BX117" s="24"/>
    </row>
    <row r="118" spans="1:76" s="198" customFormat="1" x14ac:dyDescent="0.2">
      <c r="A118" s="108"/>
      <c r="B118" s="241"/>
      <c r="C118" s="356" t="s">
        <v>819</v>
      </c>
      <c r="D118" s="80">
        <f t="shared" ref="D118" si="447">F118+AA118+AN118+BA118+BI118</f>
        <v>0</v>
      </c>
      <c r="E118" s="295">
        <f t="shared" ref="E118" si="448">G118+AB118+AO118+BB118+BJ118</f>
        <v>600</v>
      </c>
      <c r="F118" s="163"/>
      <c r="G118" s="81">
        <f t="shared" ref="G118" si="449">F118+H118</f>
        <v>600</v>
      </c>
      <c r="H118" s="81">
        <f t="shared" ref="H118" si="450">SUM(I118:Z118)</f>
        <v>600</v>
      </c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>
        <v>600</v>
      </c>
      <c r="T118" s="163"/>
      <c r="U118" s="163"/>
      <c r="V118" s="163"/>
      <c r="W118" s="163"/>
      <c r="X118" s="163"/>
      <c r="Y118" s="163"/>
      <c r="Z118" s="163"/>
      <c r="AA118" s="163"/>
      <c r="AB118" s="81">
        <f t="shared" ref="AB118" si="451">AA118+AC118</f>
        <v>0</v>
      </c>
      <c r="AC118" s="81">
        <f t="shared" ref="AC118" si="452">SUM(AD118:AM118)</f>
        <v>0</v>
      </c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81">
        <f t="shared" ref="AO118" si="453">AN118+AP118</f>
        <v>0</v>
      </c>
      <c r="AP118" s="81">
        <f t="shared" ref="AP118" si="454">SUM(AQ118:AZ118)</f>
        <v>0</v>
      </c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81">
        <f t="shared" ref="BB118" si="455">BA118+BC118</f>
        <v>0</v>
      </c>
      <c r="BC118" s="98">
        <f t="shared" ref="BC118" si="456">SUM(BD118:BH118)</f>
        <v>0</v>
      </c>
      <c r="BD118" s="199"/>
      <c r="BE118" s="199"/>
      <c r="BF118" s="199"/>
      <c r="BG118" s="199"/>
      <c r="BH118" s="199"/>
      <c r="BI118" s="163"/>
      <c r="BJ118" s="81">
        <f t="shared" ref="BJ118" si="457">BI118+BK118</f>
        <v>0</v>
      </c>
      <c r="BK118" s="81">
        <f t="shared" ref="BK118" si="458">SUM(BL118:BU118)</f>
        <v>0</v>
      </c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220" t="s">
        <v>820</v>
      </c>
      <c r="BW118" s="85"/>
      <c r="BX118" s="24"/>
    </row>
    <row r="119" spans="1:76" ht="24" customHeight="1" x14ac:dyDescent="0.2">
      <c r="A119" s="108">
        <v>90009229680</v>
      </c>
      <c r="B119" s="241" t="s">
        <v>151</v>
      </c>
      <c r="C119" s="356" t="s">
        <v>451</v>
      </c>
      <c r="D119" s="357">
        <f t="shared" si="399"/>
        <v>1010966</v>
      </c>
      <c r="E119" s="358">
        <f t="shared" si="400"/>
        <v>1024737</v>
      </c>
      <c r="F119" s="163">
        <v>982877</v>
      </c>
      <c r="G119" s="163">
        <f t="shared" si="401"/>
        <v>993681</v>
      </c>
      <c r="H119" s="163">
        <f t="shared" si="402"/>
        <v>10804</v>
      </c>
      <c r="I119" s="163"/>
      <c r="J119" s="163"/>
      <c r="K119" s="163"/>
      <c r="L119" s="163"/>
      <c r="M119" s="163">
        <v>10804</v>
      </c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>
        <v>9522</v>
      </c>
      <c r="AB119" s="163">
        <f t="shared" si="403"/>
        <v>10724</v>
      </c>
      <c r="AC119" s="163">
        <f t="shared" si="404"/>
        <v>1202</v>
      </c>
      <c r="AD119" s="163"/>
      <c r="AE119" s="163"/>
      <c r="AF119" s="163"/>
      <c r="AG119" s="163">
        <v>1202</v>
      </c>
      <c r="AH119" s="163"/>
      <c r="AI119" s="163"/>
      <c r="AJ119" s="163"/>
      <c r="AK119" s="163"/>
      <c r="AL119" s="163"/>
      <c r="AM119" s="163"/>
      <c r="AN119" s="163">
        <v>18567</v>
      </c>
      <c r="AO119" s="163">
        <f t="shared" si="405"/>
        <v>20332</v>
      </c>
      <c r="AP119" s="163">
        <f t="shared" si="406"/>
        <v>1765</v>
      </c>
      <c r="AQ119" s="163">
        <v>1551</v>
      </c>
      <c r="AR119" s="163"/>
      <c r="AS119" s="163"/>
      <c r="AT119" s="163"/>
      <c r="AU119" s="163"/>
      <c r="AV119" s="163">
        <v>214</v>
      </c>
      <c r="AW119" s="163"/>
      <c r="AX119" s="163"/>
      <c r="AY119" s="163"/>
      <c r="AZ119" s="163"/>
      <c r="BA119" s="163">
        <v>0</v>
      </c>
      <c r="BB119" s="163">
        <f t="shared" si="407"/>
        <v>0</v>
      </c>
      <c r="BC119" s="199">
        <f t="shared" si="408"/>
        <v>0</v>
      </c>
      <c r="BD119" s="199"/>
      <c r="BE119" s="199"/>
      <c r="BF119" s="199"/>
      <c r="BG119" s="199"/>
      <c r="BH119" s="199"/>
      <c r="BI119" s="163"/>
      <c r="BJ119" s="163">
        <f t="shared" si="409"/>
        <v>0</v>
      </c>
      <c r="BK119" s="163">
        <f t="shared" si="410"/>
        <v>0</v>
      </c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220" t="s">
        <v>360</v>
      </c>
      <c r="BW119" s="85"/>
      <c r="BX119" s="24"/>
    </row>
    <row r="120" spans="1:76" x14ac:dyDescent="0.2">
      <c r="A120" s="108"/>
      <c r="B120" s="242"/>
      <c r="C120" s="285" t="s">
        <v>189</v>
      </c>
      <c r="D120" s="80">
        <f t="shared" si="399"/>
        <v>464128</v>
      </c>
      <c r="E120" s="295">
        <f t="shared" si="400"/>
        <v>538673</v>
      </c>
      <c r="F120" s="81">
        <v>440398</v>
      </c>
      <c r="G120" s="81">
        <f t="shared" si="401"/>
        <v>513808</v>
      </c>
      <c r="H120" s="81">
        <f t="shared" si="402"/>
        <v>73410</v>
      </c>
      <c r="I120" s="81"/>
      <c r="J120" s="81"/>
      <c r="K120" s="81">
        <v>72130</v>
      </c>
      <c r="L120" s="81"/>
      <c r="M120" s="81">
        <v>1280</v>
      </c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>
        <v>0</v>
      </c>
      <c r="AB120" s="81">
        <f t="shared" si="403"/>
        <v>0</v>
      </c>
      <c r="AC120" s="81">
        <f t="shared" si="404"/>
        <v>0</v>
      </c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>
        <v>23730</v>
      </c>
      <c r="AO120" s="81">
        <f t="shared" si="405"/>
        <v>24865</v>
      </c>
      <c r="AP120" s="81">
        <f t="shared" si="406"/>
        <v>1135</v>
      </c>
      <c r="AQ120" s="81">
        <v>1135</v>
      </c>
      <c r="AR120" s="81"/>
      <c r="AS120" s="81"/>
      <c r="AT120" s="81"/>
      <c r="AU120" s="81"/>
      <c r="AV120" s="81"/>
      <c r="AW120" s="81"/>
      <c r="AX120" s="81"/>
      <c r="AY120" s="81"/>
      <c r="AZ120" s="81"/>
      <c r="BA120" s="81">
        <v>0</v>
      </c>
      <c r="BB120" s="81">
        <f t="shared" si="407"/>
        <v>0</v>
      </c>
      <c r="BC120" s="98">
        <f t="shared" si="408"/>
        <v>0</v>
      </c>
      <c r="BD120" s="98"/>
      <c r="BE120" s="98"/>
      <c r="BF120" s="98"/>
      <c r="BG120" s="98"/>
      <c r="BH120" s="98"/>
      <c r="BI120" s="81"/>
      <c r="BJ120" s="81">
        <f t="shared" si="409"/>
        <v>0</v>
      </c>
      <c r="BK120" s="81">
        <f t="shared" si="410"/>
        <v>0</v>
      </c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82" t="s">
        <v>361</v>
      </c>
      <c r="BW120" s="85" t="s">
        <v>444</v>
      </c>
      <c r="BX120" s="24"/>
    </row>
    <row r="121" spans="1:76" ht="12" customHeight="1" x14ac:dyDescent="0.2">
      <c r="A121" s="108">
        <v>90010478153</v>
      </c>
      <c r="B121" s="241" t="s">
        <v>447</v>
      </c>
      <c r="C121" s="354" t="s">
        <v>182</v>
      </c>
      <c r="D121" s="80">
        <f t="shared" si="399"/>
        <v>693059</v>
      </c>
      <c r="E121" s="295">
        <f t="shared" si="400"/>
        <v>693059</v>
      </c>
      <c r="F121" s="81">
        <v>668348</v>
      </c>
      <c r="G121" s="81">
        <f t="shared" si="401"/>
        <v>668348</v>
      </c>
      <c r="H121" s="81">
        <f t="shared" si="402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>
        <v>0</v>
      </c>
      <c r="AB121" s="81">
        <f t="shared" si="403"/>
        <v>0</v>
      </c>
      <c r="AC121" s="81">
        <f t="shared" si="404"/>
        <v>0</v>
      </c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>
        <v>24711</v>
      </c>
      <c r="AO121" s="81">
        <f t="shared" si="405"/>
        <v>24711</v>
      </c>
      <c r="AP121" s="81">
        <f t="shared" si="406"/>
        <v>0</v>
      </c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>
        <v>0</v>
      </c>
      <c r="BB121" s="81">
        <f t="shared" si="407"/>
        <v>0</v>
      </c>
      <c r="BC121" s="98">
        <f t="shared" si="408"/>
        <v>0</v>
      </c>
      <c r="BD121" s="98"/>
      <c r="BE121" s="98"/>
      <c r="BF121" s="98"/>
      <c r="BG121" s="98"/>
      <c r="BH121" s="98"/>
      <c r="BI121" s="81"/>
      <c r="BJ121" s="81">
        <f t="shared" si="409"/>
        <v>0</v>
      </c>
      <c r="BK121" s="81">
        <f t="shared" si="410"/>
        <v>0</v>
      </c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82" t="s">
        <v>362</v>
      </c>
      <c r="BW121" s="85"/>
      <c r="BX121" s="24"/>
    </row>
    <row r="122" spans="1:76" s="130" customFormat="1" x14ac:dyDescent="0.2">
      <c r="A122" s="108"/>
      <c r="B122" s="242"/>
      <c r="C122" s="285" t="s">
        <v>300</v>
      </c>
      <c r="D122" s="80">
        <f t="shared" si="399"/>
        <v>84488</v>
      </c>
      <c r="E122" s="295">
        <f t="shared" si="400"/>
        <v>84488</v>
      </c>
      <c r="F122" s="81">
        <v>55574</v>
      </c>
      <c r="G122" s="81">
        <f t="shared" si="401"/>
        <v>55574</v>
      </c>
      <c r="H122" s="81">
        <f t="shared" si="402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>
        <v>0</v>
      </c>
      <c r="AB122" s="81">
        <f t="shared" si="403"/>
        <v>0</v>
      </c>
      <c r="AC122" s="81">
        <f t="shared" si="404"/>
        <v>0</v>
      </c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>
        <v>28914</v>
      </c>
      <c r="AO122" s="81">
        <f t="shared" si="405"/>
        <v>28914</v>
      </c>
      <c r="AP122" s="81">
        <f t="shared" si="406"/>
        <v>0</v>
      </c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>
        <v>0</v>
      </c>
      <c r="BB122" s="81">
        <f t="shared" si="407"/>
        <v>0</v>
      </c>
      <c r="BC122" s="98">
        <f t="shared" si="408"/>
        <v>0</v>
      </c>
      <c r="BD122" s="98"/>
      <c r="BE122" s="98"/>
      <c r="BF122" s="98"/>
      <c r="BG122" s="98"/>
      <c r="BH122" s="98"/>
      <c r="BI122" s="81"/>
      <c r="BJ122" s="81">
        <f t="shared" si="409"/>
        <v>0</v>
      </c>
      <c r="BK122" s="81">
        <f t="shared" si="410"/>
        <v>0</v>
      </c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82" t="s">
        <v>363</v>
      </c>
      <c r="BW122" s="85"/>
      <c r="BX122" s="24"/>
    </row>
    <row r="123" spans="1:76" s="138" customFormat="1" ht="24" x14ac:dyDescent="0.2">
      <c r="A123" s="108"/>
      <c r="B123" s="242"/>
      <c r="C123" s="285" t="s">
        <v>446</v>
      </c>
      <c r="D123" s="80">
        <f t="shared" si="399"/>
        <v>99050</v>
      </c>
      <c r="E123" s="295">
        <f t="shared" si="400"/>
        <v>100054</v>
      </c>
      <c r="F123" s="81">
        <v>73405</v>
      </c>
      <c r="G123" s="81">
        <f t="shared" si="401"/>
        <v>73405</v>
      </c>
      <c r="H123" s="81">
        <f t="shared" si="402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>
        <v>0</v>
      </c>
      <c r="AB123" s="81">
        <f t="shared" si="403"/>
        <v>0</v>
      </c>
      <c r="AC123" s="81">
        <f t="shared" si="404"/>
        <v>0</v>
      </c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>
        <v>25645</v>
      </c>
      <c r="AO123" s="81">
        <f t="shared" si="405"/>
        <v>26649</v>
      </c>
      <c r="AP123" s="81">
        <f t="shared" si="406"/>
        <v>1004</v>
      </c>
      <c r="AQ123" s="81">
        <v>1004</v>
      </c>
      <c r="AR123" s="81"/>
      <c r="AS123" s="81"/>
      <c r="AT123" s="81"/>
      <c r="AU123" s="81"/>
      <c r="AV123" s="81"/>
      <c r="AW123" s="81"/>
      <c r="AX123" s="81"/>
      <c r="AY123" s="81"/>
      <c r="AZ123" s="81"/>
      <c r="BA123" s="81">
        <v>0</v>
      </c>
      <c r="BB123" s="81">
        <f t="shared" si="407"/>
        <v>0</v>
      </c>
      <c r="BC123" s="98">
        <f t="shared" si="408"/>
        <v>0</v>
      </c>
      <c r="BD123" s="98"/>
      <c r="BE123" s="98"/>
      <c r="BF123" s="98"/>
      <c r="BG123" s="98"/>
      <c r="BH123" s="98"/>
      <c r="BI123" s="81"/>
      <c r="BJ123" s="81">
        <f t="shared" si="409"/>
        <v>0</v>
      </c>
      <c r="BK123" s="81">
        <f t="shared" si="410"/>
        <v>0</v>
      </c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82" t="s">
        <v>364</v>
      </c>
      <c r="BW123" s="85"/>
      <c r="BX123" s="24"/>
    </row>
    <row r="124" spans="1:76" s="130" customFormat="1" x14ac:dyDescent="0.2">
      <c r="A124" s="108"/>
      <c r="B124" s="242"/>
      <c r="C124" s="285" t="s">
        <v>301</v>
      </c>
      <c r="D124" s="80">
        <f t="shared" si="399"/>
        <v>131617</v>
      </c>
      <c r="E124" s="295">
        <f t="shared" si="400"/>
        <v>131617</v>
      </c>
      <c r="F124" s="81">
        <v>74456</v>
      </c>
      <c r="G124" s="81">
        <f t="shared" si="401"/>
        <v>74456</v>
      </c>
      <c r="H124" s="81">
        <f t="shared" si="402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>
        <v>0</v>
      </c>
      <c r="AB124" s="81">
        <f t="shared" si="403"/>
        <v>0</v>
      </c>
      <c r="AC124" s="81">
        <f t="shared" si="404"/>
        <v>0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>
        <v>57161</v>
      </c>
      <c r="AO124" s="81">
        <f t="shared" si="405"/>
        <v>57161</v>
      </c>
      <c r="AP124" s="81">
        <f t="shared" si="406"/>
        <v>0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>
        <v>0</v>
      </c>
      <c r="BB124" s="81">
        <f t="shared" si="407"/>
        <v>0</v>
      </c>
      <c r="BC124" s="98">
        <f t="shared" si="408"/>
        <v>0</v>
      </c>
      <c r="BD124" s="98"/>
      <c r="BE124" s="98"/>
      <c r="BF124" s="98"/>
      <c r="BG124" s="98"/>
      <c r="BH124" s="98"/>
      <c r="BI124" s="81"/>
      <c r="BJ124" s="81">
        <f t="shared" si="409"/>
        <v>0</v>
      </c>
      <c r="BK124" s="81">
        <f t="shared" si="410"/>
        <v>0</v>
      </c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82" t="s">
        <v>365</v>
      </c>
      <c r="BW124" s="85"/>
      <c r="BX124" s="24"/>
    </row>
    <row r="125" spans="1:76" s="130" customFormat="1" x14ac:dyDescent="0.2">
      <c r="A125" s="108"/>
      <c r="B125" s="242"/>
      <c r="C125" s="285" t="s">
        <v>302</v>
      </c>
      <c r="D125" s="80">
        <f t="shared" si="399"/>
        <v>29426</v>
      </c>
      <c r="E125" s="295">
        <f t="shared" si="400"/>
        <v>29426</v>
      </c>
      <c r="F125" s="81">
        <v>12458</v>
      </c>
      <c r="G125" s="81">
        <f t="shared" si="401"/>
        <v>12458</v>
      </c>
      <c r="H125" s="81">
        <f t="shared" si="402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>
        <v>0</v>
      </c>
      <c r="AB125" s="81">
        <f t="shared" si="403"/>
        <v>0</v>
      </c>
      <c r="AC125" s="81">
        <f t="shared" si="404"/>
        <v>0</v>
      </c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>
        <v>16968</v>
      </c>
      <c r="AO125" s="81">
        <f t="shared" si="405"/>
        <v>16968</v>
      </c>
      <c r="AP125" s="81">
        <f t="shared" si="406"/>
        <v>0</v>
      </c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>
        <v>0</v>
      </c>
      <c r="BB125" s="81">
        <f t="shared" si="407"/>
        <v>0</v>
      </c>
      <c r="BC125" s="98">
        <f t="shared" si="408"/>
        <v>0</v>
      </c>
      <c r="BD125" s="98"/>
      <c r="BE125" s="98"/>
      <c r="BF125" s="98"/>
      <c r="BG125" s="98"/>
      <c r="BH125" s="98"/>
      <c r="BI125" s="81"/>
      <c r="BJ125" s="81">
        <f t="shared" si="409"/>
        <v>0</v>
      </c>
      <c r="BK125" s="81">
        <f t="shared" si="410"/>
        <v>0</v>
      </c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82" t="s">
        <v>366</v>
      </c>
      <c r="BW125" s="85"/>
      <c r="BX125" s="24"/>
    </row>
    <row r="126" spans="1:76" s="160" customFormat="1" x14ac:dyDescent="0.2">
      <c r="A126" s="108"/>
      <c r="B126" s="242"/>
      <c r="C126" s="285" t="s">
        <v>477</v>
      </c>
      <c r="D126" s="80">
        <f t="shared" si="399"/>
        <v>30041</v>
      </c>
      <c r="E126" s="295">
        <f t="shared" si="400"/>
        <v>31935</v>
      </c>
      <c r="F126" s="81">
        <v>16434</v>
      </c>
      <c r="G126" s="81">
        <f t="shared" si="401"/>
        <v>16434</v>
      </c>
      <c r="H126" s="81">
        <f t="shared" si="402"/>
        <v>0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>
        <v>0</v>
      </c>
      <c r="AB126" s="81">
        <f t="shared" si="403"/>
        <v>0</v>
      </c>
      <c r="AC126" s="81">
        <f t="shared" si="404"/>
        <v>0</v>
      </c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>
        <v>13607</v>
      </c>
      <c r="AO126" s="81">
        <f t="shared" si="405"/>
        <v>15501</v>
      </c>
      <c r="AP126" s="81">
        <f t="shared" si="406"/>
        <v>1894</v>
      </c>
      <c r="AQ126" s="81">
        <v>1894</v>
      </c>
      <c r="AR126" s="81"/>
      <c r="AS126" s="81"/>
      <c r="AT126" s="81"/>
      <c r="AU126" s="81"/>
      <c r="AV126" s="81"/>
      <c r="AW126" s="81"/>
      <c r="AX126" s="81"/>
      <c r="AY126" s="81"/>
      <c r="AZ126" s="81"/>
      <c r="BA126" s="81">
        <v>0</v>
      </c>
      <c r="BB126" s="81">
        <f t="shared" si="407"/>
        <v>0</v>
      </c>
      <c r="BC126" s="98">
        <f t="shared" si="408"/>
        <v>0</v>
      </c>
      <c r="BD126" s="98"/>
      <c r="BE126" s="98"/>
      <c r="BF126" s="98"/>
      <c r="BG126" s="98"/>
      <c r="BH126" s="98"/>
      <c r="BI126" s="81"/>
      <c r="BJ126" s="81">
        <f t="shared" si="409"/>
        <v>0</v>
      </c>
      <c r="BK126" s="81">
        <f t="shared" si="410"/>
        <v>0</v>
      </c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82" t="s">
        <v>502</v>
      </c>
      <c r="BW126" s="85"/>
      <c r="BX126" s="24"/>
    </row>
    <row r="127" spans="1:76" ht="24" customHeight="1" x14ac:dyDescent="0.2">
      <c r="A127" s="108">
        <v>90000056408</v>
      </c>
      <c r="B127" s="241" t="s">
        <v>16</v>
      </c>
      <c r="C127" s="285" t="s">
        <v>452</v>
      </c>
      <c r="D127" s="80">
        <f t="shared" si="399"/>
        <v>611988</v>
      </c>
      <c r="E127" s="295">
        <f t="shared" si="400"/>
        <v>617524</v>
      </c>
      <c r="F127" s="81">
        <v>592478</v>
      </c>
      <c r="G127" s="81">
        <f t="shared" si="401"/>
        <v>597033</v>
      </c>
      <c r="H127" s="81">
        <f t="shared" si="402"/>
        <v>4555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>
        <v>4555</v>
      </c>
      <c r="X127" s="81"/>
      <c r="Y127" s="81"/>
      <c r="Z127" s="81"/>
      <c r="AA127" s="81">
        <v>0</v>
      </c>
      <c r="AB127" s="81">
        <f t="shared" si="403"/>
        <v>0</v>
      </c>
      <c r="AC127" s="81">
        <f t="shared" si="404"/>
        <v>0</v>
      </c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>
        <v>19510</v>
      </c>
      <c r="AO127" s="81">
        <f t="shared" si="405"/>
        <v>20491</v>
      </c>
      <c r="AP127" s="81">
        <f t="shared" si="406"/>
        <v>981</v>
      </c>
      <c r="AQ127" s="81">
        <v>450</v>
      </c>
      <c r="AR127" s="81"/>
      <c r="AS127" s="81"/>
      <c r="AT127" s="81"/>
      <c r="AU127" s="81"/>
      <c r="AV127" s="81"/>
      <c r="AW127" s="81"/>
      <c r="AX127" s="81">
        <v>531</v>
      </c>
      <c r="AY127" s="81"/>
      <c r="AZ127" s="81"/>
      <c r="BA127" s="81">
        <v>0</v>
      </c>
      <c r="BB127" s="81">
        <f t="shared" si="407"/>
        <v>0</v>
      </c>
      <c r="BC127" s="98">
        <f t="shared" si="408"/>
        <v>0</v>
      </c>
      <c r="BD127" s="98"/>
      <c r="BE127" s="98"/>
      <c r="BF127" s="98"/>
      <c r="BG127" s="98"/>
      <c r="BH127" s="98"/>
      <c r="BI127" s="81"/>
      <c r="BJ127" s="81">
        <f t="shared" si="409"/>
        <v>0</v>
      </c>
      <c r="BK127" s="81">
        <f t="shared" si="410"/>
        <v>0</v>
      </c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82" t="s">
        <v>367</v>
      </c>
      <c r="BW127" s="85"/>
      <c r="BX127" s="24"/>
    </row>
    <row r="128" spans="1:76" ht="12.75" x14ac:dyDescent="0.2">
      <c r="A128" s="108"/>
      <c r="B128" s="243"/>
      <c r="C128" s="285" t="s">
        <v>279</v>
      </c>
      <c r="D128" s="80">
        <f t="shared" si="399"/>
        <v>45176</v>
      </c>
      <c r="E128" s="295">
        <f t="shared" si="400"/>
        <v>46308</v>
      </c>
      <c r="F128" s="81">
        <v>43921</v>
      </c>
      <c r="G128" s="81">
        <f t="shared" si="401"/>
        <v>45053</v>
      </c>
      <c r="H128" s="81">
        <f t="shared" si="402"/>
        <v>1132</v>
      </c>
      <c r="I128" s="81"/>
      <c r="J128" s="81"/>
      <c r="K128" s="81">
        <v>1132</v>
      </c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>
        <v>0</v>
      </c>
      <c r="AB128" s="81">
        <f t="shared" si="403"/>
        <v>0</v>
      </c>
      <c r="AC128" s="81">
        <f t="shared" si="404"/>
        <v>0</v>
      </c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>
        <v>1255</v>
      </c>
      <c r="AO128" s="81">
        <f t="shared" si="405"/>
        <v>1255</v>
      </c>
      <c r="AP128" s="81">
        <f t="shared" si="406"/>
        <v>0</v>
      </c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>
        <v>0</v>
      </c>
      <c r="BB128" s="81">
        <f t="shared" si="407"/>
        <v>0</v>
      </c>
      <c r="BC128" s="98">
        <f t="shared" si="408"/>
        <v>0</v>
      </c>
      <c r="BD128" s="98"/>
      <c r="BE128" s="98"/>
      <c r="BF128" s="98"/>
      <c r="BG128" s="98"/>
      <c r="BH128" s="98"/>
      <c r="BI128" s="81"/>
      <c r="BJ128" s="81">
        <f t="shared" si="409"/>
        <v>0</v>
      </c>
      <c r="BK128" s="81">
        <f t="shared" si="410"/>
        <v>0</v>
      </c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82" t="s">
        <v>551</v>
      </c>
      <c r="BW128" s="85" t="s">
        <v>653</v>
      </c>
      <c r="BX128" s="24"/>
    </row>
    <row r="129" spans="1:76" s="198" customFormat="1" ht="27.75" customHeight="1" x14ac:dyDescent="0.2">
      <c r="A129" s="108"/>
      <c r="B129" s="243"/>
      <c r="C129" s="378" t="s">
        <v>800</v>
      </c>
      <c r="D129" s="80">
        <f t="shared" ref="D129" si="459">F129+AA129+AN129+BA129+BI129</f>
        <v>0</v>
      </c>
      <c r="E129" s="295">
        <f t="shared" ref="E129" si="460">G129+AB129+AO129+BB129+BJ129</f>
        <v>4000</v>
      </c>
      <c r="F129" s="81"/>
      <c r="G129" s="81">
        <f t="shared" ref="G129" si="461">F129+H129</f>
        <v>4000</v>
      </c>
      <c r="H129" s="81">
        <f t="shared" ref="H129" si="462">SUM(I129:Z129)</f>
        <v>4000</v>
      </c>
      <c r="I129" s="81"/>
      <c r="J129" s="81"/>
      <c r="K129" s="81"/>
      <c r="L129" s="81"/>
      <c r="M129" s="81">
        <v>4000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>
        <f t="shared" ref="AB129" si="463">AA129+AC129</f>
        <v>0</v>
      </c>
      <c r="AC129" s="81">
        <f t="shared" ref="AC129" si="464">SUM(AD129:AM129)</f>
        <v>0</v>
      </c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>
        <f t="shared" ref="AO129" si="465">AN129+AP129</f>
        <v>0</v>
      </c>
      <c r="AP129" s="81">
        <f t="shared" ref="AP129" si="466">SUM(AQ129:AZ129)</f>
        <v>0</v>
      </c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>
        <f t="shared" ref="BB129" si="467">BA129+BC129</f>
        <v>0</v>
      </c>
      <c r="BC129" s="98">
        <f t="shared" ref="BC129" si="468">SUM(BD129:BH129)</f>
        <v>0</v>
      </c>
      <c r="BD129" s="98"/>
      <c r="BE129" s="98"/>
      <c r="BF129" s="98"/>
      <c r="BG129" s="98"/>
      <c r="BH129" s="98"/>
      <c r="BI129" s="81"/>
      <c r="BJ129" s="81">
        <f t="shared" ref="BJ129" si="469">BI129+BK129</f>
        <v>0</v>
      </c>
      <c r="BK129" s="81">
        <f t="shared" ref="BK129" si="470">SUM(BL129:BU129)</f>
        <v>0</v>
      </c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82" t="s">
        <v>801</v>
      </c>
      <c r="BW129" s="85"/>
      <c r="BX129" s="24"/>
    </row>
    <row r="130" spans="1:76" s="198" customFormat="1" ht="27.75" customHeight="1" x14ac:dyDescent="0.2">
      <c r="A130" s="108"/>
      <c r="B130" s="243"/>
      <c r="C130" s="378" t="s">
        <v>802</v>
      </c>
      <c r="D130" s="80">
        <f t="shared" ref="D130" si="471">F130+AA130+AN130+BA130+BI130</f>
        <v>0</v>
      </c>
      <c r="E130" s="295">
        <f t="shared" ref="E130" si="472">G130+AB130+AO130+BB130+BJ130</f>
        <v>2423</v>
      </c>
      <c r="F130" s="81"/>
      <c r="G130" s="81">
        <f t="shared" ref="G130" si="473">F130+H130</f>
        <v>2423</v>
      </c>
      <c r="H130" s="81">
        <f t="shared" ref="H130" si="474">SUM(I130:Z130)</f>
        <v>2423</v>
      </c>
      <c r="I130" s="81"/>
      <c r="J130" s="81"/>
      <c r="K130" s="81"/>
      <c r="L130" s="81"/>
      <c r="M130" s="81">
        <v>2423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>
        <f t="shared" ref="AB130" si="475">AA130+AC130</f>
        <v>0</v>
      </c>
      <c r="AC130" s="81">
        <f t="shared" ref="AC130" si="476">SUM(AD130:AM130)</f>
        <v>0</v>
      </c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>
        <f t="shared" ref="AO130" si="477">AN130+AP130</f>
        <v>0</v>
      </c>
      <c r="AP130" s="81">
        <f t="shared" ref="AP130" si="478">SUM(AQ130:AZ130)</f>
        <v>0</v>
      </c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>
        <f t="shared" ref="BB130" si="479">BA130+BC130</f>
        <v>0</v>
      </c>
      <c r="BC130" s="98">
        <f t="shared" ref="BC130" si="480">SUM(BD130:BH130)</f>
        <v>0</v>
      </c>
      <c r="BD130" s="98"/>
      <c r="BE130" s="98"/>
      <c r="BF130" s="98"/>
      <c r="BG130" s="98"/>
      <c r="BH130" s="98"/>
      <c r="BI130" s="81"/>
      <c r="BJ130" s="81">
        <f t="shared" ref="BJ130" si="481">BI130+BK130</f>
        <v>0</v>
      </c>
      <c r="BK130" s="81">
        <f t="shared" ref="BK130" si="482">SUM(BL130:BU130)</f>
        <v>0</v>
      </c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82" t="s">
        <v>803</v>
      </c>
      <c r="BW130" s="85"/>
      <c r="BX130" s="24"/>
    </row>
    <row r="131" spans="1:76" s="13" customFormat="1" ht="28.5" customHeight="1" x14ac:dyDescent="0.2">
      <c r="A131" s="109">
        <v>40003378932</v>
      </c>
      <c r="B131" s="241" t="s">
        <v>303</v>
      </c>
      <c r="C131" s="285" t="s">
        <v>460</v>
      </c>
      <c r="D131" s="80">
        <f t="shared" si="399"/>
        <v>954012</v>
      </c>
      <c r="E131" s="295">
        <f t="shared" si="400"/>
        <v>954012</v>
      </c>
      <c r="F131" s="81">
        <v>954012</v>
      </c>
      <c r="G131" s="81">
        <f t="shared" si="401"/>
        <v>954012</v>
      </c>
      <c r="H131" s="81">
        <f t="shared" si="402"/>
        <v>0</v>
      </c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>
        <v>0</v>
      </c>
      <c r="AB131" s="81">
        <f t="shared" si="403"/>
        <v>0</v>
      </c>
      <c r="AC131" s="81">
        <f t="shared" si="404"/>
        <v>0</v>
      </c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>
        <v>0</v>
      </c>
      <c r="AO131" s="81">
        <f t="shared" si="405"/>
        <v>0</v>
      </c>
      <c r="AP131" s="81">
        <f t="shared" si="406"/>
        <v>0</v>
      </c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>
        <v>0</v>
      </c>
      <c r="BB131" s="81">
        <f t="shared" si="407"/>
        <v>0</v>
      </c>
      <c r="BC131" s="98">
        <f t="shared" si="408"/>
        <v>0</v>
      </c>
      <c r="BD131" s="98"/>
      <c r="BE131" s="98"/>
      <c r="BF131" s="98"/>
      <c r="BG131" s="98"/>
      <c r="BH131" s="98"/>
      <c r="BI131" s="81"/>
      <c r="BJ131" s="81">
        <f t="shared" si="409"/>
        <v>0</v>
      </c>
      <c r="BK131" s="81">
        <f t="shared" si="410"/>
        <v>0</v>
      </c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82" t="s">
        <v>368</v>
      </c>
      <c r="BW131" s="85"/>
      <c r="BX131" s="24"/>
    </row>
    <row r="132" spans="1:76" ht="9" customHeight="1" thickBot="1" x14ac:dyDescent="0.25">
      <c r="A132" s="108"/>
      <c r="B132" s="216"/>
      <c r="C132" s="323"/>
      <c r="D132" s="71"/>
      <c r="E132" s="29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72"/>
      <c r="BC132" s="97"/>
      <c r="BD132" s="97"/>
      <c r="BE132" s="97"/>
      <c r="BF132" s="97"/>
      <c r="BG132" s="97"/>
      <c r="BH132" s="97"/>
      <c r="BI132" s="72"/>
      <c r="BJ132" s="264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73"/>
      <c r="BW132" s="86"/>
      <c r="BX132" s="24"/>
    </row>
    <row r="133" spans="1:76" ht="12.75" thickBot="1" x14ac:dyDescent="0.25">
      <c r="A133" s="215" t="s">
        <v>17</v>
      </c>
      <c r="B133" s="125" t="s">
        <v>18</v>
      </c>
      <c r="C133" s="321"/>
      <c r="D133" s="11">
        <f>SUM(D134:D241)</f>
        <v>30693293</v>
      </c>
      <c r="E133" s="297">
        <f>SUM(E134:E241)</f>
        <v>32555506</v>
      </c>
      <c r="F133" s="9">
        <f>SUM(F134:F241)</f>
        <v>21453964</v>
      </c>
      <c r="G133" s="9">
        <f t="shared" ref="G133:Z133" si="483">SUM(G134:G241)</f>
        <v>22970403</v>
      </c>
      <c r="H133" s="9">
        <f t="shared" si="483"/>
        <v>1516439</v>
      </c>
      <c r="I133" s="9">
        <f t="shared" si="483"/>
        <v>51879</v>
      </c>
      <c r="J133" s="9">
        <f t="shared" ref="J133" si="484">SUM(J134:J241)</f>
        <v>7235</v>
      </c>
      <c r="K133" s="9">
        <f t="shared" si="483"/>
        <v>2695825</v>
      </c>
      <c r="L133" s="9">
        <f t="shared" si="483"/>
        <v>94686</v>
      </c>
      <c r="M133" s="9">
        <f t="shared" si="483"/>
        <v>18020</v>
      </c>
      <c r="N133" s="9">
        <f t="shared" si="483"/>
        <v>2025</v>
      </c>
      <c r="O133" s="9">
        <f t="shared" si="483"/>
        <v>0</v>
      </c>
      <c r="P133" s="9">
        <f t="shared" si="483"/>
        <v>0</v>
      </c>
      <c r="Q133" s="9">
        <f t="shared" si="483"/>
        <v>-119425</v>
      </c>
      <c r="R133" s="9">
        <f t="shared" si="483"/>
        <v>0</v>
      </c>
      <c r="S133" s="9">
        <f t="shared" si="483"/>
        <v>-1492064</v>
      </c>
      <c r="T133" s="9"/>
      <c r="U133" s="9">
        <f t="shared" si="483"/>
        <v>52333</v>
      </c>
      <c r="V133" s="9"/>
      <c r="W133" s="9">
        <f t="shared" si="483"/>
        <v>101208</v>
      </c>
      <c r="X133" s="9">
        <f t="shared" ref="X133" si="485">SUM(X134:X241)</f>
        <v>5100</v>
      </c>
      <c r="Y133" s="9">
        <f t="shared" si="483"/>
        <v>99617</v>
      </c>
      <c r="Z133" s="9">
        <f t="shared" si="483"/>
        <v>0</v>
      </c>
      <c r="AA133" s="9">
        <f>SUM(AA134:AA241)</f>
        <v>8765186</v>
      </c>
      <c r="AB133" s="9">
        <f t="shared" ref="AB133" si="486">SUM(AB134:AB241)</f>
        <v>9054822</v>
      </c>
      <c r="AC133" s="9">
        <f t="shared" ref="AC133" si="487">SUM(AC134:AC241)</f>
        <v>289636</v>
      </c>
      <c r="AD133" s="9">
        <f t="shared" ref="AD133" si="488">SUM(AD134:AD241)</f>
        <v>30354</v>
      </c>
      <c r="AE133" s="9">
        <f t="shared" ref="AE133" si="489">SUM(AE134:AE241)</f>
        <v>195405</v>
      </c>
      <c r="AF133" s="9">
        <f t="shared" ref="AF133" si="490">SUM(AF134:AF241)</f>
        <v>0</v>
      </c>
      <c r="AG133" s="9">
        <f t="shared" ref="AG133" si="491">SUM(AG134:AG241)</f>
        <v>642</v>
      </c>
      <c r="AH133" s="9">
        <f t="shared" ref="AH133" si="492">SUM(AH134:AH241)</f>
        <v>1806</v>
      </c>
      <c r="AI133" s="9">
        <f t="shared" ref="AI133" si="493">SUM(AI134:AI241)</f>
        <v>38122</v>
      </c>
      <c r="AJ133" s="9">
        <f t="shared" ref="AJ133" si="494">SUM(AJ134:AJ241)</f>
        <v>23307</v>
      </c>
      <c r="AK133" s="9">
        <f t="shared" ref="AK133" si="495">SUM(AK134:AK241)</f>
        <v>0</v>
      </c>
      <c r="AL133" s="9">
        <f t="shared" ref="AL133" si="496">SUM(AL134:AL241)</f>
        <v>0</v>
      </c>
      <c r="AM133" s="9">
        <f t="shared" ref="AM133" si="497">SUM(AM134:AM241)</f>
        <v>0</v>
      </c>
      <c r="AN133" s="9">
        <f>SUM(AN134:AN241)</f>
        <v>494147</v>
      </c>
      <c r="AO133" s="96">
        <f t="shared" ref="AO133" si="498">SUM(AO134:AO241)</f>
        <v>556752</v>
      </c>
      <c r="AP133" s="96">
        <f t="shared" ref="AP133" si="499">SUM(AP134:AP241)</f>
        <v>62605</v>
      </c>
      <c r="AQ133" s="96">
        <f t="shared" ref="AQ133" si="500">SUM(AQ134:AQ241)</f>
        <v>52108</v>
      </c>
      <c r="AR133" s="96">
        <f t="shared" ref="AR133" si="501">SUM(AR134:AR241)</f>
        <v>0</v>
      </c>
      <c r="AS133" s="96">
        <f t="shared" ref="AS133" si="502">SUM(AS134:AS241)</f>
        <v>0</v>
      </c>
      <c r="AT133" s="96">
        <f t="shared" ref="AT133" si="503">SUM(AT134:AT241)</f>
        <v>0</v>
      </c>
      <c r="AU133" s="96">
        <f t="shared" ref="AU133" si="504">SUM(AU134:AU241)</f>
        <v>100</v>
      </c>
      <c r="AV133" s="96">
        <f t="shared" ref="AV133" si="505">SUM(AV134:AV241)</f>
        <v>0</v>
      </c>
      <c r="AW133" s="96">
        <f t="shared" ref="AW133" si="506">SUM(AW134:AW241)</f>
        <v>8922</v>
      </c>
      <c r="AX133" s="96">
        <f t="shared" ref="AX133" si="507">SUM(AX134:AX241)</f>
        <v>1475</v>
      </c>
      <c r="AY133" s="96">
        <f t="shared" ref="AY133" si="508">SUM(AY134:AY241)</f>
        <v>0</v>
      </c>
      <c r="AZ133" s="96">
        <f t="shared" ref="AZ133" si="509">SUM(AZ134:AZ241)</f>
        <v>0</v>
      </c>
      <c r="BA133" s="96">
        <f>SUM(BA134:BA241)</f>
        <v>0</v>
      </c>
      <c r="BB133" s="9">
        <f t="shared" ref="BB133" si="510">SUM(BB134:BB241)</f>
        <v>31</v>
      </c>
      <c r="BC133" s="96">
        <f t="shared" ref="BC133" si="511">SUM(BC134:BC241)</f>
        <v>31</v>
      </c>
      <c r="BD133" s="96">
        <f t="shared" ref="BD133" si="512">SUM(BD134:BD241)</f>
        <v>31</v>
      </c>
      <c r="BE133" s="96">
        <f t="shared" ref="BE133" si="513">SUM(BE134:BE241)</f>
        <v>0</v>
      </c>
      <c r="BF133" s="96">
        <f t="shared" ref="BF133" si="514">SUM(BF134:BF241)</f>
        <v>0</v>
      </c>
      <c r="BG133" s="96">
        <f t="shared" ref="BG133" si="515">SUM(BG134:BG241)</f>
        <v>0</v>
      </c>
      <c r="BH133" s="96">
        <f t="shared" ref="BH133" si="516">SUM(BH134:BH241)</f>
        <v>0</v>
      </c>
      <c r="BI133" s="9">
        <f>SUM(BI134:BI241)</f>
        <v>-20004</v>
      </c>
      <c r="BJ133" s="310">
        <f t="shared" ref="BJ133" si="517">SUM(BJ134:BJ241)</f>
        <v>-26502</v>
      </c>
      <c r="BK133" s="96">
        <f t="shared" ref="BK133" si="518">SUM(BK134:BK241)</f>
        <v>-6498</v>
      </c>
      <c r="BL133" s="96">
        <f t="shared" ref="BL133" si="519">SUM(BL134:BL241)</f>
        <v>0</v>
      </c>
      <c r="BM133" s="96">
        <f t="shared" ref="BM133" si="520">SUM(BM134:BM241)</f>
        <v>-6449</v>
      </c>
      <c r="BN133" s="96">
        <f t="shared" ref="BN133" si="521">SUM(BN134:BN241)</f>
        <v>0</v>
      </c>
      <c r="BO133" s="96">
        <f t="shared" ref="BO133" si="522">SUM(BO134:BO241)</f>
        <v>0</v>
      </c>
      <c r="BP133" s="96">
        <f t="shared" ref="BP133" si="523">SUM(BP134:BP241)</f>
        <v>0</v>
      </c>
      <c r="BQ133" s="96">
        <f t="shared" ref="BQ133" si="524">SUM(BQ134:BQ241)</f>
        <v>0</v>
      </c>
      <c r="BR133" s="96">
        <f t="shared" ref="BR133" si="525">SUM(BR134:BR241)</f>
        <v>0</v>
      </c>
      <c r="BS133" s="96">
        <f t="shared" ref="BS133" si="526">SUM(BS134:BS241)</f>
        <v>-49</v>
      </c>
      <c r="BT133" s="96">
        <f t="shared" ref="BT133" si="527">SUM(BT134:BT241)</f>
        <v>0</v>
      </c>
      <c r="BU133" s="96">
        <f t="shared" ref="BU133" si="528">SUM(BU134:BU241)</f>
        <v>0</v>
      </c>
      <c r="BV133" s="12"/>
      <c r="BW133" s="87"/>
      <c r="BX133" s="24"/>
    </row>
    <row r="134" spans="1:76" ht="12.75" customHeight="1" thickTop="1" x14ac:dyDescent="0.2">
      <c r="A134" s="108">
        <v>90000056357</v>
      </c>
      <c r="B134" s="247" t="s">
        <v>5</v>
      </c>
      <c r="C134" s="324" t="s">
        <v>182</v>
      </c>
      <c r="D134" s="80">
        <f t="shared" ref="D134:D208" si="529">F134+AA134+AN134+BA134+BI134</f>
        <v>313321</v>
      </c>
      <c r="E134" s="295">
        <f t="shared" ref="E134:E208" si="530">G134+AB134+AO134+BB134+BJ134</f>
        <v>332821</v>
      </c>
      <c r="F134" s="164">
        <v>313321</v>
      </c>
      <c r="G134" s="164">
        <f t="shared" ref="G134:G208" si="531">F134+H134</f>
        <v>332821</v>
      </c>
      <c r="H134" s="164">
        <f t="shared" ref="H134:H208" si="532">SUM(I134:Z134)</f>
        <v>19500</v>
      </c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>
        <v>5000</v>
      </c>
      <c r="T134" s="164"/>
      <c r="U134" s="164"/>
      <c r="V134" s="164"/>
      <c r="W134" s="164">
        <v>14500</v>
      </c>
      <c r="X134" s="164"/>
      <c r="Y134" s="164"/>
      <c r="Z134" s="164"/>
      <c r="AA134" s="164">
        <v>0</v>
      </c>
      <c r="AB134" s="164">
        <f t="shared" ref="AB134:AB208" si="533">AA134+AC134</f>
        <v>0</v>
      </c>
      <c r="AC134" s="164">
        <f t="shared" ref="AC134:AC208" si="534">SUM(AD134:AM134)</f>
        <v>0</v>
      </c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>
        <v>0</v>
      </c>
      <c r="AO134" s="164">
        <f t="shared" ref="AO134:AO208" si="535">AN134+AP134</f>
        <v>0</v>
      </c>
      <c r="AP134" s="164">
        <f t="shared" ref="AP134:AP208" si="536">SUM(AQ134:AZ134)</f>
        <v>0</v>
      </c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>
        <v>0</v>
      </c>
      <c r="BB134" s="81">
        <f t="shared" ref="BB134:BB208" si="537">BA134+BC134</f>
        <v>0</v>
      </c>
      <c r="BC134" s="98">
        <f t="shared" ref="BC134:BC208" si="538">SUM(BD134:BH134)</f>
        <v>0</v>
      </c>
      <c r="BD134" s="305"/>
      <c r="BE134" s="305"/>
      <c r="BF134" s="305"/>
      <c r="BG134" s="305"/>
      <c r="BH134" s="305"/>
      <c r="BI134" s="164"/>
      <c r="BJ134" s="81">
        <f t="shared" ref="BJ134:BJ208" si="539">BI134+BK134</f>
        <v>0</v>
      </c>
      <c r="BK134" s="81">
        <f t="shared" ref="BK134:BK208" si="540">SUM(BL134:BU134)</f>
        <v>0</v>
      </c>
      <c r="BL134" s="305"/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205" t="s">
        <v>339</v>
      </c>
      <c r="BW134" s="206"/>
      <c r="BX134" s="24"/>
    </row>
    <row r="135" spans="1:76" s="162" customFormat="1" ht="15.75" customHeight="1" x14ac:dyDescent="0.2">
      <c r="A135" s="108"/>
      <c r="B135" s="244"/>
      <c r="C135" s="285" t="s">
        <v>217</v>
      </c>
      <c r="D135" s="80">
        <f t="shared" si="529"/>
        <v>8323</v>
      </c>
      <c r="E135" s="295">
        <f t="shared" si="530"/>
        <v>8323</v>
      </c>
      <c r="F135" s="81">
        <v>8323</v>
      </c>
      <c r="G135" s="81">
        <f t="shared" si="531"/>
        <v>8323</v>
      </c>
      <c r="H135" s="81">
        <f t="shared" si="532"/>
        <v>0</v>
      </c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>
        <v>0</v>
      </c>
      <c r="AB135" s="81">
        <f t="shared" si="533"/>
        <v>0</v>
      </c>
      <c r="AC135" s="81">
        <f t="shared" si="534"/>
        <v>0</v>
      </c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>
        <v>0</v>
      </c>
      <c r="AO135" s="81">
        <f t="shared" si="535"/>
        <v>0</v>
      </c>
      <c r="AP135" s="81">
        <f t="shared" si="536"/>
        <v>0</v>
      </c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>
        <v>0</v>
      </c>
      <c r="BB135" s="81">
        <f t="shared" si="537"/>
        <v>0</v>
      </c>
      <c r="BC135" s="98">
        <f t="shared" si="538"/>
        <v>0</v>
      </c>
      <c r="BD135" s="199"/>
      <c r="BE135" s="199"/>
      <c r="BF135" s="199"/>
      <c r="BG135" s="199"/>
      <c r="BH135" s="199"/>
      <c r="BI135" s="163"/>
      <c r="BJ135" s="81">
        <f t="shared" si="539"/>
        <v>0</v>
      </c>
      <c r="BK135" s="81">
        <f t="shared" si="540"/>
        <v>0</v>
      </c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220" t="s">
        <v>340</v>
      </c>
      <c r="BW135" s="85" t="s">
        <v>684</v>
      </c>
      <c r="BX135" s="24"/>
    </row>
    <row r="136" spans="1:76" ht="24" x14ac:dyDescent="0.2">
      <c r="A136" s="108"/>
      <c r="B136" s="244"/>
      <c r="C136" s="285" t="s">
        <v>238</v>
      </c>
      <c r="D136" s="80">
        <f t="shared" si="529"/>
        <v>250000</v>
      </c>
      <c r="E136" s="295">
        <f t="shared" si="530"/>
        <v>250000</v>
      </c>
      <c r="F136" s="81">
        <v>250000</v>
      </c>
      <c r="G136" s="81">
        <f t="shared" si="531"/>
        <v>250000</v>
      </c>
      <c r="H136" s="81">
        <f t="shared" si="532"/>
        <v>0</v>
      </c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>
        <v>0</v>
      </c>
      <c r="AB136" s="81">
        <f t="shared" si="533"/>
        <v>0</v>
      </c>
      <c r="AC136" s="81">
        <f t="shared" si="534"/>
        <v>0</v>
      </c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>
        <v>0</v>
      </c>
      <c r="AO136" s="81">
        <f t="shared" si="535"/>
        <v>0</v>
      </c>
      <c r="AP136" s="81">
        <f t="shared" si="536"/>
        <v>0</v>
      </c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>
        <v>0</v>
      </c>
      <c r="BB136" s="81">
        <f t="shared" si="537"/>
        <v>0</v>
      </c>
      <c r="BC136" s="98">
        <f t="shared" si="538"/>
        <v>0</v>
      </c>
      <c r="BD136" s="81"/>
      <c r="BE136" s="81"/>
      <c r="BF136" s="81"/>
      <c r="BG136" s="81"/>
      <c r="BH136" s="81"/>
      <c r="BI136" s="81"/>
      <c r="BJ136" s="81">
        <f t="shared" si="539"/>
        <v>0</v>
      </c>
      <c r="BK136" s="81">
        <f t="shared" si="540"/>
        <v>0</v>
      </c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220" t="s">
        <v>341</v>
      </c>
      <c r="BW136" s="200" t="s">
        <v>567</v>
      </c>
      <c r="BX136" s="24"/>
    </row>
    <row r="137" spans="1:76" s="161" customFormat="1" ht="14.25" customHeight="1" x14ac:dyDescent="0.2">
      <c r="A137" s="108"/>
      <c r="B137" s="244"/>
      <c r="C137" s="285" t="s">
        <v>479</v>
      </c>
      <c r="D137" s="80">
        <f t="shared" si="529"/>
        <v>160000</v>
      </c>
      <c r="E137" s="295">
        <f t="shared" si="530"/>
        <v>215134</v>
      </c>
      <c r="F137" s="81">
        <v>160000</v>
      </c>
      <c r="G137" s="81">
        <f t="shared" si="531"/>
        <v>215134</v>
      </c>
      <c r="H137" s="81">
        <f t="shared" si="532"/>
        <v>55134</v>
      </c>
      <c r="I137" s="81"/>
      <c r="J137" s="81"/>
      <c r="K137" s="81">
        <v>55134</v>
      </c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>
        <v>0</v>
      </c>
      <c r="AB137" s="81">
        <f t="shared" si="533"/>
        <v>0</v>
      </c>
      <c r="AC137" s="81">
        <f t="shared" si="534"/>
        <v>0</v>
      </c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>
        <v>0</v>
      </c>
      <c r="AO137" s="81">
        <f t="shared" si="535"/>
        <v>0</v>
      </c>
      <c r="AP137" s="81">
        <f t="shared" si="536"/>
        <v>0</v>
      </c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>
        <v>0</v>
      </c>
      <c r="BB137" s="81">
        <f t="shared" si="537"/>
        <v>0</v>
      </c>
      <c r="BC137" s="98">
        <f t="shared" si="538"/>
        <v>0</v>
      </c>
      <c r="BD137" s="81"/>
      <c r="BE137" s="81"/>
      <c r="BF137" s="81"/>
      <c r="BG137" s="81"/>
      <c r="BH137" s="81"/>
      <c r="BI137" s="81"/>
      <c r="BJ137" s="81">
        <f t="shared" si="539"/>
        <v>0</v>
      </c>
      <c r="BK137" s="81">
        <f t="shared" si="540"/>
        <v>0</v>
      </c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220" t="s">
        <v>342</v>
      </c>
      <c r="BW137" s="85" t="s">
        <v>684</v>
      </c>
      <c r="BX137" s="24"/>
    </row>
    <row r="138" spans="1:76" s="161" customFormat="1" x14ac:dyDescent="0.2">
      <c r="A138" s="108"/>
      <c r="B138" s="244"/>
      <c r="C138" s="319" t="s">
        <v>480</v>
      </c>
      <c r="D138" s="80">
        <f t="shared" si="529"/>
        <v>38543</v>
      </c>
      <c r="E138" s="295">
        <f t="shared" si="530"/>
        <v>70567</v>
      </c>
      <c r="F138" s="163">
        <v>38543</v>
      </c>
      <c r="G138" s="163">
        <f t="shared" si="531"/>
        <v>70567</v>
      </c>
      <c r="H138" s="163">
        <f t="shared" si="532"/>
        <v>32024</v>
      </c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>
        <v>32024</v>
      </c>
      <c r="X138" s="163"/>
      <c r="Y138" s="163"/>
      <c r="Z138" s="163"/>
      <c r="AA138" s="163">
        <v>0</v>
      </c>
      <c r="AB138" s="163">
        <f t="shared" si="533"/>
        <v>0</v>
      </c>
      <c r="AC138" s="163">
        <f t="shared" si="534"/>
        <v>0</v>
      </c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>
        <v>0</v>
      </c>
      <c r="AO138" s="163">
        <f t="shared" si="535"/>
        <v>0</v>
      </c>
      <c r="AP138" s="163">
        <f t="shared" si="536"/>
        <v>0</v>
      </c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>
        <v>0</v>
      </c>
      <c r="BB138" s="81">
        <f t="shared" si="537"/>
        <v>0</v>
      </c>
      <c r="BC138" s="98">
        <f t="shared" si="538"/>
        <v>0</v>
      </c>
      <c r="BD138" s="199"/>
      <c r="BE138" s="199"/>
      <c r="BF138" s="199"/>
      <c r="BG138" s="199"/>
      <c r="BH138" s="199"/>
      <c r="BI138" s="163"/>
      <c r="BJ138" s="81">
        <f t="shared" si="539"/>
        <v>0</v>
      </c>
      <c r="BK138" s="81">
        <f t="shared" si="540"/>
        <v>0</v>
      </c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220" t="s">
        <v>343</v>
      </c>
      <c r="BW138" s="85" t="s">
        <v>684</v>
      </c>
      <c r="BX138" s="24"/>
    </row>
    <row r="139" spans="1:76" s="161" customFormat="1" x14ac:dyDescent="0.2">
      <c r="A139" s="108"/>
      <c r="B139" s="244"/>
      <c r="C139" s="285" t="s">
        <v>219</v>
      </c>
      <c r="D139" s="80">
        <f t="shared" si="529"/>
        <v>15520</v>
      </c>
      <c r="E139" s="295">
        <f t="shared" si="530"/>
        <v>17264</v>
      </c>
      <c r="F139" s="163">
        <v>15520</v>
      </c>
      <c r="G139" s="163">
        <f t="shared" si="531"/>
        <v>17264</v>
      </c>
      <c r="H139" s="163">
        <f t="shared" si="532"/>
        <v>1744</v>
      </c>
      <c r="I139" s="163"/>
      <c r="J139" s="163"/>
      <c r="K139" s="163"/>
      <c r="L139" s="163"/>
      <c r="M139" s="163"/>
      <c r="N139" s="163"/>
      <c r="O139" s="163"/>
      <c r="P139" s="163">
        <v>544</v>
      </c>
      <c r="Q139" s="163"/>
      <c r="R139" s="163"/>
      <c r="S139" s="163"/>
      <c r="T139" s="163"/>
      <c r="U139" s="163"/>
      <c r="V139" s="163"/>
      <c r="W139" s="163">
        <v>1200</v>
      </c>
      <c r="X139" s="163"/>
      <c r="Y139" s="163"/>
      <c r="Z139" s="163"/>
      <c r="AA139" s="163">
        <v>0</v>
      </c>
      <c r="AB139" s="163">
        <f t="shared" si="533"/>
        <v>0</v>
      </c>
      <c r="AC139" s="163">
        <f t="shared" si="534"/>
        <v>0</v>
      </c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>
        <v>0</v>
      </c>
      <c r="AO139" s="163">
        <f t="shared" si="535"/>
        <v>0</v>
      </c>
      <c r="AP139" s="163">
        <f t="shared" si="536"/>
        <v>0</v>
      </c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>
        <v>0</v>
      </c>
      <c r="BB139" s="81">
        <f t="shared" si="537"/>
        <v>0</v>
      </c>
      <c r="BC139" s="98">
        <f t="shared" si="538"/>
        <v>0</v>
      </c>
      <c r="BD139" s="199"/>
      <c r="BE139" s="199"/>
      <c r="BF139" s="199"/>
      <c r="BG139" s="199"/>
      <c r="BH139" s="199"/>
      <c r="BI139" s="163"/>
      <c r="BJ139" s="81">
        <f t="shared" si="539"/>
        <v>0</v>
      </c>
      <c r="BK139" s="81">
        <f t="shared" si="540"/>
        <v>0</v>
      </c>
      <c r="BL139" s="199"/>
      <c r="BM139" s="199"/>
      <c r="BN139" s="199"/>
      <c r="BO139" s="199"/>
      <c r="BP139" s="199"/>
      <c r="BQ139" s="199"/>
      <c r="BR139" s="199"/>
      <c r="BS139" s="199"/>
      <c r="BT139" s="199"/>
      <c r="BU139" s="199"/>
      <c r="BV139" s="220" t="s">
        <v>484</v>
      </c>
      <c r="BW139" s="85" t="s">
        <v>684</v>
      </c>
      <c r="BX139" s="24"/>
    </row>
    <row r="140" spans="1:76" s="161" customFormat="1" ht="24" x14ac:dyDescent="0.2">
      <c r="A140" s="108"/>
      <c r="B140" s="244"/>
      <c r="C140" s="285" t="s">
        <v>506</v>
      </c>
      <c r="D140" s="80">
        <f t="shared" si="529"/>
        <v>140490</v>
      </c>
      <c r="E140" s="295">
        <f t="shared" si="530"/>
        <v>139887</v>
      </c>
      <c r="F140" s="163">
        <v>140490</v>
      </c>
      <c r="G140" s="163">
        <f t="shared" si="531"/>
        <v>139887</v>
      </c>
      <c r="H140" s="163">
        <f t="shared" si="532"/>
        <v>-603</v>
      </c>
      <c r="I140" s="163"/>
      <c r="J140" s="163"/>
      <c r="K140" s="163"/>
      <c r="L140" s="163"/>
      <c r="M140" s="163"/>
      <c r="N140" s="163"/>
      <c r="O140" s="163"/>
      <c r="P140" s="163">
        <v>-544</v>
      </c>
      <c r="Q140" s="163"/>
      <c r="R140" s="163"/>
      <c r="S140" s="163"/>
      <c r="T140" s="163"/>
      <c r="U140" s="163"/>
      <c r="V140" s="163"/>
      <c r="W140" s="163">
        <v>-59</v>
      </c>
      <c r="X140" s="163"/>
      <c r="Y140" s="163"/>
      <c r="Z140" s="163"/>
      <c r="AA140" s="163">
        <v>0</v>
      </c>
      <c r="AB140" s="163">
        <f t="shared" si="533"/>
        <v>0</v>
      </c>
      <c r="AC140" s="163">
        <f t="shared" si="534"/>
        <v>0</v>
      </c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>
        <v>0</v>
      </c>
      <c r="AO140" s="163">
        <f t="shared" si="535"/>
        <v>0</v>
      </c>
      <c r="AP140" s="163">
        <f t="shared" si="536"/>
        <v>0</v>
      </c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>
        <v>0</v>
      </c>
      <c r="BB140" s="81">
        <f t="shared" si="537"/>
        <v>0</v>
      </c>
      <c r="BC140" s="98">
        <f t="shared" si="538"/>
        <v>0</v>
      </c>
      <c r="BD140" s="199"/>
      <c r="BE140" s="199"/>
      <c r="BF140" s="199"/>
      <c r="BG140" s="199"/>
      <c r="BH140" s="199"/>
      <c r="BI140" s="163"/>
      <c r="BJ140" s="81">
        <f t="shared" si="539"/>
        <v>0</v>
      </c>
      <c r="BK140" s="81">
        <f t="shared" si="540"/>
        <v>0</v>
      </c>
      <c r="BL140" s="199"/>
      <c r="BM140" s="199"/>
      <c r="BN140" s="199"/>
      <c r="BO140" s="199"/>
      <c r="BP140" s="199"/>
      <c r="BQ140" s="199"/>
      <c r="BR140" s="199"/>
      <c r="BS140" s="199"/>
      <c r="BT140" s="199"/>
      <c r="BU140" s="199"/>
      <c r="BV140" s="220" t="s">
        <v>485</v>
      </c>
      <c r="BW140" s="85" t="s">
        <v>684</v>
      </c>
      <c r="BX140" s="24"/>
    </row>
    <row r="141" spans="1:76" s="162" customFormat="1" ht="24" x14ac:dyDescent="0.2">
      <c r="A141" s="108"/>
      <c r="B141" s="244"/>
      <c r="C141" s="326" t="s">
        <v>256</v>
      </c>
      <c r="D141" s="80">
        <f t="shared" si="529"/>
        <v>1944678</v>
      </c>
      <c r="E141" s="295">
        <f t="shared" si="530"/>
        <v>426068</v>
      </c>
      <c r="F141" s="81">
        <v>1944678</v>
      </c>
      <c r="G141" s="81">
        <f t="shared" si="531"/>
        <v>426068</v>
      </c>
      <c r="H141" s="81">
        <f t="shared" si="532"/>
        <v>-1518610</v>
      </c>
      <c r="I141" s="81"/>
      <c r="J141" s="81"/>
      <c r="K141" s="81"/>
      <c r="L141" s="81"/>
      <c r="M141" s="81">
        <f>12541+14158</f>
        <v>26699</v>
      </c>
      <c r="N141" s="81"/>
      <c r="O141" s="81"/>
      <c r="P141" s="81"/>
      <c r="Q141" s="81"/>
      <c r="R141" s="81"/>
      <c r="S141" s="81">
        <v>-1596300</v>
      </c>
      <c r="T141" s="81"/>
      <c r="U141" s="81"/>
      <c r="V141" s="81"/>
      <c r="W141" s="81">
        <v>4826</v>
      </c>
      <c r="X141" s="81">
        <f>5100</f>
        <v>5100</v>
      </c>
      <c r="Y141" s="81">
        <f>41065</f>
        <v>41065</v>
      </c>
      <c r="Z141" s="81"/>
      <c r="AA141" s="81">
        <v>0</v>
      </c>
      <c r="AB141" s="81">
        <f t="shared" si="533"/>
        <v>0</v>
      </c>
      <c r="AC141" s="81">
        <f t="shared" si="534"/>
        <v>0</v>
      </c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>
        <v>0</v>
      </c>
      <c r="AO141" s="81">
        <f t="shared" si="535"/>
        <v>0</v>
      </c>
      <c r="AP141" s="81">
        <f t="shared" si="536"/>
        <v>0</v>
      </c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>
        <v>0</v>
      </c>
      <c r="BB141" s="81">
        <f t="shared" si="537"/>
        <v>0</v>
      </c>
      <c r="BC141" s="98">
        <f t="shared" si="538"/>
        <v>0</v>
      </c>
      <c r="BD141" s="81"/>
      <c r="BE141" s="81"/>
      <c r="BF141" s="81"/>
      <c r="BG141" s="81"/>
      <c r="BH141" s="81"/>
      <c r="BI141" s="81"/>
      <c r="BJ141" s="81">
        <f t="shared" si="539"/>
        <v>0</v>
      </c>
      <c r="BK141" s="81">
        <f t="shared" si="540"/>
        <v>0</v>
      </c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220" t="s">
        <v>674</v>
      </c>
      <c r="BW141" s="200" t="s">
        <v>672</v>
      </c>
      <c r="BX141" s="24"/>
    </row>
    <row r="142" spans="1:76" s="162" customFormat="1" ht="24" x14ac:dyDescent="0.2">
      <c r="A142" s="108"/>
      <c r="B142" s="244"/>
      <c r="C142" s="285" t="s">
        <v>257</v>
      </c>
      <c r="D142" s="80">
        <f t="shared" si="529"/>
        <v>1347428</v>
      </c>
      <c r="E142" s="295">
        <f t="shared" si="530"/>
        <v>725525</v>
      </c>
      <c r="F142" s="81">
        <v>1347428</v>
      </c>
      <c r="G142" s="81">
        <f t="shared" si="531"/>
        <v>725525</v>
      </c>
      <c r="H142" s="81">
        <f t="shared" si="532"/>
        <v>-621903</v>
      </c>
      <c r="I142" s="81"/>
      <c r="J142" s="81"/>
      <c r="K142" s="81">
        <f>3582-112869</f>
        <v>-109287</v>
      </c>
      <c r="L142" s="81"/>
      <c r="M142" s="81">
        <v>-5567</v>
      </c>
      <c r="N142" s="81"/>
      <c r="O142" s="81"/>
      <c r="P142" s="81"/>
      <c r="Q142" s="81"/>
      <c r="R142" s="81"/>
      <c r="S142" s="81">
        <f>-169645-300000-90000</f>
        <v>-559645</v>
      </c>
      <c r="T142" s="81"/>
      <c r="U142" s="81">
        <f>5549+27844</f>
        <v>33393</v>
      </c>
      <c r="V142" s="81"/>
      <c r="W142" s="81">
        <v>-1277</v>
      </c>
      <c r="X142" s="81"/>
      <c r="Y142" s="81">
        <f>20480</f>
        <v>20480</v>
      </c>
      <c r="Z142" s="81"/>
      <c r="AA142" s="81">
        <v>0</v>
      </c>
      <c r="AB142" s="81">
        <f t="shared" si="533"/>
        <v>0</v>
      </c>
      <c r="AC142" s="81">
        <f t="shared" si="534"/>
        <v>0</v>
      </c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>
        <v>0</v>
      </c>
      <c r="AO142" s="81">
        <f t="shared" si="535"/>
        <v>0</v>
      </c>
      <c r="AP142" s="81">
        <f t="shared" si="536"/>
        <v>0</v>
      </c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>
        <v>0</v>
      </c>
      <c r="BB142" s="81">
        <f t="shared" si="537"/>
        <v>0</v>
      </c>
      <c r="BC142" s="98">
        <f t="shared" si="538"/>
        <v>0</v>
      </c>
      <c r="BD142" s="81"/>
      <c r="BE142" s="81"/>
      <c r="BF142" s="81"/>
      <c r="BG142" s="81"/>
      <c r="BH142" s="81"/>
      <c r="BI142" s="81"/>
      <c r="BJ142" s="81">
        <f t="shared" si="539"/>
        <v>0</v>
      </c>
      <c r="BK142" s="81">
        <f t="shared" si="540"/>
        <v>0</v>
      </c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220" t="s">
        <v>561</v>
      </c>
      <c r="BW142" s="200" t="s">
        <v>672</v>
      </c>
      <c r="BX142" s="24"/>
    </row>
    <row r="143" spans="1:76" ht="24" x14ac:dyDescent="0.2">
      <c r="A143" s="108"/>
      <c r="B143" s="242"/>
      <c r="C143" s="285" t="s">
        <v>258</v>
      </c>
      <c r="D143" s="80">
        <f t="shared" si="529"/>
        <v>29206</v>
      </c>
      <c r="E143" s="295">
        <f t="shared" si="530"/>
        <v>36441</v>
      </c>
      <c r="F143" s="163">
        <v>29206</v>
      </c>
      <c r="G143" s="163">
        <f t="shared" si="531"/>
        <v>36441</v>
      </c>
      <c r="H143" s="163">
        <f t="shared" si="532"/>
        <v>7235</v>
      </c>
      <c r="I143" s="163"/>
      <c r="J143" s="163">
        <v>7235</v>
      </c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>
        <v>0</v>
      </c>
      <c r="AB143" s="163">
        <f t="shared" si="533"/>
        <v>0</v>
      </c>
      <c r="AC143" s="163">
        <f t="shared" si="534"/>
        <v>0</v>
      </c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>
        <v>0</v>
      </c>
      <c r="AO143" s="163">
        <f t="shared" si="535"/>
        <v>0</v>
      </c>
      <c r="AP143" s="163">
        <f t="shared" si="536"/>
        <v>0</v>
      </c>
      <c r="AQ143" s="163"/>
      <c r="AR143" s="163"/>
      <c r="AS143" s="163"/>
      <c r="AT143" s="163"/>
      <c r="AU143" s="163"/>
      <c r="AV143" s="163"/>
      <c r="AW143" s="163"/>
      <c r="AX143" s="163"/>
      <c r="AY143" s="163"/>
      <c r="AZ143" s="163"/>
      <c r="BA143" s="163">
        <v>0</v>
      </c>
      <c r="BB143" s="81">
        <f t="shared" si="537"/>
        <v>0</v>
      </c>
      <c r="BC143" s="98">
        <f t="shared" si="538"/>
        <v>0</v>
      </c>
      <c r="BD143" s="199"/>
      <c r="BE143" s="199"/>
      <c r="BF143" s="199"/>
      <c r="BG143" s="199"/>
      <c r="BH143" s="199"/>
      <c r="BI143" s="81"/>
      <c r="BJ143" s="81">
        <f t="shared" si="539"/>
        <v>0</v>
      </c>
      <c r="BK143" s="81">
        <f t="shared" si="540"/>
        <v>0</v>
      </c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82" t="s">
        <v>675</v>
      </c>
      <c r="BW143" s="200" t="s">
        <v>442</v>
      </c>
      <c r="BX143" s="24"/>
    </row>
    <row r="144" spans="1:76" s="193" customFormat="1" ht="24" x14ac:dyDescent="0.2">
      <c r="A144" s="108"/>
      <c r="B144" s="242"/>
      <c r="C144" s="285" t="s">
        <v>543</v>
      </c>
      <c r="D144" s="80">
        <f t="shared" si="529"/>
        <v>14993</v>
      </c>
      <c r="E144" s="295">
        <f t="shared" si="530"/>
        <v>22793</v>
      </c>
      <c r="F144" s="163">
        <v>34272</v>
      </c>
      <c r="G144" s="163">
        <f t="shared" si="531"/>
        <v>48522</v>
      </c>
      <c r="H144" s="163">
        <f t="shared" si="532"/>
        <v>14250</v>
      </c>
      <c r="I144" s="163"/>
      <c r="J144" s="163"/>
      <c r="K144" s="163">
        <v>14250</v>
      </c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>
        <v>0</v>
      </c>
      <c r="AB144" s="163">
        <f t="shared" si="533"/>
        <v>0</v>
      </c>
      <c r="AC144" s="163">
        <f t="shared" si="534"/>
        <v>0</v>
      </c>
      <c r="AD144" s="163"/>
      <c r="AE144" s="163"/>
      <c r="AF144" s="163"/>
      <c r="AG144" s="163"/>
      <c r="AH144" s="163"/>
      <c r="AI144" s="163"/>
      <c r="AJ144" s="163"/>
      <c r="AK144" s="163"/>
      <c r="AL144" s="163"/>
      <c r="AM144" s="163"/>
      <c r="AN144" s="163">
        <v>0</v>
      </c>
      <c r="AO144" s="163">
        <f t="shared" si="535"/>
        <v>0</v>
      </c>
      <c r="AP144" s="163">
        <f t="shared" si="536"/>
        <v>0</v>
      </c>
      <c r="AQ144" s="163"/>
      <c r="AR144" s="163"/>
      <c r="AS144" s="163"/>
      <c r="AT144" s="163"/>
      <c r="AU144" s="163"/>
      <c r="AV144" s="163"/>
      <c r="AW144" s="163"/>
      <c r="AX144" s="163"/>
      <c r="AY144" s="163"/>
      <c r="AZ144" s="163"/>
      <c r="BA144" s="163">
        <v>0</v>
      </c>
      <c r="BB144" s="81">
        <f t="shared" si="537"/>
        <v>0</v>
      </c>
      <c r="BC144" s="98">
        <f t="shared" si="538"/>
        <v>0</v>
      </c>
      <c r="BD144" s="199"/>
      <c r="BE144" s="199"/>
      <c r="BF144" s="199"/>
      <c r="BG144" s="199"/>
      <c r="BH144" s="199"/>
      <c r="BI144" s="81">
        <v>-19279</v>
      </c>
      <c r="BJ144" s="81">
        <f t="shared" si="539"/>
        <v>-25729</v>
      </c>
      <c r="BK144" s="81">
        <f t="shared" si="540"/>
        <v>-6450</v>
      </c>
      <c r="BL144" s="199"/>
      <c r="BM144" s="199">
        <v>-6450</v>
      </c>
      <c r="BN144" s="199"/>
      <c r="BO144" s="199"/>
      <c r="BP144" s="199"/>
      <c r="BQ144" s="199"/>
      <c r="BR144" s="199"/>
      <c r="BS144" s="199"/>
      <c r="BT144" s="199"/>
      <c r="BU144" s="199"/>
      <c r="BV144" s="82" t="s">
        <v>562</v>
      </c>
      <c r="BW144" s="200"/>
      <c r="BX144" s="24"/>
    </row>
    <row r="145" spans="1:76" s="193" customFormat="1" ht="24" x14ac:dyDescent="0.2">
      <c r="A145" s="108"/>
      <c r="B145" s="242"/>
      <c r="C145" s="285" t="s">
        <v>544</v>
      </c>
      <c r="D145" s="80">
        <f t="shared" si="529"/>
        <v>167259</v>
      </c>
      <c r="E145" s="295">
        <f t="shared" si="530"/>
        <v>236145</v>
      </c>
      <c r="F145" s="163">
        <v>167259</v>
      </c>
      <c r="G145" s="163">
        <f t="shared" si="531"/>
        <v>236145</v>
      </c>
      <c r="H145" s="163">
        <f t="shared" si="532"/>
        <v>68886</v>
      </c>
      <c r="I145" s="163"/>
      <c r="J145" s="163"/>
      <c r="K145" s="163">
        <v>8047</v>
      </c>
      <c r="L145" s="163"/>
      <c r="M145" s="163"/>
      <c r="N145" s="163"/>
      <c r="O145" s="163"/>
      <c r="P145" s="163"/>
      <c r="Q145" s="163"/>
      <c r="R145" s="163"/>
      <c r="S145" s="163">
        <v>60839</v>
      </c>
      <c r="T145" s="163"/>
      <c r="U145" s="163"/>
      <c r="V145" s="163"/>
      <c r="W145" s="163"/>
      <c r="X145" s="163"/>
      <c r="Y145" s="163"/>
      <c r="Z145" s="163"/>
      <c r="AA145" s="163">
        <v>0</v>
      </c>
      <c r="AB145" s="163">
        <f t="shared" si="533"/>
        <v>0</v>
      </c>
      <c r="AC145" s="163">
        <f t="shared" si="534"/>
        <v>0</v>
      </c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>
        <v>0</v>
      </c>
      <c r="AO145" s="163">
        <f t="shared" si="535"/>
        <v>0</v>
      </c>
      <c r="AP145" s="163">
        <f t="shared" si="536"/>
        <v>0</v>
      </c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>
        <v>0</v>
      </c>
      <c r="BB145" s="81">
        <f t="shared" si="537"/>
        <v>0</v>
      </c>
      <c r="BC145" s="98">
        <f t="shared" si="538"/>
        <v>0</v>
      </c>
      <c r="BD145" s="199"/>
      <c r="BE145" s="199"/>
      <c r="BF145" s="199"/>
      <c r="BG145" s="199"/>
      <c r="BH145" s="199"/>
      <c r="BI145" s="81"/>
      <c r="BJ145" s="81">
        <f t="shared" si="539"/>
        <v>0</v>
      </c>
      <c r="BK145" s="81">
        <f t="shared" si="540"/>
        <v>0</v>
      </c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82" t="s">
        <v>563</v>
      </c>
      <c r="BW145" s="200"/>
      <c r="BX145" s="24"/>
    </row>
    <row r="146" spans="1:76" s="198" customFormat="1" x14ac:dyDescent="0.2">
      <c r="A146" s="108"/>
      <c r="B146" s="242"/>
      <c r="C146" s="285" t="s">
        <v>628</v>
      </c>
      <c r="D146" s="80">
        <f t="shared" si="529"/>
        <v>1715</v>
      </c>
      <c r="E146" s="295">
        <f t="shared" si="530"/>
        <v>1715</v>
      </c>
      <c r="F146" s="163">
        <v>1715</v>
      </c>
      <c r="G146" s="163">
        <f t="shared" si="531"/>
        <v>1715</v>
      </c>
      <c r="H146" s="163">
        <f t="shared" si="532"/>
        <v>0</v>
      </c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>
        <v>0</v>
      </c>
      <c r="AB146" s="163">
        <f t="shared" si="533"/>
        <v>0</v>
      </c>
      <c r="AC146" s="163">
        <f t="shared" si="534"/>
        <v>0</v>
      </c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>
        <v>0</v>
      </c>
      <c r="AO146" s="163">
        <f t="shared" si="535"/>
        <v>0</v>
      </c>
      <c r="AP146" s="163">
        <f t="shared" si="536"/>
        <v>0</v>
      </c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>
        <v>0</v>
      </c>
      <c r="BB146" s="81">
        <f t="shared" si="537"/>
        <v>0</v>
      </c>
      <c r="BC146" s="98">
        <f t="shared" si="538"/>
        <v>0</v>
      </c>
      <c r="BD146" s="199"/>
      <c r="BE146" s="199"/>
      <c r="BF146" s="199"/>
      <c r="BG146" s="199"/>
      <c r="BH146" s="199"/>
      <c r="BI146" s="81"/>
      <c r="BJ146" s="81">
        <f t="shared" si="539"/>
        <v>0</v>
      </c>
      <c r="BK146" s="81">
        <f t="shared" si="540"/>
        <v>0</v>
      </c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82" t="s">
        <v>676</v>
      </c>
      <c r="BW146" s="200"/>
      <c r="BX146" s="24"/>
    </row>
    <row r="147" spans="1:76" s="198" customFormat="1" ht="36" x14ac:dyDescent="0.2">
      <c r="A147" s="108"/>
      <c r="B147" s="242"/>
      <c r="C147" s="285" t="s">
        <v>629</v>
      </c>
      <c r="D147" s="80">
        <f t="shared" si="529"/>
        <v>1076321</v>
      </c>
      <c r="E147" s="295">
        <f t="shared" si="530"/>
        <v>1080375</v>
      </c>
      <c r="F147" s="163">
        <v>1076321</v>
      </c>
      <c r="G147" s="163">
        <f t="shared" si="531"/>
        <v>1080375</v>
      </c>
      <c r="H147" s="163">
        <f t="shared" si="532"/>
        <v>4054</v>
      </c>
      <c r="I147" s="163"/>
      <c r="J147" s="163"/>
      <c r="K147" s="163">
        <v>9361</v>
      </c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>
        <v>-5307</v>
      </c>
      <c r="Z147" s="163"/>
      <c r="AA147" s="163">
        <v>0</v>
      </c>
      <c r="AB147" s="163">
        <f t="shared" si="533"/>
        <v>0</v>
      </c>
      <c r="AC147" s="163">
        <f t="shared" si="534"/>
        <v>0</v>
      </c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>
        <v>0</v>
      </c>
      <c r="AO147" s="163">
        <f t="shared" si="535"/>
        <v>0</v>
      </c>
      <c r="AP147" s="163">
        <f t="shared" si="536"/>
        <v>0</v>
      </c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>
        <v>0</v>
      </c>
      <c r="BB147" s="81">
        <f t="shared" si="537"/>
        <v>0</v>
      </c>
      <c r="BC147" s="98">
        <f t="shared" si="538"/>
        <v>0</v>
      </c>
      <c r="BD147" s="199"/>
      <c r="BE147" s="199"/>
      <c r="BF147" s="199"/>
      <c r="BG147" s="199"/>
      <c r="BH147" s="199"/>
      <c r="BI147" s="81"/>
      <c r="BJ147" s="81">
        <f t="shared" si="539"/>
        <v>0</v>
      </c>
      <c r="BK147" s="81">
        <f t="shared" si="540"/>
        <v>0</v>
      </c>
      <c r="BL147" s="199"/>
      <c r="BM147" s="199"/>
      <c r="BN147" s="199"/>
      <c r="BO147" s="199"/>
      <c r="BP147" s="199"/>
      <c r="BQ147" s="199"/>
      <c r="BR147" s="199"/>
      <c r="BS147" s="199"/>
      <c r="BT147" s="199"/>
      <c r="BU147" s="199"/>
      <c r="BV147" s="82" t="s">
        <v>677</v>
      </c>
      <c r="BW147" s="200"/>
      <c r="BX147" s="24"/>
    </row>
    <row r="148" spans="1:76" s="198" customFormat="1" ht="36" x14ac:dyDescent="0.2">
      <c r="A148" s="108"/>
      <c r="B148" s="242"/>
      <c r="C148" s="285" t="s">
        <v>630</v>
      </c>
      <c r="D148" s="80">
        <f t="shared" si="529"/>
        <v>162981</v>
      </c>
      <c r="E148" s="295">
        <f t="shared" si="530"/>
        <v>168042</v>
      </c>
      <c r="F148" s="163">
        <v>162981</v>
      </c>
      <c r="G148" s="163">
        <f t="shared" si="531"/>
        <v>168042</v>
      </c>
      <c r="H148" s="163">
        <f t="shared" si="532"/>
        <v>5061</v>
      </c>
      <c r="I148" s="163"/>
      <c r="J148" s="163"/>
      <c r="K148" s="163">
        <v>5061</v>
      </c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>
        <v>0</v>
      </c>
      <c r="AB148" s="163">
        <f t="shared" si="533"/>
        <v>0</v>
      </c>
      <c r="AC148" s="163">
        <f t="shared" si="534"/>
        <v>0</v>
      </c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  <c r="AN148" s="163">
        <v>0</v>
      </c>
      <c r="AO148" s="163">
        <f t="shared" si="535"/>
        <v>0</v>
      </c>
      <c r="AP148" s="163">
        <f t="shared" si="536"/>
        <v>0</v>
      </c>
      <c r="AQ148" s="163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>
        <v>0</v>
      </c>
      <c r="BB148" s="81">
        <f t="shared" si="537"/>
        <v>0</v>
      </c>
      <c r="BC148" s="98">
        <f t="shared" si="538"/>
        <v>0</v>
      </c>
      <c r="BD148" s="199"/>
      <c r="BE148" s="199"/>
      <c r="BF148" s="199"/>
      <c r="BG148" s="199"/>
      <c r="BH148" s="199"/>
      <c r="BI148" s="81"/>
      <c r="BJ148" s="81">
        <f t="shared" si="539"/>
        <v>0</v>
      </c>
      <c r="BK148" s="81">
        <f t="shared" si="540"/>
        <v>0</v>
      </c>
      <c r="BL148" s="199"/>
      <c r="BM148" s="199"/>
      <c r="BN148" s="199"/>
      <c r="BO148" s="199"/>
      <c r="BP148" s="199"/>
      <c r="BQ148" s="199"/>
      <c r="BR148" s="199"/>
      <c r="BS148" s="199"/>
      <c r="BT148" s="199"/>
      <c r="BU148" s="199"/>
      <c r="BV148" s="82" t="s">
        <v>678</v>
      </c>
      <c r="BW148" s="200"/>
      <c r="BX148" s="24"/>
    </row>
    <row r="149" spans="1:76" s="198" customFormat="1" ht="27" customHeight="1" x14ac:dyDescent="0.2">
      <c r="A149" s="108"/>
      <c r="B149" s="242"/>
      <c r="C149" s="285" t="s">
        <v>631</v>
      </c>
      <c r="D149" s="80">
        <f t="shared" si="529"/>
        <v>1075004</v>
      </c>
      <c r="E149" s="295">
        <f t="shared" si="530"/>
        <v>1078358</v>
      </c>
      <c r="F149" s="163">
        <v>1075004</v>
      </c>
      <c r="G149" s="163">
        <f t="shared" si="531"/>
        <v>1078358</v>
      </c>
      <c r="H149" s="163">
        <f t="shared" si="532"/>
        <v>3354</v>
      </c>
      <c r="I149" s="163"/>
      <c r="J149" s="163"/>
      <c r="K149" s="163">
        <v>6466</v>
      </c>
      <c r="L149" s="163"/>
      <c r="M149" s="163">
        <v>-3112</v>
      </c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>
        <v>0</v>
      </c>
      <c r="AB149" s="163">
        <f t="shared" si="533"/>
        <v>0</v>
      </c>
      <c r="AC149" s="163">
        <f t="shared" si="534"/>
        <v>0</v>
      </c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>
        <v>0</v>
      </c>
      <c r="AO149" s="163">
        <f t="shared" si="535"/>
        <v>0</v>
      </c>
      <c r="AP149" s="163">
        <f t="shared" si="536"/>
        <v>0</v>
      </c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>
        <v>0</v>
      </c>
      <c r="BB149" s="81">
        <f t="shared" si="537"/>
        <v>0</v>
      </c>
      <c r="BC149" s="98">
        <f t="shared" si="538"/>
        <v>0</v>
      </c>
      <c r="BD149" s="199"/>
      <c r="BE149" s="199"/>
      <c r="BF149" s="199"/>
      <c r="BG149" s="199"/>
      <c r="BH149" s="199"/>
      <c r="BI149" s="81"/>
      <c r="BJ149" s="81">
        <f t="shared" si="539"/>
        <v>0</v>
      </c>
      <c r="BK149" s="81">
        <f t="shared" si="540"/>
        <v>0</v>
      </c>
      <c r="BL149" s="199"/>
      <c r="BM149" s="199"/>
      <c r="BN149" s="199"/>
      <c r="BO149" s="199"/>
      <c r="BP149" s="199"/>
      <c r="BQ149" s="199"/>
      <c r="BR149" s="199"/>
      <c r="BS149" s="199"/>
      <c r="BT149" s="199"/>
      <c r="BU149" s="199"/>
      <c r="BV149" s="82" t="s">
        <v>679</v>
      </c>
      <c r="BW149" s="200"/>
      <c r="BX149" s="24"/>
    </row>
    <row r="150" spans="1:76" s="198" customFormat="1" ht="25.5" customHeight="1" x14ac:dyDescent="0.2">
      <c r="A150" s="108"/>
      <c r="B150" s="242"/>
      <c r="C150" s="285" t="s">
        <v>632</v>
      </c>
      <c r="D150" s="80">
        <f t="shared" si="529"/>
        <v>58050</v>
      </c>
      <c r="E150" s="295">
        <f t="shared" si="530"/>
        <v>58050</v>
      </c>
      <c r="F150" s="163">
        <v>58050</v>
      </c>
      <c r="G150" s="163">
        <f t="shared" si="531"/>
        <v>58050</v>
      </c>
      <c r="H150" s="163">
        <f t="shared" si="532"/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>
        <v>0</v>
      </c>
      <c r="AB150" s="163">
        <f t="shared" si="533"/>
        <v>0</v>
      </c>
      <c r="AC150" s="163">
        <f t="shared" si="534"/>
        <v>0</v>
      </c>
      <c r="AD150" s="163"/>
      <c r="AE150" s="163"/>
      <c r="AF150" s="163"/>
      <c r="AG150" s="163"/>
      <c r="AH150" s="163"/>
      <c r="AI150" s="163"/>
      <c r="AJ150" s="163"/>
      <c r="AK150" s="163"/>
      <c r="AL150" s="163"/>
      <c r="AM150" s="163"/>
      <c r="AN150" s="163">
        <v>0</v>
      </c>
      <c r="AO150" s="163">
        <f t="shared" si="535"/>
        <v>0</v>
      </c>
      <c r="AP150" s="163">
        <f t="shared" si="536"/>
        <v>0</v>
      </c>
      <c r="AQ150" s="163"/>
      <c r="AR150" s="163"/>
      <c r="AS150" s="163"/>
      <c r="AT150" s="163"/>
      <c r="AU150" s="163"/>
      <c r="AV150" s="163"/>
      <c r="AW150" s="163"/>
      <c r="AX150" s="163"/>
      <c r="AY150" s="163"/>
      <c r="AZ150" s="163"/>
      <c r="BA150" s="163">
        <v>0</v>
      </c>
      <c r="BB150" s="81">
        <f t="shared" si="537"/>
        <v>0</v>
      </c>
      <c r="BC150" s="98">
        <f t="shared" si="538"/>
        <v>0</v>
      </c>
      <c r="BD150" s="199"/>
      <c r="BE150" s="199"/>
      <c r="BF150" s="199"/>
      <c r="BG150" s="199"/>
      <c r="BH150" s="199"/>
      <c r="BI150" s="81"/>
      <c r="BJ150" s="81">
        <f t="shared" si="539"/>
        <v>0</v>
      </c>
      <c r="BK150" s="81">
        <f t="shared" si="540"/>
        <v>0</v>
      </c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82" t="s">
        <v>680</v>
      </c>
      <c r="BW150" s="200"/>
      <c r="BX150" s="24"/>
    </row>
    <row r="151" spans="1:76" s="198" customFormat="1" ht="24" x14ac:dyDescent="0.2">
      <c r="A151" s="108"/>
      <c r="B151" s="242"/>
      <c r="C151" s="285" t="s">
        <v>703</v>
      </c>
      <c r="D151" s="80">
        <f t="shared" si="529"/>
        <v>942</v>
      </c>
      <c r="E151" s="295">
        <f t="shared" si="530"/>
        <v>942</v>
      </c>
      <c r="F151" s="163">
        <v>942</v>
      </c>
      <c r="G151" s="163">
        <f t="shared" si="531"/>
        <v>942</v>
      </c>
      <c r="H151" s="163">
        <f t="shared" si="532"/>
        <v>0</v>
      </c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>
        <v>0</v>
      </c>
      <c r="AB151" s="163">
        <f t="shared" si="533"/>
        <v>0</v>
      </c>
      <c r="AC151" s="163">
        <f t="shared" si="534"/>
        <v>0</v>
      </c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>
        <v>0</v>
      </c>
      <c r="AO151" s="163">
        <f t="shared" si="535"/>
        <v>0</v>
      </c>
      <c r="AP151" s="163">
        <f t="shared" si="536"/>
        <v>0</v>
      </c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>
        <v>0</v>
      </c>
      <c r="BB151" s="81">
        <f t="shared" si="537"/>
        <v>0</v>
      </c>
      <c r="BC151" s="98">
        <f t="shared" si="538"/>
        <v>0</v>
      </c>
      <c r="BD151" s="199"/>
      <c r="BE151" s="199"/>
      <c r="BF151" s="199"/>
      <c r="BG151" s="199"/>
      <c r="BH151" s="199"/>
      <c r="BI151" s="81"/>
      <c r="BJ151" s="81">
        <f t="shared" si="539"/>
        <v>0</v>
      </c>
      <c r="BK151" s="81">
        <f t="shared" si="540"/>
        <v>0</v>
      </c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82" t="s">
        <v>681</v>
      </c>
      <c r="BW151" s="200"/>
      <c r="BX151" s="24"/>
    </row>
    <row r="152" spans="1:76" s="198" customFormat="1" ht="36" x14ac:dyDescent="0.2">
      <c r="A152" s="108"/>
      <c r="B152" s="242"/>
      <c r="C152" s="337" t="s">
        <v>743</v>
      </c>
      <c r="D152" s="80">
        <f t="shared" ref="D152" si="541">F152+AA152+AN152+BA152+BI152</f>
        <v>0</v>
      </c>
      <c r="E152" s="295">
        <f t="shared" ref="E152" si="542">G152+AB152+AO152+BB152+BJ152</f>
        <v>37880</v>
      </c>
      <c r="F152" s="163"/>
      <c r="G152" s="163">
        <f t="shared" ref="G152" si="543">F152+H152</f>
        <v>37880</v>
      </c>
      <c r="H152" s="163">
        <f t="shared" ref="H152" si="544">SUM(I152:Z152)</f>
        <v>37880</v>
      </c>
      <c r="I152" s="163">
        <v>37880</v>
      </c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>
        <f t="shared" ref="AB152" si="545">AA152+AC152</f>
        <v>0</v>
      </c>
      <c r="AC152" s="163">
        <f t="shared" ref="AC152" si="546">SUM(AD152:AM152)</f>
        <v>0</v>
      </c>
      <c r="AD152" s="163"/>
      <c r="AE152" s="163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>
        <f t="shared" ref="AO152" si="547">AN152+AP152</f>
        <v>0</v>
      </c>
      <c r="AP152" s="163">
        <f t="shared" ref="AP152" si="548">SUM(AQ152:AZ152)</f>
        <v>0</v>
      </c>
      <c r="AQ152" s="163"/>
      <c r="AR152" s="163"/>
      <c r="AS152" s="163"/>
      <c r="AT152" s="163"/>
      <c r="AU152" s="163"/>
      <c r="AV152" s="163"/>
      <c r="AW152" s="163"/>
      <c r="AX152" s="163"/>
      <c r="AY152" s="163"/>
      <c r="AZ152" s="163"/>
      <c r="BA152" s="163"/>
      <c r="BB152" s="81">
        <f t="shared" ref="BB152" si="549">BA152+BC152</f>
        <v>0</v>
      </c>
      <c r="BC152" s="98">
        <f t="shared" ref="BC152" si="550">SUM(BD152:BH152)</f>
        <v>0</v>
      </c>
      <c r="BD152" s="199"/>
      <c r="BE152" s="199"/>
      <c r="BF152" s="199"/>
      <c r="BG152" s="199"/>
      <c r="BH152" s="199"/>
      <c r="BI152" s="81"/>
      <c r="BJ152" s="81">
        <f t="shared" ref="BJ152" si="551">BI152+BK152</f>
        <v>0</v>
      </c>
      <c r="BK152" s="81">
        <f t="shared" ref="BK152" si="552">SUM(BL152:BU152)</f>
        <v>0</v>
      </c>
      <c r="BL152" s="199"/>
      <c r="BM152" s="199"/>
      <c r="BN152" s="199"/>
      <c r="BO152" s="199"/>
      <c r="BP152" s="199"/>
      <c r="BQ152" s="199"/>
      <c r="BR152" s="199"/>
      <c r="BS152" s="199"/>
      <c r="BT152" s="199"/>
      <c r="BU152" s="199"/>
      <c r="BV152" s="82" t="s">
        <v>744</v>
      </c>
      <c r="BW152" s="200"/>
      <c r="BX152" s="24"/>
    </row>
    <row r="153" spans="1:76" s="198" customFormat="1" x14ac:dyDescent="0.2">
      <c r="A153" s="108"/>
      <c r="B153" s="242"/>
      <c r="C153" s="344" t="s">
        <v>768</v>
      </c>
      <c r="D153" s="80">
        <f t="shared" ref="D153" si="553">F153+AA153+AN153+BA153+BI153</f>
        <v>0</v>
      </c>
      <c r="E153" s="295">
        <f t="shared" ref="E153" si="554">G153+AB153+AO153+BB153+BJ153</f>
        <v>0</v>
      </c>
      <c r="F153" s="163"/>
      <c r="G153" s="163">
        <f t="shared" ref="G153" si="555">F153+H153</f>
        <v>0</v>
      </c>
      <c r="H153" s="163">
        <f t="shared" ref="H153" si="556">SUM(I153:Z153)</f>
        <v>0</v>
      </c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>
        <f t="shared" ref="AB153" si="557">AA153+AC153</f>
        <v>0</v>
      </c>
      <c r="AC153" s="163">
        <f t="shared" ref="AC153" si="558">SUM(AD153:AM153)</f>
        <v>0</v>
      </c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>
        <f t="shared" ref="AO153" si="559">AN153+AP153</f>
        <v>0</v>
      </c>
      <c r="AP153" s="163">
        <f t="shared" ref="AP153" si="560">SUM(AQ153:AZ153)</f>
        <v>0</v>
      </c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81">
        <f t="shared" ref="BB153" si="561">BA153+BC153</f>
        <v>0</v>
      </c>
      <c r="BC153" s="98">
        <f t="shared" ref="BC153" si="562">SUM(BD153:BH153)</f>
        <v>0</v>
      </c>
      <c r="BD153" s="199"/>
      <c r="BE153" s="199"/>
      <c r="BF153" s="199"/>
      <c r="BG153" s="199"/>
      <c r="BH153" s="199"/>
      <c r="BI153" s="81"/>
      <c r="BJ153" s="81">
        <f t="shared" ref="BJ153" si="563">BI153+BK153</f>
        <v>0</v>
      </c>
      <c r="BK153" s="81">
        <f t="shared" ref="BK153" si="564">SUM(BL153:BU153)</f>
        <v>0</v>
      </c>
      <c r="BL153" s="199"/>
      <c r="BM153" s="199"/>
      <c r="BN153" s="199"/>
      <c r="BO153" s="199"/>
      <c r="BP153" s="199"/>
      <c r="BQ153" s="199"/>
      <c r="BR153" s="199"/>
      <c r="BS153" s="199"/>
      <c r="BT153" s="199"/>
      <c r="BU153" s="199"/>
      <c r="BV153" s="82" t="s">
        <v>769</v>
      </c>
      <c r="BW153" s="200"/>
      <c r="BX153" s="24"/>
    </row>
    <row r="154" spans="1:76" s="198" customFormat="1" ht="36" x14ac:dyDescent="0.2">
      <c r="A154" s="108"/>
      <c r="B154" s="242"/>
      <c r="C154" s="348" t="s">
        <v>775</v>
      </c>
      <c r="D154" s="80">
        <f t="shared" ref="D154" si="565">F154+AA154+AN154+BA154+BI154</f>
        <v>0</v>
      </c>
      <c r="E154" s="295">
        <f t="shared" ref="E154" si="566">G154+AB154+AO154+BB154+BJ154</f>
        <v>1660231</v>
      </c>
      <c r="F154" s="163"/>
      <c r="G154" s="163">
        <f t="shared" ref="G154" si="567">F154+H154</f>
        <v>1660231</v>
      </c>
      <c r="H154" s="163">
        <f t="shared" ref="H154" si="568">SUM(I154:Z154)</f>
        <v>1660231</v>
      </c>
      <c r="I154" s="163"/>
      <c r="J154" s="163"/>
      <c r="K154" s="163">
        <v>1779656</v>
      </c>
      <c r="L154" s="163"/>
      <c r="M154" s="163"/>
      <c r="N154" s="163"/>
      <c r="O154" s="163"/>
      <c r="P154" s="163"/>
      <c r="Q154" s="163">
        <v>-119425</v>
      </c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>
        <f t="shared" ref="AB154" si="569">AA154+AC154</f>
        <v>0</v>
      </c>
      <c r="AC154" s="163">
        <f t="shared" ref="AC154" si="570">SUM(AD154:AM154)</f>
        <v>0</v>
      </c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>
        <f t="shared" ref="AO154" si="571">AN154+AP154</f>
        <v>0</v>
      </c>
      <c r="AP154" s="163">
        <f t="shared" ref="AP154" si="572">SUM(AQ154:AZ154)</f>
        <v>0</v>
      </c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81">
        <f t="shared" ref="BB154" si="573">BA154+BC154</f>
        <v>0</v>
      </c>
      <c r="BC154" s="98">
        <f t="shared" ref="BC154" si="574">SUM(BD154:BH154)</f>
        <v>0</v>
      </c>
      <c r="BD154" s="199"/>
      <c r="BE154" s="199"/>
      <c r="BF154" s="199"/>
      <c r="BG154" s="199"/>
      <c r="BH154" s="199"/>
      <c r="BI154" s="81"/>
      <c r="BJ154" s="81">
        <f t="shared" ref="BJ154" si="575">BI154+BK154</f>
        <v>0</v>
      </c>
      <c r="BK154" s="81">
        <f t="shared" ref="BK154" si="576">SUM(BL154:BU154)</f>
        <v>0</v>
      </c>
      <c r="BL154" s="199"/>
      <c r="BM154" s="199"/>
      <c r="BN154" s="199"/>
      <c r="BO154" s="199"/>
      <c r="BP154" s="199"/>
      <c r="BQ154" s="199"/>
      <c r="BR154" s="199"/>
      <c r="BS154" s="199"/>
      <c r="BT154" s="199"/>
      <c r="BU154" s="199"/>
      <c r="BV154" s="82" t="s">
        <v>776</v>
      </c>
      <c r="BW154" s="200"/>
      <c r="BX154" s="24"/>
    </row>
    <row r="155" spans="1:76" s="198" customFormat="1" ht="24.75" customHeight="1" x14ac:dyDescent="0.2">
      <c r="A155" s="108"/>
      <c r="B155" s="242"/>
      <c r="C155" s="349" t="s">
        <v>779</v>
      </c>
      <c r="D155" s="80">
        <f t="shared" ref="D155" si="577">F155+AA155+AN155+BA155+BI155</f>
        <v>0</v>
      </c>
      <c r="E155" s="295">
        <f t="shared" ref="E155" si="578">G155+AB155+AO155+BB155+BJ155</f>
        <v>863674</v>
      </c>
      <c r="F155" s="163"/>
      <c r="G155" s="163">
        <f t="shared" ref="G155" si="579">F155+H155</f>
        <v>863674</v>
      </c>
      <c r="H155" s="163">
        <f t="shared" ref="H155" si="580">SUM(I155:Z155)</f>
        <v>863674</v>
      </c>
      <c r="I155" s="163"/>
      <c r="J155" s="163"/>
      <c r="K155" s="163">
        <v>863674</v>
      </c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>
        <f t="shared" ref="AB155" si="581">AA155+AC155</f>
        <v>0</v>
      </c>
      <c r="AC155" s="163">
        <f t="shared" ref="AC155" si="582">SUM(AD155:AM155)</f>
        <v>0</v>
      </c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>
        <f t="shared" ref="AO155" si="583">AN155+AP155</f>
        <v>0</v>
      </c>
      <c r="AP155" s="163">
        <f t="shared" ref="AP155" si="584">SUM(AQ155:AZ155)</f>
        <v>0</v>
      </c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81">
        <f t="shared" ref="BB155" si="585">BA155+BC155</f>
        <v>0</v>
      </c>
      <c r="BC155" s="98">
        <f t="shared" ref="BC155" si="586">SUM(BD155:BH155)</f>
        <v>0</v>
      </c>
      <c r="BD155" s="199"/>
      <c r="BE155" s="199"/>
      <c r="BF155" s="199"/>
      <c r="BG155" s="199"/>
      <c r="BH155" s="199"/>
      <c r="BI155" s="81"/>
      <c r="BJ155" s="81">
        <f t="shared" ref="BJ155" si="587">BI155+BK155</f>
        <v>0</v>
      </c>
      <c r="BK155" s="81">
        <f t="shared" ref="BK155" si="588">SUM(BL155:BU155)</f>
        <v>0</v>
      </c>
      <c r="BL155" s="199"/>
      <c r="BM155" s="199"/>
      <c r="BN155" s="199"/>
      <c r="BO155" s="199"/>
      <c r="BP155" s="199"/>
      <c r="BQ155" s="199"/>
      <c r="BR155" s="199"/>
      <c r="BS155" s="199"/>
      <c r="BT155" s="199"/>
      <c r="BU155" s="199"/>
      <c r="BV155" s="82" t="s">
        <v>780</v>
      </c>
      <c r="BW155" s="200"/>
      <c r="BX155" s="24"/>
    </row>
    <row r="156" spans="1:76" s="198" customFormat="1" ht="38.25" customHeight="1" x14ac:dyDescent="0.2">
      <c r="A156" s="108"/>
      <c r="B156" s="242"/>
      <c r="C156" s="389" t="s">
        <v>835</v>
      </c>
      <c r="D156" s="80">
        <f t="shared" ref="D156:D157" si="589">F156+AA156+AN156+BA156+BI156</f>
        <v>0</v>
      </c>
      <c r="E156" s="295">
        <f t="shared" ref="E156:E157" si="590">G156+AB156+AO156+BB156+BJ156</f>
        <v>634319</v>
      </c>
      <c r="F156" s="163"/>
      <c r="G156" s="163">
        <f t="shared" ref="G156:G157" si="591">F156+H156</f>
        <v>634319</v>
      </c>
      <c r="H156" s="163">
        <f t="shared" ref="H156:H157" si="592">SUM(I156:Z156)</f>
        <v>634319</v>
      </c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>
        <v>580732</v>
      </c>
      <c r="T156" s="163"/>
      <c r="U156" s="163"/>
      <c r="V156" s="163"/>
      <c r="W156" s="163">
        <v>53587</v>
      </c>
      <c r="X156" s="163"/>
      <c r="Y156" s="163"/>
      <c r="Z156" s="163"/>
      <c r="AA156" s="163"/>
      <c r="AB156" s="163">
        <f t="shared" ref="AB156:AB157" si="593">AA156+AC156</f>
        <v>0</v>
      </c>
      <c r="AC156" s="163">
        <f t="shared" ref="AC156:AC157" si="594">SUM(AD156:AM156)</f>
        <v>0</v>
      </c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>
        <f t="shared" ref="AO156:AO157" si="595">AN156+AP156</f>
        <v>0</v>
      </c>
      <c r="AP156" s="163">
        <f t="shared" ref="AP156:AP157" si="596">SUM(AQ156:AZ156)</f>
        <v>0</v>
      </c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81">
        <f t="shared" ref="BB156:BB157" si="597">BA156+BC156</f>
        <v>0</v>
      </c>
      <c r="BC156" s="98">
        <f t="shared" ref="BC156:BC157" si="598">SUM(BD156:BH156)</f>
        <v>0</v>
      </c>
      <c r="BD156" s="199"/>
      <c r="BE156" s="199"/>
      <c r="BF156" s="199"/>
      <c r="BG156" s="199"/>
      <c r="BH156" s="199"/>
      <c r="BI156" s="81"/>
      <c r="BJ156" s="81">
        <f t="shared" ref="BJ156:BJ157" si="599">BI156+BK156</f>
        <v>0</v>
      </c>
      <c r="BK156" s="81">
        <f t="shared" ref="BK156:BK157" si="600">SUM(BL156:BU156)</f>
        <v>0</v>
      </c>
      <c r="BL156" s="199"/>
      <c r="BM156" s="199"/>
      <c r="BN156" s="199"/>
      <c r="BO156" s="199"/>
      <c r="BP156" s="199"/>
      <c r="BQ156" s="199"/>
      <c r="BR156" s="199"/>
      <c r="BS156" s="199"/>
      <c r="BT156" s="199"/>
      <c r="BU156" s="199"/>
      <c r="BV156" s="82" t="s">
        <v>822</v>
      </c>
      <c r="BW156" s="200"/>
      <c r="BX156" s="24"/>
    </row>
    <row r="157" spans="1:76" s="198" customFormat="1" x14ac:dyDescent="0.2">
      <c r="A157" s="108"/>
      <c r="B157" s="242"/>
      <c r="C157" s="395" t="s">
        <v>831</v>
      </c>
      <c r="D157" s="80">
        <f t="shared" si="589"/>
        <v>0</v>
      </c>
      <c r="E157" s="295">
        <f t="shared" si="590"/>
        <v>1940</v>
      </c>
      <c r="F157" s="163"/>
      <c r="G157" s="163">
        <f t="shared" si="591"/>
        <v>1940</v>
      </c>
      <c r="H157" s="163">
        <f t="shared" si="592"/>
        <v>1940</v>
      </c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>
        <v>1940</v>
      </c>
      <c r="V157" s="163"/>
      <c r="W157" s="163"/>
      <c r="X157" s="163"/>
      <c r="Y157" s="163"/>
      <c r="Z157" s="163"/>
      <c r="AA157" s="163"/>
      <c r="AB157" s="163">
        <f t="shared" si="593"/>
        <v>0</v>
      </c>
      <c r="AC157" s="163">
        <f t="shared" si="594"/>
        <v>0</v>
      </c>
      <c r="AD157" s="163"/>
      <c r="AE157" s="163"/>
      <c r="AF157" s="163"/>
      <c r="AG157" s="163"/>
      <c r="AH157" s="163"/>
      <c r="AI157" s="163"/>
      <c r="AJ157" s="163"/>
      <c r="AK157" s="163"/>
      <c r="AL157" s="163"/>
      <c r="AM157" s="163"/>
      <c r="AN157" s="163"/>
      <c r="AO157" s="163">
        <f t="shared" si="595"/>
        <v>0</v>
      </c>
      <c r="AP157" s="163">
        <f t="shared" si="596"/>
        <v>0</v>
      </c>
      <c r="AQ157" s="163"/>
      <c r="AR157" s="163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81">
        <f t="shared" si="597"/>
        <v>0</v>
      </c>
      <c r="BC157" s="98">
        <f t="shared" si="598"/>
        <v>0</v>
      </c>
      <c r="BD157" s="199"/>
      <c r="BE157" s="199"/>
      <c r="BF157" s="199"/>
      <c r="BG157" s="199"/>
      <c r="BH157" s="199"/>
      <c r="BI157" s="81"/>
      <c r="BJ157" s="81">
        <f t="shared" si="599"/>
        <v>0</v>
      </c>
      <c r="BK157" s="81">
        <f t="shared" si="600"/>
        <v>0</v>
      </c>
      <c r="BL157" s="199"/>
      <c r="BM157" s="199"/>
      <c r="BN157" s="199"/>
      <c r="BO157" s="199"/>
      <c r="BP157" s="199"/>
      <c r="BQ157" s="199"/>
      <c r="BR157" s="199"/>
      <c r="BS157" s="199"/>
      <c r="BT157" s="199"/>
      <c r="BU157" s="199"/>
      <c r="BV157" s="82" t="s">
        <v>832</v>
      </c>
      <c r="BW157" s="200"/>
      <c r="BX157" s="24"/>
    </row>
    <row r="158" spans="1:76" ht="24" customHeight="1" x14ac:dyDescent="0.2">
      <c r="A158" s="108">
        <v>90000051665</v>
      </c>
      <c r="B158" s="241" t="s">
        <v>245</v>
      </c>
      <c r="C158" s="285" t="s">
        <v>227</v>
      </c>
      <c r="D158" s="80">
        <f t="shared" si="529"/>
        <v>854860</v>
      </c>
      <c r="E158" s="295">
        <f t="shared" si="530"/>
        <v>895104</v>
      </c>
      <c r="F158" s="81">
        <v>604903</v>
      </c>
      <c r="G158" s="81">
        <f t="shared" si="531"/>
        <v>635002</v>
      </c>
      <c r="H158" s="81">
        <f t="shared" si="532"/>
        <v>30099</v>
      </c>
      <c r="I158" s="81"/>
      <c r="J158" s="81"/>
      <c r="K158" s="81"/>
      <c r="L158" s="81">
        <f>29999+100</f>
        <v>30099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>
        <v>223203</v>
      </c>
      <c r="AB158" s="81">
        <f t="shared" si="533"/>
        <v>228011</v>
      </c>
      <c r="AC158" s="81">
        <f t="shared" si="534"/>
        <v>4808</v>
      </c>
      <c r="AD158" s="81">
        <v>1183</v>
      </c>
      <c r="AE158" s="81">
        <v>3688</v>
      </c>
      <c r="AF158" s="81"/>
      <c r="AG158" s="81"/>
      <c r="AH158" s="81">
        <f>-63-1+1</f>
        <v>-63</v>
      </c>
      <c r="AI158" s="81"/>
      <c r="AJ158" s="81"/>
      <c r="AK158" s="81"/>
      <c r="AL158" s="81"/>
      <c r="AM158" s="81"/>
      <c r="AN158" s="81">
        <v>26754</v>
      </c>
      <c r="AO158" s="81">
        <f t="shared" si="535"/>
        <v>32091</v>
      </c>
      <c r="AP158" s="81">
        <f t="shared" si="536"/>
        <v>5337</v>
      </c>
      <c r="AQ158" s="81">
        <v>5337</v>
      </c>
      <c r="AR158" s="81"/>
      <c r="AS158" s="81"/>
      <c r="AT158" s="81"/>
      <c r="AU158" s="81"/>
      <c r="AV158" s="81"/>
      <c r="AW158" s="81"/>
      <c r="AX158" s="81"/>
      <c r="AY158" s="81"/>
      <c r="AZ158" s="81"/>
      <c r="BA158" s="81">
        <v>0</v>
      </c>
      <c r="BB158" s="81">
        <f t="shared" si="537"/>
        <v>0</v>
      </c>
      <c r="BC158" s="98">
        <f t="shared" si="538"/>
        <v>0</v>
      </c>
      <c r="BD158" s="98"/>
      <c r="BE158" s="98"/>
      <c r="BF158" s="98"/>
      <c r="BG158" s="98"/>
      <c r="BH158" s="98"/>
      <c r="BI158" s="81"/>
      <c r="BJ158" s="81">
        <f t="shared" si="539"/>
        <v>0</v>
      </c>
      <c r="BK158" s="81">
        <f t="shared" si="540"/>
        <v>0</v>
      </c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82" t="s">
        <v>369</v>
      </c>
      <c r="BW158" s="85"/>
      <c r="BX158" s="24"/>
    </row>
    <row r="159" spans="1:76" x14ac:dyDescent="0.2">
      <c r="A159" s="108"/>
      <c r="B159" s="242"/>
      <c r="C159" s="285" t="s">
        <v>240</v>
      </c>
      <c r="D159" s="80">
        <f t="shared" si="529"/>
        <v>65436</v>
      </c>
      <c r="E159" s="295">
        <f t="shared" si="530"/>
        <v>65436</v>
      </c>
      <c r="F159" s="81">
        <v>46771</v>
      </c>
      <c r="G159" s="81">
        <f t="shared" si="531"/>
        <v>46771</v>
      </c>
      <c r="H159" s="81">
        <f t="shared" si="532"/>
        <v>0</v>
      </c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>
        <v>18665</v>
      </c>
      <c r="AB159" s="81">
        <f t="shared" si="533"/>
        <v>18665</v>
      </c>
      <c r="AC159" s="81">
        <f t="shared" si="534"/>
        <v>0</v>
      </c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>
        <v>0</v>
      </c>
      <c r="AO159" s="81">
        <f t="shared" si="535"/>
        <v>0</v>
      </c>
      <c r="AP159" s="81">
        <f t="shared" si="536"/>
        <v>0</v>
      </c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>
        <v>0</v>
      </c>
      <c r="BB159" s="81">
        <f t="shared" si="537"/>
        <v>0</v>
      </c>
      <c r="BC159" s="98">
        <f t="shared" si="538"/>
        <v>0</v>
      </c>
      <c r="BD159" s="98"/>
      <c r="BE159" s="98"/>
      <c r="BF159" s="98"/>
      <c r="BG159" s="98"/>
      <c r="BH159" s="98"/>
      <c r="BI159" s="81"/>
      <c r="BJ159" s="81">
        <f t="shared" si="539"/>
        <v>0</v>
      </c>
      <c r="BK159" s="81">
        <f t="shared" si="540"/>
        <v>0</v>
      </c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82" t="s">
        <v>370</v>
      </c>
      <c r="BW159" s="85"/>
      <c r="BX159" s="24"/>
    </row>
    <row r="160" spans="1:76" s="198" customFormat="1" ht="24" x14ac:dyDescent="0.2">
      <c r="A160" s="108"/>
      <c r="B160" s="242"/>
      <c r="C160" s="388" t="s">
        <v>817</v>
      </c>
      <c r="D160" s="80">
        <f t="shared" ref="D160" si="601">F160+AA160+AN160+BA160+BI160</f>
        <v>0</v>
      </c>
      <c r="E160" s="295">
        <f t="shared" ref="E160" si="602">G160+AB160+AO160+BB160+BJ160</f>
        <v>17310</v>
      </c>
      <c r="F160" s="81"/>
      <c r="G160" s="81">
        <f t="shared" ref="G160" si="603">F160+H160</f>
        <v>17310</v>
      </c>
      <c r="H160" s="81">
        <f t="shared" ref="H160" si="604">SUM(I160:Z160)</f>
        <v>17310</v>
      </c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>
        <v>17310</v>
      </c>
      <c r="T160" s="81"/>
      <c r="U160" s="81"/>
      <c r="V160" s="81"/>
      <c r="W160" s="81"/>
      <c r="X160" s="81"/>
      <c r="Y160" s="81"/>
      <c r="Z160" s="81"/>
      <c r="AA160" s="81"/>
      <c r="AB160" s="81">
        <f t="shared" ref="AB160" si="605">AA160+AC160</f>
        <v>0</v>
      </c>
      <c r="AC160" s="81">
        <f t="shared" ref="AC160" si="606">SUM(AD160:AM160)</f>
        <v>0</v>
      </c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>
        <f t="shared" ref="AO160" si="607">AN160+AP160</f>
        <v>0</v>
      </c>
      <c r="AP160" s="81">
        <f t="shared" ref="AP160" si="608">SUM(AQ160:AZ160)</f>
        <v>0</v>
      </c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>
        <f t="shared" ref="BB160" si="609">BA160+BC160</f>
        <v>0</v>
      </c>
      <c r="BC160" s="98">
        <f t="shared" ref="BC160" si="610">SUM(BD160:BH160)</f>
        <v>0</v>
      </c>
      <c r="BD160" s="98"/>
      <c r="BE160" s="98"/>
      <c r="BF160" s="98"/>
      <c r="BG160" s="98"/>
      <c r="BH160" s="98"/>
      <c r="BI160" s="81"/>
      <c r="BJ160" s="81">
        <f t="shared" ref="BJ160" si="611">BI160+BK160</f>
        <v>0</v>
      </c>
      <c r="BK160" s="81">
        <f t="shared" ref="BK160" si="612">SUM(BL160:BU160)</f>
        <v>0</v>
      </c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82" t="s">
        <v>818</v>
      </c>
      <c r="BW160" s="85"/>
      <c r="BX160" s="24"/>
    </row>
    <row r="161" spans="1:76" ht="22.5" customHeight="1" x14ac:dyDescent="0.2">
      <c r="A161" s="108">
        <v>90000051561</v>
      </c>
      <c r="B161" s="241" t="s">
        <v>280</v>
      </c>
      <c r="C161" s="285" t="s">
        <v>227</v>
      </c>
      <c r="D161" s="80">
        <f t="shared" si="529"/>
        <v>715688</v>
      </c>
      <c r="E161" s="295">
        <f t="shared" si="530"/>
        <v>723717</v>
      </c>
      <c r="F161" s="81">
        <v>343518</v>
      </c>
      <c r="G161" s="81">
        <f t="shared" si="531"/>
        <v>333452</v>
      </c>
      <c r="H161" s="81">
        <f t="shared" si="532"/>
        <v>-10066</v>
      </c>
      <c r="I161" s="81"/>
      <c r="J161" s="81"/>
      <c r="K161" s="81">
        <v>-10066</v>
      </c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>
        <v>352962</v>
      </c>
      <c r="AB161" s="81">
        <f t="shared" si="533"/>
        <v>360991</v>
      </c>
      <c r="AC161" s="81">
        <f t="shared" si="534"/>
        <v>8029</v>
      </c>
      <c r="AD161" s="81">
        <v>2247</v>
      </c>
      <c r="AE161" s="81">
        <v>5919</v>
      </c>
      <c r="AF161" s="81"/>
      <c r="AG161" s="81"/>
      <c r="AH161" s="81">
        <f>-137-1+1</f>
        <v>-137</v>
      </c>
      <c r="AI161" s="81"/>
      <c r="AJ161" s="81"/>
      <c r="AK161" s="81"/>
      <c r="AL161" s="81"/>
      <c r="AM161" s="81"/>
      <c r="AN161" s="81">
        <v>19350</v>
      </c>
      <c r="AO161" s="81">
        <f t="shared" si="535"/>
        <v>29416</v>
      </c>
      <c r="AP161" s="81">
        <f t="shared" si="536"/>
        <v>10066</v>
      </c>
      <c r="AQ161" s="81">
        <v>10066</v>
      </c>
      <c r="AR161" s="81"/>
      <c r="AS161" s="81"/>
      <c r="AT161" s="81"/>
      <c r="AU161" s="81"/>
      <c r="AV161" s="81"/>
      <c r="AW161" s="81"/>
      <c r="AX161" s="81"/>
      <c r="AY161" s="81"/>
      <c r="AZ161" s="81"/>
      <c r="BA161" s="81">
        <v>0</v>
      </c>
      <c r="BB161" s="81">
        <f t="shared" si="537"/>
        <v>0</v>
      </c>
      <c r="BC161" s="98">
        <f t="shared" si="538"/>
        <v>0</v>
      </c>
      <c r="BD161" s="98"/>
      <c r="BE161" s="98"/>
      <c r="BF161" s="98"/>
      <c r="BG161" s="98"/>
      <c r="BH161" s="98"/>
      <c r="BI161" s="81">
        <v>-142</v>
      </c>
      <c r="BJ161" s="81">
        <f t="shared" si="539"/>
        <v>-142</v>
      </c>
      <c r="BK161" s="81">
        <f t="shared" si="540"/>
        <v>0</v>
      </c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82" t="s">
        <v>371</v>
      </c>
      <c r="BW161" s="85"/>
      <c r="BX161" s="24"/>
    </row>
    <row r="162" spans="1:76" x14ac:dyDescent="0.2">
      <c r="A162" s="108"/>
      <c r="B162" s="242"/>
      <c r="C162" s="285" t="s">
        <v>240</v>
      </c>
      <c r="D162" s="80">
        <f t="shared" si="529"/>
        <v>84322</v>
      </c>
      <c r="E162" s="295">
        <f t="shared" si="530"/>
        <v>88201</v>
      </c>
      <c r="F162" s="81">
        <v>61512</v>
      </c>
      <c r="G162" s="81">
        <f t="shared" si="531"/>
        <v>61512</v>
      </c>
      <c r="H162" s="81">
        <f t="shared" si="532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>
        <v>22810</v>
      </c>
      <c r="AB162" s="81">
        <f t="shared" si="533"/>
        <v>26689</v>
      </c>
      <c r="AC162" s="81">
        <f t="shared" si="534"/>
        <v>3879</v>
      </c>
      <c r="AD162" s="81"/>
      <c r="AE162" s="81">
        <v>3879</v>
      </c>
      <c r="AF162" s="81"/>
      <c r="AG162" s="81"/>
      <c r="AH162" s="81"/>
      <c r="AI162" s="81"/>
      <c r="AJ162" s="81"/>
      <c r="AK162" s="81"/>
      <c r="AL162" s="81"/>
      <c r="AM162" s="81"/>
      <c r="AN162" s="81">
        <v>0</v>
      </c>
      <c r="AO162" s="81">
        <f t="shared" si="535"/>
        <v>0</v>
      </c>
      <c r="AP162" s="81">
        <f t="shared" si="536"/>
        <v>0</v>
      </c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>
        <v>0</v>
      </c>
      <c r="BB162" s="81">
        <f t="shared" si="537"/>
        <v>0</v>
      </c>
      <c r="BC162" s="98">
        <f t="shared" si="538"/>
        <v>0</v>
      </c>
      <c r="BD162" s="98"/>
      <c r="BE162" s="98"/>
      <c r="BF162" s="98"/>
      <c r="BG162" s="98"/>
      <c r="BH162" s="98"/>
      <c r="BI162" s="81"/>
      <c r="BJ162" s="81">
        <f t="shared" si="539"/>
        <v>0</v>
      </c>
      <c r="BK162" s="81">
        <f t="shared" si="540"/>
        <v>0</v>
      </c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82" t="s">
        <v>372</v>
      </c>
      <c r="BW162" s="85"/>
      <c r="BX162" s="24"/>
    </row>
    <row r="163" spans="1:76" ht="24" customHeight="1" x14ac:dyDescent="0.2">
      <c r="A163" s="108">
        <v>90009226256</v>
      </c>
      <c r="B163" s="241" t="s">
        <v>152</v>
      </c>
      <c r="C163" s="285" t="s">
        <v>453</v>
      </c>
      <c r="D163" s="80">
        <f t="shared" si="529"/>
        <v>368103</v>
      </c>
      <c r="E163" s="295">
        <f t="shared" si="530"/>
        <v>371717</v>
      </c>
      <c r="F163" s="81">
        <v>281391</v>
      </c>
      <c r="G163" s="81">
        <f t="shared" si="531"/>
        <v>283345</v>
      </c>
      <c r="H163" s="81">
        <f t="shared" si="532"/>
        <v>1954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>
        <v>1954</v>
      </c>
      <c r="X163" s="81"/>
      <c r="Y163" s="81"/>
      <c r="Z163" s="81"/>
      <c r="AA163" s="81">
        <v>76102</v>
      </c>
      <c r="AB163" s="81">
        <f t="shared" si="533"/>
        <v>76102</v>
      </c>
      <c r="AC163" s="81">
        <f t="shared" si="534"/>
        <v>0</v>
      </c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>
        <v>10610</v>
      </c>
      <c r="AO163" s="81">
        <f t="shared" si="535"/>
        <v>12270</v>
      </c>
      <c r="AP163" s="81">
        <f t="shared" si="536"/>
        <v>1660</v>
      </c>
      <c r="AQ163" s="81">
        <v>737</v>
      </c>
      <c r="AR163" s="81"/>
      <c r="AS163" s="81"/>
      <c r="AT163" s="81"/>
      <c r="AU163" s="81"/>
      <c r="AV163" s="81"/>
      <c r="AW163" s="81">
        <v>923</v>
      </c>
      <c r="AX163" s="81"/>
      <c r="AY163" s="81"/>
      <c r="AZ163" s="81"/>
      <c r="BA163" s="81">
        <v>0</v>
      </c>
      <c r="BB163" s="81">
        <f t="shared" si="537"/>
        <v>0</v>
      </c>
      <c r="BC163" s="98">
        <f t="shared" si="538"/>
        <v>0</v>
      </c>
      <c r="BD163" s="98"/>
      <c r="BE163" s="98"/>
      <c r="BF163" s="98"/>
      <c r="BG163" s="98"/>
      <c r="BH163" s="98"/>
      <c r="BI163" s="81"/>
      <c r="BJ163" s="81">
        <f t="shared" si="539"/>
        <v>0</v>
      </c>
      <c r="BK163" s="81">
        <f t="shared" si="540"/>
        <v>0</v>
      </c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82" t="s">
        <v>373</v>
      </c>
      <c r="BW163" s="85"/>
      <c r="BX163" s="24"/>
    </row>
    <row r="164" spans="1:76" s="130" customFormat="1" ht="12.75" x14ac:dyDescent="0.2">
      <c r="A164" s="110"/>
      <c r="B164" s="245"/>
      <c r="C164" s="285" t="s">
        <v>538</v>
      </c>
      <c r="D164" s="80">
        <f t="shared" si="529"/>
        <v>62734</v>
      </c>
      <c r="E164" s="295">
        <f t="shared" si="530"/>
        <v>71041</v>
      </c>
      <c r="F164" s="81">
        <v>62734</v>
      </c>
      <c r="G164" s="81">
        <f t="shared" si="531"/>
        <v>71041</v>
      </c>
      <c r="H164" s="81">
        <f t="shared" si="532"/>
        <v>8307</v>
      </c>
      <c r="I164" s="81"/>
      <c r="J164" s="81"/>
      <c r="K164" s="81">
        <v>8307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>
        <v>0</v>
      </c>
      <c r="AB164" s="81">
        <f t="shared" si="533"/>
        <v>0</v>
      </c>
      <c r="AC164" s="81">
        <f t="shared" si="534"/>
        <v>0</v>
      </c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>
        <v>0</v>
      </c>
      <c r="AO164" s="81">
        <f t="shared" si="535"/>
        <v>0</v>
      </c>
      <c r="AP164" s="81">
        <f t="shared" si="536"/>
        <v>0</v>
      </c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>
        <v>0</v>
      </c>
      <c r="BB164" s="81">
        <f t="shared" si="537"/>
        <v>0</v>
      </c>
      <c r="BC164" s="98">
        <f t="shared" si="538"/>
        <v>0</v>
      </c>
      <c r="BD164" s="98"/>
      <c r="BE164" s="98"/>
      <c r="BF164" s="98"/>
      <c r="BG164" s="98"/>
      <c r="BH164" s="98"/>
      <c r="BI164" s="81"/>
      <c r="BJ164" s="81">
        <f t="shared" si="539"/>
        <v>0</v>
      </c>
      <c r="BK164" s="81">
        <f t="shared" si="540"/>
        <v>0</v>
      </c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82" t="s">
        <v>682</v>
      </c>
      <c r="BW164" s="85"/>
      <c r="BX164" s="24"/>
    </row>
    <row r="165" spans="1:76" s="198" customFormat="1" ht="12.75" x14ac:dyDescent="0.2">
      <c r="A165" s="110"/>
      <c r="B165" s="245"/>
      <c r="C165" s="285" t="s">
        <v>633</v>
      </c>
      <c r="D165" s="80">
        <f t="shared" si="529"/>
        <v>1803</v>
      </c>
      <c r="E165" s="295">
        <f t="shared" si="530"/>
        <v>1844</v>
      </c>
      <c r="F165" s="81">
        <v>1803</v>
      </c>
      <c r="G165" s="81">
        <f t="shared" si="531"/>
        <v>1844</v>
      </c>
      <c r="H165" s="81">
        <f t="shared" si="532"/>
        <v>41</v>
      </c>
      <c r="I165" s="81"/>
      <c r="J165" s="81"/>
      <c r="K165" s="81">
        <v>41</v>
      </c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>
        <v>0</v>
      </c>
      <c r="AB165" s="81">
        <f t="shared" si="533"/>
        <v>0</v>
      </c>
      <c r="AC165" s="81">
        <f t="shared" si="534"/>
        <v>0</v>
      </c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>
        <v>0</v>
      </c>
      <c r="AO165" s="81">
        <f t="shared" si="535"/>
        <v>0</v>
      </c>
      <c r="AP165" s="81">
        <f t="shared" si="536"/>
        <v>0</v>
      </c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>
        <v>0</v>
      </c>
      <c r="BB165" s="81">
        <f t="shared" si="537"/>
        <v>0</v>
      </c>
      <c r="BC165" s="98">
        <f t="shared" si="538"/>
        <v>0</v>
      </c>
      <c r="BD165" s="98"/>
      <c r="BE165" s="98"/>
      <c r="BF165" s="98"/>
      <c r="BG165" s="98"/>
      <c r="BH165" s="98"/>
      <c r="BI165" s="81"/>
      <c r="BJ165" s="81">
        <f t="shared" si="539"/>
        <v>0</v>
      </c>
      <c r="BK165" s="81">
        <f t="shared" si="540"/>
        <v>0</v>
      </c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82" t="s">
        <v>683</v>
      </c>
      <c r="BW165" s="85"/>
      <c r="BX165" s="24"/>
    </row>
    <row r="166" spans="1:76" s="198" customFormat="1" ht="24" x14ac:dyDescent="0.2">
      <c r="A166" s="110"/>
      <c r="B166" s="245"/>
      <c r="C166" s="285" t="s">
        <v>634</v>
      </c>
      <c r="D166" s="80">
        <f t="shared" si="529"/>
        <v>0</v>
      </c>
      <c r="E166" s="295">
        <f t="shared" si="530"/>
        <v>3</v>
      </c>
      <c r="F166" s="81">
        <v>582</v>
      </c>
      <c r="G166" s="81">
        <f t="shared" si="531"/>
        <v>584</v>
      </c>
      <c r="H166" s="81">
        <f t="shared" si="532"/>
        <v>2</v>
      </c>
      <c r="I166" s="81"/>
      <c r="J166" s="81"/>
      <c r="K166" s="81">
        <v>2</v>
      </c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>
        <f>1-1</f>
        <v>0</v>
      </c>
      <c r="X166" s="81"/>
      <c r="Y166" s="81"/>
      <c r="Z166" s="81"/>
      <c r="AA166" s="81">
        <v>0</v>
      </c>
      <c r="AB166" s="81">
        <f t="shared" si="533"/>
        <v>0</v>
      </c>
      <c r="AC166" s="81">
        <f t="shared" si="534"/>
        <v>0</v>
      </c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>
        <v>0</v>
      </c>
      <c r="AO166" s="81">
        <f t="shared" si="535"/>
        <v>0</v>
      </c>
      <c r="AP166" s="81">
        <f t="shared" si="536"/>
        <v>0</v>
      </c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>
        <v>0</v>
      </c>
      <c r="BB166" s="81">
        <f t="shared" si="537"/>
        <v>0</v>
      </c>
      <c r="BC166" s="98">
        <f t="shared" si="538"/>
        <v>0</v>
      </c>
      <c r="BD166" s="98"/>
      <c r="BE166" s="98"/>
      <c r="BF166" s="98"/>
      <c r="BG166" s="98"/>
      <c r="BH166" s="98"/>
      <c r="BI166" s="81">
        <v>-582</v>
      </c>
      <c r="BJ166" s="81">
        <f t="shared" si="539"/>
        <v>-581</v>
      </c>
      <c r="BK166" s="81">
        <f t="shared" si="540"/>
        <v>1</v>
      </c>
      <c r="BL166" s="98"/>
      <c r="BM166" s="98"/>
      <c r="BN166" s="98"/>
      <c r="BO166" s="98"/>
      <c r="BP166" s="98"/>
      <c r="BQ166" s="98"/>
      <c r="BR166" s="98"/>
      <c r="BS166" s="98">
        <v>1</v>
      </c>
      <c r="BT166" s="98"/>
      <c r="BU166" s="98"/>
      <c r="BV166" s="82" t="s">
        <v>685</v>
      </c>
      <c r="BW166" s="85"/>
      <c r="BX166" s="24"/>
    </row>
    <row r="167" spans="1:76" s="198" customFormat="1" ht="12.75" x14ac:dyDescent="0.2">
      <c r="A167" s="110"/>
      <c r="B167" s="245"/>
      <c r="C167" s="341" t="s">
        <v>767</v>
      </c>
      <c r="D167" s="80">
        <f t="shared" ref="D167" si="613">F167+AA167+AN167+BA167+BI167</f>
        <v>0</v>
      </c>
      <c r="E167" s="295">
        <f t="shared" ref="E167" si="614">G167+AB167+AO167+BB167+BJ167</f>
        <v>0</v>
      </c>
      <c r="F167" s="81"/>
      <c r="G167" s="81">
        <f t="shared" ref="G167" si="615">F167+H167</f>
        <v>0</v>
      </c>
      <c r="H167" s="81">
        <f t="shared" ref="H167" si="616">SUM(I167:Z167)</f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>
        <f t="shared" ref="AB167" si="617">AA167+AC167</f>
        <v>0</v>
      </c>
      <c r="AC167" s="81">
        <f t="shared" ref="AC167" si="618">SUM(AD167:AM167)</f>
        <v>0</v>
      </c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>
        <f t="shared" ref="AO167" si="619">AN167+AP167</f>
        <v>0</v>
      </c>
      <c r="AP167" s="81">
        <f t="shared" ref="AP167" si="620">SUM(AQ167:AZ167)</f>
        <v>0</v>
      </c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>
        <f t="shared" ref="BB167" si="621">BA167+BC167</f>
        <v>0</v>
      </c>
      <c r="BC167" s="98">
        <f t="shared" ref="BC167" si="622">SUM(BD167:BH167)</f>
        <v>0</v>
      </c>
      <c r="BD167" s="98"/>
      <c r="BE167" s="98"/>
      <c r="BF167" s="98"/>
      <c r="BG167" s="98"/>
      <c r="BH167" s="98"/>
      <c r="BI167" s="81"/>
      <c r="BJ167" s="81">
        <f t="shared" ref="BJ167" si="623">BI167+BK167</f>
        <v>0</v>
      </c>
      <c r="BK167" s="81">
        <f t="shared" ref="BK167" si="624">SUM(BL167:BU167)</f>
        <v>0</v>
      </c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82" t="s">
        <v>766</v>
      </c>
      <c r="BW167" s="85"/>
      <c r="BX167" s="24"/>
    </row>
    <row r="168" spans="1:76" ht="24" customHeight="1" x14ac:dyDescent="0.2">
      <c r="A168" s="108">
        <v>90000051487</v>
      </c>
      <c r="B168" s="241" t="s">
        <v>137</v>
      </c>
      <c r="C168" s="285" t="s">
        <v>227</v>
      </c>
      <c r="D168" s="80">
        <f t="shared" si="529"/>
        <v>931862</v>
      </c>
      <c r="E168" s="295">
        <f t="shared" si="530"/>
        <v>1183533</v>
      </c>
      <c r="F168" s="81">
        <v>407899</v>
      </c>
      <c r="G168" s="81">
        <f t="shared" si="531"/>
        <v>496669</v>
      </c>
      <c r="H168" s="81">
        <f t="shared" si="532"/>
        <v>88770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>
        <v>88770</v>
      </c>
      <c r="Z168" s="81"/>
      <c r="AA168" s="81">
        <v>513962</v>
      </c>
      <c r="AB168" s="81">
        <f t="shared" si="533"/>
        <v>668845</v>
      </c>
      <c r="AC168" s="81">
        <f t="shared" si="534"/>
        <v>154883</v>
      </c>
      <c r="AD168" s="81">
        <v>2226</v>
      </c>
      <c r="AE168" s="81">
        <v>5864</v>
      </c>
      <c r="AF168" s="81"/>
      <c r="AG168" s="81"/>
      <c r="AH168" s="81"/>
      <c r="AI168" s="81"/>
      <c r="AJ168" s="81">
        <f>4620+142173</f>
        <v>146793</v>
      </c>
      <c r="AK168" s="81"/>
      <c r="AL168" s="81"/>
      <c r="AM168" s="81"/>
      <c r="AN168" s="81">
        <v>10001</v>
      </c>
      <c r="AO168" s="81">
        <f t="shared" si="535"/>
        <v>18019</v>
      </c>
      <c r="AP168" s="81">
        <f t="shared" si="536"/>
        <v>8018</v>
      </c>
      <c r="AQ168" s="81"/>
      <c r="AR168" s="81"/>
      <c r="AS168" s="81"/>
      <c r="AT168" s="81"/>
      <c r="AU168" s="81">
        <v>100</v>
      </c>
      <c r="AV168" s="81"/>
      <c r="AW168" s="81"/>
      <c r="AX168" s="81">
        <v>7918</v>
      </c>
      <c r="AY168" s="81"/>
      <c r="AZ168" s="81"/>
      <c r="BA168" s="81">
        <v>0</v>
      </c>
      <c r="BB168" s="81">
        <f t="shared" si="537"/>
        <v>0</v>
      </c>
      <c r="BC168" s="98">
        <f t="shared" si="538"/>
        <v>0</v>
      </c>
      <c r="BD168" s="98"/>
      <c r="BE168" s="98"/>
      <c r="BF168" s="98"/>
      <c r="BG168" s="98"/>
      <c r="BH168" s="98"/>
      <c r="BI168" s="81"/>
      <c r="BJ168" s="81">
        <f t="shared" si="539"/>
        <v>0</v>
      </c>
      <c r="BK168" s="81">
        <f t="shared" si="540"/>
        <v>0</v>
      </c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82" t="s">
        <v>374</v>
      </c>
      <c r="BW168" s="85"/>
      <c r="BX168" s="24"/>
    </row>
    <row r="169" spans="1:76" s="103" customFormat="1" x14ac:dyDescent="0.2">
      <c r="A169" s="108"/>
      <c r="B169" s="242"/>
      <c r="C169" s="285" t="s">
        <v>240</v>
      </c>
      <c r="D169" s="80">
        <f t="shared" si="529"/>
        <v>89592</v>
      </c>
      <c r="E169" s="295">
        <f t="shared" si="530"/>
        <v>132948</v>
      </c>
      <c r="F169" s="81">
        <v>89592</v>
      </c>
      <c r="G169" s="81">
        <f t="shared" si="531"/>
        <v>104969</v>
      </c>
      <c r="H169" s="81">
        <f t="shared" si="532"/>
        <v>15377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>
        <v>15377</v>
      </c>
      <c r="Z169" s="81"/>
      <c r="AA169" s="81">
        <v>0</v>
      </c>
      <c r="AB169" s="81">
        <f t="shared" si="533"/>
        <v>27979</v>
      </c>
      <c r="AC169" s="81">
        <f t="shared" si="534"/>
        <v>27979</v>
      </c>
      <c r="AD169" s="81"/>
      <c r="AE169" s="81"/>
      <c r="AF169" s="81"/>
      <c r="AG169" s="81"/>
      <c r="AH169" s="81"/>
      <c r="AI169" s="81"/>
      <c r="AJ169" s="81">
        <v>27979</v>
      </c>
      <c r="AK169" s="81"/>
      <c r="AL169" s="81"/>
      <c r="AM169" s="81"/>
      <c r="AN169" s="81">
        <v>0</v>
      </c>
      <c r="AO169" s="81">
        <f t="shared" si="535"/>
        <v>0</v>
      </c>
      <c r="AP169" s="81">
        <f t="shared" si="536"/>
        <v>0</v>
      </c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>
        <v>0</v>
      </c>
      <c r="BB169" s="81">
        <f t="shared" si="537"/>
        <v>0</v>
      </c>
      <c r="BC169" s="98">
        <f t="shared" si="538"/>
        <v>0</v>
      </c>
      <c r="BD169" s="98"/>
      <c r="BE169" s="98"/>
      <c r="BF169" s="98"/>
      <c r="BG169" s="98"/>
      <c r="BH169" s="98"/>
      <c r="BI169" s="81"/>
      <c r="BJ169" s="81">
        <f t="shared" si="539"/>
        <v>0</v>
      </c>
      <c r="BK169" s="81">
        <f t="shared" si="540"/>
        <v>0</v>
      </c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82" t="s">
        <v>375</v>
      </c>
      <c r="BW169" s="85"/>
      <c r="BX169" s="24"/>
    </row>
    <row r="170" spans="1:76" s="193" customFormat="1" ht="24" x14ac:dyDescent="0.2">
      <c r="A170" s="108"/>
      <c r="B170" s="242"/>
      <c r="C170" s="285" t="s">
        <v>543</v>
      </c>
      <c r="D170" s="80">
        <f t="shared" si="529"/>
        <v>4345</v>
      </c>
      <c r="E170" s="295">
        <f t="shared" si="530"/>
        <v>5792</v>
      </c>
      <c r="F170" s="81">
        <v>4345</v>
      </c>
      <c r="G170" s="81">
        <f t="shared" si="531"/>
        <v>5792</v>
      </c>
      <c r="H170" s="81">
        <f t="shared" si="532"/>
        <v>1447</v>
      </c>
      <c r="I170" s="81"/>
      <c r="J170" s="81"/>
      <c r="K170" s="81">
        <v>1447</v>
      </c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>
        <v>0</v>
      </c>
      <c r="AB170" s="81">
        <f t="shared" si="533"/>
        <v>0</v>
      </c>
      <c r="AC170" s="81">
        <f t="shared" si="534"/>
        <v>0</v>
      </c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>
        <v>0</v>
      </c>
      <c r="AO170" s="81">
        <f t="shared" si="535"/>
        <v>0</v>
      </c>
      <c r="AP170" s="81">
        <f t="shared" si="536"/>
        <v>0</v>
      </c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>
        <v>0</v>
      </c>
      <c r="BB170" s="81">
        <f t="shared" si="537"/>
        <v>0</v>
      </c>
      <c r="BC170" s="98">
        <f t="shared" si="538"/>
        <v>0</v>
      </c>
      <c r="BD170" s="98"/>
      <c r="BE170" s="98"/>
      <c r="BF170" s="98"/>
      <c r="BG170" s="98"/>
      <c r="BH170" s="98"/>
      <c r="BI170" s="81"/>
      <c r="BJ170" s="81">
        <f t="shared" si="539"/>
        <v>0</v>
      </c>
      <c r="BK170" s="81">
        <f t="shared" si="540"/>
        <v>0</v>
      </c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82" t="s">
        <v>686</v>
      </c>
      <c r="BW170" s="85"/>
      <c r="BX170" s="24"/>
    </row>
    <row r="171" spans="1:76" s="198" customFormat="1" ht="24" x14ac:dyDescent="0.2">
      <c r="A171" s="108"/>
      <c r="B171" s="242"/>
      <c r="C171" s="285" t="s">
        <v>635</v>
      </c>
      <c r="D171" s="80">
        <f t="shared" si="529"/>
        <v>5660</v>
      </c>
      <c r="E171" s="295">
        <f t="shared" si="530"/>
        <v>2119</v>
      </c>
      <c r="F171" s="81">
        <v>5660</v>
      </c>
      <c r="G171" s="81">
        <f t="shared" si="531"/>
        <v>2119</v>
      </c>
      <c r="H171" s="81">
        <f t="shared" si="532"/>
        <v>-3541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>
        <v>-3541</v>
      </c>
      <c r="Z171" s="81"/>
      <c r="AA171" s="81">
        <v>0</v>
      </c>
      <c r="AB171" s="81">
        <f t="shared" si="533"/>
        <v>0</v>
      </c>
      <c r="AC171" s="81">
        <f t="shared" si="534"/>
        <v>0</v>
      </c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>
        <v>0</v>
      </c>
      <c r="AO171" s="81">
        <f t="shared" si="535"/>
        <v>0</v>
      </c>
      <c r="AP171" s="81">
        <f t="shared" si="536"/>
        <v>0</v>
      </c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>
        <v>0</v>
      </c>
      <c r="BB171" s="81">
        <f t="shared" si="537"/>
        <v>0</v>
      </c>
      <c r="BC171" s="98">
        <f t="shared" si="538"/>
        <v>0</v>
      </c>
      <c r="BD171" s="98"/>
      <c r="BE171" s="98"/>
      <c r="BF171" s="98"/>
      <c r="BG171" s="98"/>
      <c r="BH171" s="98"/>
      <c r="BI171" s="81"/>
      <c r="BJ171" s="81">
        <f t="shared" si="539"/>
        <v>0</v>
      </c>
      <c r="BK171" s="81">
        <f t="shared" si="540"/>
        <v>0</v>
      </c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82" t="s">
        <v>687</v>
      </c>
      <c r="BW171" s="85"/>
      <c r="BX171" s="24"/>
    </row>
    <row r="172" spans="1:76" s="198" customFormat="1" ht="24" x14ac:dyDescent="0.2">
      <c r="A172" s="108"/>
      <c r="B172" s="242"/>
      <c r="C172" s="402" t="s">
        <v>846</v>
      </c>
      <c r="D172" s="80">
        <f t="shared" si="529"/>
        <v>0</v>
      </c>
      <c r="E172" s="295">
        <f t="shared" si="530"/>
        <v>6356</v>
      </c>
      <c r="F172" s="81"/>
      <c r="G172" s="81">
        <f t="shared" si="531"/>
        <v>0</v>
      </c>
      <c r="H172" s="81">
        <f t="shared" si="532"/>
        <v>0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>
        <f t="shared" si="533"/>
        <v>6356</v>
      </c>
      <c r="AC172" s="81">
        <f t="shared" si="534"/>
        <v>6356</v>
      </c>
      <c r="AD172" s="81"/>
      <c r="AE172" s="81"/>
      <c r="AF172" s="81"/>
      <c r="AG172" s="81"/>
      <c r="AH172" s="81"/>
      <c r="AI172" s="81"/>
      <c r="AJ172" s="81">
        <v>6356</v>
      </c>
      <c r="AK172" s="81"/>
      <c r="AL172" s="81"/>
      <c r="AM172" s="81"/>
      <c r="AN172" s="81"/>
      <c r="AO172" s="81">
        <f t="shared" si="535"/>
        <v>0</v>
      </c>
      <c r="AP172" s="81">
        <f t="shared" si="536"/>
        <v>0</v>
      </c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>
        <f t="shared" si="537"/>
        <v>0</v>
      </c>
      <c r="BC172" s="98">
        <f t="shared" si="538"/>
        <v>0</v>
      </c>
      <c r="BD172" s="98"/>
      <c r="BE172" s="98"/>
      <c r="BF172" s="98"/>
      <c r="BG172" s="98"/>
      <c r="BH172" s="98"/>
      <c r="BI172" s="81"/>
      <c r="BJ172" s="81">
        <f t="shared" si="539"/>
        <v>0</v>
      </c>
      <c r="BK172" s="81">
        <f t="shared" si="540"/>
        <v>0</v>
      </c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82" t="s">
        <v>845</v>
      </c>
      <c r="BW172" s="85"/>
      <c r="BX172" s="24"/>
    </row>
    <row r="173" spans="1:76" ht="26.25" customHeight="1" x14ac:dyDescent="0.2">
      <c r="A173" s="108">
        <v>90000051519</v>
      </c>
      <c r="B173" s="241" t="s">
        <v>710</v>
      </c>
      <c r="C173" s="285" t="s">
        <v>227</v>
      </c>
      <c r="D173" s="80">
        <f t="shared" si="529"/>
        <v>1470093</v>
      </c>
      <c r="E173" s="295">
        <f t="shared" si="530"/>
        <v>1492290</v>
      </c>
      <c r="F173" s="81">
        <v>672007</v>
      </c>
      <c r="G173" s="81">
        <f t="shared" si="531"/>
        <v>663536</v>
      </c>
      <c r="H173" s="81">
        <f t="shared" si="532"/>
        <v>-8471</v>
      </c>
      <c r="I173" s="81"/>
      <c r="J173" s="81"/>
      <c r="K173" s="81">
        <v>-1583</v>
      </c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>
        <v>-6888</v>
      </c>
      <c r="Z173" s="81"/>
      <c r="AA173" s="81">
        <v>779637</v>
      </c>
      <c r="AB173" s="81">
        <f t="shared" si="533"/>
        <v>801354</v>
      </c>
      <c r="AC173" s="81">
        <f t="shared" si="534"/>
        <v>21717</v>
      </c>
      <c r="AD173" s="81">
        <v>4536</v>
      </c>
      <c r="AE173" s="81">
        <v>12648</v>
      </c>
      <c r="AF173" s="81"/>
      <c r="AG173" s="81"/>
      <c r="AH173" s="81">
        <v>-3</v>
      </c>
      <c r="AI173" s="81"/>
      <c r="AJ173" s="81">
        <v>4536</v>
      </c>
      <c r="AK173" s="81"/>
      <c r="AL173" s="81"/>
      <c r="AM173" s="81"/>
      <c r="AN173" s="81">
        <v>18449</v>
      </c>
      <c r="AO173" s="81">
        <f t="shared" si="535"/>
        <v>27400</v>
      </c>
      <c r="AP173" s="81">
        <f t="shared" si="536"/>
        <v>8951</v>
      </c>
      <c r="AQ173" s="81">
        <v>2063</v>
      </c>
      <c r="AR173" s="81"/>
      <c r="AS173" s="81"/>
      <c r="AT173" s="81"/>
      <c r="AU173" s="81"/>
      <c r="AV173" s="81"/>
      <c r="AW173" s="81"/>
      <c r="AX173" s="81">
        <v>6888</v>
      </c>
      <c r="AY173" s="81"/>
      <c r="AZ173" s="81"/>
      <c r="BA173" s="81">
        <v>0</v>
      </c>
      <c r="BB173" s="81">
        <f t="shared" si="537"/>
        <v>0</v>
      </c>
      <c r="BC173" s="98">
        <f t="shared" si="538"/>
        <v>0</v>
      </c>
      <c r="BD173" s="98"/>
      <c r="BE173" s="98"/>
      <c r="BF173" s="98"/>
      <c r="BG173" s="98"/>
      <c r="BH173" s="98"/>
      <c r="BI173" s="81"/>
      <c r="BJ173" s="81">
        <f t="shared" si="539"/>
        <v>0</v>
      </c>
      <c r="BK173" s="81">
        <f t="shared" si="540"/>
        <v>0</v>
      </c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82" t="s">
        <v>376</v>
      </c>
      <c r="BW173" s="85"/>
      <c r="BX173" s="24"/>
    </row>
    <row r="174" spans="1:76" x14ac:dyDescent="0.2">
      <c r="A174" s="108"/>
      <c r="B174" s="242"/>
      <c r="C174" s="285" t="s">
        <v>240</v>
      </c>
      <c r="D174" s="80">
        <f t="shared" si="529"/>
        <v>188524</v>
      </c>
      <c r="E174" s="295">
        <f t="shared" si="530"/>
        <v>189341</v>
      </c>
      <c r="F174" s="81">
        <v>121957</v>
      </c>
      <c r="G174" s="81">
        <f t="shared" si="531"/>
        <v>121957</v>
      </c>
      <c r="H174" s="81">
        <f t="shared" si="532"/>
        <v>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>
        <v>66567</v>
      </c>
      <c r="AB174" s="81">
        <f t="shared" si="533"/>
        <v>67384</v>
      </c>
      <c r="AC174" s="81">
        <f t="shared" si="534"/>
        <v>817</v>
      </c>
      <c r="AD174" s="81"/>
      <c r="AE174" s="81">
        <v>817</v>
      </c>
      <c r="AF174" s="81"/>
      <c r="AG174" s="81"/>
      <c r="AH174" s="81"/>
      <c r="AI174" s="81"/>
      <c r="AJ174" s="81"/>
      <c r="AK174" s="81"/>
      <c r="AL174" s="81"/>
      <c r="AM174" s="81"/>
      <c r="AN174" s="81">
        <v>0</v>
      </c>
      <c r="AO174" s="81">
        <f t="shared" si="535"/>
        <v>0</v>
      </c>
      <c r="AP174" s="81">
        <f t="shared" si="536"/>
        <v>0</v>
      </c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>
        <v>0</v>
      </c>
      <c r="BB174" s="81">
        <f t="shared" si="537"/>
        <v>0</v>
      </c>
      <c r="BC174" s="98">
        <f t="shared" si="538"/>
        <v>0</v>
      </c>
      <c r="BD174" s="98"/>
      <c r="BE174" s="98"/>
      <c r="BF174" s="98"/>
      <c r="BG174" s="98"/>
      <c r="BH174" s="98"/>
      <c r="BI174" s="81"/>
      <c r="BJ174" s="81">
        <f t="shared" si="539"/>
        <v>0</v>
      </c>
      <c r="BK174" s="81">
        <f t="shared" si="540"/>
        <v>0</v>
      </c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82" t="s">
        <v>377</v>
      </c>
      <c r="BW174" s="85"/>
      <c r="BX174" s="24"/>
    </row>
    <row r="175" spans="1:76" ht="24" customHeight="1" x14ac:dyDescent="0.2">
      <c r="A175" s="108">
        <v>90009251338</v>
      </c>
      <c r="B175" s="241" t="s">
        <v>474</v>
      </c>
      <c r="C175" s="285" t="s">
        <v>227</v>
      </c>
      <c r="D175" s="80">
        <f t="shared" si="529"/>
        <v>418220</v>
      </c>
      <c r="E175" s="295">
        <f t="shared" si="530"/>
        <v>428907</v>
      </c>
      <c r="F175" s="81">
        <v>288028</v>
      </c>
      <c r="G175" s="81">
        <f t="shared" si="531"/>
        <v>289904</v>
      </c>
      <c r="H175" s="81">
        <f t="shared" si="532"/>
        <v>1876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>
        <v>1876</v>
      </c>
      <c r="Z175" s="81"/>
      <c r="AA175" s="81">
        <v>126492</v>
      </c>
      <c r="AB175" s="81">
        <f t="shared" si="533"/>
        <v>130704</v>
      </c>
      <c r="AC175" s="81">
        <f t="shared" si="534"/>
        <v>4212</v>
      </c>
      <c r="AD175" s="81">
        <f>791+86</f>
        <v>877</v>
      </c>
      <c r="AE175" s="81">
        <f>2084+460</f>
        <v>2544</v>
      </c>
      <c r="AF175" s="81"/>
      <c r="AG175" s="81"/>
      <c r="AH175" s="81"/>
      <c r="AI175" s="81"/>
      <c r="AJ175" s="81">
        <v>791</v>
      </c>
      <c r="AK175" s="81"/>
      <c r="AL175" s="81"/>
      <c r="AM175" s="81"/>
      <c r="AN175" s="81">
        <v>3700</v>
      </c>
      <c r="AO175" s="81">
        <f t="shared" si="535"/>
        <v>8299</v>
      </c>
      <c r="AP175" s="81">
        <f t="shared" si="536"/>
        <v>4599</v>
      </c>
      <c r="AQ175" s="81"/>
      <c r="AR175" s="81"/>
      <c r="AS175" s="81"/>
      <c r="AT175" s="81"/>
      <c r="AU175" s="81"/>
      <c r="AV175" s="81"/>
      <c r="AW175" s="81"/>
      <c r="AX175" s="81">
        <v>4599</v>
      </c>
      <c r="AY175" s="81"/>
      <c r="AZ175" s="81"/>
      <c r="BA175" s="81">
        <v>0</v>
      </c>
      <c r="BB175" s="81">
        <f t="shared" si="537"/>
        <v>0</v>
      </c>
      <c r="BC175" s="98">
        <f t="shared" si="538"/>
        <v>0</v>
      </c>
      <c r="BD175" s="98"/>
      <c r="BE175" s="98"/>
      <c r="BF175" s="98"/>
      <c r="BG175" s="98"/>
      <c r="BH175" s="98"/>
      <c r="BI175" s="81"/>
      <c r="BJ175" s="81">
        <f t="shared" si="539"/>
        <v>0</v>
      </c>
      <c r="BK175" s="81">
        <f t="shared" si="540"/>
        <v>0</v>
      </c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82" t="s">
        <v>378</v>
      </c>
      <c r="BW175" s="85"/>
      <c r="BX175" s="24"/>
    </row>
    <row r="176" spans="1:76" x14ac:dyDescent="0.2">
      <c r="A176" s="108"/>
      <c r="B176" s="242"/>
      <c r="C176" s="285" t="s">
        <v>240</v>
      </c>
      <c r="D176" s="80">
        <f t="shared" si="529"/>
        <v>29590</v>
      </c>
      <c r="E176" s="295">
        <f t="shared" si="530"/>
        <v>29590</v>
      </c>
      <c r="F176" s="81">
        <v>15321</v>
      </c>
      <c r="G176" s="81">
        <f t="shared" si="531"/>
        <v>15321</v>
      </c>
      <c r="H176" s="81">
        <f t="shared" si="532"/>
        <v>0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>
        <v>14269</v>
      </c>
      <c r="AB176" s="81">
        <f t="shared" si="533"/>
        <v>14269</v>
      </c>
      <c r="AC176" s="81">
        <f t="shared" si="534"/>
        <v>0</v>
      </c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>
        <v>0</v>
      </c>
      <c r="AO176" s="81">
        <f t="shared" si="535"/>
        <v>0</v>
      </c>
      <c r="AP176" s="81">
        <f t="shared" si="536"/>
        <v>0</v>
      </c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>
        <v>0</v>
      </c>
      <c r="BB176" s="81">
        <f t="shared" si="537"/>
        <v>0</v>
      </c>
      <c r="BC176" s="98">
        <f t="shared" si="538"/>
        <v>0</v>
      </c>
      <c r="BD176" s="98"/>
      <c r="BE176" s="98"/>
      <c r="BF176" s="98"/>
      <c r="BG176" s="98"/>
      <c r="BH176" s="98"/>
      <c r="BI176" s="81"/>
      <c r="BJ176" s="81">
        <f t="shared" si="539"/>
        <v>0</v>
      </c>
      <c r="BK176" s="81">
        <f t="shared" si="540"/>
        <v>0</v>
      </c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82" t="s">
        <v>379</v>
      </c>
      <c r="BW176" s="85"/>
      <c r="BX176" s="24"/>
    </row>
    <row r="177" spans="1:76" ht="24" x14ac:dyDescent="0.2">
      <c r="A177" s="108">
        <v>90000051576</v>
      </c>
      <c r="B177" s="241" t="s">
        <v>473</v>
      </c>
      <c r="C177" s="285" t="s">
        <v>227</v>
      </c>
      <c r="D177" s="80">
        <f t="shared" si="529"/>
        <v>611306</v>
      </c>
      <c r="E177" s="295">
        <f t="shared" si="530"/>
        <v>620714</v>
      </c>
      <c r="F177" s="81">
        <v>425843</v>
      </c>
      <c r="G177" s="81">
        <f t="shared" si="531"/>
        <v>419582</v>
      </c>
      <c r="H177" s="81">
        <f t="shared" si="532"/>
        <v>-6261</v>
      </c>
      <c r="I177" s="81"/>
      <c r="J177" s="81"/>
      <c r="K177" s="81">
        <v>-4761</v>
      </c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>
        <v>-1500</v>
      </c>
      <c r="X177" s="81"/>
      <c r="Y177" s="81"/>
      <c r="Z177" s="81"/>
      <c r="AA177" s="81">
        <v>172004</v>
      </c>
      <c r="AB177" s="81">
        <f t="shared" si="533"/>
        <v>176163</v>
      </c>
      <c r="AC177" s="81">
        <f t="shared" si="534"/>
        <v>4159</v>
      </c>
      <c r="AD177" s="81">
        <v>973</v>
      </c>
      <c r="AE177" s="81">
        <v>3190</v>
      </c>
      <c r="AF177" s="81"/>
      <c r="AG177" s="81"/>
      <c r="AH177" s="81">
        <v>-4</v>
      </c>
      <c r="AI177" s="81"/>
      <c r="AJ177" s="81"/>
      <c r="AK177" s="81"/>
      <c r="AL177" s="81"/>
      <c r="AM177" s="81"/>
      <c r="AN177" s="81">
        <v>13459</v>
      </c>
      <c r="AO177" s="81">
        <f t="shared" si="535"/>
        <v>24969</v>
      </c>
      <c r="AP177" s="81">
        <f t="shared" si="536"/>
        <v>11510</v>
      </c>
      <c r="AQ177" s="81">
        <v>5456</v>
      </c>
      <c r="AR177" s="81"/>
      <c r="AS177" s="81"/>
      <c r="AT177" s="81"/>
      <c r="AU177" s="81"/>
      <c r="AV177" s="81"/>
      <c r="AW177" s="81">
        <v>6054</v>
      </c>
      <c r="AX177" s="81"/>
      <c r="AY177" s="81"/>
      <c r="AZ177" s="81"/>
      <c r="BA177" s="81">
        <v>0</v>
      </c>
      <c r="BB177" s="81">
        <f t="shared" si="537"/>
        <v>0</v>
      </c>
      <c r="BC177" s="98">
        <f t="shared" si="538"/>
        <v>0</v>
      </c>
      <c r="BD177" s="98"/>
      <c r="BE177" s="98"/>
      <c r="BF177" s="98"/>
      <c r="BG177" s="98"/>
      <c r="BH177" s="98"/>
      <c r="BI177" s="81"/>
      <c r="BJ177" s="81">
        <f t="shared" si="539"/>
        <v>0</v>
      </c>
      <c r="BK177" s="81">
        <f t="shared" si="540"/>
        <v>0</v>
      </c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82" t="s">
        <v>380</v>
      </c>
      <c r="BW177" s="85"/>
      <c r="BX177" s="24"/>
    </row>
    <row r="178" spans="1:76" x14ac:dyDescent="0.2">
      <c r="A178" s="108"/>
      <c r="B178" s="242"/>
      <c r="C178" s="285" t="s">
        <v>240</v>
      </c>
      <c r="D178" s="80">
        <f t="shared" si="529"/>
        <v>53862</v>
      </c>
      <c r="E178" s="295">
        <f t="shared" si="530"/>
        <v>54724</v>
      </c>
      <c r="F178" s="81">
        <v>36447</v>
      </c>
      <c r="G178" s="81">
        <f t="shared" si="531"/>
        <v>36447</v>
      </c>
      <c r="H178" s="81">
        <f t="shared" si="532"/>
        <v>0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>
        <v>17415</v>
      </c>
      <c r="AB178" s="81">
        <f t="shared" si="533"/>
        <v>18277</v>
      </c>
      <c r="AC178" s="81">
        <f t="shared" si="534"/>
        <v>862</v>
      </c>
      <c r="AD178" s="81"/>
      <c r="AE178" s="81">
        <v>862</v>
      </c>
      <c r="AF178" s="81"/>
      <c r="AG178" s="81"/>
      <c r="AH178" s="81"/>
      <c r="AI178" s="81"/>
      <c r="AJ178" s="81"/>
      <c r="AK178" s="81"/>
      <c r="AL178" s="81"/>
      <c r="AM178" s="81"/>
      <c r="AN178" s="81">
        <v>0</v>
      </c>
      <c r="AO178" s="81">
        <f t="shared" si="535"/>
        <v>0</v>
      </c>
      <c r="AP178" s="81">
        <f t="shared" si="536"/>
        <v>0</v>
      </c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>
        <v>0</v>
      </c>
      <c r="BB178" s="81">
        <f t="shared" si="537"/>
        <v>0</v>
      </c>
      <c r="BC178" s="98">
        <f t="shared" si="538"/>
        <v>0</v>
      </c>
      <c r="BD178" s="98"/>
      <c r="BE178" s="98"/>
      <c r="BF178" s="98"/>
      <c r="BG178" s="98"/>
      <c r="BH178" s="98"/>
      <c r="BI178" s="81"/>
      <c r="BJ178" s="81">
        <f t="shared" si="539"/>
        <v>0</v>
      </c>
      <c r="BK178" s="81">
        <f t="shared" si="540"/>
        <v>0</v>
      </c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82" t="s">
        <v>381</v>
      </c>
      <c r="BW178" s="85"/>
      <c r="BX178" s="24"/>
    </row>
    <row r="179" spans="1:76" s="198" customFormat="1" ht="24" x14ac:dyDescent="0.2">
      <c r="A179" s="108"/>
      <c r="B179" s="242"/>
      <c r="C179" s="285" t="s">
        <v>636</v>
      </c>
      <c r="D179" s="80">
        <f t="shared" si="529"/>
        <v>8775</v>
      </c>
      <c r="E179" s="295">
        <f t="shared" si="530"/>
        <v>9087</v>
      </c>
      <c r="F179" s="81">
        <v>8775</v>
      </c>
      <c r="G179" s="81">
        <f t="shared" si="531"/>
        <v>9087</v>
      </c>
      <c r="H179" s="81">
        <f t="shared" si="532"/>
        <v>312</v>
      </c>
      <c r="I179" s="81"/>
      <c r="J179" s="81"/>
      <c r="K179" s="81">
        <v>312</v>
      </c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>
        <v>0</v>
      </c>
      <c r="AB179" s="81">
        <f t="shared" si="533"/>
        <v>0</v>
      </c>
      <c r="AC179" s="81">
        <f t="shared" si="534"/>
        <v>0</v>
      </c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>
        <v>0</v>
      </c>
      <c r="AO179" s="81">
        <f t="shared" si="535"/>
        <v>0</v>
      </c>
      <c r="AP179" s="81">
        <f t="shared" si="536"/>
        <v>0</v>
      </c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>
        <v>0</v>
      </c>
      <c r="BB179" s="81">
        <f t="shared" si="537"/>
        <v>0</v>
      </c>
      <c r="BC179" s="98">
        <f t="shared" si="538"/>
        <v>0</v>
      </c>
      <c r="BD179" s="98"/>
      <c r="BE179" s="98"/>
      <c r="BF179" s="98"/>
      <c r="BG179" s="98"/>
      <c r="BH179" s="98"/>
      <c r="BI179" s="81"/>
      <c r="BJ179" s="81">
        <f t="shared" si="539"/>
        <v>0</v>
      </c>
      <c r="BK179" s="81">
        <f t="shared" si="540"/>
        <v>0</v>
      </c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82" t="s">
        <v>688</v>
      </c>
      <c r="BW179" s="85"/>
      <c r="BX179" s="24"/>
    </row>
    <row r="180" spans="1:76" ht="24" customHeight="1" x14ac:dyDescent="0.2">
      <c r="A180" s="108">
        <v>90000051627</v>
      </c>
      <c r="B180" s="241" t="s">
        <v>198</v>
      </c>
      <c r="C180" s="285" t="s">
        <v>227</v>
      </c>
      <c r="D180" s="80">
        <f t="shared" si="529"/>
        <v>957855</v>
      </c>
      <c r="E180" s="295">
        <f t="shared" si="530"/>
        <v>1025536</v>
      </c>
      <c r="F180" s="81">
        <v>467015</v>
      </c>
      <c r="G180" s="81">
        <f t="shared" si="531"/>
        <v>465505</v>
      </c>
      <c r="H180" s="81">
        <f t="shared" si="532"/>
        <v>-1510</v>
      </c>
      <c r="I180" s="81"/>
      <c r="J180" s="81"/>
      <c r="K180" s="81">
        <v>-1510</v>
      </c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>
        <v>475210</v>
      </c>
      <c r="AB180" s="81">
        <f t="shared" si="533"/>
        <v>540793</v>
      </c>
      <c r="AC180" s="81">
        <f t="shared" si="534"/>
        <v>65583</v>
      </c>
      <c r="AD180" s="81">
        <v>2968</v>
      </c>
      <c r="AE180" s="81">
        <v>7947</v>
      </c>
      <c r="AF180" s="81"/>
      <c r="AG180" s="81"/>
      <c r="AH180" s="81">
        <f>-1+1</f>
        <v>0</v>
      </c>
      <c r="AI180" s="81">
        <f>51515+3153</f>
        <v>54668</v>
      </c>
      <c r="AJ180" s="81"/>
      <c r="AK180" s="81"/>
      <c r="AL180" s="81"/>
      <c r="AM180" s="81"/>
      <c r="AN180" s="81">
        <v>15630</v>
      </c>
      <c r="AO180" s="81">
        <f t="shared" si="535"/>
        <v>19288</v>
      </c>
      <c r="AP180" s="81">
        <f t="shared" si="536"/>
        <v>3658</v>
      </c>
      <c r="AQ180" s="81">
        <v>3608</v>
      </c>
      <c r="AR180" s="81"/>
      <c r="AS180" s="81"/>
      <c r="AT180" s="81"/>
      <c r="AU180" s="81"/>
      <c r="AV180" s="81"/>
      <c r="AW180" s="81">
        <v>50</v>
      </c>
      <c r="AX180" s="81"/>
      <c r="AY180" s="81"/>
      <c r="AZ180" s="81"/>
      <c r="BA180" s="81">
        <v>0</v>
      </c>
      <c r="BB180" s="81">
        <f t="shared" si="537"/>
        <v>0</v>
      </c>
      <c r="BC180" s="98">
        <f t="shared" si="538"/>
        <v>0</v>
      </c>
      <c r="BD180" s="98"/>
      <c r="BE180" s="98"/>
      <c r="BF180" s="98"/>
      <c r="BG180" s="98"/>
      <c r="BH180" s="98"/>
      <c r="BI180" s="81"/>
      <c r="BJ180" s="81">
        <f t="shared" si="539"/>
        <v>-50</v>
      </c>
      <c r="BK180" s="81">
        <f t="shared" si="540"/>
        <v>-50</v>
      </c>
      <c r="BL180" s="98"/>
      <c r="BM180" s="98"/>
      <c r="BN180" s="98"/>
      <c r="BO180" s="98"/>
      <c r="BP180" s="98"/>
      <c r="BQ180" s="98"/>
      <c r="BR180" s="98"/>
      <c r="BS180" s="98">
        <v>-50</v>
      </c>
      <c r="BT180" s="98"/>
      <c r="BU180" s="98"/>
      <c r="BV180" s="82" t="s">
        <v>382</v>
      </c>
      <c r="BW180" s="85"/>
      <c r="BX180" s="24"/>
    </row>
    <row r="181" spans="1:76" x14ac:dyDescent="0.2">
      <c r="A181" s="108"/>
      <c r="B181" s="242"/>
      <c r="C181" s="285" t="s">
        <v>240</v>
      </c>
      <c r="D181" s="80">
        <f t="shared" si="529"/>
        <v>115811</v>
      </c>
      <c r="E181" s="295">
        <f t="shared" si="530"/>
        <v>115811</v>
      </c>
      <c r="F181" s="81">
        <v>75508</v>
      </c>
      <c r="G181" s="81">
        <f t="shared" si="531"/>
        <v>75508</v>
      </c>
      <c r="H181" s="81">
        <f t="shared" si="532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>
        <v>40303</v>
      </c>
      <c r="AB181" s="81">
        <f t="shared" si="533"/>
        <v>40303</v>
      </c>
      <c r="AC181" s="81">
        <f t="shared" si="534"/>
        <v>0</v>
      </c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>
        <v>0</v>
      </c>
      <c r="AO181" s="81">
        <f t="shared" si="535"/>
        <v>0</v>
      </c>
      <c r="AP181" s="81">
        <f t="shared" si="536"/>
        <v>0</v>
      </c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>
        <v>0</v>
      </c>
      <c r="BB181" s="81">
        <f t="shared" si="537"/>
        <v>0</v>
      </c>
      <c r="BC181" s="98">
        <f t="shared" si="538"/>
        <v>0</v>
      </c>
      <c r="BD181" s="98"/>
      <c r="BE181" s="98"/>
      <c r="BF181" s="98"/>
      <c r="BG181" s="98"/>
      <c r="BH181" s="98"/>
      <c r="BI181" s="81"/>
      <c r="BJ181" s="81">
        <f t="shared" si="539"/>
        <v>0</v>
      </c>
      <c r="BK181" s="81">
        <f t="shared" si="540"/>
        <v>0</v>
      </c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82" t="s">
        <v>383</v>
      </c>
      <c r="BW181" s="85"/>
      <c r="BX181" s="24"/>
    </row>
    <row r="182" spans="1:76" s="192" customFormat="1" x14ac:dyDescent="0.2">
      <c r="A182" s="108"/>
      <c r="B182" s="242"/>
      <c r="C182" s="285" t="s">
        <v>637</v>
      </c>
      <c r="D182" s="80">
        <f t="shared" si="529"/>
        <v>3069</v>
      </c>
      <c r="E182" s="295">
        <f t="shared" si="530"/>
        <v>3069</v>
      </c>
      <c r="F182" s="81">
        <v>3069</v>
      </c>
      <c r="G182" s="81">
        <f t="shared" si="531"/>
        <v>3069</v>
      </c>
      <c r="H182" s="81">
        <f t="shared" si="532"/>
        <v>0</v>
      </c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>
        <v>0</v>
      </c>
      <c r="AB182" s="81">
        <f t="shared" si="533"/>
        <v>0</v>
      </c>
      <c r="AC182" s="81">
        <f t="shared" si="534"/>
        <v>0</v>
      </c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>
        <v>0</v>
      </c>
      <c r="AO182" s="81">
        <f t="shared" si="535"/>
        <v>0</v>
      </c>
      <c r="AP182" s="81">
        <f t="shared" si="536"/>
        <v>0</v>
      </c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>
        <v>0</v>
      </c>
      <c r="BB182" s="81">
        <f t="shared" si="537"/>
        <v>0</v>
      </c>
      <c r="BC182" s="98">
        <f t="shared" si="538"/>
        <v>0</v>
      </c>
      <c r="BD182" s="98"/>
      <c r="BE182" s="98"/>
      <c r="BF182" s="98"/>
      <c r="BG182" s="98"/>
      <c r="BH182" s="98"/>
      <c r="BI182" s="81"/>
      <c r="BJ182" s="81">
        <f t="shared" si="539"/>
        <v>0</v>
      </c>
      <c r="BK182" s="81">
        <f t="shared" si="540"/>
        <v>0</v>
      </c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82" t="s">
        <v>552</v>
      </c>
      <c r="BW182" s="85"/>
      <c r="BX182" s="24"/>
    </row>
    <row r="183" spans="1:76" ht="24" customHeight="1" x14ac:dyDescent="0.2">
      <c r="A183" s="108">
        <v>90000053670</v>
      </c>
      <c r="B183" s="241" t="s">
        <v>281</v>
      </c>
      <c r="C183" s="285" t="s">
        <v>247</v>
      </c>
      <c r="D183" s="80">
        <f t="shared" si="529"/>
        <v>555675</v>
      </c>
      <c r="E183" s="295">
        <f t="shared" si="530"/>
        <v>577606</v>
      </c>
      <c r="F183" s="81">
        <v>322431</v>
      </c>
      <c r="G183" s="81">
        <f t="shared" si="531"/>
        <v>322431</v>
      </c>
      <c r="H183" s="81">
        <f t="shared" si="532"/>
        <v>0</v>
      </c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>
        <v>161796</v>
      </c>
      <c r="AB183" s="81">
        <f t="shared" si="533"/>
        <v>187236</v>
      </c>
      <c r="AC183" s="81">
        <f t="shared" si="534"/>
        <v>25440</v>
      </c>
      <c r="AD183" s="81"/>
      <c r="AE183" s="81">
        <f>24592+848</f>
        <v>25440</v>
      </c>
      <c r="AF183" s="81"/>
      <c r="AG183" s="81"/>
      <c r="AH183" s="81"/>
      <c r="AI183" s="81"/>
      <c r="AJ183" s="81"/>
      <c r="AK183" s="81"/>
      <c r="AL183" s="81"/>
      <c r="AM183" s="81"/>
      <c r="AN183" s="81">
        <v>71448</v>
      </c>
      <c r="AO183" s="81">
        <f t="shared" si="535"/>
        <v>67939</v>
      </c>
      <c r="AP183" s="81">
        <f t="shared" si="536"/>
        <v>-3509</v>
      </c>
      <c r="AQ183" s="81">
        <v>-3957</v>
      </c>
      <c r="AR183" s="81"/>
      <c r="AS183" s="81"/>
      <c r="AT183" s="81"/>
      <c r="AU183" s="81"/>
      <c r="AV183" s="81"/>
      <c r="AW183" s="81">
        <v>448</v>
      </c>
      <c r="AX183" s="81"/>
      <c r="AY183" s="81"/>
      <c r="AZ183" s="81"/>
      <c r="BA183" s="81">
        <v>0</v>
      </c>
      <c r="BB183" s="81">
        <f t="shared" si="537"/>
        <v>0</v>
      </c>
      <c r="BC183" s="98">
        <f t="shared" si="538"/>
        <v>0</v>
      </c>
      <c r="BD183" s="98"/>
      <c r="BE183" s="98"/>
      <c r="BF183" s="98"/>
      <c r="BG183" s="98"/>
      <c r="BH183" s="98"/>
      <c r="BI183" s="81"/>
      <c r="BJ183" s="81">
        <f t="shared" si="539"/>
        <v>0</v>
      </c>
      <c r="BK183" s="81">
        <f t="shared" si="540"/>
        <v>0</v>
      </c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82" t="s">
        <v>384</v>
      </c>
      <c r="BW183" s="85"/>
      <c r="BX183" s="24"/>
    </row>
    <row r="184" spans="1:76" s="130" customFormat="1" x14ac:dyDescent="0.2">
      <c r="A184" s="108"/>
      <c r="B184" s="242"/>
      <c r="C184" s="285" t="s">
        <v>240</v>
      </c>
      <c r="D184" s="80">
        <f t="shared" si="529"/>
        <v>16070</v>
      </c>
      <c r="E184" s="295">
        <f t="shared" si="530"/>
        <v>16070</v>
      </c>
      <c r="F184" s="81">
        <v>16070</v>
      </c>
      <c r="G184" s="81">
        <f t="shared" si="531"/>
        <v>16070</v>
      </c>
      <c r="H184" s="81">
        <f t="shared" si="532"/>
        <v>0</v>
      </c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>
        <v>0</v>
      </c>
      <c r="AB184" s="81">
        <f t="shared" si="533"/>
        <v>0</v>
      </c>
      <c r="AC184" s="81">
        <f t="shared" si="534"/>
        <v>0</v>
      </c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>
        <v>0</v>
      </c>
      <c r="AO184" s="81">
        <f t="shared" si="535"/>
        <v>0</v>
      </c>
      <c r="AP184" s="81">
        <f t="shared" si="536"/>
        <v>0</v>
      </c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>
        <v>0</v>
      </c>
      <c r="BB184" s="81">
        <f t="shared" si="537"/>
        <v>0</v>
      </c>
      <c r="BC184" s="98">
        <f t="shared" si="538"/>
        <v>0</v>
      </c>
      <c r="BD184" s="98"/>
      <c r="BE184" s="98"/>
      <c r="BF184" s="98"/>
      <c r="BG184" s="98"/>
      <c r="BH184" s="98"/>
      <c r="BI184" s="81"/>
      <c r="BJ184" s="81">
        <f t="shared" si="539"/>
        <v>0</v>
      </c>
      <c r="BK184" s="81">
        <f t="shared" si="540"/>
        <v>0</v>
      </c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82" t="s">
        <v>386</v>
      </c>
      <c r="BW184" s="85"/>
      <c r="BX184" s="24"/>
    </row>
    <row r="185" spans="1:76" s="198" customFormat="1" ht="48" x14ac:dyDescent="0.2">
      <c r="A185" s="108"/>
      <c r="B185" s="242"/>
      <c r="C185" s="353" t="s">
        <v>788</v>
      </c>
      <c r="D185" s="80">
        <f t="shared" ref="D185" si="625">F185+AA185+AN185+BA185+BI185</f>
        <v>0</v>
      </c>
      <c r="E185" s="295">
        <f t="shared" ref="E185" si="626">G185+AB185+AO185+BB185+BJ185</f>
        <v>1553</v>
      </c>
      <c r="F185" s="81"/>
      <c r="G185" s="81">
        <f t="shared" ref="G185" si="627">F185+H185</f>
        <v>1553</v>
      </c>
      <c r="H185" s="81">
        <f t="shared" ref="H185" si="628">SUM(I185:Z185)</f>
        <v>1553</v>
      </c>
      <c r="I185" s="81"/>
      <c r="J185" s="81"/>
      <c r="K185" s="81"/>
      <c r="L185" s="81">
        <v>1553</v>
      </c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>
        <f t="shared" ref="AB185" si="629">AA185+AC185</f>
        <v>0</v>
      </c>
      <c r="AC185" s="81">
        <f t="shared" ref="AC185" si="630">SUM(AD185:AM185)</f>
        <v>0</v>
      </c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>
        <f t="shared" ref="AO185" si="631">AN185+AP185</f>
        <v>0</v>
      </c>
      <c r="AP185" s="81">
        <f t="shared" ref="AP185" si="632">SUM(AQ185:AZ185)</f>
        <v>0</v>
      </c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>
        <f t="shared" ref="BB185" si="633">BA185+BC185</f>
        <v>0</v>
      </c>
      <c r="BC185" s="98">
        <f t="shared" ref="BC185" si="634">SUM(BD185:BH185)</f>
        <v>0</v>
      </c>
      <c r="BD185" s="98"/>
      <c r="BE185" s="98"/>
      <c r="BF185" s="98"/>
      <c r="BG185" s="98"/>
      <c r="BH185" s="98"/>
      <c r="BI185" s="81"/>
      <c r="BJ185" s="81">
        <f t="shared" ref="BJ185" si="635">BI185+BK185</f>
        <v>0</v>
      </c>
      <c r="BK185" s="81">
        <f t="shared" ref="BK185" si="636">SUM(BL185:BU185)</f>
        <v>0</v>
      </c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82" t="s">
        <v>787</v>
      </c>
      <c r="BW185" s="85"/>
      <c r="BX185" s="24"/>
    </row>
    <row r="186" spans="1:76" ht="24" x14ac:dyDescent="0.2">
      <c r="A186" s="108">
        <v>90000051595</v>
      </c>
      <c r="B186" s="241" t="s">
        <v>153</v>
      </c>
      <c r="C186" s="285" t="s">
        <v>227</v>
      </c>
      <c r="D186" s="80">
        <f t="shared" si="529"/>
        <v>1153842</v>
      </c>
      <c r="E186" s="295">
        <f t="shared" si="530"/>
        <v>1167722</v>
      </c>
      <c r="F186" s="81">
        <v>556776</v>
      </c>
      <c r="G186" s="81">
        <f t="shared" si="531"/>
        <v>551375</v>
      </c>
      <c r="H186" s="81">
        <f t="shared" si="532"/>
        <v>-5401</v>
      </c>
      <c r="I186" s="81"/>
      <c r="J186" s="81"/>
      <c r="K186" s="81">
        <v>-5401</v>
      </c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>
        <v>580160</v>
      </c>
      <c r="AB186" s="81">
        <f t="shared" si="533"/>
        <v>593920</v>
      </c>
      <c r="AC186" s="81">
        <f t="shared" si="534"/>
        <v>13760</v>
      </c>
      <c r="AD186" s="81">
        <f>3213+1291</f>
        <v>4504</v>
      </c>
      <c r="AE186" s="81">
        <v>9256</v>
      </c>
      <c r="AF186" s="81"/>
      <c r="AG186" s="81"/>
      <c r="AH186" s="81"/>
      <c r="AI186" s="81"/>
      <c r="AJ186" s="81"/>
      <c r="AK186" s="81"/>
      <c r="AL186" s="81"/>
      <c r="AM186" s="81"/>
      <c r="AN186" s="81">
        <v>16906</v>
      </c>
      <c r="AO186" s="81">
        <f t="shared" si="535"/>
        <v>22427</v>
      </c>
      <c r="AP186" s="81">
        <f t="shared" si="536"/>
        <v>5521</v>
      </c>
      <c r="AQ186" s="81">
        <v>5521</v>
      </c>
      <c r="AR186" s="81"/>
      <c r="AS186" s="81"/>
      <c r="AT186" s="81"/>
      <c r="AU186" s="81"/>
      <c r="AV186" s="81"/>
      <c r="AW186" s="81"/>
      <c r="AX186" s="81"/>
      <c r="AY186" s="81"/>
      <c r="AZ186" s="81"/>
      <c r="BA186" s="81">
        <v>0</v>
      </c>
      <c r="BB186" s="81">
        <f t="shared" si="537"/>
        <v>0</v>
      </c>
      <c r="BC186" s="98">
        <f t="shared" si="538"/>
        <v>0</v>
      </c>
      <c r="BD186" s="98"/>
      <c r="BE186" s="98"/>
      <c r="BF186" s="98"/>
      <c r="BG186" s="98"/>
      <c r="BH186" s="98"/>
      <c r="BI186" s="81"/>
      <c r="BJ186" s="81">
        <f t="shared" si="539"/>
        <v>0</v>
      </c>
      <c r="BK186" s="81">
        <f t="shared" si="540"/>
        <v>0</v>
      </c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82" t="s">
        <v>387</v>
      </c>
      <c r="BW186" s="85"/>
      <c r="BX186" s="24"/>
    </row>
    <row r="187" spans="1:76" x14ac:dyDescent="0.2">
      <c r="A187" s="108"/>
      <c r="B187" s="242"/>
      <c r="C187" s="285" t="s">
        <v>240</v>
      </c>
      <c r="D187" s="80">
        <f t="shared" si="529"/>
        <v>149962</v>
      </c>
      <c r="E187" s="295">
        <f t="shared" si="530"/>
        <v>149962</v>
      </c>
      <c r="F187" s="81">
        <v>109536</v>
      </c>
      <c r="G187" s="81">
        <f t="shared" si="531"/>
        <v>109536</v>
      </c>
      <c r="H187" s="81">
        <f t="shared" si="532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>
        <v>40426</v>
      </c>
      <c r="AB187" s="81">
        <f t="shared" si="533"/>
        <v>40426</v>
      </c>
      <c r="AC187" s="81">
        <f t="shared" si="534"/>
        <v>0</v>
      </c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>
        <v>0</v>
      </c>
      <c r="AO187" s="81">
        <f t="shared" si="535"/>
        <v>0</v>
      </c>
      <c r="AP187" s="81">
        <f t="shared" si="536"/>
        <v>0</v>
      </c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>
        <v>0</v>
      </c>
      <c r="BB187" s="81">
        <f t="shared" si="537"/>
        <v>0</v>
      </c>
      <c r="BC187" s="98">
        <f t="shared" si="538"/>
        <v>0</v>
      </c>
      <c r="BD187" s="98"/>
      <c r="BE187" s="98"/>
      <c r="BF187" s="98"/>
      <c r="BG187" s="98"/>
      <c r="BH187" s="98"/>
      <c r="BI187" s="81"/>
      <c r="BJ187" s="81">
        <f t="shared" si="539"/>
        <v>0</v>
      </c>
      <c r="BK187" s="81">
        <f t="shared" si="540"/>
        <v>0</v>
      </c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82" t="s">
        <v>385</v>
      </c>
      <c r="BW187" s="85"/>
      <c r="BX187" s="24"/>
    </row>
    <row r="188" spans="1:76" s="198" customFormat="1" x14ac:dyDescent="0.2">
      <c r="A188" s="108"/>
      <c r="B188" s="242"/>
      <c r="C188" s="285" t="s">
        <v>638</v>
      </c>
      <c r="D188" s="80">
        <f t="shared" si="529"/>
        <v>9990</v>
      </c>
      <c r="E188" s="295">
        <f t="shared" si="530"/>
        <v>15703</v>
      </c>
      <c r="F188" s="81">
        <v>9990</v>
      </c>
      <c r="G188" s="81">
        <f t="shared" si="531"/>
        <v>15703</v>
      </c>
      <c r="H188" s="81">
        <f t="shared" si="532"/>
        <v>5713</v>
      </c>
      <c r="I188" s="81"/>
      <c r="J188" s="81"/>
      <c r="K188" s="81">
        <v>5713</v>
      </c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>
        <v>0</v>
      </c>
      <c r="AB188" s="81">
        <f t="shared" si="533"/>
        <v>0</v>
      </c>
      <c r="AC188" s="81">
        <f t="shared" si="534"/>
        <v>0</v>
      </c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>
        <v>0</v>
      </c>
      <c r="AO188" s="81">
        <f t="shared" si="535"/>
        <v>0</v>
      </c>
      <c r="AP188" s="81">
        <f t="shared" si="536"/>
        <v>0</v>
      </c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>
        <v>0</v>
      </c>
      <c r="BB188" s="81">
        <f t="shared" si="537"/>
        <v>0</v>
      </c>
      <c r="BC188" s="98">
        <f t="shared" si="538"/>
        <v>0</v>
      </c>
      <c r="BD188" s="98"/>
      <c r="BE188" s="98"/>
      <c r="BF188" s="98"/>
      <c r="BG188" s="98"/>
      <c r="BH188" s="98"/>
      <c r="BI188" s="81"/>
      <c r="BJ188" s="81">
        <f t="shared" si="539"/>
        <v>0</v>
      </c>
      <c r="BK188" s="81">
        <f t="shared" si="540"/>
        <v>0</v>
      </c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82" t="s">
        <v>553</v>
      </c>
      <c r="BW188" s="85"/>
      <c r="BX188" s="24"/>
    </row>
    <row r="189" spans="1:76" s="193" customFormat="1" ht="24" x14ac:dyDescent="0.2">
      <c r="A189" s="108"/>
      <c r="B189" s="243"/>
      <c r="C189" s="285" t="s">
        <v>543</v>
      </c>
      <c r="D189" s="80">
        <f t="shared" si="529"/>
        <v>6266</v>
      </c>
      <c r="E189" s="295">
        <f t="shared" si="530"/>
        <v>8354</v>
      </c>
      <c r="F189" s="81">
        <v>6266</v>
      </c>
      <c r="G189" s="81">
        <f t="shared" si="531"/>
        <v>8354</v>
      </c>
      <c r="H189" s="81">
        <f t="shared" si="532"/>
        <v>2088</v>
      </c>
      <c r="I189" s="81"/>
      <c r="J189" s="81"/>
      <c r="K189" s="81">
        <v>2088</v>
      </c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>
        <v>0</v>
      </c>
      <c r="AB189" s="81">
        <f t="shared" si="533"/>
        <v>0</v>
      </c>
      <c r="AC189" s="81">
        <f t="shared" si="534"/>
        <v>0</v>
      </c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>
        <v>0</v>
      </c>
      <c r="AO189" s="81">
        <f t="shared" si="535"/>
        <v>0</v>
      </c>
      <c r="AP189" s="81">
        <f t="shared" si="536"/>
        <v>0</v>
      </c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>
        <v>0</v>
      </c>
      <c r="BB189" s="81">
        <f t="shared" si="537"/>
        <v>0</v>
      </c>
      <c r="BC189" s="98">
        <f t="shared" si="538"/>
        <v>0</v>
      </c>
      <c r="BD189" s="98"/>
      <c r="BE189" s="98"/>
      <c r="BF189" s="98"/>
      <c r="BG189" s="98"/>
      <c r="BH189" s="98"/>
      <c r="BI189" s="81"/>
      <c r="BJ189" s="81">
        <f t="shared" si="539"/>
        <v>0</v>
      </c>
      <c r="BK189" s="81">
        <f t="shared" si="540"/>
        <v>0</v>
      </c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82" t="s">
        <v>689</v>
      </c>
      <c r="BW189" s="85"/>
      <c r="BX189" s="24"/>
    </row>
    <row r="190" spans="1:76" s="198" customFormat="1" ht="24" x14ac:dyDescent="0.2">
      <c r="A190" s="108"/>
      <c r="B190" s="243"/>
      <c r="C190" s="285" t="s">
        <v>639</v>
      </c>
      <c r="D190" s="80">
        <f t="shared" si="529"/>
        <v>3590</v>
      </c>
      <c r="E190" s="295">
        <f t="shared" si="530"/>
        <v>4340</v>
      </c>
      <c r="F190" s="81">
        <v>3590</v>
      </c>
      <c r="G190" s="81">
        <f t="shared" si="531"/>
        <v>4340</v>
      </c>
      <c r="H190" s="81">
        <f t="shared" si="532"/>
        <v>750</v>
      </c>
      <c r="I190" s="81"/>
      <c r="J190" s="81"/>
      <c r="K190" s="81">
        <v>750</v>
      </c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>
        <v>0</v>
      </c>
      <c r="AB190" s="81">
        <f t="shared" si="533"/>
        <v>0</v>
      </c>
      <c r="AC190" s="81">
        <f t="shared" si="534"/>
        <v>0</v>
      </c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>
        <v>0</v>
      </c>
      <c r="AO190" s="81">
        <f t="shared" si="535"/>
        <v>0</v>
      </c>
      <c r="AP190" s="81">
        <f t="shared" si="536"/>
        <v>0</v>
      </c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>
        <v>0</v>
      </c>
      <c r="BB190" s="81">
        <f t="shared" si="537"/>
        <v>0</v>
      </c>
      <c r="BC190" s="98">
        <f t="shared" si="538"/>
        <v>0</v>
      </c>
      <c r="BD190" s="98"/>
      <c r="BE190" s="98"/>
      <c r="BF190" s="98"/>
      <c r="BG190" s="98"/>
      <c r="BH190" s="98"/>
      <c r="BI190" s="81"/>
      <c r="BJ190" s="81">
        <f t="shared" si="539"/>
        <v>0</v>
      </c>
      <c r="BK190" s="81">
        <f t="shared" si="540"/>
        <v>0</v>
      </c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82" t="s">
        <v>690</v>
      </c>
      <c r="BW190" s="85"/>
      <c r="BX190" s="24"/>
    </row>
    <row r="191" spans="1:76" ht="24" customHeight="1" x14ac:dyDescent="0.2">
      <c r="A191" s="108">
        <v>90000056465</v>
      </c>
      <c r="B191" s="241" t="s">
        <v>282</v>
      </c>
      <c r="C191" s="285" t="s">
        <v>242</v>
      </c>
      <c r="D191" s="80">
        <f t="shared" si="529"/>
        <v>1093712</v>
      </c>
      <c r="E191" s="295">
        <f t="shared" si="530"/>
        <v>1201406</v>
      </c>
      <c r="F191" s="81">
        <v>549670</v>
      </c>
      <c r="G191" s="81">
        <f t="shared" si="531"/>
        <v>600951</v>
      </c>
      <c r="H191" s="81">
        <f t="shared" si="532"/>
        <v>51281</v>
      </c>
      <c r="I191" s="81"/>
      <c r="J191" s="81"/>
      <c r="K191" s="81">
        <v>69281</v>
      </c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>
        <v>-18000</v>
      </c>
      <c r="X191" s="81"/>
      <c r="Y191" s="81"/>
      <c r="Z191" s="81"/>
      <c r="AA191" s="81">
        <v>446030</v>
      </c>
      <c r="AB191" s="81">
        <f t="shared" si="533"/>
        <v>494776</v>
      </c>
      <c r="AC191" s="81">
        <f t="shared" si="534"/>
        <v>48746</v>
      </c>
      <c r="AD191" s="81"/>
      <c r="AE191" s="81">
        <f>48097+7</f>
        <v>48104</v>
      </c>
      <c r="AF191" s="81"/>
      <c r="AG191" s="81">
        <v>642</v>
      </c>
      <c r="AH191" s="81"/>
      <c r="AI191" s="81"/>
      <c r="AJ191" s="81"/>
      <c r="AK191" s="81"/>
      <c r="AL191" s="81"/>
      <c r="AM191" s="81"/>
      <c r="AN191" s="81">
        <v>98012</v>
      </c>
      <c r="AO191" s="81">
        <f t="shared" si="535"/>
        <v>105649</v>
      </c>
      <c r="AP191" s="81">
        <f t="shared" si="536"/>
        <v>7637</v>
      </c>
      <c r="AQ191" s="81">
        <v>6078</v>
      </c>
      <c r="AR191" s="81"/>
      <c r="AS191" s="81"/>
      <c r="AT191" s="81"/>
      <c r="AU191" s="81"/>
      <c r="AV191" s="81"/>
      <c r="AW191" s="81">
        <v>1559</v>
      </c>
      <c r="AX191" s="81"/>
      <c r="AY191" s="81"/>
      <c r="AZ191" s="81"/>
      <c r="BA191" s="81">
        <v>0</v>
      </c>
      <c r="BB191" s="81">
        <f t="shared" si="537"/>
        <v>30</v>
      </c>
      <c r="BC191" s="98">
        <f t="shared" si="538"/>
        <v>30</v>
      </c>
      <c r="BD191" s="98">
        <v>30</v>
      </c>
      <c r="BE191" s="98"/>
      <c r="BF191" s="98"/>
      <c r="BG191" s="98"/>
      <c r="BH191" s="98"/>
      <c r="BI191" s="81"/>
      <c r="BJ191" s="81">
        <f t="shared" si="539"/>
        <v>0</v>
      </c>
      <c r="BK191" s="81">
        <f t="shared" si="540"/>
        <v>0</v>
      </c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82" t="s">
        <v>388</v>
      </c>
      <c r="BW191" s="85"/>
      <c r="BX191" s="24"/>
    </row>
    <row r="192" spans="1:76" s="198" customFormat="1" ht="24" customHeight="1" x14ac:dyDescent="0.2">
      <c r="A192" s="108"/>
      <c r="B192" s="241"/>
      <c r="C192" s="353" t="s">
        <v>785</v>
      </c>
      <c r="D192" s="80">
        <f t="shared" ref="D192" si="637">F192+AA192+AN192+BA192+BI192</f>
        <v>0</v>
      </c>
      <c r="E192" s="295">
        <f t="shared" ref="E192" si="638">G192+AB192+AO192+BB192+BJ192</f>
        <v>1050</v>
      </c>
      <c r="F192" s="81"/>
      <c r="G192" s="81">
        <f t="shared" ref="G192" si="639">F192+H192</f>
        <v>1050</v>
      </c>
      <c r="H192" s="81">
        <f t="shared" ref="H192" si="640">SUM(I192:Z192)</f>
        <v>1050</v>
      </c>
      <c r="I192" s="81"/>
      <c r="J192" s="81"/>
      <c r="K192" s="81"/>
      <c r="L192" s="81">
        <v>1050</v>
      </c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>
        <f t="shared" ref="AB192" si="641">AA192+AC192</f>
        <v>0</v>
      </c>
      <c r="AC192" s="81">
        <f t="shared" ref="AC192" si="642">SUM(AD192:AM192)</f>
        <v>0</v>
      </c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>
        <f t="shared" ref="AO192" si="643">AN192+AP192</f>
        <v>0</v>
      </c>
      <c r="AP192" s="81">
        <f t="shared" ref="AP192" si="644">SUM(AQ192:AZ192)</f>
        <v>0</v>
      </c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81">
        <f t="shared" ref="BB192" si="645">BA192+BC192</f>
        <v>0</v>
      </c>
      <c r="BC192" s="98">
        <f t="shared" ref="BC192" si="646">SUM(BD192:BH192)</f>
        <v>0</v>
      </c>
      <c r="BD192" s="98"/>
      <c r="BE192" s="98"/>
      <c r="BF192" s="98"/>
      <c r="BG192" s="98"/>
      <c r="BH192" s="98"/>
      <c r="BI192" s="81"/>
      <c r="BJ192" s="81">
        <f t="shared" ref="BJ192" si="647">BI192+BK192</f>
        <v>0</v>
      </c>
      <c r="BK192" s="81">
        <f t="shared" ref="BK192" si="648">SUM(BL192:BU192)</f>
        <v>0</v>
      </c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82" t="s">
        <v>786</v>
      </c>
      <c r="BW192" s="85"/>
      <c r="BX192" s="24"/>
    </row>
    <row r="193" spans="1:76" ht="24" customHeight="1" x14ac:dyDescent="0.2">
      <c r="A193" s="108">
        <v>90009249140</v>
      </c>
      <c r="B193" s="241" t="s">
        <v>513</v>
      </c>
      <c r="C193" s="285" t="s">
        <v>228</v>
      </c>
      <c r="D193" s="80">
        <f t="shared" si="529"/>
        <v>352406</v>
      </c>
      <c r="E193" s="295">
        <f t="shared" si="530"/>
        <v>353045</v>
      </c>
      <c r="F193" s="81">
        <v>325959</v>
      </c>
      <c r="G193" s="81">
        <f t="shared" si="531"/>
        <v>325959</v>
      </c>
      <c r="H193" s="81">
        <f t="shared" si="532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>
        <v>25411</v>
      </c>
      <c r="AB193" s="81">
        <f t="shared" si="533"/>
        <v>26038</v>
      </c>
      <c r="AC193" s="81">
        <f t="shared" si="534"/>
        <v>627</v>
      </c>
      <c r="AD193" s="81"/>
      <c r="AE193" s="81">
        <v>627</v>
      </c>
      <c r="AF193" s="81"/>
      <c r="AG193" s="81"/>
      <c r="AH193" s="81"/>
      <c r="AI193" s="81"/>
      <c r="AJ193" s="81"/>
      <c r="AK193" s="81"/>
      <c r="AL193" s="81"/>
      <c r="AM193" s="81"/>
      <c r="AN193" s="81">
        <v>1036</v>
      </c>
      <c r="AO193" s="98">
        <f t="shared" si="535"/>
        <v>1048</v>
      </c>
      <c r="AP193" s="98">
        <f t="shared" si="536"/>
        <v>12</v>
      </c>
      <c r="AQ193" s="98">
        <v>12</v>
      </c>
      <c r="AR193" s="98"/>
      <c r="AS193" s="98"/>
      <c r="AT193" s="98"/>
      <c r="AU193" s="98"/>
      <c r="AV193" s="98"/>
      <c r="AW193" s="98"/>
      <c r="AX193" s="98"/>
      <c r="AY193" s="98"/>
      <c r="AZ193" s="98"/>
      <c r="BA193" s="98">
        <v>0</v>
      </c>
      <c r="BB193" s="81">
        <f t="shared" si="537"/>
        <v>0</v>
      </c>
      <c r="BC193" s="98">
        <f t="shared" si="538"/>
        <v>0</v>
      </c>
      <c r="BD193" s="98"/>
      <c r="BE193" s="98"/>
      <c r="BF193" s="98"/>
      <c r="BG193" s="98"/>
      <c r="BH193" s="98"/>
      <c r="BI193" s="81"/>
      <c r="BJ193" s="81">
        <f t="shared" si="539"/>
        <v>0</v>
      </c>
      <c r="BK193" s="81">
        <f t="shared" si="540"/>
        <v>0</v>
      </c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82" t="s">
        <v>389</v>
      </c>
      <c r="BW193" s="85"/>
      <c r="BX193" s="24"/>
    </row>
    <row r="194" spans="1:76" x14ac:dyDescent="0.2">
      <c r="A194" s="108"/>
      <c r="B194" s="242"/>
      <c r="C194" s="285" t="s">
        <v>240</v>
      </c>
      <c r="D194" s="80">
        <f t="shared" si="529"/>
        <v>34395</v>
      </c>
      <c r="E194" s="295">
        <f t="shared" si="530"/>
        <v>34395</v>
      </c>
      <c r="F194" s="81">
        <v>34395</v>
      </c>
      <c r="G194" s="81">
        <f t="shared" si="531"/>
        <v>34395</v>
      </c>
      <c r="H194" s="81">
        <f t="shared" si="532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>
        <v>0</v>
      </c>
      <c r="AB194" s="81">
        <f t="shared" si="533"/>
        <v>0</v>
      </c>
      <c r="AC194" s="81">
        <f t="shared" si="534"/>
        <v>0</v>
      </c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>
        <v>0</v>
      </c>
      <c r="AO194" s="81">
        <f t="shared" si="535"/>
        <v>0</v>
      </c>
      <c r="AP194" s="81">
        <f t="shared" si="536"/>
        <v>0</v>
      </c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>
        <v>0</v>
      </c>
      <c r="BB194" s="81">
        <f t="shared" si="537"/>
        <v>0</v>
      </c>
      <c r="BC194" s="98">
        <f t="shared" si="538"/>
        <v>0</v>
      </c>
      <c r="BD194" s="98"/>
      <c r="BE194" s="98"/>
      <c r="BF194" s="98"/>
      <c r="BG194" s="98"/>
      <c r="BH194" s="98"/>
      <c r="BI194" s="81"/>
      <c r="BJ194" s="81">
        <f t="shared" si="539"/>
        <v>0</v>
      </c>
      <c r="BK194" s="81">
        <f t="shared" si="540"/>
        <v>0</v>
      </c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82" t="s">
        <v>390</v>
      </c>
      <c r="BW194" s="85"/>
      <c r="BX194" s="24"/>
    </row>
    <row r="195" spans="1:76" ht="24" customHeight="1" x14ac:dyDescent="0.2">
      <c r="A195" s="108">
        <v>90009249210</v>
      </c>
      <c r="B195" s="241" t="s">
        <v>514</v>
      </c>
      <c r="C195" s="285" t="s">
        <v>228</v>
      </c>
      <c r="D195" s="80">
        <f t="shared" si="529"/>
        <v>428030</v>
      </c>
      <c r="E195" s="295">
        <f t="shared" si="530"/>
        <v>428638</v>
      </c>
      <c r="F195" s="81">
        <v>402703</v>
      </c>
      <c r="G195" s="81">
        <f t="shared" si="531"/>
        <v>402627</v>
      </c>
      <c r="H195" s="81">
        <f t="shared" si="532"/>
        <v>-76</v>
      </c>
      <c r="I195" s="81"/>
      <c r="J195" s="81"/>
      <c r="K195" s="81">
        <v>-76</v>
      </c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>
        <v>25327</v>
      </c>
      <c r="AB195" s="81">
        <f t="shared" si="533"/>
        <v>25935</v>
      </c>
      <c r="AC195" s="81">
        <f t="shared" si="534"/>
        <v>608</v>
      </c>
      <c r="AD195" s="81"/>
      <c r="AE195" s="81">
        <v>608</v>
      </c>
      <c r="AF195" s="81"/>
      <c r="AG195" s="81"/>
      <c r="AH195" s="81"/>
      <c r="AI195" s="81"/>
      <c r="AJ195" s="81"/>
      <c r="AK195" s="81"/>
      <c r="AL195" s="81"/>
      <c r="AM195" s="81"/>
      <c r="AN195" s="81">
        <v>0</v>
      </c>
      <c r="AO195" s="81">
        <f t="shared" si="535"/>
        <v>76</v>
      </c>
      <c r="AP195" s="81">
        <f t="shared" si="536"/>
        <v>76</v>
      </c>
      <c r="AQ195" s="81">
        <v>76</v>
      </c>
      <c r="AR195" s="81"/>
      <c r="AS195" s="81"/>
      <c r="AT195" s="81"/>
      <c r="AU195" s="81"/>
      <c r="AV195" s="81"/>
      <c r="AW195" s="81"/>
      <c r="AX195" s="81"/>
      <c r="AY195" s="81"/>
      <c r="AZ195" s="81"/>
      <c r="BA195" s="81">
        <v>0</v>
      </c>
      <c r="BB195" s="81">
        <f t="shared" si="537"/>
        <v>0</v>
      </c>
      <c r="BC195" s="98">
        <f t="shared" si="538"/>
        <v>0</v>
      </c>
      <c r="BD195" s="98"/>
      <c r="BE195" s="98"/>
      <c r="BF195" s="98"/>
      <c r="BG195" s="98"/>
      <c r="BH195" s="98"/>
      <c r="BI195" s="81"/>
      <c r="BJ195" s="81">
        <f t="shared" si="539"/>
        <v>0</v>
      </c>
      <c r="BK195" s="81">
        <f t="shared" si="540"/>
        <v>0</v>
      </c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82" t="s">
        <v>391</v>
      </c>
      <c r="BW195" s="85"/>
      <c r="BX195" s="24"/>
    </row>
    <row r="196" spans="1:76" x14ac:dyDescent="0.2">
      <c r="A196" s="108"/>
      <c r="B196" s="242"/>
      <c r="C196" s="285" t="s">
        <v>240</v>
      </c>
      <c r="D196" s="80">
        <f t="shared" si="529"/>
        <v>40312</v>
      </c>
      <c r="E196" s="295">
        <f t="shared" si="530"/>
        <v>40312</v>
      </c>
      <c r="F196" s="81">
        <v>40312</v>
      </c>
      <c r="G196" s="81">
        <f t="shared" si="531"/>
        <v>40312</v>
      </c>
      <c r="H196" s="81">
        <f t="shared" si="532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>
        <v>0</v>
      </c>
      <c r="AB196" s="81">
        <f t="shared" si="533"/>
        <v>0</v>
      </c>
      <c r="AC196" s="81">
        <f t="shared" si="534"/>
        <v>0</v>
      </c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>
        <v>0</v>
      </c>
      <c r="AO196" s="81">
        <f t="shared" si="535"/>
        <v>0</v>
      </c>
      <c r="AP196" s="81">
        <f t="shared" si="536"/>
        <v>0</v>
      </c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>
        <v>0</v>
      </c>
      <c r="BB196" s="81">
        <f t="shared" si="537"/>
        <v>0</v>
      </c>
      <c r="BC196" s="98">
        <f t="shared" si="538"/>
        <v>0</v>
      </c>
      <c r="BD196" s="98"/>
      <c r="BE196" s="98"/>
      <c r="BF196" s="98"/>
      <c r="BG196" s="98"/>
      <c r="BH196" s="98"/>
      <c r="BI196" s="81"/>
      <c r="BJ196" s="81">
        <f t="shared" si="539"/>
        <v>0</v>
      </c>
      <c r="BK196" s="81">
        <f t="shared" si="540"/>
        <v>0</v>
      </c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82" t="s">
        <v>392</v>
      </c>
      <c r="BW196" s="85"/>
      <c r="BX196" s="24"/>
    </row>
    <row r="197" spans="1:76" ht="24" customHeight="1" x14ac:dyDescent="0.2">
      <c r="A197" s="108">
        <v>90009249155</v>
      </c>
      <c r="B197" s="241" t="s">
        <v>515</v>
      </c>
      <c r="C197" s="285" t="s">
        <v>228</v>
      </c>
      <c r="D197" s="80">
        <f t="shared" si="529"/>
        <v>379137</v>
      </c>
      <c r="E197" s="295">
        <f t="shared" si="530"/>
        <v>379653</v>
      </c>
      <c r="F197" s="81">
        <v>358203</v>
      </c>
      <c r="G197" s="81">
        <f t="shared" si="531"/>
        <v>358203</v>
      </c>
      <c r="H197" s="81">
        <f t="shared" si="532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>
        <v>20929</v>
      </c>
      <c r="AB197" s="81">
        <f t="shared" si="533"/>
        <v>21445</v>
      </c>
      <c r="AC197" s="81">
        <f t="shared" si="534"/>
        <v>516</v>
      </c>
      <c r="AD197" s="81"/>
      <c r="AE197" s="81">
        <v>516</v>
      </c>
      <c r="AF197" s="81"/>
      <c r="AG197" s="81"/>
      <c r="AH197" s="81"/>
      <c r="AI197" s="81"/>
      <c r="AJ197" s="81"/>
      <c r="AK197" s="81"/>
      <c r="AL197" s="81"/>
      <c r="AM197" s="81"/>
      <c r="AN197" s="81">
        <v>5</v>
      </c>
      <c r="AO197" s="81">
        <f t="shared" si="535"/>
        <v>5</v>
      </c>
      <c r="AP197" s="81">
        <f t="shared" si="536"/>
        <v>0</v>
      </c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>
        <v>0</v>
      </c>
      <c r="BB197" s="81">
        <f t="shared" si="537"/>
        <v>0</v>
      </c>
      <c r="BC197" s="98">
        <f t="shared" si="538"/>
        <v>0</v>
      </c>
      <c r="BD197" s="98"/>
      <c r="BE197" s="98"/>
      <c r="BF197" s="98"/>
      <c r="BG197" s="98"/>
      <c r="BH197" s="98"/>
      <c r="BI197" s="81"/>
      <c r="BJ197" s="81">
        <f t="shared" si="539"/>
        <v>0</v>
      </c>
      <c r="BK197" s="81">
        <f t="shared" si="540"/>
        <v>0</v>
      </c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82" t="s">
        <v>393</v>
      </c>
      <c r="BW197" s="85"/>
      <c r="BX197" s="24"/>
    </row>
    <row r="198" spans="1:76" x14ac:dyDescent="0.2">
      <c r="A198" s="108"/>
      <c r="B198" s="242"/>
      <c r="C198" s="285" t="s">
        <v>240</v>
      </c>
      <c r="D198" s="80">
        <f t="shared" si="529"/>
        <v>34395</v>
      </c>
      <c r="E198" s="295">
        <f t="shared" si="530"/>
        <v>34395</v>
      </c>
      <c r="F198" s="81">
        <v>34395</v>
      </c>
      <c r="G198" s="81">
        <f t="shared" si="531"/>
        <v>34395</v>
      </c>
      <c r="H198" s="81">
        <f t="shared" si="532"/>
        <v>0</v>
      </c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>
        <v>0</v>
      </c>
      <c r="AB198" s="81">
        <f t="shared" si="533"/>
        <v>0</v>
      </c>
      <c r="AC198" s="81">
        <f t="shared" si="534"/>
        <v>0</v>
      </c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>
        <v>0</v>
      </c>
      <c r="AO198" s="81">
        <f t="shared" si="535"/>
        <v>0</v>
      </c>
      <c r="AP198" s="81">
        <f t="shared" si="536"/>
        <v>0</v>
      </c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>
        <v>0</v>
      </c>
      <c r="BB198" s="81">
        <f t="shared" si="537"/>
        <v>0</v>
      </c>
      <c r="BC198" s="98">
        <f t="shared" si="538"/>
        <v>0</v>
      </c>
      <c r="BD198" s="98"/>
      <c r="BE198" s="98"/>
      <c r="BF198" s="98"/>
      <c r="BG198" s="98"/>
      <c r="BH198" s="98"/>
      <c r="BI198" s="81"/>
      <c r="BJ198" s="81">
        <f t="shared" si="539"/>
        <v>0</v>
      </c>
      <c r="BK198" s="81">
        <f t="shared" si="540"/>
        <v>0</v>
      </c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82" t="s">
        <v>394</v>
      </c>
      <c r="BW198" s="85"/>
      <c r="BX198" s="24"/>
    </row>
    <row r="199" spans="1:76" ht="24" customHeight="1" x14ac:dyDescent="0.2">
      <c r="A199" s="108">
        <v>90009249259</v>
      </c>
      <c r="B199" s="241" t="s">
        <v>516</v>
      </c>
      <c r="C199" s="285" t="s">
        <v>228</v>
      </c>
      <c r="D199" s="80">
        <f t="shared" si="529"/>
        <v>660915</v>
      </c>
      <c r="E199" s="295">
        <f t="shared" si="530"/>
        <v>663019</v>
      </c>
      <c r="F199" s="81">
        <v>591153</v>
      </c>
      <c r="G199" s="81">
        <f t="shared" si="531"/>
        <v>591153</v>
      </c>
      <c r="H199" s="81">
        <f t="shared" si="532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>
        <v>64030</v>
      </c>
      <c r="AB199" s="81">
        <f t="shared" si="533"/>
        <v>65542</v>
      </c>
      <c r="AC199" s="81">
        <f t="shared" si="534"/>
        <v>1512</v>
      </c>
      <c r="AD199" s="81"/>
      <c r="AE199" s="81">
        <v>1512</v>
      </c>
      <c r="AF199" s="81"/>
      <c r="AG199" s="81"/>
      <c r="AH199" s="81"/>
      <c r="AI199" s="81"/>
      <c r="AJ199" s="81"/>
      <c r="AK199" s="81"/>
      <c r="AL199" s="81"/>
      <c r="AM199" s="81"/>
      <c r="AN199" s="81">
        <v>5732</v>
      </c>
      <c r="AO199" s="81">
        <f t="shared" si="535"/>
        <v>6324</v>
      </c>
      <c r="AP199" s="81">
        <f t="shared" si="536"/>
        <v>592</v>
      </c>
      <c r="AQ199" s="81">
        <v>592</v>
      </c>
      <c r="AR199" s="81"/>
      <c r="AS199" s="81"/>
      <c r="AT199" s="81"/>
      <c r="AU199" s="81"/>
      <c r="AV199" s="81"/>
      <c r="AW199" s="81"/>
      <c r="AX199" s="81"/>
      <c r="AY199" s="81"/>
      <c r="AZ199" s="81"/>
      <c r="BA199" s="81">
        <v>0</v>
      </c>
      <c r="BB199" s="81">
        <f t="shared" si="537"/>
        <v>0</v>
      </c>
      <c r="BC199" s="98">
        <f t="shared" si="538"/>
        <v>0</v>
      </c>
      <c r="BD199" s="98"/>
      <c r="BE199" s="98"/>
      <c r="BF199" s="98"/>
      <c r="BG199" s="98"/>
      <c r="BH199" s="98"/>
      <c r="BI199" s="81"/>
      <c r="BJ199" s="81">
        <f t="shared" si="539"/>
        <v>0</v>
      </c>
      <c r="BK199" s="81">
        <f t="shared" si="540"/>
        <v>0</v>
      </c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82" t="s">
        <v>395</v>
      </c>
      <c r="BW199" s="85"/>
      <c r="BX199" s="24"/>
    </row>
    <row r="200" spans="1:76" x14ac:dyDescent="0.2">
      <c r="A200" s="108"/>
      <c r="B200" s="242"/>
      <c r="C200" s="285" t="s">
        <v>240</v>
      </c>
      <c r="D200" s="80">
        <f t="shared" si="529"/>
        <v>90451</v>
      </c>
      <c r="E200" s="295">
        <f t="shared" si="530"/>
        <v>90451</v>
      </c>
      <c r="F200" s="81">
        <v>83953</v>
      </c>
      <c r="G200" s="81">
        <f t="shared" si="531"/>
        <v>83953</v>
      </c>
      <c r="H200" s="81">
        <f t="shared" si="532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>
        <v>0</v>
      </c>
      <c r="AB200" s="81">
        <f t="shared" si="533"/>
        <v>0</v>
      </c>
      <c r="AC200" s="81">
        <f t="shared" si="534"/>
        <v>0</v>
      </c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>
        <v>6498</v>
      </c>
      <c r="AO200" s="81">
        <f t="shared" si="535"/>
        <v>6498</v>
      </c>
      <c r="AP200" s="81">
        <f t="shared" si="536"/>
        <v>0</v>
      </c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>
        <v>0</v>
      </c>
      <c r="BB200" s="81">
        <f t="shared" si="537"/>
        <v>0</v>
      </c>
      <c r="BC200" s="98">
        <f t="shared" si="538"/>
        <v>0</v>
      </c>
      <c r="BD200" s="98"/>
      <c r="BE200" s="98"/>
      <c r="BF200" s="98"/>
      <c r="BG200" s="98"/>
      <c r="BH200" s="98"/>
      <c r="BI200" s="81"/>
      <c r="BJ200" s="81">
        <f t="shared" si="539"/>
        <v>0</v>
      </c>
      <c r="BK200" s="81">
        <f t="shared" si="540"/>
        <v>0</v>
      </c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82" t="s">
        <v>396</v>
      </c>
      <c r="BW200" s="85"/>
      <c r="BX200" s="24"/>
    </row>
    <row r="201" spans="1:76" ht="24" customHeight="1" x14ac:dyDescent="0.2">
      <c r="A201" s="108">
        <v>90009249314</v>
      </c>
      <c r="B201" s="241" t="s">
        <v>517</v>
      </c>
      <c r="C201" s="285" t="s">
        <v>228</v>
      </c>
      <c r="D201" s="80">
        <f t="shared" si="529"/>
        <v>671803</v>
      </c>
      <c r="E201" s="295">
        <f t="shared" si="530"/>
        <v>673525</v>
      </c>
      <c r="F201" s="81">
        <v>580135</v>
      </c>
      <c r="G201" s="81">
        <f t="shared" si="531"/>
        <v>580135</v>
      </c>
      <c r="H201" s="81">
        <f t="shared" si="532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>
        <v>83701</v>
      </c>
      <c r="AB201" s="81">
        <f t="shared" si="533"/>
        <v>85342</v>
      </c>
      <c r="AC201" s="81">
        <f t="shared" si="534"/>
        <v>1641</v>
      </c>
      <c r="AD201" s="81"/>
      <c r="AE201" s="81">
        <v>1641</v>
      </c>
      <c r="AF201" s="81"/>
      <c r="AG201" s="81"/>
      <c r="AH201" s="81"/>
      <c r="AI201" s="81"/>
      <c r="AJ201" s="81"/>
      <c r="AK201" s="81"/>
      <c r="AL201" s="81"/>
      <c r="AM201" s="81"/>
      <c r="AN201" s="81">
        <v>7967</v>
      </c>
      <c r="AO201" s="81">
        <f t="shared" si="535"/>
        <v>8048</v>
      </c>
      <c r="AP201" s="81">
        <f t="shared" si="536"/>
        <v>81</v>
      </c>
      <c r="AQ201" s="81">
        <v>81</v>
      </c>
      <c r="AR201" s="81"/>
      <c r="AS201" s="81"/>
      <c r="AT201" s="81"/>
      <c r="AU201" s="81"/>
      <c r="AV201" s="81"/>
      <c r="AW201" s="81"/>
      <c r="AX201" s="81"/>
      <c r="AY201" s="81"/>
      <c r="AZ201" s="81"/>
      <c r="BA201" s="81">
        <v>0</v>
      </c>
      <c r="BB201" s="81">
        <f t="shared" si="537"/>
        <v>0</v>
      </c>
      <c r="BC201" s="98">
        <f t="shared" si="538"/>
        <v>0</v>
      </c>
      <c r="BD201" s="98"/>
      <c r="BE201" s="98"/>
      <c r="BF201" s="98"/>
      <c r="BG201" s="98"/>
      <c r="BH201" s="98"/>
      <c r="BI201" s="81"/>
      <c r="BJ201" s="81">
        <f t="shared" si="539"/>
        <v>0</v>
      </c>
      <c r="BK201" s="81">
        <f t="shared" si="540"/>
        <v>0</v>
      </c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82" t="s">
        <v>397</v>
      </c>
      <c r="BW201" s="85"/>
      <c r="BX201" s="24"/>
    </row>
    <row r="202" spans="1:76" x14ac:dyDescent="0.2">
      <c r="A202" s="108"/>
      <c r="B202" s="242"/>
      <c r="C202" s="285" t="s">
        <v>240</v>
      </c>
      <c r="D202" s="80">
        <f t="shared" si="529"/>
        <v>85062</v>
      </c>
      <c r="E202" s="295">
        <f t="shared" si="530"/>
        <v>85062</v>
      </c>
      <c r="F202" s="81">
        <v>85062</v>
      </c>
      <c r="G202" s="81">
        <f t="shared" si="531"/>
        <v>85062</v>
      </c>
      <c r="H202" s="81">
        <f t="shared" si="532"/>
        <v>0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>
        <v>0</v>
      </c>
      <c r="AB202" s="81">
        <f t="shared" si="533"/>
        <v>0</v>
      </c>
      <c r="AC202" s="81">
        <f t="shared" si="534"/>
        <v>0</v>
      </c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>
        <v>0</v>
      </c>
      <c r="AO202" s="81">
        <f t="shared" si="535"/>
        <v>0</v>
      </c>
      <c r="AP202" s="81">
        <f t="shared" si="536"/>
        <v>0</v>
      </c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>
        <v>0</v>
      </c>
      <c r="BB202" s="81">
        <f t="shared" si="537"/>
        <v>0</v>
      </c>
      <c r="BC202" s="98">
        <f t="shared" si="538"/>
        <v>0</v>
      </c>
      <c r="BD202" s="98"/>
      <c r="BE202" s="98"/>
      <c r="BF202" s="98"/>
      <c r="BG202" s="98"/>
      <c r="BH202" s="98"/>
      <c r="BI202" s="81"/>
      <c r="BJ202" s="81">
        <f t="shared" si="539"/>
        <v>0</v>
      </c>
      <c r="BK202" s="81">
        <f t="shared" si="540"/>
        <v>0</v>
      </c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82" t="s">
        <v>398</v>
      </c>
      <c r="BW202" s="85"/>
      <c r="BX202" s="24"/>
    </row>
    <row r="203" spans="1:76" ht="24" customHeight="1" x14ac:dyDescent="0.2">
      <c r="A203" s="108">
        <v>90009249189</v>
      </c>
      <c r="B203" s="241" t="s">
        <v>518</v>
      </c>
      <c r="C203" s="285" t="s">
        <v>228</v>
      </c>
      <c r="D203" s="80">
        <f t="shared" si="529"/>
        <v>644518</v>
      </c>
      <c r="E203" s="295">
        <f t="shared" si="530"/>
        <v>646085</v>
      </c>
      <c r="F203" s="81">
        <v>552680</v>
      </c>
      <c r="G203" s="81">
        <f t="shared" si="531"/>
        <v>552115</v>
      </c>
      <c r="H203" s="81">
        <f t="shared" si="532"/>
        <v>-565</v>
      </c>
      <c r="I203" s="81"/>
      <c r="J203" s="81"/>
      <c r="K203" s="81">
        <v>-565</v>
      </c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>
        <v>85804</v>
      </c>
      <c r="AB203" s="81">
        <f t="shared" si="533"/>
        <v>87371</v>
      </c>
      <c r="AC203" s="81">
        <f t="shared" si="534"/>
        <v>1567</v>
      </c>
      <c r="AD203" s="81"/>
      <c r="AE203" s="81">
        <v>1567</v>
      </c>
      <c r="AF203" s="81"/>
      <c r="AG203" s="81"/>
      <c r="AH203" s="81"/>
      <c r="AI203" s="81"/>
      <c r="AJ203" s="81"/>
      <c r="AK203" s="81"/>
      <c r="AL203" s="81"/>
      <c r="AM203" s="81"/>
      <c r="AN203" s="81">
        <v>6034</v>
      </c>
      <c r="AO203" s="81">
        <f t="shared" si="535"/>
        <v>6599</v>
      </c>
      <c r="AP203" s="81">
        <f t="shared" si="536"/>
        <v>565</v>
      </c>
      <c r="AQ203" s="81">
        <v>565</v>
      </c>
      <c r="AR203" s="81"/>
      <c r="AS203" s="81"/>
      <c r="AT203" s="81"/>
      <c r="AU203" s="81"/>
      <c r="AV203" s="81"/>
      <c r="AW203" s="81"/>
      <c r="AX203" s="81"/>
      <c r="AY203" s="81"/>
      <c r="AZ203" s="81"/>
      <c r="BA203" s="81">
        <v>0</v>
      </c>
      <c r="BB203" s="81">
        <f t="shared" si="537"/>
        <v>0</v>
      </c>
      <c r="BC203" s="98">
        <f t="shared" si="538"/>
        <v>0</v>
      </c>
      <c r="BD203" s="98"/>
      <c r="BE203" s="98"/>
      <c r="BF203" s="98"/>
      <c r="BG203" s="98"/>
      <c r="BH203" s="98"/>
      <c r="BI203" s="81"/>
      <c r="BJ203" s="81">
        <f t="shared" si="539"/>
        <v>0</v>
      </c>
      <c r="BK203" s="81">
        <f t="shared" si="540"/>
        <v>0</v>
      </c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82" t="s">
        <v>399</v>
      </c>
      <c r="BW203" s="85"/>
      <c r="BX203" s="24"/>
    </row>
    <row r="204" spans="1:76" x14ac:dyDescent="0.2">
      <c r="A204" s="108"/>
      <c r="B204" s="242"/>
      <c r="C204" s="285" t="s">
        <v>240</v>
      </c>
      <c r="D204" s="80">
        <f t="shared" si="529"/>
        <v>84561</v>
      </c>
      <c r="E204" s="295">
        <f t="shared" si="530"/>
        <v>84561</v>
      </c>
      <c r="F204" s="81">
        <v>78405</v>
      </c>
      <c r="G204" s="81">
        <f t="shared" si="531"/>
        <v>78405</v>
      </c>
      <c r="H204" s="81">
        <f t="shared" si="532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>
        <v>0</v>
      </c>
      <c r="AB204" s="81">
        <f t="shared" si="533"/>
        <v>0</v>
      </c>
      <c r="AC204" s="81">
        <f t="shared" si="534"/>
        <v>0</v>
      </c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>
        <v>6156</v>
      </c>
      <c r="AO204" s="81">
        <f t="shared" si="535"/>
        <v>6156</v>
      </c>
      <c r="AP204" s="81">
        <f t="shared" si="536"/>
        <v>0</v>
      </c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>
        <v>0</v>
      </c>
      <c r="BB204" s="81">
        <f t="shared" si="537"/>
        <v>0</v>
      </c>
      <c r="BC204" s="98">
        <f t="shared" si="538"/>
        <v>0</v>
      </c>
      <c r="BD204" s="98"/>
      <c r="BE204" s="98"/>
      <c r="BF204" s="98"/>
      <c r="BG204" s="98"/>
      <c r="BH204" s="98"/>
      <c r="BI204" s="81"/>
      <c r="BJ204" s="81">
        <f t="shared" si="539"/>
        <v>0</v>
      </c>
      <c r="BK204" s="81">
        <f t="shared" si="540"/>
        <v>0</v>
      </c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82" t="s">
        <v>400</v>
      </c>
      <c r="BW204" s="85"/>
      <c r="BX204" s="24"/>
    </row>
    <row r="205" spans="1:76" ht="24" customHeight="1" x14ac:dyDescent="0.2">
      <c r="A205" s="108">
        <v>90009249136</v>
      </c>
      <c r="B205" s="241" t="s">
        <v>519</v>
      </c>
      <c r="C205" s="285" t="s">
        <v>228</v>
      </c>
      <c r="D205" s="80">
        <f t="shared" si="529"/>
        <v>331285</v>
      </c>
      <c r="E205" s="295">
        <f t="shared" si="530"/>
        <v>331691</v>
      </c>
      <c r="F205" s="81">
        <v>314523</v>
      </c>
      <c r="G205" s="81">
        <f t="shared" si="531"/>
        <v>314483</v>
      </c>
      <c r="H205" s="81">
        <f t="shared" si="532"/>
        <v>-40</v>
      </c>
      <c r="I205" s="81"/>
      <c r="J205" s="81"/>
      <c r="K205" s="81">
        <v>-40</v>
      </c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>
        <v>16669</v>
      </c>
      <c r="AB205" s="81">
        <f t="shared" si="533"/>
        <v>17075</v>
      </c>
      <c r="AC205" s="81">
        <f t="shared" si="534"/>
        <v>406</v>
      </c>
      <c r="AD205" s="81"/>
      <c r="AE205" s="81">
        <v>406</v>
      </c>
      <c r="AF205" s="81"/>
      <c r="AG205" s="81"/>
      <c r="AH205" s="81"/>
      <c r="AI205" s="81"/>
      <c r="AJ205" s="81"/>
      <c r="AK205" s="81"/>
      <c r="AL205" s="81"/>
      <c r="AM205" s="81"/>
      <c r="AN205" s="81">
        <v>93</v>
      </c>
      <c r="AO205" s="81">
        <f t="shared" si="535"/>
        <v>133</v>
      </c>
      <c r="AP205" s="81">
        <f t="shared" si="536"/>
        <v>40</v>
      </c>
      <c r="AQ205" s="81">
        <v>40</v>
      </c>
      <c r="AR205" s="81"/>
      <c r="AS205" s="81"/>
      <c r="AT205" s="81"/>
      <c r="AU205" s="81"/>
      <c r="AV205" s="81"/>
      <c r="AW205" s="81"/>
      <c r="AX205" s="81"/>
      <c r="AY205" s="81"/>
      <c r="AZ205" s="81"/>
      <c r="BA205" s="81">
        <v>0</v>
      </c>
      <c r="BB205" s="81">
        <f t="shared" si="537"/>
        <v>0</v>
      </c>
      <c r="BC205" s="98">
        <f t="shared" si="538"/>
        <v>0</v>
      </c>
      <c r="BD205" s="98"/>
      <c r="BE205" s="98"/>
      <c r="BF205" s="98"/>
      <c r="BG205" s="98"/>
      <c r="BH205" s="98"/>
      <c r="BI205" s="81"/>
      <c r="BJ205" s="81">
        <f t="shared" si="539"/>
        <v>0</v>
      </c>
      <c r="BK205" s="81">
        <f t="shared" si="540"/>
        <v>0</v>
      </c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82" t="s">
        <v>401</v>
      </c>
      <c r="BW205" s="85"/>
      <c r="BX205" s="24"/>
    </row>
    <row r="206" spans="1:76" x14ac:dyDescent="0.2">
      <c r="A206" s="108"/>
      <c r="B206" s="242"/>
      <c r="C206" s="285" t="s">
        <v>240</v>
      </c>
      <c r="D206" s="80">
        <f t="shared" si="529"/>
        <v>31436</v>
      </c>
      <c r="E206" s="295">
        <f t="shared" si="530"/>
        <v>31436</v>
      </c>
      <c r="F206" s="81">
        <v>31436</v>
      </c>
      <c r="G206" s="81">
        <f t="shared" si="531"/>
        <v>31436</v>
      </c>
      <c r="H206" s="81">
        <f t="shared" si="532"/>
        <v>0</v>
      </c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>
        <v>0</v>
      </c>
      <c r="AB206" s="81">
        <f t="shared" si="533"/>
        <v>0</v>
      </c>
      <c r="AC206" s="81">
        <f t="shared" si="534"/>
        <v>0</v>
      </c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>
        <v>0</v>
      </c>
      <c r="AO206" s="81">
        <f t="shared" si="535"/>
        <v>0</v>
      </c>
      <c r="AP206" s="81">
        <f t="shared" si="536"/>
        <v>0</v>
      </c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>
        <v>0</v>
      </c>
      <c r="BB206" s="81">
        <f t="shared" si="537"/>
        <v>0</v>
      </c>
      <c r="BC206" s="98">
        <f t="shared" si="538"/>
        <v>0</v>
      </c>
      <c r="BD206" s="98"/>
      <c r="BE206" s="98"/>
      <c r="BF206" s="98"/>
      <c r="BG206" s="98"/>
      <c r="BH206" s="98"/>
      <c r="BI206" s="81"/>
      <c r="BJ206" s="81">
        <f t="shared" si="539"/>
        <v>0</v>
      </c>
      <c r="BK206" s="81">
        <f t="shared" si="540"/>
        <v>0</v>
      </c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82" t="s">
        <v>402</v>
      </c>
      <c r="BW206" s="85"/>
      <c r="BX206" s="24"/>
    </row>
    <row r="207" spans="1:76" ht="24" customHeight="1" x14ac:dyDescent="0.2">
      <c r="A207" s="108">
        <v>90009563202</v>
      </c>
      <c r="B207" s="241" t="s">
        <v>520</v>
      </c>
      <c r="C207" s="285" t="s">
        <v>228</v>
      </c>
      <c r="D207" s="80">
        <f t="shared" si="529"/>
        <v>335953</v>
      </c>
      <c r="E207" s="295">
        <f t="shared" si="530"/>
        <v>343286</v>
      </c>
      <c r="F207" s="81">
        <v>166947</v>
      </c>
      <c r="G207" s="81">
        <f t="shared" si="531"/>
        <v>166947</v>
      </c>
      <c r="H207" s="81">
        <f t="shared" si="532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>
        <v>168028</v>
      </c>
      <c r="AB207" s="81">
        <f t="shared" si="533"/>
        <v>175361</v>
      </c>
      <c r="AC207" s="81">
        <f t="shared" si="534"/>
        <v>7333</v>
      </c>
      <c r="AD207" s="81"/>
      <c r="AE207" s="81">
        <f>516+4682</f>
        <v>5198</v>
      </c>
      <c r="AF207" s="81"/>
      <c r="AG207" s="81"/>
      <c r="AH207" s="81"/>
      <c r="AI207" s="81"/>
      <c r="AJ207" s="81">
        <v>2135</v>
      </c>
      <c r="AK207" s="81"/>
      <c r="AL207" s="81"/>
      <c r="AM207" s="81"/>
      <c r="AN207" s="81">
        <v>978</v>
      </c>
      <c r="AO207" s="81">
        <f t="shared" si="535"/>
        <v>978</v>
      </c>
      <c r="AP207" s="81">
        <f t="shared" si="536"/>
        <v>0</v>
      </c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>
        <v>0</v>
      </c>
      <c r="BB207" s="81">
        <f t="shared" si="537"/>
        <v>0</v>
      </c>
      <c r="BC207" s="98">
        <f t="shared" si="538"/>
        <v>0</v>
      </c>
      <c r="BD207" s="98"/>
      <c r="BE207" s="98"/>
      <c r="BF207" s="98"/>
      <c r="BG207" s="98"/>
      <c r="BH207" s="98"/>
      <c r="BI207" s="81"/>
      <c r="BJ207" s="81">
        <f t="shared" si="539"/>
        <v>0</v>
      </c>
      <c r="BK207" s="81">
        <f t="shared" si="540"/>
        <v>0</v>
      </c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82" t="s">
        <v>403</v>
      </c>
      <c r="BW207" s="85"/>
      <c r="BX207" s="24"/>
    </row>
    <row r="208" spans="1:76" s="169" customFormat="1" x14ac:dyDescent="0.2">
      <c r="A208" s="108"/>
      <c r="B208" s="242"/>
      <c r="C208" s="285" t="s">
        <v>240</v>
      </c>
      <c r="D208" s="80">
        <f t="shared" si="529"/>
        <v>21081</v>
      </c>
      <c r="E208" s="295">
        <f t="shared" si="530"/>
        <v>21081</v>
      </c>
      <c r="F208" s="81">
        <v>21081</v>
      </c>
      <c r="G208" s="81">
        <f t="shared" si="531"/>
        <v>21081</v>
      </c>
      <c r="H208" s="81">
        <f t="shared" si="532"/>
        <v>0</v>
      </c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>
        <v>0</v>
      </c>
      <c r="AB208" s="81">
        <f t="shared" si="533"/>
        <v>0</v>
      </c>
      <c r="AC208" s="81">
        <f t="shared" si="534"/>
        <v>0</v>
      </c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>
        <v>0</v>
      </c>
      <c r="AO208" s="81">
        <f t="shared" si="535"/>
        <v>0</v>
      </c>
      <c r="AP208" s="81">
        <f t="shared" si="536"/>
        <v>0</v>
      </c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>
        <v>0</v>
      </c>
      <c r="BB208" s="81">
        <f t="shared" si="537"/>
        <v>0</v>
      </c>
      <c r="BC208" s="98">
        <f t="shared" si="538"/>
        <v>0</v>
      </c>
      <c r="BD208" s="98"/>
      <c r="BE208" s="98"/>
      <c r="BF208" s="98"/>
      <c r="BG208" s="98"/>
      <c r="BH208" s="98"/>
      <c r="BI208" s="81"/>
      <c r="BJ208" s="81">
        <f t="shared" si="539"/>
        <v>0</v>
      </c>
      <c r="BK208" s="81">
        <f t="shared" si="540"/>
        <v>0</v>
      </c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82" t="s">
        <v>497</v>
      </c>
      <c r="BW208" s="85"/>
      <c r="BX208" s="24"/>
    </row>
    <row r="209" spans="1:76" ht="24" customHeight="1" x14ac:dyDescent="0.2">
      <c r="A209" s="108">
        <v>90009249206</v>
      </c>
      <c r="B209" s="241" t="s">
        <v>521</v>
      </c>
      <c r="C209" s="285" t="s">
        <v>228</v>
      </c>
      <c r="D209" s="80">
        <f t="shared" ref="D209:D240" si="649">F209+AA209+AN209+BA209+BI209</f>
        <v>662588</v>
      </c>
      <c r="E209" s="295">
        <f t="shared" ref="E209:E240" si="650">G209+AB209+AO209+BB209+BJ209</f>
        <v>663639</v>
      </c>
      <c r="F209" s="81">
        <v>613785</v>
      </c>
      <c r="G209" s="81">
        <f t="shared" ref="G209:G240" si="651">F209+H209</f>
        <v>613625</v>
      </c>
      <c r="H209" s="81">
        <f t="shared" ref="H209:H240" si="652">SUM(I209:Z209)</f>
        <v>-160</v>
      </c>
      <c r="I209" s="81"/>
      <c r="J209" s="81"/>
      <c r="K209" s="81">
        <v>-160</v>
      </c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>
        <v>42602</v>
      </c>
      <c r="AB209" s="81">
        <f t="shared" ref="AB209:AB240" si="653">AA209+AC209</f>
        <v>43653</v>
      </c>
      <c r="AC209" s="81">
        <f t="shared" ref="AC209:AC240" si="654">SUM(AD209:AM209)</f>
        <v>1051</v>
      </c>
      <c r="AD209" s="81"/>
      <c r="AE209" s="81">
        <v>1051</v>
      </c>
      <c r="AF209" s="81"/>
      <c r="AG209" s="81"/>
      <c r="AH209" s="81"/>
      <c r="AI209" s="81"/>
      <c r="AJ209" s="81"/>
      <c r="AK209" s="81"/>
      <c r="AL209" s="81"/>
      <c r="AM209" s="81"/>
      <c r="AN209" s="81">
        <v>6201</v>
      </c>
      <c r="AO209" s="81">
        <f t="shared" ref="AO209:AO240" si="655">AN209+AP209</f>
        <v>6361</v>
      </c>
      <c r="AP209" s="81">
        <f t="shared" ref="AP209:AP240" si="656">SUM(AQ209:AZ209)</f>
        <v>160</v>
      </c>
      <c r="AQ209" s="81">
        <v>160</v>
      </c>
      <c r="AR209" s="81"/>
      <c r="AS209" s="81"/>
      <c r="AT209" s="81"/>
      <c r="AU209" s="81"/>
      <c r="AV209" s="81"/>
      <c r="AW209" s="81"/>
      <c r="AX209" s="81"/>
      <c r="AY209" s="81"/>
      <c r="AZ209" s="81"/>
      <c r="BA209" s="81">
        <v>0</v>
      </c>
      <c r="BB209" s="81">
        <f t="shared" ref="BB209:BB240" si="657">BA209+BC209</f>
        <v>0</v>
      </c>
      <c r="BC209" s="98">
        <f t="shared" ref="BC209:BC240" si="658">SUM(BD209:BH209)</f>
        <v>0</v>
      </c>
      <c r="BD209" s="98"/>
      <c r="BE209" s="98"/>
      <c r="BF209" s="98"/>
      <c r="BG209" s="98"/>
      <c r="BH209" s="98"/>
      <c r="BI209" s="81"/>
      <c r="BJ209" s="81">
        <f t="shared" ref="BJ209:BJ240" si="659">BI209+BK209</f>
        <v>0</v>
      </c>
      <c r="BK209" s="81">
        <f t="shared" ref="BK209:BK240" si="660">SUM(BL209:BU209)</f>
        <v>0</v>
      </c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82" t="s">
        <v>404</v>
      </c>
      <c r="BW209" s="85"/>
      <c r="BX209" s="24"/>
    </row>
    <row r="210" spans="1:76" x14ac:dyDescent="0.2">
      <c r="A210" s="108"/>
      <c r="B210" s="242"/>
      <c r="C210" s="285" t="s">
        <v>240</v>
      </c>
      <c r="D210" s="80">
        <f t="shared" si="649"/>
        <v>79884</v>
      </c>
      <c r="E210" s="295">
        <f t="shared" si="650"/>
        <v>79884</v>
      </c>
      <c r="F210" s="81">
        <v>79884</v>
      </c>
      <c r="G210" s="81">
        <f t="shared" si="651"/>
        <v>79884</v>
      </c>
      <c r="H210" s="81">
        <f t="shared" si="652"/>
        <v>0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>
        <v>0</v>
      </c>
      <c r="AB210" s="81">
        <f t="shared" si="653"/>
        <v>0</v>
      </c>
      <c r="AC210" s="81">
        <f t="shared" si="654"/>
        <v>0</v>
      </c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>
        <v>0</v>
      </c>
      <c r="AO210" s="81">
        <f t="shared" si="655"/>
        <v>0</v>
      </c>
      <c r="AP210" s="81">
        <f t="shared" si="656"/>
        <v>0</v>
      </c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>
        <v>0</v>
      </c>
      <c r="BB210" s="81">
        <f t="shared" si="657"/>
        <v>0</v>
      </c>
      <c r="BC210" s="98">
        <f t="shared" si="658"/>
        <v>0</v>
      </c>
      <c r="BD210" s="98"/>
      <c r="BE210" s="98"/>
      <c r="BF210" s="98"/>
      <c r="BG210" s="98"/>
      <c r="BH210" s="98"/>
      <c r="BI210" s="81"/>
      <c r="BJ210" s="81">
        <f t="shared" si="659"/>
        <v>0</v>
      </c>
      <c r="BK210" s="81">
        <f t="shared" si="660"/>
        <v>0</v>
      </c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82" t="s">
        <v>405</v>
      </c>
      <c r="BW210" s="85"/>
      <c r="BX210" s="24"/>
    </row>
    <row r="211" spans="1:76" s="198" customFormat="1" x14ac:dyDescent="0.2">
      <c r="A211" s="108"/>
      <c r="B211" s="242"/>
      <c r="C211" s="402" t="s">
        <v>843</v>
      </c>
      <c r="D211" s="80">
        <f t="shared" si="649"/>
        <v>0</v>
      </c>
      <c r="E211" s="295">
        <f t="shared" si="650"/>
        <v>3151</v>
      </c>
      <c r="F211" s="81"/>
      <c r="G211" s="81">
        <f t="shared" si="651"/>
        <v>3151</v>
      </c>
      <c r="H211" s="81">
        <f t="shared" si="652"/>
        <v>3151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>
        <v>3151</v>
      </c>
      <c r="Z211" s="81"/>
      <c r="AA211" s="81"/>
      <c r="AB211" s="81">
        <f t="shared" si="653"/>
        <v>0</v>
      </c>
      <c r="AC211" s="81">
        <f t="shared" si="654"/>
        <v>0</v>
      </c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>
        <f t="shared" si="655"/>
        <v>0</v>
      </c>
      <c r="AP211" s="81">
        <f t="shared" si="656"/>
        <v>0</v>
      </c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>
        <f t="shared" si="657"/>
        <v>0</v>
      </c>
      <c r="BC211" s="98">
        <f t="shared" si="658"/>
        <v>0</v>
      </c>
      <c r="BD211" s="98"/>
      <c r="BE211" s="98"/>
      <c r="BF211" s="98"/>
      <c r="BG211" s="98"/>
      <c r="BH211" s="98"/>
      <c r="BI211" s="81"/>
      <c r="BJ211" s="81">
        <f t="shared" si="659"/>
        <v>0</v>
      </c>
      <c r="BK211" s="81">
        <f t="shared" si="660"/>
        <v>0</v>
      </c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82" t="s">
        <v>844</v>
      </c>
      <c r="BW211" s="85"/>
      <c r="BX211" s="24"/>
    </row>
    <row r="212" spans="1:76" ht="24" customHeight="1" x14ac:dyDescent="0.2">
      <c r="A212" s="108">
        <v>90009251357</v>
      </c>
      <c r="B212" s="241" t="s">
        <v>522</v>
      </c>
      <c r="C212" s="285" t="s">
        <v>228</v>
      </c>
      <c r="D212" s="80">
        <f t="shared" si="649"/>
        <v>407798</v>
      </c>
      <c r="E212" s="295">
        <f t="shared" si="650"/>
        <v>408554</v>
      </c>
      <c r="F212" s="81">
        <v>375064</v>
      </c>
      <c r="G212" s="81">
        <f t="shared" si="651"/>
        <v>375064</v>
      </c>
      <c r="H212" s="81">
        <f t="shared" si="652"/>
        <v>0</v>
      </c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>
        <v>30638</v>
      </c>
      <c r="AB212" s="81">
        <f t="shared" si="653"/>
        <v>31394</v>
      </c>
      <c r="AC212" s="81">
        <f t="shared" si="654"/>
        <v>756</v>
      </c>
      <c r="AD212" s="81"/>
      <c r="AE212" s="81">
        <v>756</v>
      </c>
      <c r="AF212" s="81"/>
      <c r="AG212" s="81"/>
      <c r="AH212" s="81"/>
      <c r="AI212" s="81"/>
      <c r="AJ212" s="81"/>
      <c r="AK212" s="81"/>
      <c r="AL212" s="81"/>
      <c r="AM212" s="81"/>
      <c r="AN212" s="81">
        <v>2096</v>
      </c>
      <c r="AO212" s="81">
        <f t="shared" si="655"/>
        <v>2096</v>
      </c>
      <c r="AP212" s="81">
        <f t="shared" si="656"/>
        <v>0</v>
      </c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>
        <v>0</v>
      </c>
      <c r="BB212" s="81">
        <f t="shared" si="657"/>
        <v>0</v>
      </c>
      <c r="BC212" s="98">
        <f t="shared" si="658"/>
        <v>0</v>
      </c>
      <c r="BD212" s="98"/>
      <c r="BE212" s="98"/>
      <c r="BF212" s="98"/>
      <c r="BG212" s="98"/>
      <c r="BH212" s="98"/>
      <c r="BI212" s="81"/>
      <c r="BJ212" s="81">
        <f t="shared" si="659"/>
        <v>0</v>
      </c>
      <c r="BK212" s="81">
        <f t="shared" si="660"/>
        <v>0</v>
      </c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82" t="s">
        <v>406</v>
      </c>
      <c r="BW212" s="85"/>
      <c r="BX212" s="24"/>
    </row>
    <row r="213" spans="1:76" ht="12.75" x14ac:dyDescent="0.2">
      <c r="A213" s="108"/>
      <c r="B213" s="243"/>
      <c r="C213" s="285" t="s">
        <v>240</v>
      </c>
      <c r="D213" s="80">
        <f t="shared" si="649"/>
        <v>49455</v>
      </c>
      <c r="E213" s="295">
        <f t="shared" si="650"/>
        <v>49981</v>
      </c>
      <c r="F213" s="81">
        <v>43641</v>
      </c>
      <c r="G213" s="81">
        <f t="shared" si="651"/>
        <v>43641</v>
      </c>
      <c r="H213" s="81">
        <f t="shared" si="652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>
        <v>0</v>
      </c>
      <c r="AB213" s="81">
        <f t="shared" si="653"/>
        <v>0</v>
      </c>
      <c r="AC213" s="81">
        <f t="shared" si="654"/>
        <v>0</v>
      </c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>
        <v>5814</v>
      </c>
      <c r="AO213" s="81">
        <f t="shared" si="655"/>
        <v>6340</v>
      </c>
      <c r="AP213" s="81">
        <f t="shared" si="656"/>
        <v>526</v>
      </c>
      <c r="AQ213" s="81">
        <v>526</v>
      </c>
      <c r="AR213" s="81"/>
      <c r="AS213" s="81"/>
      <c r="AT213" s="81"/>
      <c r="AU213" s="81"/>
      <c r="AV213" s="81"/>
      <c r="AW213" s="81"/>
      <c r="AX213" s="81"/>
      <c r="AY213" s="81"/>
      <c r="AZ213" s="81"/>
      <c r="BA213" s="81">
        <v>0</v>
      </c>
      <c r="BB213" s="81">
        <f t="shared" si="657"/>
        <v>0</v>
      </c>
      <c r="BC213" s="98">
        <f t="shared" si="658"/>
        <v>0</v>
      </c>
      <c r="BD213" s="98"/>
      <c r="BE213" s="98"/>
      <c r="BF213" s="98"/>
      <c r="BG213" s="98"/>
      <c r="BH213" s="98"/>
      <c r="BI213" s="81"/>
      <c r="BJ213" s="81">
        <f t="shared" si="659"/>
        <v>0</v>
      </c>
      <c r="BK213" s="81">
        <f t="shared" si="660"/>
        <v>0</v>
      </c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82" t="s">
        <v>407</v>
      </c>
      <c r="BW213" s="85"/>
      <c r="BX213" s="24"/>
    </row>
    <row r="214" spans="1:76" ht="24" customHeight="1" x14ac:dyDescent="0.2">
      <c r="A214" s="108">
        <v>90000051542</v>
      </c>
      <c r="B214" s="241" t="s">
        <v>20</v>
      </c>
      <c r="C214" s="285" t="s">
        <v>227</v>
      </c>
      <c r="D214" s="80">
        <f t="shared" si="649"/>
        <v>1500893</v>
      </c>
      <c r="E214" s="295">
        <f t="shared" si="650"/>
        <v>1531269</v>
      </c>
      <c r="F214" s="81">
        <v>506018</v>
      </c>
      <c r="G214" s="81">
        <f t="shared" si="651"/>
        <v>508856</v>
      </c>
      <c r="H214" s="81">
        <f t="shared" si="652"/>
        <v>2838</v>
      </c>
      <c r="I214" s="81"/>
      <c r="J214" s="81"/>
      <c r="K214" s="81">
        <v>-8429</v>
      </c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>
        <v>11267</v>
      </c>
      <c r="X214" s="81"/>
      <c r="Y214" s="81"/>
      <c r="Z214" s="81"/>
      <c r="AA214" s="81">
        <v>962055</v>
      </c>
      <c r="AB214" s="81">
        <f t="shared" si="653"/>
        <v>981164</v>
      </c>
      <c r="AC214" s="81">
        <f t="shared" si="654"/>
        <v>19109</v>
      </c>
      <c r="AD214" s="81">
        <f>4130-1291</f>
        <v>2839</v>
      </c>
      <c r="AE214" s="81">
        <f>11580+855+599</f>
        <v>13034</v>
      </c>
      <c r="AF214" s="81"/>
      <c r="AG214" s="81"/>
      <c r="AH214" s="81">
        <v>-894</v>
      </c>
      <c r="AI214" s="81"/>
      <c r="AJ214" s="81">
        <v>4130</v>
      </c>
      <c r="AK214" s="81"/>
      <c r="AL214" s="81"/>
      <c r="AM214" s="81"/>
      <c r="AN214" s="81">
        <v>32820</v>
      </c>
      <c r="AO214" s="81">
        <f t="shared" si="655"/>
        <v>41249</v>
      </c>
      <c r="AP214" s="81">
        <f t="shared" si="656"/>
        <v>8429</v>
      </c>
      <c r="AQ214" s="81">
        <v>8429</v>
      </c>
      <c r="AR214" s="81"/>
      <c r="AS214" s="81"/>
      <c r="AT214" s="81"/>
      <c r="AU214" s="81"/>
      <c r="AV214" s="81"/>
      <c r="AW214" s="81"/>
      <c r="AX214" s="81"/>
      <c r="AY214" s="81"/>
      <c r="AZ214" s="81"/>
      <c r="BA214" s="81">
        <v>0</v>
      </c>
      <c r="BB214" s="81">
        <f t="shared" si="657"/>
        <v>0</v>
      </c>
      <c r="BC214" s="98">
        <f t="shared" si="658"/>
        <v>0</v>
      </c>
      <c r="BD214" s="98"/>
      <c r="BE214" s="98"/>
      <c r="BF214" s="98"/>
      <c r="BG214" s="98"/>
      <c r="BH214" s="98"/>
      <c r="BI214" s="81"/>
      <c r="BJ214" s="81">
        <f t="shared" si="659"/>
        <v>0</v>
      </c>
      <c r="BK214" s="81">
        <f t="shared" si="660"/>
        <v>0</v>
      </c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82" t="s">
        <v>408</v>
      </c>
      <c r="BW214" s="85"/>
      <c r="BX214" s="24"/>
    </row>
    <row r="215" spans="1:76" x14ac:dyDescent="0.2">
      <c r="A215" s="108"/>
      <c r="B215" s="242"/>
      <c r="C215" s="285" t="s">
        <v>240</v>
      </c>
      <c r="D215" s="80">
        <f t="shared" si="649"/>
        <v>171927</v>
      </c>
      <c r="E215" s="295">
        <f t="shared" si="650"/>
        <v>171927</v>
      </c>
      <c r="F215" s="81">
        <v>123908</v>
      </c>
      <c r="G215" s="81">
        <f t="shared" si="651"/>
        <v>123908</v>
      </c>
      <c r="H215" s="81">
        <f t="shared" si="652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>
        <v>48019</v>
      </c>
      <c r="AB215" s="81">
        <f t="shared" si="653"/>
        <v>48019</v>
      </c>
      <c r="AC215" s="81">
        <f t="shared" si="654"/>
        <v>0</v>
      </c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>
        <v>0</v>
      </c>
      <c r="AO215" s="81">
        <f t="shared" si="655"/>
        <v>0</v>
      </c>
      <c r="AP215" s="81">
        <f t="shared" si="656"/>
        <v>0</v>
      </c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>
        <v>0</v>
      </c>
      <c r="BB215" s="81">
        <f t="shared" si="657"/>
        <v>0</v>
      </c>
      <c r="BC215" s="98">
        <f t="shared" si="658"/>
        <v>0</v>
      </c>
      <c r="BD215" s="98"/>
      <c r="BE215" s="98"/>
      <c r="BF215" s="98"/>
      <c r="BG215" s="98"/>
      <c r="BH215" s="98"/>
      <c r="BI215" s="81"/>
      <c r="BJ215" s="81">
        <f t="shared" si="659"/>
        <v>0</v>
      </c>
      <c r="BK215" s="81">
        <f t="shared" si="660"/>
        <v>0</v>
      </c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82" t="s">
        <v>409</v>
      </c>
      <c r="BW215" s="85"/>
      <c r="BX215" s="24"/>
    </row>
    <row r="216" spans="1:76" s="192" customFormat="1" x14ac:dyDescent="0.2">
      <c r="A216" s="108"/>
      <c r="B216" s="242"/>
      <c r="C216" s="285" t="s">
        <v>539</v>
      </c>
      <c r="D216" s="80">
        <f t="shared" si="649"/>
        <v>0</v>
      </c>
      <c r="E216" s="295">
        <f t="shared" si="650"/>
        <v>0</v>
      </c>
      <c r="F216" s="81">
        <v>1</v>
      </c>
      <c r="G216" s="81">
        <f t="shared" si="651"/>
        <v>0</v>
      </c>
      <c r="H216" s="81">
        <f t="shared" si="652"/>
        <v>-1</v>
      </c>
      <c r="I216" s="81"/>
      <c r="J216" s="81"/>
      <c r="K216" s="81">
        <v>-1</v>
      </c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>
        <v>0</v>
      </c>
      <c r="AB216" s="81">
        <f t="shared" si="653"/>
        <v>0</v>
      </c>
      <c r="AC216" s="81">
        <f t="shared" si="654"/>
        <v>0</v>
      </c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>
        <v>0</v>
      </c>
      <c r="AO216" s="81">
        <f t="shared" si="655"/>
        <v>0</v>
      </c>
      <c r="AP216" s="81">
        <f t="shared" si="656"/>
        <v>0</v>
      </c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>
        <v>0</v>
      </c>
      <c r="BB216" s="81">
        <f t="shared" si="657"/>
        <v>0</v>
      </c>
      <c r="BC216" s="98">
        <f t="shared" si="658"/>
        <v>0</v>
      </c>
      <c r="BD216" s="98"/>
      <c r="BE216" s="98"/>
      <c r="BF216" s="98"/>
      <c r="BG216" s="98"/>
      <c r="BH216" s="98"/>
      <c r="BI216" s="81">
        <v>-1</v>
      </c>
      <c r="BJ216" s="81">
        <f t="shared" si="659"/>
        <v>0</v>
      </c>
      <c r="BK216" s="81">
        <f t="shared" si="660"/>
        <v>1</v>
      </c>
      <c r="BL216" s="98"/>
      <c r="BM216" s="98">
        <v>1</v>
      </c>
      <c r="BN216" s="98"/>
      <c r="BO216" s="98"/>
      <c r="BP216" s="98"/>
      <c r="BQ216" s="98"/>
      <c r="BR216" s="98"/>
      <c r="BS216" s="98"/>
      <c r="BT216" s="98"/>
      <c r="BU216" s="98"/>
      <c r="BV216" s="82" t="s">
        <v>691</v>
      </c>
      <c r="BW216" s="85"/>
      <c r="BX216" s="24"/>
    </row>
    <row r="217" spans="1:76" s="198" customFormat="1" x14ac:dyDescent="0.2">
      <c r="A217" s="108"/>
      <c r="B217" s="242"/>
      <c r="C217" s="285" t="s">
        <v>640</v>
      </c>
      <c r="D217" s="80">
        <f t="shared" si="649"/>
        <v>12640</v>
      </c>
      <c r="E217" s="295">
        <f t="shared" si="650"/>
        <v>12640</v>
      </c>
      <c r="F217" s="81">
        <v>12640</v>
      </c>
      <c r="G217" s="81">
        <f t="shared" si="651"/>
        <v>12640</v>
      </c>
      <c r="H217" s="81">
        <f t="shared" si="652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>
        <v>0</v>
      </c>
      <c r="AB217" s="81">
        <f t="shared" si="653"/>
        <v>0</v>
      </c>
      <c r="AC217" s="81">
        <f t="shared" si="654"/>
        <v>0</v>
      </c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>
        <v>0</v>
      </c>
      <c r="AO217" s="81">
        <f t="shared" si="655"/>
        <v>0</v>
      </c>
      <c r="AP217" s="81">
        <f t="shared" si="656"/>
        <v>0</v>
      </c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>
        <v>0</v>
      </c>
      <c r="BB217" s="81">
        <f t="shared" si="657"/>
        <v>0</v>
      </c>
      <c r="BC217" s="98">
        <f t="shared" si="658"/>
        <v>0</v>
      </c>
      <c r="BD217" s="98"/>
      <c r="BE217" s="98"/>
      <c r="BF217" s="98"/>
      <c r="BG217" s="98"/>
      <c r="BH217" s="98"/>
      <c r="BI217" s="81"/>
      <c r="BJ217" s="81">
        <f t="shared" si="659"/>
        <v>0</v>
      </c>
      <c r="BK217" s="81">
        <f t="shared" si="660"/>
        <v>0</v>
      </c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82" t="s">
        <v>554</v>
      </c>
      <c r="BW217" s="85"/>
      <c r="BX217" s="24"/>
    </row>
    <row r="218" spans="1:76" s="198" customFormat="1" x14ac:dyDescent="0.2">
      <c r="A218" s="108"/>
      <c r="B218" s="242"/>
      <c r="C218" s="391" t="s">
        <v>827</v>
      </c>
      <c r="D218" s="80">
        <f t="shared" si="649"/>
        <v>0</v>
      </c>
      <c r="E218" s="295">
        <f t="shared" si="650"/>
        <v>17000</v>
      </c>
      <c r="F218" s="81"/>
      <c r="G218" s="81">
        <f t="shared" si="651"/>
        <v>17000</v>
      </c>
      <c r="H218" s="81">
        <f t="shared" si="652"/>
        <v>17000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>
        <v>17000</v>
      </c>
      <c r="V218" s="81"/>
      <c r="W218" s="81"/>
      <c r="X218" s="81"/>
      <c r="Y218" s="81"/>
      <c r="Z218" s="81"/>
      <c r="AA218" s="81"/>
      <c r="AB218" s="81">
        <f t="shared" si="653"/>
        <v>0</v>
      </c>
      <c r="AC218" s="81">
        <f t="shared" si="654"/>
        <v>0</v>
      </c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>
        <f t="shared" si="655"/>
        <v>0</v>
      </c>
      <c r="AP218" s="81">
        <f t="shared" si="656"/>
        <v>0</v>
      </c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>
        <f t="shared" si="657"/>
        <v>0</v>
      </c>
      <c r="BC218" s="98">
        <f t="shared" si="658"/>
        <v>0</v>
      </c>
      <c r="BD218" s="98"/>
      <c r="BE218" s="98"/>
      <c r="BF218" s="98"/>
      <c r="BG218" s="98"/>
      <c r="BH218" s="98"/>
      <c r="BI218" s="81"/>
      <c r="BJ218" s="81">
        <f t="shared" si="659"/>
        <v>0</v>
      </c>
      <c r="BK218" s="81">
        <f t="shared" si="660"/>
        <v>0</v>
      </c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82" t="s">
        <v>826</v>
      </c>
      <c r="BW218" s="85"/>
      <c r="BX218" s="24"/>
    </row>
    <row r="219" spans="1:76" s="198" customFormat="1" ht="36" x14ac:dyDescent="0.2">
      <c r="A219" s="108"/>
      <c r="B219" s="242"/>
      <c r="C219" s="402" t="s">
        <v>841</v>
      </c>
      <c r="D219" s="80">
        <f t="shared" si="649"/>
        <v>0</v>
      </c>
      <c r="E219" s="295">
        <f t="shared" si="650"/>
        <v>6560</v>
      </c>
      <c r="F219" s="81"/>
      <c r="G219" s="81">
        <f t="shared" si="651"/>
        <v>6560</v>
      </c>
      <c r="H219" s="81">
        <f t="shared" si="652"/>
        <v>6560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>
        <v>6560</v>
      </c>
      <c r="Z219" s="81"/>
      <c r="AA219" s="81"/>
      <c r="AB219" s="81">
        <f t="shared" si="653"/>
        <v>0</v>
      </c>
      <c r="AC219" s="81">
        <f t="shared" si="654"/>
        <v>0</v>
      </c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>
        <f t="shared" si="655"/>
        <v>0</v>
      </c>
      <c r="AP219" s="81">
        <f t="shared" si="656"/>
        <v>0</v>
      </c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>
        <f t="shared" si="657"/>
        <v>0</v>
      </c>
      <c r="BC219" s="98">
        <f t="shared" si="658"/>
        <v>0</v>
      </c>
      <c r="BD219" s="98"/>
      <c r="BE219" s="98"/>
      <c r="BF219" s="98"/>
      <c r="BG219" s="98"/>
      <c r="BH219" s="98"/>
      <c r="BI219" s="81"/>
      <c r="BJ219" s="81">
        <f t="shared" si="659"/>
        <v>0</v>
      </c>
      <c r="BK219" s="81">
        <f t="shared" si="660"/>
        <v>0</v>
      </c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82" t="s">
        <v>842</v>
      </c>
      <c r="BW219" s="85"/>
      <c r="BX219" s="24"/>
    </row>
    <row r="220" spans="1:76" ht="24" customHeight="1" x14ac:dyDescent="0.2">
      <c r="A220" s="108">
        <v>90001175873</v>
      </c>
      <c r="B220" s="241" t="s">
        <v>154</v>
      </c>
      <c r="C220" s="285" t="s">
        <v>227</v>
      </c>
      <c r="D220" s="80">
        <f t="shared" si="649"/>
        <v>733944</v>
      </c>
      <c r="E220" s="295">
        <f t="shared" si="650"/>
        <v>503782</v>
      </c>
      <c r="F220" s="81">
        <v>311113</v>
      </c>
      <c r="G220" s="81">
        <f t="shared" si="651"/>
        <v>221524</v>
      </c>
      <c r="H220" s="81">
        <f t="shared" si="652"/>
        <v>-89589</v>
      </c>
      <c r="I220" s="81"/>
      <c r="J220" s="81"/>
      <c r="K220" s="81">
        <v>-832</v>
      </c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>
        <v>-88757</v>
      </c>
      <c r="Z220" s="81"/>
      <c r="AA220" s="81">
        <v>410406</v>
      </c>
      <c r="AB220" s="81">
        <f t="shared" si="653"/>
        <v>276919</v>
      </c>
      <c r="AC220" s="81">
        <f t="shared" si="654"/>
        <v>-133487</v>
      </c>
      <c r="AD220" s="81">
        <v>2394</v>
      </c>
      <c r="AE220" s="81">
        <v>6306</v>
      </c>
      <c r="AF220" s="81"/>
      <c r="AG220" s="81"/>
      <c r="AH220" s="81">
        <v>-18</v>
      </c>
      <c r="AI220" s="81"/>
      <c r="AJ220" s="81">
        <v>-142169</v>
      </c>
      <c r="AK220" s="81"/>
      <c r="AL220" s="81"/>
      <c r="AM220" s="81"/>
      <c r="AN220" s="81">
        <v>12425</v>
      </c>
      <c r="AO220" s="81">
        <f t="shared" si="655"/>
        <v>5339</v>
      </c>
      <c r="AP220" s="81">
        <f t="shared" si="656"/>
        <v>-7086</v>
      </c>
      <c r="AQ220" s="81">
        <v>832</v>
      </c>
      <c r="AR220" s="81"/>
      <c r="AS220" s="81"/>
      <c r="AT220" s="81"/>
      <c r="AU220" s="81"/>
      <c r="AV220" s="81"/>
      <c r="AW220" s="81"/>
      <c r="AX220" s="81">
        <v>-7918</v>
      </c>
      <c r="AY220" s="81"/>
      <c r="AZ220" s="81"/>
      <c r="BA220" s="81">
        <v>0</v>
      </c>
      <c r="BB220" s="81">
        <f t="shared" si="657"/>
        <v>0</v>
      </c>
      <c r="BC220" s="98">
        <f t="shared" si="658"/>
        <v>0</v>
      </c>
      <c r="BD220" s="98"/>
      <c r="BE220" s="98"/>
      <c r="BF220" s="98"/>
      <c r="BG220" s="98"/>
      <c r="BH220" s="98"/>
      <c r="BI220" s="81"/>
      <c r="BJ220" s="81">
        <f t="shared" si="659"/>
        <v>0</v>
      </c>
      <c r="BK220" s="81">
        <f t="shared" si="660"/>
        <v>0</v>
      </c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82" t="s">
        <v>410</v>
      </c>
      <c r="BW220" s="85"/>
      <c r="BX220" s="24"/>
    </row>
    <row r="221" spans="1:76" x14ac:dyDescent="0.2">
      <c r="A221" s="108"/>
      <c r="B221" s="242"/>
      <c r="C221" s="285" t="s">
        <v>240</v>
      </c>
      <c r="D221" s="80">
        <f t="shared" si="649"/>
        <v>89615</v>
      </c>
      <c r="E221" s="295">
        <f t="shared" si="650"/>
        <v>50643</v>
      </c>
      <c r="F221" s="81">
        <v>33816</v>
      </c>
      <c r="G221" s="81">
        <f t="shared" si="651"/>
        <v>18440</v>
      </c>
      <c r="H221" s="81">
        <f t="shared" si="652"/>
        <v>-15376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>
        <v>-15376</v>
      </c>
      <c r="Z221" s="81"/>
      <c r="AA221" s="81">
        <v>55799</v>
      </c>
      <c r="AB221" s="81">
        <f t="shared" si="653"/>
        <v>32203</v>
      </c>
      <c r="AC221" s="81">
        <f t="shared" si="654"/>
        <v>-23596</v>
      </c>
      <c r="AD221" s="81"/>
      <c r="AE221" s="81">
        <v>4383</v>
      </c>
      <c r="AF221" s="81"/>
      <c r="AG221" s="81"/>
      <c r="AH221" s="81"/>
      <c r="AI221" s="81"/>
      <c r="AJ221" s="81">
        <v>-27979</v>
      </c>
      <c r="AK221" s="81"/>
      <c r="AL221" s="81"/>
      <c r="AM221" s="81"/>
      <c r="AN221" s="81">
        <v>0</v>
      </c>
      <c r="AO221" s="81">
        <f t="shared" si="655"/>
        <v>0</v>
      </c>
      <c r="AP221" s="81">
        <f t="shared" si="656"/>
        <v>0</v>
      </c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>
        <v>0</v>
      </c>
      <c r="BB221" s="81">
        <f t="shared" si="657"/>
        <v>0</v>
      </c>
      <c r="BC221" s="98">
        <f t="shared" si="658"/>
        <v>0</v>
      </c>
      <c r="BD221" s="98"/>
      <c r="BE221" s="98"/>
      <c r="BF221" s="98"/>
      <c r="BG221" s="98"/>
      <c r="BH221" s="98"/>
      <c r="BI221" s="81"/>
      <c r="BJ221" s="81">
        <f t="shared" si="659"/>
        <v>0</v>
      </c>
      <c r="BK221" s="81">
        <f t="shared" si="660"/>
        <v>0</v>
      </c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82" t="s">
        <v>411</v>
      </c>
      <c r="BW221" s="85"/>
      <c r="BX221" s="24"/>
    </row>
    <row r="222" spans="1:76" s="193" customFormat="1" ht="24" x14ac:dyDescent="0.2">
      <c r="A222" s="108"/>
      <c r="B222" s="242"/>
      <c r="C222" s="285" t="s">
        <v>543</v>
      </c>
      <c r="D222" s="80">
        <f t="shared" si="649"/>
        <v>4731</v>
      </c>
      <c r="E222" s="295">
        <f t="shared" si="650"/>
        <v>6307</v>
      </c>
      <c r="F222" s="81">
        <v>4731</v>
      </c>
      <c r="G222" s="81">
        <f t="shared" si="651"/>
        <v>6307</v>
      </c>
      <c r="H222" s="81">
        <f t="shared" si="652"/>
        <v>1576</v>
      </c>
      <c r="I222" s="81"/>
      <c r="J222" s="81"/>
      <c r="K222" s="81">
        <v>1576</v>
      </c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>
        <v>0</v>
      </c>
      <c r="AB222" s="81">
        <f t="shared" si="653"/>
        <v>0</v>
      </c>
      <c r="AC222" s="81">
        <f t="shared" si="654"/>
        <v>0</v>
      </c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>
        <v>0</v>
      </c>
      <c r="AO222" s="81">
        <f t="shared" si="655"/>
        <v>0</v>
      </c>
      <c r="AP222" s="81">
        <f t="shared" si="656"/>
        <v>0</v>
      </c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>
        <v>0</v>
      </c>
      <c r="BB222" s="81">
        <f t="shared" si="657"/>
        <v>0</v>
      </c>
      <c r="BC222" s="98">
        <f t="shared" si="658"/>
        <v>0</v>
      </c>
      <c r="BD222" s="98"/>
      <c r="BE222" s="98"/>
      <c r="BF222" s="98"/>
      <c r="BG222" s="98"/>
      <c r="BH222" s="98"/>
      <c r="BI222" s="81"/>
      <c r="BJ222" s="81">
        <f t="shared" si="659"/>
        <v>0</v>
      </c>
      <c r="BK222" s="81">
        <f t="shared" si="660"/>
        <v>0</v>
      </c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82" t="s">
        <v>555</v>
      </c>
      <c r="BW222" s="85"/>
      <c r="BX222" s="24"/>
    </row>
    <row r="223" spans="1:76" ht="24" customHeight="1" x14ac:dyDescent="0.2">
      <c r="A223" s="108">
        <v>90009251361</v>
      </c>
      <c r="B223" s="241" t="s">
        <v>199</v>
      </c>
      <c r="C223" s="285" t="s">
        <v>227</v>
      </c>
      <c r="D223" s="80">
        <f t="shared" si="649"/>
        <v>718678</v>
      </c>
      <c r="E223" s="295">
        <f t="shared" si="650"/>
        <v>725059</v>
      </c>
      <c r="F223" s="81">
        <v>529234</v>
      </c>
      <c r="G223" s="81">
        <f t="shared" si="651"/>
        <v>529234</v>
      </c>
      <c r="H223" s="81">
        <f t="shared" si="652"/>
        <v>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>
        <v>170083</v>
      </c>
      <c r="AB223" s="81">
        <f t="shared" si="653"/>
        <v>173686</v>
      </c>
      <c r="AC223" s="81">
        <f t="shared" si="654"/>
        <v>3603</v>
      </c>
      <c r="AD223" s="81">
        <v>679</v>
      </c>
      <c r="AE223" s="81">
        <v>2969</v>
      </c>
      <c r="AF223" s="81"/>
      <c r="AG223" s="81"/>
      <c r="AH223" s="81">
        <v>-45</v>
      </c>
      <c r="AI223" s="81"/>
      <c r="AJ223" s="81"/>
      <c r="AK223" s="81"/>
      <c r="AL223" s="81"/>
      <c r="AM223" s="81"/>
      <c r="AN223" s="81">
        <v>19361</v>
      </c>
      <c r="AO223" s="81">
        <f t="shared" si="655"/>
        <v>22139</v>
      </c>
      <c r="AP223" s="81">
        <f t="shared" si="656"/>
        <v>2778</v>
      </c>
      <c r="AQ223" s="81">
        <v>2778</v>
      </c>
      <c r="AR223" s="81"/>
      <c r="AS223" s="81"/>
      <c r="AT223" s="81"/>
      <c r="AU223" s="81"/>
      <c r="AV223" s="81"/>
      <c r="AW223" s="81"/>
      <c r="AX223" s="81"/>
      <c r="AY223" s="81"/>
      <c r="AZ223" s="81"/>
      <c r="BA223" s="81">
        <v>0</v>
      </c>
      <c r="BB223" s="81">
        <f t="shared" si="657"/>
        <v>0</v>
      </c>
      <c r="BC223" s="98">
        <f t="shared" si="658"/>
        <v>0</v>
      </c>
      <c r="BD223" s="98"/>
      <c r="BE223" s="98"/>
      <c r="BF223" s="98"/>
      <c r="BG223" s="98"/>
      <c r="BH223" s="98"/>
      <c r="BI223" s="81"/>
      <c r="BJ223" s="81">
        <f t="shared" si="659"/>
        <v>0</v>
      </c>
      <c r="BK223" s="81">
        <f t="shared" si="660"/>
        <v>0</v>
      </c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82" t="s">
        <v>412</v>
      </c>
      <c r="BW223" s="85"/>
      <c r="BX223" s="24"/>
    </row>
    <row r="224" spans="1:76" x14ac:dyDescent="0.2">
      <c r="A224" s="108"/>
      <c r="B224" s="242"/>
      <c r="C224" s="285" t="s">
        <v>240</v>
      </c>
      <c r="D224" s="80">
        <f t="shared" si="649"/>
        <v>78286</v>
      </c>
      <c r="E224" s="295">
        <f t="shared" si="650"/>
        <v>78286</v>
      </c>
      <c r="F224" s="81">
        <v>54736</v>
      </c>
      <c r="G224" s="81">
        <f t="shared" si="651"/>
        <v>54736</v>
      </c>
      <c r="H224" s="81">
        <f t="shared" si="652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>
        <v>23550</v>
      </c>
      <c r="AB224" s="81">
        <f t="shared" si="653"/>
        <v>23550</v>
      </c>
      <c r="AC224" s="81">
        <f t="shared" si="654"/>
        <v>0</v>
      </c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>
        <v>0</v>
      </c>
      <c r="AO224" s="81">
        <f t="shared" si="655"/>
        <v>0</v>
      </c>
      <c r="AP224" s="81">
        <f t="shared" si="656"/>
        <v>0</v>
      </c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>
        <v>0</v>
      </c>
      <c r="BB224" s="81">
        <f t="shared" si="657"/>
        <v>0</v>
      </c>
      <c r="BC224" s="98">
        <f t="shared" si="658"/>
        <v>0</v>
      </c>
      <c r="BD224" s="98"/>
      <c r="BE224" s="98"/>
      <c r="BF224" s="98"/>
      <c r="BG224" s="98"/>
      <c r="BH224" s="98"/>
      <c r="BI224" s="81"/>
      <c r="BJ224" s="81">
        <f t="shared" si="659"/>
        <v>0</v>
      </c>
      <c r="BK224" s="81">
        <f t="shared" si="660"/>
        <v>0</v>
      </c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82" t="s">
        <v>413</v>
      </c>
      <c r="BW224" s="85"/>
      <c r="BX224" s="24"/>
    </row>
    <row r="225" spans="1:76" ht="24" x14ac:dyDescent="0.2">
      <c r="A225" s="108">
        <v>90000051699</v>
      </c>
      <c r="B225" s="241" t="s">
        <v>200</v>
      </c>
      <c r="C225" s="285" t="s">
        <v>227</v>
      </c>
      <c r="D225" s="80">
        <f t="shared" si="649"/>
        <v>723915</v>
      </c>
      <c r="E225" s="295">
        <f t="shared" si="650"/>
        <v>728498</v>
      </c>
      <c r="F225" s="81">
        <v>481090</v>
      </c>
      <c r="G225" s="81">
        <f t="shared" si="651"/>
        <v>481090</v>
      </c>
      <c r="H225" s="81">
        <f t="shared" si="652"/>
        <v>0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>
        <v>214249</v>
      </c>
      <c r="AB225" s="81">
        <f t="shared" si="653"/>
        <v>218666</v>
      </c>
      <c r="AC225" s="81">
        <f t="shared" si="654"/>
        <v>4417</v>
      </c>
      <c r="AD225" s="81">
        <v>987</v>
      </c>
      <c r="AE225" s="81">
        <v>3430</v>
      </c>
      <c r="AF225" s="81"/>
      <c r="AG225" s="81"/>
      <c r="AH225" s="81"/>
      <c r="AI225" s="81"/>
      <c r="AJ225" s="81"/>
      <c r="AK225" s="81"/>
      <c r="AL225" s="81"/>
      <c r="AM225" s="81"/>
      <c r="AN225" s="81">
        <v>28576</v>
      </c>
      <c r="AO225" s="81">
        <f t="shared" si="655"/>
        <v>28742</v>
      </c>
      <c r="AP225" s="81">
        <f t="shared" si="656"/>
        <v>166</v>
      </c>
      <c r="AQ225" s="81">
        <v>166</v>
      </c>
      <c r="AR225" s="81"/>
      <c r="AS225" s="81"/>
      <c r="AT225" s="81"/>
      <c r="AU225" s="81"/>
      <c r="AV225" s="81"/>
      <c r="AW225" s="81"/>
      <c r="AX225" s="81"/>
      <c r="AY225" s="81"/>
      <c r="AZ225" s="81"/>
      <c r="BA225" s="81">
        <v>0</v>
      </c>
      <c r="BB225" s="81">
        <f t="shared" si="657"/>
        <v>0</v>
      </c>
      <c r="BC225" s="98">
        <f t="shared" si="658"/>
        <v>0</v>
      </c>
      <c r="BD225" s="98"/>
      <c r="BE225" s="98"/>
      <c r="BF225" s="98"/>
      <c r="BG225" s="98"/>
      <c r="BH225" s="98"/>
      <c r="BI225" s="81"/>
      <c r="BJ225" s="81">
        <f t="shared" si="659"/>
        <v>0</v>
      </c>
      <c r="BK225" s="81">
        <f t="shared" si="660"/>
        <v>0</v>
      </c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82" t="s">
        <v>414</v>
      </c>
      <c r="BW225" s="85"/>
      <c r="BX225" s="24"/>
    </row>
    <row r="226" spans="1:76" x14ac:dyDescent="0.2">
      <c r="A226" s="108"/>
      <c r="B226" s="242"/>
      <c r="C226" s="285" t="s">
        <v>240</v>
      </c>
      <c r="D226" s="80">
        <f t="shared" si="649"/>
        <v>77345</v>
      </c>
      <c r="E226" s="295">
        <f t="shared" si="650"/>
        <v>77345</v>
      </c>
      <c r="F226" s="81">
        <v>54793</v>
      </c>
      <c r="G226" s="81">
        <f t="shared" si="651"/>
        <v>54793</v>
      </c>
      <c r="H226" s="81">
        <f t="shared" si="652"/>
        <v>0</v>
      </c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>
        <v>22552</v>
      </c>
      <c r="AB226" s="81">
        <f t="shared" si="653"/>
        <v>22552</v>
      </c>
      <c r="AC226" s="81">
        <f t="shared" si="654"/>
        <v>0</v>
      </c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>
        <v>0</v>
      </c>
      <c r="AO226" s="81">
        <f t="shared" si="655"/>
        <v>0</v>
      </c>
      <c r="AP226" s="81">
        <f t="shared" si="656"/>
        <v>0</v>
      </c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>
        <v>0</v>
      </c>
      <c r="BB226" s="81">
        <f t="shared" si="657"/>
        <v>0</v>
      </c>
      <c r="BC226" s="98">
        <f t="shared" si="658"/>
        <v>0</v>
      </c>
      <c r="BD226" s="98"/>
      <c r="BE226" s="98"/>
      <c r="BF226" s="98"/>
      <c r="BG226" s="98"/>
      <c r="BH226" s="98"/>
      <c r="BI226" s="81"/>
      <c r="BJ226" s="81">
        <f t="shared" si="659"/>
        <v>0</v>
      </c>
      <c r="BK226" s="81">
        <f t="shared" si="660"/>
        <v>0</v>
      </c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82" t="s">
        <v>415</v>
      </c>
      <c r="BW226" s="85"/>
      <c r="BX226" s="24"/>
    </row>
    <row r="227" spans="1:76" ht="24" x14ac:dyDescent="0.2">
      <c r="A227" s="108">
        <v>90000051612</v>
      </c>
      <c r="B227" s="241" t="s">
        <v>201</v>
      </c>
      <c r="C227" s="285" t="s">
        <v>227</v>
      </c>
      <c r="D227" s="80">
        <f t="shared" si="649"/>
        <v>679780</v>
      </c>
      <c r="E227" s="295">
        <f t="shared" si="650"/>
        <v>689590</v>
      </c>
      <c r="F227" s="81">
        <v>348549</v>
      </c>
      <c r="G227" s="81">
        <f t="shared" si="651"/>
        <v>348549</v>
      </c>
      <c r="H227" s="81">
        <f t="shared" si="652"/>
        <v>0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>
        <v>320525</v>
      </c>
      <c r="AB227" s="81">
        <f t="shared" si="653"/>
        <v>328315</v>
      </c>
      <c r="AC227" s="81">
        <f t="shared" si="654"/>
        <v>7790</v>
      </c>
      <c r="AD227" s="81">
        <v>1995</v>
      </c>
      <c r="AE227" s="81">
        <f>5255+562</f>
        <v>5817</v>
      </c>
      <c r="AF227" s="81"/>
      <c r="AG227" s="81"/>
      <c r="AH227" s="81">
        <v>-22</v>
      </c>
      <c r="AI227" s="81"/>
      <c r="AJ227" s="81"/>
      <c r="AK227" s="81"/>
      <c r="AL227" s="81"/>
      <c r="AM227" s="81"/>
      <c r="AN227" s="81">
        <v>10706</v>
      </c>
      <c r="AO227" s="81">
        <f t="shared" si="655"/>
        <v>12726</v>
      </c>
      <c r="AP227" s="81">
        <f t="shared" si="656"/>
        <v>2020</v>
      </c>
      <c r="AQ227" s="81">
        <v>2020</v>
      </c>
      <c r="AR227" s="81"/>
      <c r="AS227" s="81"/>
      <c r="AT227" s="81"/>
      <c r="AU227" s="81"/>
      <c r="AV227" s="81"/>
      <c r="AW227" s="81"/>
      <c r="AX227" s="81"/>
      <c r="AY227" s="81"/>
      <c r="AZ227" s="81"/>
      <c r="BA227" s="81">
        <v>0</v>
      </c>
      <c r="BB227" s="81">
        <f t="shared" si="657"/>
        <v>0</v>
      </c>
      <c r="BC227" s="98">
        <f t="shared" si="658"/>
        <v>0</v>
      </c>
      <c r="BD227" s="98"/>
      <c r="BE227" s="98"/>
      <c r="BF227" s="98"/>
      <c r="BG227" s="98"/>
      <c r="BH227" s="98"/>
      <c r="BI227" s="81"/>
      <c r="BJ227" s="81">
        <f t="shared" si="659"/>
        <v>0</v>
      </c>
      <c r="BK227" s="81">
        <f t="shared" si="660"/>
        <v>0</v>
      </c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82" t="s">
        <v>416</v>
      </c>
      <c r="BW227" s="85"/>
      <c r="BX227" s="24"/>
    </row>
    <row r="228" spans="1:76" x14ac:dyDescent="0.2">
      <c r="A228" s="108"/>
      <c r="B228" s="242"/>
      <c r="C228" s="285" t="s">
        <v>240</v>
      </c>
      <c r="D228" s="80">
        <f t="shared" si="649"/>
        <v>74836</v>
      </c>
      <c r="E228" s="295">
        <f t="shared" si="650"/>
        <v>78378</v>
      </c>
      <c r="F228" s="81">
        <v>45934</v>
      </c>
      <c r="G228" s="81">
        <f t="shared" si="651"/>
        <v>45934</v>
      </c>
      <c r="H228" s="81">
        <f t="shared" si="652"/>
        <v>0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>
        <v>28902</v>
      </c>
      <c r="AB228" s="81">
        <f t="shared" si="653"/>
        <v>32444</v>
      </c>
      <c r="AC228" s="81">
        <f t="shared" si="654"/>
        <v>3542</v>
      </c>
      <c r="AD228" s="81"/>
      <c r="AE228" s="81">
        <v>3542</v>
      </c>
      <c r="AF228" s="81"/>
      <c r="AG228" s="81"/>
      <c r="AH228" s="81"/>
      <c r="AI228" s="81"/>
      <c r="AJ228" s="81"/>
      <c r="AK228" s="81"/>
      <c r="AL228" s="81"/>
      <c r="AM228" s="81"/>
      <c r="AN228" s="81">
        <v>0</v>
      </c>
      <c r="AO228" s="81">
        <f t="shared" si="655"/>
        <v>0</v>
      </c>
      <c r="AP228" s="81">
        <f t="shared" si="656"/>
        <v>0</v>
      </c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>
        <v>0</v>
      </c>
      <c r="BB228" s="81">
        <f t="shared" si="657"/>
        <v>0</v>
      </c>
      <c r="BC228" s="98">
        <f t="shared" si="658"/>
        <v>0</v>
      </c>
      <c r="BD228" s="98"/>
      <c r="BE228" s="98"/>
      <c r="BF228" s="98"/>
      <c r="BG228" s="98"/>
      <c r="BH228" s="98"/>
      <c r="BI228" s="81"/>
      <c r="BJ228" s="81">
        <f t="shared" si="659"/>
        <v>0</v>
      </c>
      <c r="BK228" s="81">
        <f t="shared" si="660"/>
        <v>0</v>
      </c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82" t="s">
        <v>417</v>
      </c>
      <c r="BW228" s="85"/>
      <c r="BX228" s="24"/>
    </row>
    <row r="229" spans="1:76" s="193" customFormat="1" ht="24" x14ac:dyDescent="0.2">
      <c r="A229" s="108"/>
      <c r="B229" s="242"/>
      <c r="C229" s="285" t="s">
        <v>543</v>
      </c>
      <c r="D229" s="80">
        <f t="shared" si="649"/>
        <v>3937</v>
      </c>
      <c r="E229" s="295">
        <f t="shared" si="650"/>
        <v>5277</v>
      </c>
      <c r="F229" s="81">
        <v>3937</v>
      </c>
      <c r="G229" s="81">
        <f t="shared" si="651"/>
        <v>5277</v>
      </c>
      <c r="H229" s="81">
        <f t="shared" si="652"/>
        <v>1340</v>
      </c>
      <c r="I229" s="81"/>
      <c r="J229" s="81"/>
      <c r="K229" s="81">
        <v>1340</v>
      </c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>
        <v>0</v>
      </c>
      <c r="AB229" s="81">
        <f t="shared" si="653"/>
        <v>0</v>
      </c>
      <c r="AC229" s="81">
        <f t="shared" si="654"/>
        <v>0</v>
      </c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>
        <v>0</v>
      </c>
      <c r="AO229" s="81">
        <f t="shared" si="655"/>
        <v>0</v>
      </c>
      <c r="AP229" s="81">
        <f t="shared" si="656"/>
        <v>0</v>
      </c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>
        <v>0</v>
      </c>
      <c r="BB229" s="81">
        <f t="shared" si="657"/>
        <v>0</v>
      </c>
      <c r="BC229" s="98">
        <f t="shared" si="658"/>
        <v>0</v>
      </c>
      <c r="BD229" s="98"/>
      <c r="BE229" s="98"/>
      <c r="BF229" s="98"/>
      <c r="BG229" s="98"/>
      <c r="BH229" s="98"/>
      <c r="BI229" s="81"/>
      <c r="BJ229" s="81">
        <f t="shared" si="659"/>
        <v>0</v>
      </c>
      <c r="BK229" s="81">
        <f t="shared" si="660"/>
        <v>0</v>
      </c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82" t="s">
        <v>556</v>
      </c>
      <c r="BW229" s="85"/>
      <c r="BX229" s="24"/>
    </row>
    <row r="230" spans="1:76" ht="24" x14ac:dyDescent="0.2">
      <c r="A230" s="108">
        <v>90009251342</v>
      </c>
      <c r="B230" s="241" t="s">
        <v>824</v>
      </c>
      <c r="C230" s="285" t="s">
        <v>227</v>
      </c>
      <c r="D230" s="80">
        <f t="shared" si="649"/>
        <v>882099</v>
      </c>
      <c r="E230" s="295">
        <f t="shared" si="650"/>
        <v>887774</v>
      </c>
      <c r="F230" s="81">
        <v>53302</v>
      </c>
      <c r="G230" s="81">
        <f t="shared" si="651"/>
        <v>53302</v>
      </c>
      <c r="H230" s="81">
        <f t="shared" si="652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>
        <v>824224</v>
      </c>
      <c r="AB230" s="81">
        <f t="shared" si="653"/>
        <v>829899</v>
      </c>
      <c r="AC230" s="81">
        <f t="shared" si="654"/>
        <v>5675</v>
      </c>
      <c r="AD230" s="81">
        <v>735</v>
      </c>
      <c r="AE230" s="81">
        <v>1003</v>
      </c>
      <c r="AF230" s="81"/>
      <c r="AG230" s="81"/>
      <c r="AH230" s="81">
        <f>3688-486</f>
        <v>3202</v>
      </c>
      <c r="AI230" s="81"/>
      <c r="AJ230" s="81">
        <v>735</v>
      </c>
      <c r="AK230" s="81"/>
      <c r="AL230" s="81"/>
      <c r="AM230" s="81"/>
      <c r="AN230" s="81">
        <v>4573</v>
      </c>
      <c r="AO230" s="81">
        <f t="shared" si="655"/>
        <v>4573</v>
      </c>
      <c r="AP230" s="81">
        <f t="shared" si="656"/>
        <v>0</v>
      </c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>
        <v>0</v>
      </c>
      <c r="BB230" s="81">
        <f t="shared" si="657"/>
        <v>0</v>
      </c>
      <c r="BC230" s="98">
        <f t="shared" si="658"/>
        <v>0</v>
      </c>
      <c r="BD230" s="98"/>
      <c r="BE230" s="98"/>
      <c r="BF230" s="98"/>
      <c r="BG230" s="98"/>
      <c r="BH230" s="98"/>
      <c r="BI230" s="81"/>
      <c r="BJ230" s="81">
        <f t="shared" si="659"/>
        <v>0</v>
      </c>
      <c r="BK230" s="81">
        <f t="shared" si="660"/>
        <v>0</v>
      </c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82" t="s">
        <v>418</v>
      </c>
      <c r="BW230" s="85"/>
      <c r="BX230" s="24"/>
    </row>
    <row r="231" spans="1:76" ht="24" customHeight="1" x14ac:dyDescent="0.2">
      <c r="A231" s="108">
        <v>90009249367</v>
      </c>
      <c r="B231" s="241" t="s">
        <v>283</v>
      </c>
      <c r="C231" s="285" t="s">
        <v>241</v>
      </c>
      <c r="D231" s="80">
        <f t="shared" si="649"/>
        <v>1449676</v>
      </c>
      <c r="E231" s="295">
        <f t="shared" si="650"/>
        <v>1496058</v>
      </c>
      <c r="F231" s="81">
        <v>959808</v>
      </c>
      <c r="G231" s="81">
        <f t="shared" si="651"/>
        <v>1002015</v>
      </c>
      <c r="H231" s="81">
        <f t="shared" si="652"/>
        <v>42207</v>
      </c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>
        <v>42207</v>
      </c>
      <c r="Z231" s="81"/>
      <c r="AA231" s="81">
        <v>460786</v>
      </c>
      <c r="AB231" s="81">
        <f t="shared" si="653"/>
        <v>474151</v>
      </c>
      <c r="AC231" s="81">
        <f t="shared" si="654"/>
        <v>13365</v>
      </c>
      <c r="AD231" s="81"/>
      <c r="AE231" s="81">
        <f>11004+2361</f>
        <v>13365</v>
      </c>
      <c r="AF231" s="81"/>
      <c r="AG231" s="81"/>
      <c r="AH231" s="81"/>
      <c r="AI231" s="81"/>
      <c r="AJ231" s="81"/>
      <c r="AK231" s="81"/>
      <c r="AL231" s="81"/>
      <c r="AM231" s="81"/>
      <c r="AN231" s="81">
        <v>29082</v>
      </c>
      <c r="AO231" s="81">
        <f t="shared" si="655"/>
        <v>19892</v>
      </c>
      <c r="AP231" s="81">
        <f t="shared" si="656"/>
        <v>-9190</v>
      </c>
      <c r="AQ231" s="81">
        <v>822</v>
      </c>
      <c r="AR231" s="81"/>
      <c r="AS231" s="81"/>
      <c r="AT231" s="81"/>
      <c r="AU231" s="81"/>
      <c r="AV231" s="81"/>
      <c r="AW231" s="81"/>
      <c r="AX231" s="81">
        <v>-10012</v>
      </c>
      <c r="AY231" s="81"/>
      <c r="AZ231" s="81"/>
      <c r="BA231" s="81">
        <v>0</v>
      </c>
      <c r="BB231" s="81">
        <f t="shared" si="657"/>
        <v>0</v>
      </c>
      <c r="BC231" s="98">
        <f t="shared" si="658"/>
        <v>0</v>
      </c>
      <c r="BD231" s="98"/>
      <c r="BE231" s="98"/>
      <c r="BF231" s="98"/>
      <c r="BG231" s="98"/>
      <c r="BH231" s="98"/>
      <c r="BI231" s="81"/>
      <c r="BJ231" s="81">
        <f t="shared" si="659"/>
        <v>0</v>
      </c>
      <c r="BK231" s="81">
        <f t="shared" si="660"/>
        <v>0</v>
      </c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82" t="s">
        <v>419</v>
      </c>
      <c r="BW231" s="85"/>
      <c r="BX231" s="24"/>
    </row>
    <row r="232" spans="1:76" s="104" customFormat="1" x14ac:dyDescent="0.2">
      <c r="A232" s="108"/>
      <c r="B232" s="242"/>
      <c r="C232" s="285" t="s">
        <v>248</v>
      </c>
      <c r="D232" s="80">
        <f t="shared" si="649"/>
        <v>186939</v>
      </c>
      <c r="E232" s="295">
        <f t="shared" si="650"/>
        <v>274767</v>
      </c>
      <c r="F232" s="81">
        <v>186939</v>
      </c>
      <c r="G232" s="81">
        <f t="shared" si="651"/>
        <v>274767</v>
      </c>
      <c r="H232" s="81">
        <f>SUM(I232:Z232)</f>
        <v>87828</v>
      </c>
      <c r="I232" s="81">
        <v>407</v>
      </c>
      <c r="J232" s="81"/>
      <c r="K232" s="81">
        <v>1516</v>
      </c>
      <c r="L232" s="81">
        <v>60780</v>
      </c>
      <c r="M232" s="81"/>
      <c r="N232" s="81">
        <v>2025</v>
      </c>
      <c r="O232" s="81"/>
      <c r="P232" s="81"/>
      <c r="Q232" s="81"/>
      <c r="R232" s="81"/>
      <c r="S232" s="81"/>
      <c r="T232" s="81"/>
      <c r="U232" s="81"/>
      <c r="V232" s="81"/>
      <c r="W232" s="81">
        <v>23100</v>
      </c>
      <c r="X232" s="81"/>
      <c r="Y232" s="81"/>
      <c r="Z232" s="81"/>
      <c r="AA232" s="81">
        <v>0</v>
      </c>
      <c r="AB232" s="81">
        <f t="shared" si="653"/>
        <v>0</v>
      </c>
      <c r="AC232" s="81">
        <f t="shared" si="654"/>
        <v>0</v>
      </c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>
        <v>0</v>
      </c>
      <c r="AO232" s="81">
        <f t="shared" si="655"/>
        <v>0</v>
      </c>
      <c r="AP232" s="81">
        <f t="shared" si="656"/>
        <v>0</v>
      </c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>
        <v>0</v>
      </c>
      <c r="BB232" s="81">
        <f t="shared" si="657"/>
        <v>0</v>
      </c>
      <c r="BC232" s="98">
        <f t="shared" si="658"/>
        <v>0</v>
      </c>
      <c r="BD232" s="98"/>
      <c r="BE232" s="98"/>
      <c r="BF232" s="98"/>
      <c r="BG232" s="98"/>
      <c r="BH232" s="98"/>
      <c r="BI232" s="81"/>
      <c r="BJ232" s="81">
        <f t="shared" si="659"/>
        <v>0</v>
      </c>
      <c r="BK232" s="81">
        <f t="shared" si="660"/>
        <v>0</v>
      </c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82" t="s">
        <v>420</v>
      </c>
      <c r="BW232" s="85" t="s">
        <v>505</v>
      </c>
      <c r="BX232" s="24"/>
    </row>
    <row r="233" spans="1:76" ht="24" customHeight="1" x14ac:dyDescent="0.2">
      <c r="A233" s="108">
        <v>90000783949</v>
      </c>
      <c r="B233" s="241" t="s">
        <v>19</v>
      </c>
      <c r="C233" s="285" t="s">
        <v>227</v>
      </c>
      <c r="D233" s="80">
        <f t="shared" si="649"/>
        <v>655619</v>
      </c>
      <c r="E233" s="295">
        <f t="shared" si="650"/>
        <v>666512</v>
      </c>
      <c r="F233" s="81">
        <v>317042</v>
      </c>
      <c r="G233" s="81">
        <f t="shared" si="651"/>
        <v>319598</v>
      </c>
      <c r="H233" s="81">
        <f t="shared" si="652"/>
        <v>2556</v>
      </c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>
        <v>2556</v>
      </c>
      <c r="X233" s="81"/>
      <c r="Y233" s="81"/>
      <c r="Z233" s="81"/>
      <c r="AA233" s="81">
        <v>334942</v>
      </c>
      <c r="AB233" s="81">
        <f t="shared" si="653"/>
        <v>343290</v>
      </c>
      <c r="AC233" s="81">
        <f t="shared" si="654"/>
        <v>8348</v>
      </c>
      <c r="AD233" s="81">
        <v>1001</v>
      </c>
      <c r="AE233" s="81">
        <f>3061+3+4283</f>
        <v>7347</v>
      </c>
      <c r="AF233" s="81"/>
      <c r="AG233" s="81"/>
      <c r="AH233" s="81"/>
      <c r="AI233" s="81"/>
      <c r="AJ233" s="81"/>
      <c r="AK233" s="81"/>
      <c r="AL233" s="81"/>
      <c r="AM233" s="81"/>
      <c r="AN233" s="81">
        <v>3635</v>
      </c>
      <c r="AO233" s="81">
        <f t="shared" si="655"/>
        <v>3623</v>
      </c>
      <c r="AP233" s="81">
        <f t="shared" si="656"/>
        <v>-12</v>
      </c>
      <c r="AQ233" s="81">
        <v>100</v>
      </c>
      <c r="AR233" s="81"/>
      <c r="AS233" s="81"/>
      <c r="AT233" s="81"/>
      <c r="AU233" s="81"/>
      <c r="AV233" s="81"/>
      <c r="AW233" s="81">
        <v>-112</v>
      </c>
      <c r="AX233" s="81"/>
      <c r="AY233" s="81"/>
      <c r="AZ233" s="81"/>
      <c r="BA233" s="81">
        <v>0</v>
      </c>
      <c r="BB233" s="81">
        <f t="shared" si="657"/>
        <v>1</v>
      </c>
      <c r="BC233" s="98">
        <f t="shared" si="658"/>
        <v>1</v>
      </c>
      <c r="BD233" s="98">
        <v>1</v>
      </c>
      <c r="BE233" s="98"/>
      <c r="BF233" s="98"/>
      <c r="BG233" s="98"/>
      <c r="BH233" s="98"/>
      <c r="BI233" s="81"/>
      <c r="BJ233" s="81">
        <f t="shared" si="659"/>
        <v>0</v>
      </c>
      <c r="BK233" s="81">
        <f t="shared" si="660"/>
        <v>0</v>
      </c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82" t="s">
        <v>697</v>
      </c>
      <c r="BW233" s="85"/>
      <c r="BX233" s="24"/>
    </row>
    <row r="234" spans="1:76" ht="12.75" x14ac:dyDescent="0.2">
      <c r="A234" s="108"/>
      <c r="B234" s="243"/>
      <c r="C234" s="285" t="s">
        <v>240</v>
      </c>
      <c r="D234" s="80">
        <f t="shared" si="649"/>
        <v>52319</v>
      </c>
      <c r="E234" s="295">
        <f t="shared" si="650"/>
        <v>52319</v>
      </c>
      <c r="F234" s="81">
        <v>38971</v>
      </c>
      <c r="G234" s="81">
        <f t="shared" si="651"/>
        <v>38971</v>
      </c>
      <c r="H234" s="81">
        <f t="shared" si="652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>
        <v>13348</v>
      </c>
      <c r="AB234" s="81">
        <f t="shared" si="653"/>
        <v>13348</v>
      </c>
      <c r="AC234" s="81">
        <f t="shared" si="654"/>
        <v>0</v>
      </c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>
        <v>0</v>
      </c>
      <c r="AO234" s="81">
        <f t="shared" si="655"/>
        <v>0</v>
      </c>
      <c r="AP234" s="81">
        <f t="shared" si="656"/>
        <v>0</v>
      </c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>
        <v>0</v>
      </c>
      <c r="BB234" s="81">
        <f t="shared" si="657"/>
        <v>0</v>
      </c>
      <c r="BC234" s="98">
        <f t="shared" si="658"/>
        <v>0</v>
      </c>
      <c r="BD234" s="98"/>
      <c r="BE234" s="98"/>
      <c r="BF234" s="98"/>
      <c r="BG234" s="98"/>
      <c r="BH234" s="98"/>
      <c r="BI234" s="81"/>
      <c r="BJ234" s="81">
        <f t="shared" si="659"/>
        <v>0</v>
      </c>
      <c r="BK234" s="81">
        <f t="shared" si="660"/>
        <v>0</v>
      </c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82" t="s">
        <v>698</v>
      </c>
      <c r="BW234" s="85"/>
      <c r="BX234" s="24"/>
    </row>
    <row r="235" spans="1:76" s="192" customFormat="1" ht="36" x14ac:dyDescent="0.2">
      <c r="A235" s="108"/>
      <c r="B235" s="243"/>
      <c r="C235" s="285" t="s">
        <v>540</v>
      </c>
      <c r="D235" s="80">
        <f t="shared" si="649"/>
        <v>13004</v>
      </c>
      <c r="E235" s="295">
        <f t="shared" si="650"/>
        <v>13007</v>
      </c>
      <c r="F235" s="81">
        <v>13004</v>
      </c>
      <c r="G235" s="81">
        <f t="shared" si="651"/>
        <v>13007</v>
      </c>
      <c r="H235" s="81">
        <f t="shared" si="652"/>
        <v>3</v>
      </c>
      <c r="I235" s="81"/>
      <c r="J235" s="81"/>
      <c r="K235" s="81">
        <v>3</v>
      </c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>
        <v>0</v>
      </c>
      <c r="AB235" s="81">
        <f t="shared" si="653"/>
        <v>0</v>
      </c>
      <c r="AC235" s="81">
        <f t="shared" si="654"/>
        <v>0</v>
      </c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>
        <v>0</v>
      </c>
      <c r="AO235" s="81">
        <f t="shared" si="655"/>
        <v>0</v>
      </c>
      <c r="AP235" s="81">
        <f t="shared" si="656"/>
        <v>0</v>
      </c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>
        <v>0</v>
      </c>
      <c r="BB235" s="81">
        <f t="shared" si="657"/>
        <v>0</v>
      </c>
      <c r="BC235" s="98">
        <f t="shared" si="658"/>
        <v>0</v>
      </c>
      <c r="BD235" s="98"/>
      <c r="BE235" s="98"/>
      <c r="BF235" s="98"/>
      <c r="BG235" s="98"/>
      <c r="BH235" s="98"/>
      <c r="BI235" s="81"/>
      <c r="BJ235" s="81">
        <f t="shared" si="659"/>
        <v>0</v>
      </c>
      <c r="BK235" s="81">
        <f t="shared" si="660"/>
        <v>0</v>
      </c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82" t="s">
        <v>699</v>
      </c>
      <c r="BW235" s="85"/>
      <c r="BX235" s="24"/>
    </row>
    <row r="236" spans="1:76" s="198" customFormat="1" ht="24" x14ac:dyDescent="0.2">
      <c r="A236" s="108"/>
      <c r="B236" s="243"/>
      <c r="C236" s="334" t="s">
        <v>735</v>
      </c>
      <c r="D236" s="80">
        <f t="shared" ref="D236" si="661">F236+AA236+AN236+BA236+BI236</f>
        <v>0</v>
      </c>
      <c r="E236" s="295">
        <f t="shared" ref="E236" si="662">G236+AB236+AO236+BB236+BJ236</f>
        <v>13592</v>
      </c>
      <c r="F236" s="81"/>
      <c r="G236" s="81">
        <f t="shared" ref="G236:G237" si="663">F236+H236</f>
        <v>13592</v>
      </c>
      <c r="H236" s="81">
        <f t="shared" ref="H236:H237" si="664">SUM(I236:Z236)</f>
        <v>13592</v>
      </c>
      <c r="I236" s="81">
        <v>13592</v>
      </c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>
        <f t="shared" ref="AB236" si="665">AA236+AC236</f>
        <v>0</v>
      </c>
      <c r="AC236" s="81">
        <f t="shared" ref="AC236" si="666">SUM(AD236:AM236)</f>
        <v>0</v>
      </c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>
        <f t="shared" ref="AO236" si="667">AN236+AP236</f>
        <v>0</v>
      </c>
      <c r="AP236" s="81">
        <f t="shared" ref="AP236" si="668">SUM(AQ236:AZ236)</f>
        <v>0</v>
      </c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>
        <f t="shared" ref="BB236" si="669">BA236+BC236</f>
        <v>0</v>
      </c>
      <c r="BC236" s="98">
        <f t="shared" ref="BC236" si="670">SUM(BD236:BH236)</f>
        <v>0</v>
      </c>
      <c r="BD236" s="98"/>
      <c r="BE236" s="98"/>
      <c r="BF236" s="98"/>
      <c r="BG236" s="98"/>
      <c r="BH236" s="98"/>
      <c r="BI236" s="81"/>
      <c r="BJ236" s="81">
        <f t="shared" ref="BJ236:BJ237" si="671">BI236+BK236</f>
        <v>0</v>
      </c>
      <c r="BK236" s="81">
        <f t="shared" ref="BK236:BK237" si="672">SUM(BL236:BU236)</f>
        <v>0</v>
      </c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82" t="s">
        <v>736</v>
      </c>
      <c r="BW236" s="85"/>
      <c r="BX236" s="24"/>
    </row>
    <row r="237" spans="1:76" s="198" customFormat="1" ht="24" x14ac:dyDescent="0.2">
      <c r="A237" s="108"/>
      <c r="B237" s="243"/>
      <c r="C237" s="353" t="s">
        <v>783</v>
      </c>
      <c r="D237" s="80">
        <f t="shared" ref="D237" si="673">F237+AA237+AN237+BA237+BI237</f>
        <v>0</v>
      </c>
      <c r="E237" s="295">
        <f t="shared" ref="E237" si="674">G237+AB237+AO237+BB237+BJ237</f>
        <v>1204</v>
      </c>
      <c r="F237" s="81"/>
      <c r="G237" s="81">
        <f t="shared" si="663"/>
        <v>1204</v>
      </c>
      <c r="H237" s="81">
        <f t="shared" si="664"/>
        <v>1204</v>
      </c>
      <c r="I237" s="81"/>
      <c r="J237" s="81"/>
      <c r="K237" s="81"/>
      <c r="L237" s="81">
        <v>1204</v>
      </c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>
        <f t="shared" ref="AB237" si="675">AA237+AC237</f>
        <v>0</v>
      </c>
      <c r="AC237" s="81">
        <f t="shared" ref="AC237" si="676">SUM(AD237:AM237)</f>
        <v>0</v>
      </c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>
        <f t="shared" ref="AO237" si="677">AN237+AP237</f>
        <v>0</v>
      </c>
      <c r="AP237" s="81">
        <f t="shared" ref="AP237" si="678">SUM(AQ237:AZ237)</f>
        <v>0</v>
      </c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>
        <f t="shared" ref="BB237" si="679">BA237+BC237</f>
        <v>0</v>
      </c>
      <c r="BC237" s="98">
        <f t="shared" ref="BC237" si="680">SUM(BD237:BH237)</f>
        <v>0</v>
      </c>
      <c r="BD237" s="98"/>
      <c r="BE237" s="98"/>
      <c r="BF237" s="98"/>
      <c r="BG237" s="98"/>
      <c r="BH237" s="98"/>
      <c r="BI237" s="81"/>
      <c r="BJ237" s="81">
        <f t="shared" si="671"/>
        <v>0</v>
      </c>
      <c r="BK237" s="81">
        <f t="shared" si="672"/>
        <v>0</v>
      </c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82" t="s">
        <v>784</v>
      </c>
      <c r="BW237" s="85"/>
      <c r="BX237" s="24"/>
    </row>
    <row r="238" spans="1:76" ht="24" customHeight="1" x14ac:dyDescent="0.2">
      <c r="A238" s="108">
        <v>90000051646</v>
      </c>
      <c r="B238" s="241" t="s">
        <v>155</v>
      </c>
      <c r="C238" s="285" t="s">
        <v>227</v>
      </c>
      <c r="D238" s="80">
        <f t="shared" si="649"/>
        <v>247167</v>
      </c>
      <c r="E238" s="295">
        <f t="shared" si="650"/>
        <v>202331</v>
      </c>
      <c r="F238" s="81">
        <v>92620</v>
      </c>
      <c r="G238" s="81">
        <f t="shared" si="651"/>
        <v>74161</v>
      </c>
      <c r="H238" s="81">
        <f t="shared" si="652"/>
        <v>-18459</v>
      </c>
      <c r="I238" s="81"/>
      <c r="J238" s="81"/>
      <c r="K238" s="81">
        <v>4511</v>
      </c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>
        <v>-22970</v>
      </c>
      <c r="X238" s="81"/>
      <c r="Y238" s="81"/>
      <c r="Z238" s="81"/>
      <c r="AA238" s="81">
        <v>154507</v>
      </c>
      <c r="AB238" s="81">
        <f t="shared" si="653"/>
        <v>128130</v>
      </c>
      <c r="AC238" s="81">
        <f t="shared" si="654"/>
        <v>-26377</v>
      </c>
      <c r="AD238" s="81">
        <v>210</v>
      </c>
      <c r="AE238" s="81">
        <f>3153-12984</f>
        <v>-9831</v>
      </c>
      <c r="AF238" s="81"/>
      <c r="AG238" s="81"/>
      <c r="AH238" s="81">
        <v>-210</v>
      </c>
      <c r="AI238" s="81">
        <v>-16546</v>
      </c>
      <c r="AJ238" s="81"/>
      <c r="AK238" s="81"/>
      <c r="AL238" s="81"/>
      <c r="AM238" s="81"/>
      <c r="AN238" s="81">
        <v>40</v>
      </c>
      <c r="AO238" s="81">
        <f t="shared" si="655"/>
        <v>40</v>
      </c>
      <c r="AP238" s="81">
        <f t="shared" si="656"/>
        <v>0</v>
      </c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>
        <v>0</v>
      </c>
      <c r="BB238" s="81">
        <f t="shared" si="657"/>
        <v>0</v>
      </c>
      <c r="BC238" s="98">
        <f t="shared" si="658"/>
        <v>0</v>
      </c>
      <c r="BD238" s="98"/>
      <c r="BE238" s="98"/>
      <c r="BF238" s="98"/>
      <c r="BG238" s="98"/>
      <c r="BH238" s="98"/>
      <c r="BI238" s="81"/>
      <c r="BJ238" s="81">
        <f t="shared" si="659"/>
        <v>0</v>
      </c>
      <c r="BK238" s="81">
        <f t="shared" si="660"/>
        <v>0</v>
      </c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82" t="s">
        <v>421</v>
      </c>
      <c r="BW238" s="85"/>
      <c r="BX238" s="24"/>
    </row>
    <row r="239" spans="1:76" s="103" customFormat="1" x14ac:dyDescent="0.2">
      <c r="A239" s="108"/>
      <c r="B239" s="242"/>
      <c r="C239" s="285" t="s">
        <v>240</v>
      </c>
      <c r="D239" s="80">
        <f t="shared" si="649"/>
        <v>45000</v>
      </c>
      <c r="E239" s="295">
        <f t="shared" si="650"/>
        <v>45000</v>
      </c>
      <c r="F239" s="81">
        <v>45000</v>
      </c>
      <c r="G239" s="81">
        <f t="shared" si="651"/>
        <v>45000</v>
      </c>
      <c r="H239" s="81">
        <f t="shared" si="652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>
        <v>0</v>
      </c>
      <c r="AB239" s="81">
        <f t="shared" si="653"/>
        <v>0</v>
      </c>
      <c r="AC239" s="81">
        <f t="shared" si="654"/>
        <v>0</v>
      </c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>
        <v>0</v>
      </c>
      <c r="AO239" s="81">
        <f t="shared" si="655"/>
        <v>0</v>
      </c>
      <c r="AP239" s="81">
        <f t="shared" si="656"/>
        <v>0</v>
      </c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>
        <v>0</v>
      </c>
      <c r="BB239" s="81">
        <f t="shared" si="657"/>
        <v>0</v>
      </c>
      <c r="BC239" s="98">
        <f t="shared" si="658"/>
        <v>0</v>
      </c>
      <c r="BD239" s="98"/>
      <c r="BE239" s="98"/>
      <c r="BF239" s="98"/>
      <c r="BG239" s="98"/>
      <c r="BH239" s="98"/>
      <c r="BI239" s="81"/>
      <c r="BJ239" s="81">
        <f t="shared" si="659"/>
        <v>0</v>
      </c>
      <c r="BK239" s="81">
        <f t="shared" si="660"/>
        <v>0</v>
      </c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82" t="s">
        <v>422</v>
      </c>
      <c r="BW239" s="85"/>
      <c r="BX239" s="24"/>
    </row>
    <row r="240" spans="1:76" s="107" customFormat="1" ht="24" x14ac:dyDescent="0.2">
      <c r="A240" s="108">
        <v>40008006745</v>
      </c>
      <c r="B240" s="241" t="s">
        <v>304</v>
      </c>
      <c r="C240" s="285" t="s">
        <v>240</v>
      </c>
      <c r="D240" s="80">
        <f t="shared" si="649"/>
        <v>30087</v>
      </c>
      <c r="E240" s="295">
        <f t="shared" si="650"/>
        <v>30087</v>
      </c>
      <c r="F240" s="81">
        <v>0</v>
      </c>
      <c r="G240" s="81">
        <f t="shared" si="651"/>
        <v>0</v>
      </c>
      <c r="H240" s="81">
        <f t="shared" si="652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>
        <v>30087</v>
      </c>
      <c r="AB240" s="81">
        <f t="shared" si="653"/>
        <v>30087</v>
      </c>
      <c r="AC240" s="81">
        <f t="shared" si="654"/>
        <v>0</v>
      </c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>
        <v>0</v>
      </c>
      <c r="AO240" s="81">
        <f t="shared" si="655"/>
        <v>0</v>
      </c>
      <c r="AP240" s="81">
        <f t="shared" si="656"/>
        <v>0</v>
      </c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>
        <v>0</v>
      </c>
      <c r="BB240" s="81">
        <f t="shared" si="657"/>
        <v>0</v>
      </c>
      <c r="BC240" s="98">
        <f t="shared" si="658"/>
        <v>0</v>
      </c>
      <c r="BD240" s="98"/>
      <c r="BE240" s="98"/>
      <c r="BF240" s="98"/>
      <c r="BG240" s="98"/>
      <c r="BH240" s="98"/>
      <c r="BI240" s="81"/>
      <c r="BJ240" s="81">
        <f t="shared" si="659"/>
        <v>0</v>
      </c>
      <c r="BK240" s="81">
        <f t="shared" si="660"/>
        <v>0</v>
      </c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82" t="s">
        <v>423</v>
      </c>
      <c r="BW240" s="85"/>
      <c r="BX240" s="24"/>
    </row>
    <row r="241" spans="1:76" ht="16.5" customHeight="1" thickBot="1" x14ac:dyDescent="0.25">
      <c r="A241" s="368"/>
      <c r="B241" s="217"/>
      <c r="C241" s="369"/>
      <c r="D241" s="370"/>
      <c r="E241" s="371"/>
      <c r="F241" s="372"/>
      <c r="G241" s="372"/>
      <c r="H241" s="372"/>
      <c r="I241" s="372"/>
      <c r="J241" s="372"/>
      <c r="K241" s="372"/>
      <c r="L241" s="372"/>
      <c r="M241" s="372"/>
      <c r="N241" s="372"/>
      <c r="O241" s="372"/>
      <c r="P241" s="372"/>
      <c r="Q241" s="372"/>
      <c r="R241" s="372"/>
      <c r="S241" s="372"/>
      <c r="T241" s="372"/>
      <c r="U241" s="372"/>
      <c r="V241" s="372"/>
      <c r="W241" s="372"/>
      <c r="X241" s="372"/>
      <c r="Y241" s="372"/>
      <c r="Z241" s="372"/>
      <c r="AA241" s="372"/>
      <c r="AB241" s="372"/>
      <c r="AC241" s="372"/>
      <c r="AD241" s="372"/>
      <c r="AE241" s="372"/>
      <c r="AF241" s="372"/>
      <c r="AG241" s="372"/>
      <c r="AH241" s="372"/>
      <c r="AI241" s="372"/>
      <c r="AJ241" s="372"/>
      <c r="AK241" s="372"/>
      <c r="AL241" s="372"/>
      <c r="AM241" s="372"/>
      <c r="AN241" s="372"/>
      <c r="AO241" s="373"/>
      <c r="AP241" s="373"/>
      <c r="AQ241" s="373"/>
      <c r="AR241" s="373"/>
      <c r="AS241" s="373"/>
      <c r="AT241" s="373"/>
      <c r="AU241" s="373"/>
      <c r="AV241" s="373"/>
      <c r="AW241" s="373"/>
      <c r="AX241" s="373"/>
      <c r="AY241" s="373"/>
      <c r="AZ241" s="373"/>
      <c r="BA241" s="373"/>
      <c r="BB241" s="372"/>
      <c r="BC241" s="373"/>
      <c r="BD241" s="373"/>
      <c r="BE241" s="373"/>
      <c r="BF241" s="373"/>
      <c r="BG241" s="373"/>
      <c r="BH241" s="373"/>
      <c r="BI241" s="372"/>
      <c r="BJ241" s="374"/>
      <c r="BK241" s="373"/>
      <c r="BL241" s="373"/>
      <c r="BM241" s="373"/>
      <c r="BN241" s="373"/>
      <c r="BO241" s="373"/>
      <c r="BP241" s="373"/>
      <c r="BQ241" s="373"/>
      <c r="BR241" s="373"/>
      <c r="BS241" s="373"/>
      <c r="BT241" s="373"/>
      <c r="BU241" s="373"/>
      <c r="BV241" s="375"/>
      <c r="BW241" s="376"/>
      <c r="BX241" s="24"/>
    </row>
    <row r="242" spans="1:76" ht="16.5" customHeight="1" thickBot="1" x14ac:dyDescent="0.25">
      <c r="A242" s="214">
        <v>10</v>
      </c>
      <c r="B242" s="125" t="s">
        <v>21</v>
      </c>
      <c r="C242" s="321"/>
      <c r="D242" s="11">
        <f>SUM(D243:D264)</f>
        <v>8070154</v>
      </c>
      <c r="E242" s="297">
        <f>SUM(E243:E264)</f>
        <v>7897563</v>
      </c>
      <c r="F242" s="9">
        <f>SUM(F243:F264)</f>
        <v>7166248</v>
      </c>
      <c r="G242" s="9">
        <f t="shared" ref="G242:Z242" si="681">SUM(G243:G264)</f>
        <v>6964501</v>
      </c>
      <c r="H242" s="9">
        <f t="shared" si="681"/>
        <v>-201747</v>
      </c>
      <c r="I242" s="9">
        <f t="shared" si="681"/>
        <v>0</v>
      </c>
      <c r="J242" s="9">
        <f t="shared" ref="J242" si="682">SUM(J243:J264)</f>
        <v>0</v>
      </c>
      <c r="K242" s="9">
        <f t="shared" si="681"/>
        <v>71263</v>
      </c>
      <c r="L242" s="9">
        <f t="shared" si="681"/>
        <v>0</v>
      </c>
      <c r="M242" s="9">
        <f t="shared" si="681"/>
        <v>14835</v>
      </c>
      <c r="N242" s="9">
        <f t="shared" si="681"/>
        <v>0</v>
      </c>
      <c r="O242" s="9">
        <f t="shared" si="681"/>
        <v>0</v>
      </c>
      <c r="P242" s="9">
        <f t="shared" si="681"/>
        <v>0</v>
      </c>
      <c r="Q242" s="9">
        <f t="shared" si="681"/>
        <v>4029</v>
      </c>
      <c r="R242" s="9">
        <f t="shared" si="681"/>
        <v>0</v>
      </c>
      <c r="S242" s="9">
        <f t="shared" si="681"/>
        <v>-36075</v>
      </c>
      <c r="T242" s="9"/>
      <c r="U242" s="9">
        <f t="shared" si="681"/>
        <v>0</v>
      </c>
      <c r="V242" s="9"/>
      <c r="W242" s="9">
        <f t="shared" si="681"/>
        <v>-160289</v>
      </c>
      <c r="X242" s="9">
        <f t="shared" ref="X242" si="683">SUM(X243:X264)</f>
        <v>0</v>
      </c>
      <c r="Y242" s="9">
        <f t="shared" si="681"/>
        <v>-95510</v>
      </c>
      <c r="Z242" s="9">
        <f t="shared" si="681"/>
        <v>0</v>
      </c>
      <c r="AA242" s="9">
        <f>SUM(AA243:AA264)</f>
        <v>302033</v>
      </c>
      <c r="AB242" s="9">
        <f t="shared" ref="AB242" si="684">SUM(AB243:AB264)</f>
        <v>340269</v>
      </c>
      <c r="AC242" s="9">
        <f t="shared" ref="AC242" si="685">SUM(AC243:AC264)</f>
        <v>38236</v>
      </c>
      <c r="AD242" s="9">
        <f t="shared" ref="AD242" si="686">SUM(AD243:AD264)</f>
        <v>0</v>
      </c>
      <c r="AE242" s="9">
        <f t="shared" ref="AE242" si="687">SUM(AE243:AE264)</f>
        <v>3196</v>
      </c>
      <c r="AF242" s="9">
        <f t="shared" ref="AF242" si="688">SUM(AF243:AF264)</f>
        <v>0</v>
      </c>
      <c r="AG242" s="9">
        <f t="shared" ref="AG242" si="689">SUM(AG243:AG264)</f>
        <v>0</v>
      </c>
      <c r="AH242" s="9">
        <f t="shared" ref="AH242" si="690">SUM(AH243:AH264)</f>
        <v>0</v>
      </c>
      <c r="AI242" s="9">
        <f t="shared" ref="AI242" si="691">SUM(AI243:AI264)</f>
        <v>35040</v>
      </c>
      <c r="AJ242" s="9">
        <f t="shared" ref="AJ242" si="692">SUM(AJ243:AJ264)</f>
        <v>0</v>
      </c>
      <c r="AK242" s="9">
        <f t="shared" ref="AK242" si="693">SUM(AK243:AK264)</f>
        <v>0</v>
      </c>
      <c r="AL242" s="9">
        <f t="shared" ref="AL242" si="694">SUM(AL243:AL264)</f>
        <v>0</v>
      </c>
      <c r="AM242" s="9">
        <f t="shared" ref="AM242" si="695">SUM(AM243:AM264)</f>
        <v>0</v>
      </c>
      <c r="AN242" s="9">
        <f>SUM(AN243:AN264)</f>
        <v>601335</v>
      </c>
      <c r="AO242" s="96">
        <f t="shared" ref="AO242" si="696">SUM(AO243:AO264)</f>
        <v>618496</v>
      </c>
      <c r="AP242" s="96">
        <f t="shared" ref="AP242" si="697">SUM(AP243:AP264)</f>
        <v>17161</v>
      </c>
      <c r="AQ242" s="96">
        <f t="shared" ref="AQ242" si="698">SUM(AQ243:AQ264)</f>
        <v>25255</v>
      </c>
      <c r="AR242" s="96">
        <f t="shared" ref="AR242" si="699">SUM(AR243:AR264)</f>
        <v>0</v>
      </c>
      <c r="AS242" s="96">
        <f t="shared" ref="AS242" si="700">SUM(AS243:AS264)</f>
        <v>111</v>
      </c>
      <c r="AT242" s="96">
        <f t="shared" ref="AT242" si="701">SUM(AT243:AT264)</f>
        <v>0</v>
      </c>
      <c r="AU242" s="96">
        <f t="shared" ref="AU242" si="702">SUM(AU243:AU264)</f>
        <v>0</v>
      </c>
      <c r="AV242" s="96">
        <f t="shared" ref="AV242" si="703">SUM(AV243:AV264)</f>
        <v>0</v>
      </c>
      <c r="AW242" s="96">
        <f t="shared" ref="AW242" si="704">SUM(AW243:AW264)</f>
        <v>-8205</v>
      </c>
      <c r="AX242" s="96">
        <f t="shared" ref="AX242" si="705">SUM(AX243:AX264)</f>
        <v>0</v>
      </c>
      <c r="AY242" s="96">
        <f t="shared" ref="AY242" si="706">SUM(AY243:AY264)</f>
        <v>0</v>
      </c>
      <c r="AZ242" s="96">
        <f t="shared" ref="AZ242" si="707">SUM(AZ243:AZ264)</f>
        <v>0</v>
      </c>
      <c r="BA242" s="96">
        <f>SUM(BA243:BA264)</f>
        <v>538</v>
      </c>
      <c r="BB242" s="9">
        <f t="shared" ref="BB242" si="708">SUM(BB243:BB264)</f>
        <v>538</v>
      </c>
      <c r="BC242" s="96">
        <f t="shared" ref="BC242" si="709">SUM(BC243:BC264)</f>
        <v>0</v>
      </c>
      <c r="BD242" s="96">
        <f t="shared" ref="BD242" si="710">SUM(BD243:BD264)</f>
        <v>0</v>
      </c>
      <c r="BE242" s="96">
        <f t="shared" ref="BE242" si="711">SUM(BE243:BE264)</f>
        <v>0</v>
      </c>
      <c r="BF242" s="96">
        <f t="shared" ref="BF242" si="712">SUM(BF243:BF264)</f>
        <v>0</v>
      </c>
      <c r="BG242" s="96">
        <f t="shared" ref="BG242" si="713">SUM(BG243:BG264)</f>
        <v>0</v>
      </c>
      <c r="BH242" s="96">
        <f t="shared" ref="BH242" si="714">SUM(BH243:BH264)</f>
        <v>0</v>
      </c>
      <c r="BI242" s="9">
        <f>SUM(BI243:BI264)</f>
        <v>0</v>
      </c>
      <c r="BJ242" s="310">
        <f t="shared" ref="BJ242" si="715">SUM(BJ243:BJ264)</f>
        <v>-26241</v>
      </c>
      <c r="BK242" s="96">
        <f t="shared" ref="BK242" si="716">SUM(BK243:BK264)</f>
        <v>-26241</v>
      </c>
      <c r="BL242" s="96">
        <f t="shared" ref="BL242" si="717">SUM(BL243:BL264)</f>
        <v>0</v>
      </c>
      <c r="BM242" s="96">
        <f t="shared" ref="BM242" si="718">SUM(BM243:BM264)</f>
        <v>-25858</v>
      </c>
      <c r="BN242" s="96">
        <f t="shared" ref="BN242" si="719">SUM(BN243:BN264)</f>
        <v>0</v>
      </c>
      <c r="BO242" s="96">
        <f t="shared" ref="BO242" si="720">SUM(BO243:BO264)</f>
        <v>-111</v>
      </c>
      <c r="BP242" s="96">
        <f t="shared" ref="BP242" si="721">SUM(BP243:BP264)</f>
        <v>0</v>
      </c>
      <c r="BQ242" s="96">
        <f t="shared" ref="BQ242" si="722">SUM(BQ243:BQ264)</f>
        <v>0</v>
      </c>
      <c r="BR242" s="96">
        <f t="shared" ref="BR242" si="723">SUM(BR243:BR264)</f>
        <v>0</v>
      </c>
      <c r="BS242" s="96">
        <f t="shared" ref="BS242" si="724">SUM(BS243:BS264)</f>
        <v>-272</v>
      </c>
      <c r="BT242" s="96">
        <f t="shared" ref="BT242" si="725">SUM(BT243:BT264)</f>
        <v>0</v>
      </c>
      <c r="BU242" s="96">
        <f t="shared" ref="BU242" si="726">SUM(BU243:BU264)</f>
        <v>0</v>
      </c>
      <c r="BV242" s="12"/>
      <c r="BW242" s="87"/>
      <c r="BX242" s="24"/>
    </row>
    <row r="243" spans="1:76" s="122" customFormat="1" ht="24.75" customHeight="1" thickTop="1" x14ac:dyDescent="0.2">
      <c r="A243" s="108">
        <v>90000056357</v>
      </c>
      <c r="B243" s="247" t="s">
        <v>5</v>
      </c>
      <c r="C243" s="324" t="s">
        <v>457</v>
      </c>
      <c r="D243" s="80">
        <f t="shared" ref="D243:D263" si="727">F243+AA243+AN243+BA243+BI243</f>
        <v>1040651</v>
      </c>
      <c r="E243" s="295">
        <f t="shared" ref="E243:E263" si="728">G243+AB243+AO243+BB243+BJ243</f>
        <v>921965</v>
      </c>
      <c r="F243" s="170">
        <v>1040651</v>
      </c>
      <c r="G243" s="170">
        <f t="shared" ref="G243:G263" si="729">F243+H243</f>
        <v>921965</v>
      </c>
      <c r="H243" s="170">
        <f t="shared" ref="H243:H263" si="730">SUM(I243:Z243)</f>
        <v>-118686</v>
      </c>
      <c r="I243" s="170"/>
      <c r="J243" s="170"/>
      <c r="K243" s="170">
        <v>8897</v>
      </c>
      <c r="L243" s="170"/>
      <c r="M243" s="170">
        <f>11665+1646</f>
        <v>13311</v>
      </c>
      <c r="N243" s="170"/>
      <c r="O243" s="170"/>
      <c r="P243" s="170"/>
      <c r="Q243" s="170">
        <f>-10479+14508</f>
        <v>4029</v>
      </c>
      <c r="R243" s="170"/>
      <c r="S243" s="170">
        <v>-47775</v>
      </c>
      <c r="T243" s="170"/>
      <c r="U243" s="170"/>
      <c r="V243" s="170"/>
      <c r="W243" s="170">
        <v>-1638</v>
      </c>
      <c r="X243" s="170"/>
      <c r="Y243" s="170">
        <v>-95510</v>
      </c>
      <c r="Z243" s="170"/>
      <c r="AA243" s="170">
        <v>0</v>
      </c>
      <c r="AB243" s="170">
        <f t="shared" ref="AB243:AB263" si="731">AA243+AC243</f>
        <v>0</v>
      </c>
      <c r="AC243" s="170">
        <f t="shared" ref="AC243:AC263" si="732">SUM(AD243:AM243)</f>
        <v>0</v>
      </c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0"/>
      <c r="AN243" s="170">
        <v>0</v>
      </c>
      <c r="AO243" s="170">
        <f t="shared" ref="AO243:AO263" si="733">AN243+AP243</f>
        <v>0</v>
      </c>
      <c r="AP243" s="170">
        <f t="shared" ref="AP243:AP263" si="734">SUM(AQ243:AZ243)</f>
        <v>0</v>
      </c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>
        <v>0</v>
      </c>
      <c r="BB243" s="81">
        <f t="shared" ref="BB243:BB263" si="735">BA243+BC243</f>
        <v>0</v>
      </c>
      <c r="BC243" s="98">
        <f t="shared" ref="BC243:BC263" si="736">SUM(BD243:BH243)</f>
        <v>0</v>
      </c>
      <c r="BD243" s="203"/>
      <c r="BE243" s="203"/>
      <c r="BF243" s="203"/>
      <c r="BG243" s="203"/>
      <c r="BH243" s="203"/>
      <c r="BI243" s="170"/>
      <c r="BJ243" s="81">
        <f t="shared" ref="BJ243:BJ263" si="737">BI243+BK243</f>
        <v>0</v>
      </c>
      <c r="BK243" s="81">
        <f t="shared" ref="BK243:BK263" si="738">SUM(BL243:BU243)</f>
        <v>0</v>
      </c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4" t="s">
        <v>565</v>
      </c>
      <c r="BW243" s="86" t="s">
        <v>672</v>
      </c>
      <c r="BX243" s="24"/>
    </row>
    <row r="244" spans="1:76" ht="25.5" customHeight="1" x14ac:dyDescent="0.2">
      <c r="A244" s="108">
        <v>90000594245</v>
      </c>
      <c r="B244" s="241" t="s">
        <v>524</v>
      </c>
      <c r="C244" s="285" t="s">
        <v>182</v>
      </c>
      <c r="D244" s="80">
        <f t="shared" si="727"/>
        <v>820099</v>
      </c>
      <c r="E244" s="295">
        <f t="shared" si="728"/>
        <v>831799</v>
      </c>
      <c r="F244" s="81">
        <v>815668</v>
      </c>
      <c r="G244" s="81">
        <f t="shared" si="729"/>
        <v>827368</v>
      </c>
      <c r="H244" s="81">
        <f t="shared" si="730"/>
        <v>11700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>
        <v>11700</v>
      </c>
      <c r="T244" s="81"/>
      <c r="U244" s="81"/>
      <c r="V244" s="81"/>
      <c r="W244" s="81"/>
      <c r="X244" s="81"/>
      <c r="Y244" s="81"/>
      <c r="Z244" s="81"/>
      <c r="AA244" s="81">
        <v>4371</v>
      </c>
      <c r="AB244" s="81">
        <f t="shared" si="731"/>
        <v>4371</v>
      </c>
      <c r="AC244" s="81">
        <f t="shared" si="732"/>
        <v>0</v>
      </c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>
        <v>60</v>
      </c>
      <c r="AO244" s="81">
        <f t="shared" si="733"/>
        <v>171</v>
      </c>
      <c r="AP244" s="81">
        <f t="shared" si="734"/>
        <v>111</v>
      </c>
      <c r="AQ244" s="81"/>
      <c r="AR244" s="81"/>
      <c r="AS244" s="81">
        <v>111</v>
      </c>
      <c r="AT244" s="81"/>
      <c r="AU244" s="81"/>
      <c r="AV244" s="81"/>
      <c r="AW244" s="81"/>
      <c r="AX244" s="81"/>
      <c r="AY244" s="81"/>
      <c r="AZ244" s="81"/>
      <c r="BA244" s="81">
        <v>0</v>
      </c>
      <c r="BB244" s="81">
        <f t="shared" si="735"/>
        <v>0</v>
      </c>
      <c r="BC244" s="98">
        <f t="shared" si="736"/>
        <v>0</v>
      </c>
      <c r="BD244" s="98"/>
      <c r="BE244" s="98"/>
      <c r="BF244" s="98"/>
      <c r="BG244" s="98"/>
      <c r="BH244" s="98"/>
      <c r="BI244" s="81"/>
      <c r="BJ244" s="81">
        <f t="shared" si="737"/>
        <v>-111</v>
      </c>
      <c r="BK244" s="81">
        <f t="shared" si="738"/>
        <v>-111</v>
      </c>
      <c r="BL244" s="98"/>
      <c r="BM244" s="98"/>
      <c r="BN244" s="98"/>
      <c r="BO244" s="98">
        <v>-111</v>
      </c>
      <c r="BP244" s="98"/>
      <c r="BQ244" s="98"/>
      <c r="BR244" s="98"/>
      <c r="BS244" s="98"/>
      <c r="BT244" s="98"/>
      <c r="BU244" s="98"/>
      <c r="BV244" s="82" t="s">
        <v>424</v>
      </c>
      <c r="BW244" s="85"/>
      <c r="BX244" s="24"/>
    </row>
    <row r="245" spans="1:76" s="122" customFormat="1" ht="20.25" customHeight="1" x14ac:dyDescent="0.2">
      <c r="A245" s="108"/>
      <c r="B245" s="242"/>
      <c r="C245" s="285" t="s">
        <v>205</v>
      </c>
      <c r="D245" s="80">
        <f t="shared" si="727"/>
        <v>224841</v>
      </c>
      <c r="E245" s="295">
        <f t="shared" si="728"/>
        <v>245320</v>
      </c>
      <c r="F245" s="81">
        <v>13834</v>
      </c>
      <c r="G245" s="81">
        <f t="shared" si="729"/>
        <v>14624</v>
      </c>
      <c r="H245" s="81">
        <f t="shared" si="730"/>
        <v>790</v>
      </c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>
        <v>790</v>
      </c>
      <c r="X245" s="81"/>
      <c r="Y245" s="81"/>
      <c r="Z245" s="81"/>
      <c r="AA245" s="81">
        <v>211007</v>
      </c>
      <c r="AB245" s="81">
        <f t="shared" si="731"/>
        <v>230696</v>
      </c>
      <c r="AC245" s="81">
        <f t="shared" si="732"/>
        <v>19689</v>
      </c>
      <c r="AD245" s="81"/>
      <c r="AE245" s="81"/>
      <c r="AF245" s="81"/>
      <c r="AG245" s="81"/>
      <c r="AH245" s="81"/>
      <c r="AI245" s="81">
        <v>19689</v>
      </c>
      <c r="AJ245" s="81"/>
      <c r="AK245" s="81"/>
      <c r="AL245" s="81"/>
      <c r="AM245" s="81"/>
      <c r="AN245" s="81">
        <v>0</v>
      </c>
      <c r="AO245" s="81">
        <f t="shared" si="733"/>
        <v>0</v>
      </c>
      <c r="AP245" s="81">
        <f t="shared" si="734"/>
        <v>0</v>
      </c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>
        <v>0</v>
      </c>
      <c r="BB245" s="81">
        <f t="shared" si="735"/>
        <v>0</v>
      </c>
      <c r="BC245" s="98">
        <f t="shared" si="736"/>
        <v>0</v>
      </c>
      <c r="BD245" s="98"/>
      <c r="BE245" s="98"/>
      <c r="BF245" s="98"/>
      <c r="BG245" s="98"/>
      <c r="BH245" s="98"/>
      <c r="BI245" s="81"/>
      <c r="BJ245" s="81">
        <f t="shared" si="737"/>
        <v>0</v>
      </c>
      <c r="BK245" s="81">
        <f t="shared" si="738"/>
        <v>0</v>
      </c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82" t="s">
        <v>425</v>
      </c>
      <c r="BW245" s="85" t="s">
        <v>693</v>
      </c>
      <c r="BX245" s="24"/>
    </row>
    <row r="246" spans="1:76" ht="18" customHeight="1" x14ac:dyDescent="0.2">
      <c r="A246" s="108"/>
      <c r="B246" s="242"/>
      <c r="C246" s="285" t="s">
        <v>206</v>
      </c>
      <c r="D246" s="80">
        <f t="shared" si="727"/>
        <v>680382</v>
      </c>
      <c r="E246" s="295">
        <f t="shared" si="728"/>
        <v>688032</v>
      </c>
      <c r="F246" s="81">
        <v>676112</v>
      </c>
      <c r="G246" s="81">
        <f t="shared" si="729"/>
        <v>682812</v>
      </c>
      <c r="H246" s="81">
        <f t="shared" si="730"/>
        <v>6700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>
        <v>6700</v>
      </c>
      <c r="X246" s="81"/>
      <c r="Y246" s="81"/>
      <c r="Z246" s="81"/>
      <c r="AA246" s="81">
        <v>4270</v>
      </c>
      <c r="AB246" s="81">
        <f t="shared" si="731"/>
        <v>5220</v>
      </c>
      <c r="AC246" s="81">
        <f t="shared" si="732"/>
        <v>950</v>
      </c>
      <c r="AD246" s="81"/>
      <c r="AE246" s="81"/>
      <c r="AF246" s="81"/>
      <c r="AG246" s="81"/>
      <c r="AH246" s="81"/>
      <c r="AI246" s="81">
        <v>950</v>
      </c>
      <c r="AJ246" s="81"/>
      <c r="AK246" s="81"/>
      <c r="AL246" s="81"/>
      <c r="AM246" s="81"/>
      <c r="AN246" s="81">
        <v>0</v>
      </c>
      <c r="AO246" s="81">
        <f t="shared" si="733"/>
        <v>0</v>
      </c>
      <c r="AP246" s="81">
        <f t="shared" si="734"/>
        <v>0</v>
      </c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>
        <v>0</v>
      </c>
      <c r="BB246" s="81">
        <f t="shared" si="735"/>
        <v>0</v>
      </c>
      <c r="BC246" s="98">
        <f t="shared" si="736"/>
        <v>0</v>
      </c>
      <c r="BD246" s="98"/>
      <c r="BE246" s="98"/>
      <c r="BF246" s="98"/>
      <c r="BG246" s="98"/>
      <c r="BH246" s="98"/>
      <c r="BI246" s="81"/>
      <c r="BJ246" s="81">
        <f t="shared" si="737"/>
        <v>0</v>
      </c>
      <c r="BK246" s="81">
        <f t="shared" si="738"/>
        <v>0</v>
      </c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82" t="s">
        <v>426</v>
      </c>
      <c r="BW246" s="85" t="s">
        <v>693</v>
      </c>
      <c r="BX246" s="24"/>
    </row>
    <row r="247" spans="1:76" ht="19.5" customHeight="1" x14ac:dyDescent="0.2">
      <c r="A247" s="108"/>
      <c r="B247" s="242"/>
      <c r="C247" s="285" t="s">
        <v>207</v>
      </c>
      <c r="D247" s="80">
        <f t="shared" si="727"/>
        <v>464770</v>
      </c>
      <c r="E247" s="295">
        <f t="shared" si="728"/>
        <v>446624</v>
      </c>
      <c r="F247" s="81">
        <v>462492</v>
      </c>
      <c r="G247" s="81">
        <f t="shared" si="729"/>
        <v>444346</v>
      </c>
      <c r="H247" s="81">
        <f t="shared" si="730"/>
        <v>-18146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>
        <v>-18146</v>
      </c>
      <c r="X247" s="81"/>
      <c r="Y247" s="81"/>
      <c r="Z247" s="81"/>
      <c r="AA247" s="81">
        <v>0</v>
      </c>
      <c r="AB247" s="81">
        <f t="shared" si="731"/>
        <v>0</v>
      </c>
      <c r="AC247" s="81">
        <f t="shared" si="732"/>
        <v>0</v>
      </c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>
        <v>2278</v>
      </c>
      <c r="AO247" s="81">
        <f t="shared" si="733"/>
        <v>2278</v>
      </c>
      <c r="AP247" s="81">
        <f t="shared" si="734"/>
        <v>0</v>
      </c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>
        <v>0</v>
      </c>
      <c r="BB247" s="81">
        <f t="shared" si="735"/>
        <v>0</v>
      </c>
      <c r="BC247" s="98">
        <f t="shared" si="736"/>
        <v>0</v>
      </c>
      <c r="BD247" s="98"/>
      <c r="BE247" s="98"/>
      <c r="BF247" s="98"/>
      <c r="BG247" s="98"/>
      <c r="BH247" s="98"/>
      <c r="BI247" s="81"/>
      <c r="BJ247" s="81">
        <f t="shared" si="737"/>
        <v>0</v>
      </c>
      <c r="BK247" s="81">
        <f t="shared" si="738"/>
        <v>0</v>
      </c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82" t="s">
        <v>427</v>
      </c>
      <c r="BW247" s="85" t="s">
        <v>694</v>
      </c>
      <c r="BX247" s="24"/>
    </row>
    <row r="248" spans="1:76" ht="24" x14ac:dyDescent="0.2">
      <c r="A248" s="108"/>
      <c r="B248" s="242"/>
      <c r="C248" s="285" t="s">
        <v>208</v>
      </c>
      <c r="D248" s="80">
        <f t="shared" si="727"/>
        <v>283800</v>
      </c>
      <c r="E248" s="295">
        <f t="shared" si="728"/>
        <v>293874</v>
      </c>
      <c r="F248" s="81">
        <v>283800</v>
      </c>
      <c r="G248" s="81">
        <f t="shared" si="729"/>
        <v>293874</v>
      </c>
      <c r="H248" s="81">
        <f t="shared" si="730"/>
        <v>10074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>
        <v>10074</v>
      </c>
      <c r="X248" s="81"/>
      <c r="Y248" s="81"/>
      <c r="Z248" s="81"/>
      <c r="AA248" s="81">
        <v>0</v>
      </c>
      <c r="AB248" s="81">
        <f t="shared" si="731"/>
        <v>0</v>
      </c>
      <c r="AC248" s="81">
        <f t="shared" si="732"/>
        <v>0</v>
      </c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>
        <v>0</v>
      </c>
      <c r="AO248" s="81">
        <f t="shared" si="733"/>
        <v>0</v>
      </c>
      <c r="AP248" s="81">
        <f t="shared" si="734"/>
        <v>0</v>
      </c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>
        <v>0</v>
      </c>
      <c r="BB248" s="81">
        <f t="shared" si="735"/>
        <v>0</v>
      </c>
      <c r="BC248" s="98">
        <f t="shared" si="736"/>
        <v>0</v>
      </c>
      <c r="BD248" s="98"/>
      <c r="BE248" s="98"/>
      <c r="BF248" s="98"/>
      <c r="BG248" s="98"/>
      <c r="BH248" s="98"/>
      <c r="BI248" s="81"/>
      <c r="BJ248" s="81">
        <f t="shared" si="737"/>
        <v>0</v>
      </c>
      <c r="BK248" s="81">
        <f t="shared" si="738"/>
        <v>0</v>
      </c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82" t="s">
        <v>428</v>
      </c>
      <c r="BW248" s="85" t="s">
        <v>695</v>
      </c>
      <c r="BX248" s="24"/>
    </row>
    <row r="249" spans="1:76" ht="27.75" customHeight="1" x14ac:dyDescent="0.2">
      <c r="A249" s="108"/>
      <c r="B249" s="242"/>
      <c r="C249" s="285" t="s">
        <v>273</v>
      </c>
      <c r="D249" s="80">
        <f t="shared" si="727"/>
        <v>341522</v>
      </c>
      <c r="E249" s="295">
        <f t="shared" si="728"/>
        <v>339337</v>
      </c>
      <c r="F249" s="81">
        <v>341522</v>
      </c>
      <c r="G249" s="81">
        <f t="shared" si="729"/>
        <v>339337</v>
      </c>
      <c r="H249" s="81">
        <f t="shared" si="730"/>
        <v>-2185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>
        <v>-2185</v>
      </c>
      <c r="X249" s="81"/>
      <c r="Y249" s="81"/>
      <c r="Z249" s="81"/>
      <c r="AA249" s="81">
        <v>0</v>
      </c>
      <c r="AB249" s="81">
        <f t="shared" si="731"/>
        <v>0</v>
      </c>
      <c r="AC249" s="81">
        <f t="shared" si="732"/>
        <v>0</v>
      </c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>
        <v>0</v>
      </c>
      <c r="AO249" s="81">
        <f t="shared" si="733"/>
        <v>0</v>
      </c>
      <c r="AP249" s="81">
        <f t="shared" si="734"/>
        <v>0</v>
      </c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>
        <v>0</v>
      </c>
      <c r="BB249" s="81">
        <f t="shared" si="735"/>
        <v>0</v>
      </c>
      <c r="BC249" s="98">
        <f t="shared" si="736"/>
        <v>0</v>
      </c>
      <c r="BD249" s="98"/>
      <c r="BE249" s="98"/>
      <c r="BF249" s="98"/>
      <c r="BG249" s="98"/>
      <c r="BH249" s="98"/>
      <c r="BI249" s="81"/>
      <c r="BJ249" s="81">
        <f t="shared" si="737"/>
        <v>0</v>
      </c>
      <c r="BK249" s="81">
        <f t="shared" si="738"/>
        <v>0</v>
      </c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82" t="s">
        <v>429</v>
      </c>
      <c r="BW249" s="85" t="s">
        <v>512</v>
      </c>
      <c r="BX249" s="24"/>
    </row>
    <row r="250" spans="1:76" s="122" customFormat="1" ht="25.5" customHeight="1" x14ac:dyDescent="0.2">
      <c r="A250" s="108"/>
      <c r="B250" s="242"/>
      <c r="C250" s="285" t="s">
        <v>272</v>
      </c>
      <c r="D250" s="80">
        <f t="shared" si="727"/>
        <v>608322</v>
      </c>
      <c r="E250" s="295">
        <f t="shared" si="728"/>
        <v>605050</v>
      </c>
      <c r="F250" s="81">
        <v>606562</v>
      </c>
      <c r="G250" s="81">
        <f t="shared" si="729"/>
        <v>603290</v>
      </c>
      <c r="H250" s="81">
        <f t="shared" si="730"/>
        <v>-3272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>
        <v>-3272</v>
      </c>
      <c r="X250" s="81"/>
      <c r="Y250" s="81"/>
      <c r="Z250" s="81"/>
      <c r="AA250" s="81">
        <v>1760</v>
      </c>
      <c r="AB250" s="81">
        <f t="shared" si="731"/>
        <v>1760</v>
      </c>
      <c r="AC250" s="81">
        <f t="shared" si="732"/>
        <v>0</v>
      </c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>
        <v>0</v>
      </c>
      <c r="AO250" s="81">
        <f t="shared" si="733"/>
        <v>0</v>
      </c>
      <c r="AP250" s="81">
        <f t="shared" si="734"/>
        <v>0</v>
      </c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>
        <v>0</v>
      </c>
      <c r="BB250" s="81">
        <f t="shared" si="735"/>
        <v>0</v>
      </c>
      <c r="BC250" s="98">
        <f t="shared" si="736"/>
        <v>0</v>
      </c>
      <c r="BD250" s="98"/>
      <c r="BE250" s="98"/>
      <c r="BF250" s="98"/>
      <c r="BG250" s="98"/>
      <c r="BH250" s="98"/>
      <c r="BI250" s="81"/>
      <c r="BJ250" s="81">
        <f t="shared" si="737"/>
        <v>0</v>
      </c>
      <c r="BK250" s="81">
        <f t="shared" si="738"/>
        <v>0</v>
      </c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82" t="s">
        <v>430</v>
      </c>
      <c r="BW250" s="85" t="s">
        <v>695</v>
      </c>
      <c r="BX250" s="24"/>
    </row>
    <row r="251" spans="1:76" ht="24" x14ac:dyDescent="0.2">
      <c r="A251" s="108"/>
      <c r="B251" s="242"/>
      <c r="C251" s="285" t="s">
        <v>486</v>
      </c>
      <c r="D251" s="80">
        <f t="shared" si="727"/>
        <v>122402</v>
      </c>
      <c r="E251" s="295">
        <f t="shared" si="728"/>
        <v>126256</v>
      </c>
      <c r="F251" s="81">
        <v>122402</v>
      </c>
      <c r="G251" s="81">
        <f t="shared" si="729"/>
        <v>126256</v>
      </c>
      <c r="H251" s="81">
        <f t="shared" si="730"/>
        <v>3854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>
        <v>3854</v>
      </c>
      <c r="X251" s="81"/>
      <c r="Y251" s="81"/>
      <c r="Z251" s="81"/>
      <c r="AA251" s="81">
        <v>0</v>
      </c>
      <c r="AB251" s="81">
        <f t="shared" si="731"/>
        <v>0</v>
      </c>
      <c r="AC251" s="81">
        <f t="shared" si="732"/>
        <v>0</v>
      </c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>
        <v>0</v>
      </c>
      <c r="AO251" s="81">
        <f t="shared" si="733"/>
        <v>0</v>
      </c>
      <c r="AP251" s="81">
        <f t="shared" si="734"/>
        <v>0</v>
      </c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>
        <v>0</v>
      </c>
      <c r="BB251" s="81">
        <f t="shared" si="735"/>
        <v>0</v>
      </c>
      <c r="BC251" s="98">
        <f t="shared" si="736"/>
        <v>0</v>
      </c>
      <c r="BD251" s="98"/>
      <c r="BE251" s="98"/>
      <c r="BF251" s="98"/>
      <c r="BG251" s="98"/>
      <c r="BH251" s="98"/>
      <c r="BI251" s="81"/>
      <c r="BJ251" s="81">
        <f t="shared" si="737"/>
        <v>0</v>
      </c>
      <c r="BK251" s="81">
        <f t="shared" si="738"/>
        <v>0</v>
      </c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82" t="s">
        <v>431</v>
      </c>
      <c r="BW251" s="85"/>
      <c r="BX251" s="24"/>
    </row>
    <row r="252" spans="1:76" s="192" customFormat="1" ht="28.5" customHeight="1" x14ac:dyDescent="0.2">
      <c r="A252" s="108"/>
      <c r="B252" s="242"/>
      <c r="C252" s="285" t="s">
        <v>541</v>
      </c>
      <c r="D252" s="80">
        <f t="shared" si="727"/>
        <v>267228</v>
      </c>
      <c r="E252" s="295">
        <f t="shared" si="728"/>
        <v>114770</v>
      </c>
      <c r="F252" s="81">
        <v>267228</v>
      </c>
      <c r="G252" s="81">
        <f t="shared" si="729"/>
        <v>114770</v>
      </c>
      <c r="H252" s="81">
        <f t="shared" si="730"/>
        <v>-152458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>
        <v>-152458</v>
      </c>
      <c r="X252" s="81"/>
      <c r="Y252" s="81"/>
      <c r="Z252" s="81"/>
      <c r="AA252" s="81">
        <v>0</v>
      </c>
      <c r="AB252" s="81">
        <f t="shared" si="731"/>
        <v>0</v>
      </c>
      <c r="AC252" s="81">
        <f t="shared" si="732"/>
        <v>0</v>
      </c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>
        <v>0</v>
      </c>
      <c r="AO252" s="81">
        <f t="shared" si="733"/>
        <v>0</v>
      </c>
      <c r="AP252" s="81">
        <f t="shared" si="734"/>
        <v>0</v>
      </c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>
        <v>0</v>
      </c>
      <c r="BB252" s="81">
        <f t="shared" si="735"/>
        <v>0</v>
      </c>
      <c r="BC252" s="98">
        <f t="shared" si="736"/>
        <v>0</v>
      </c>
      <c r="BD252" s="98"/>
      <c r="BE252" s="98"/>
      <c r="BF252" s="98"/>
      <c r="BG252" s="98"/>
      <c r="BH252" s="98"/>
      <c r="BI252" s="81"/>
      <c r="BJ252" s="81">
        <f t="shared" si="737"/>
        <v>0</v>
      </c>
      <c r="BK252" s="81">
        <f t="shared" si="738"/>
        <v>0</v>
      </c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82" t="s">
        <v>503</v>
      </c>
      <c r="BW252" s="85"/>
      <c r="BX252" s="24"/>
    </row>
    <row r="253" spans="1:76" s="192" customFormat="1" ht="27" customHeight="1" x14ac:dyDescent="0.2">
      <c r="A253" s="108"/>
      <c r="B253" s="242"/>
      <c r="C253" s="285" t="s">
        <v>542</v>
      </c>
      <c r="D253" s="80">
        <f t="shared" si="727"/>
        <v>12753</v>
      </c>
      <c r="E253" s="295">
        <f t="shared" si="728"/>
        <v>12526</v>
      </c>
      <c r="F253" s="81">
        <v>12753</v>
      </c>
      <c r="G253" s="81">
        <f t="shared" si="729"/>
        <v>12526</v>
      </c>
      <c r="H253" s="81">
        <f t="shared" si="730"/>
        <v>-227</v>
      </c>
      <c r="I253" s="81"/>
      <c r="J253" s="81"/>
      <c r="K253" s="81">
        <v>-227</v>
      </c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>
        <v>0</v>
      </c>
      <c r="AB253" s="81">
        <f t="shared" si="731"/>
        <v>0</v>
      </c>
      <c r="AC253" s="81">
        <f t="shared" si="732"/>
        <v>0</v>
      </c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>
        <v>0</v>
      </c>
      <c r="AO253" s="81">
        <f t="shared" si="733"/>
        <v>0</v>
      </c>
      <c r="AP253" s="81">
        <f t="shared" si="734"/>
        <v>0</v>
      </c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>
        <v>0</v>
      </c>
      <c r="BB253" s="81">
        <f t="shared" si="735"/>
        <v>0</v>
      </c>
      <c r="BC253" s="98">
        <f t="shared" si="736"/>
        <v>0</v>
      </c>
      <c r="BD253" s="98"/>
      <c r="BE253" s="98"/>
      <c r="BF253" s="98"/>
      <c r="BG253" s="98"/>
      <c r="BH253" s="98"/>
      <c r="BI253" s="81"/>
      <c r="BJ253" s="81">
        <f t="shared" si="737"/>
        <v>0</v>
      </c>
      <c r="BK253" s="81">
        <f t="shared" si="738"/>
        <v>0</v>
      </c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82" t="s">
        <v>692</v>
      </c>
      <c r="BW253" s="85"/>
      <c r="BX253" s="24"/>
    </row>
    <row r="254" spans="1:76" s="198" customFormat="1" x14ac:dyDescent="0.2">
      <c r="A254" s="108"/>
      <c r="B254" s="242"/>
      <c r="C254" s="340" t="s">
        <v>761</v>
      </c>
      <c r="D254" s="80">
        <f t="shared" ref="D254" si="739">F254+AA254+AN254+BA254+BI254</f>
        <v>0</v>
      </c>
      <c r="E254" s="295">
        <f t="shared" ref="E254" si="740">G254+AB254+AO254+BB254+BJ254</f>
        <v>358</v>
      </c>
      <c r="F254" s="81"/>
      <c r="G254" s="81">
        <f t="shared" ref="G254" si="741">F254+H254</f>
        <v>26203</v>
      </c>
      <c r="H254" s="81">
        <f t="shared" ref="H254" si="742">SUM(I254:Z254)</f>
        <v>26203</v>
      </c>
      <c r="I254" s="81"/>
      <c r="J254" s="81"/>
      <c r="K254" s="81">
        <v>26203</v>
      </c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>
        <f t="shared" ref="AB254" si="743">AA254+AC254</f>
        <v>0</v>
      </c>
      <c r="AC254" s="81">
        <f t="shared" ref="AC254" si="744">SUM(AD254:AM254)</f>
        <v>0</v>
      </c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>
        <f t="shared" ref="AO254" si="745">AN254+AP254</f>
        <v>0</v>
      </c>
      <c r="AP254" s="81">
        <f t="shared" ref="AP254" si="746">SUM(AQ254:AZ254)</f>
        <v>0</v>
      </c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>
        <f t="shared" ref="BB254" si="747">BA254+BC254</f>
        <v>0</v>
      </c>
      <c r="BC254" s="98">
        <f t="shared" ref="BC254" si="748">SUM(BD254:BH254)</f>
        <v>0</v>
      </c>
      <c r="BD254" s="98"/>
      <c r="BE254" s="98"/>
      <c r="BF254" s="98"/>
      <c r="BG254" s="98"/>
      <c r="BH254" s="98"/>
      <c r="BI254" s="81"/>
      <c r="BJ254" s="81">
        <f t="shared" ref="BJ254" si="749">BI254+BK254</f>
        <v>-25845</v>
      </c>
      <c r="BK254" s="81">
        <f t="shared" ref="BK254" si="750">SUM(BL254:BU254)</f>
        <v>-25845</v>
      </c>
      <c r="BL254" s="98"/>
      <c r="BM254" s="98">
        <v>-25845</v>
      </c>
      <c r="BN254" s="98"/>
      <c r="BO254" s="98"/>
      <c r="BP254" s="98"/>
      <c r="BQ254" s="98"/>
      <c r="BR254" s="98"/>
      <c r="BS254" s="98"/>
      <c r="BT254" s="98"/>
      <c r="BU254" s="98"/>
      <c r="BV254" s="82" t="s">
        <v>762</v>
      </c>
      <c r="BW254" s="85"/>
      <c r="BX254" s="24"/>
    </row>
    <row r="255" spans="1:76" ht="48" x14ac:dyDescent="0.2">
      <c r="A255" s="108">
        <v>90010991438</v>
      </c>
      <c r="B255" s="241" t="s">
        <v>472</v>
      </c>
      <c r="C255" s="285" t="s">
        <v>210</v>
      </c>
      <c r="D255" s="80">
        <f t="shared" si="727"/>
        <v>1431668</v>
      </c>
      <c r="E255" s="295">
        <f t="shared" si="728"/>
        <v>1447496</v>
      </c>
      <c r="F255" s="81">
        <v>766939</v>
      </c>
      <c r="G255" s="81">
        <f t="shared" si="729"/>
        <v>748405</v>
      </c>
      <c r="H255" s="81">
        <f t="shared" si="730"/>
        <v>-18534</v>
      </c>
      <c r="I255" s="81"/>
      <c r="J255" s="81"/>
      <c r="K255" s="81">
        <v>-12610</v>
      </c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>
        <v>-5924</v>
      </c>
      <c r="X255" s="81"/>
      <c r="Y255" s="81"/>
      <c r="Z255" s="81"/>
      <c r="AA255" s="81">
        <v>80625</v>
      </c>
      <c r="AB255" s="81">
        <f t="shared" si="731"/>
        <v>98222</v>
      </c>
      <c r="AC255" s="81">
        <f t="shared" si="732"/>
        <v>17597</v>
      </c>
      <c r="AD255" s="81"/>
      <c r="AE255" s="81">
        <v>3196</v>
      </c>
      <c r="AF255" s="81"/>
      <c r="AG255" s="81"/>
      <c r="AH255" s="81"/>
      <c r="AI255" s="81">
        <v>14401</v>
      </c>
      <c r="AJ255" s="81"/>
      <c r="AK255" s="81"/>
      <c r="AL255" s="81"/>
      <c r="AM255" s="81"/>
      <c r="AN255" s="81">
        <v>584104</v>
      </c>
      <c r="AO255" s="81">
        <f t="shared" si="733"/>
        <v>600869</v>
      </c>
      <c r="AP255" s="81">
        <f t="shared" si="734"/>
        <v>16765</v>
      </c>
      <c r="AQ255" s="81">
        <v>25242</v>
      </c>
      <c r="AR255" s="81"/>
      <c r="AS255" s="81"/>
      <c r="AT255" s="81"/>
      <c r="AU255" s="81"/>
      <c r="AV255" s="81"/>
      <c r="AW255" s="81">
        <v>-8477</v>
      </c>
      <c r="AX255" s="81"/>
      <c r="AY255" s="81"/>
      <c r="AZ255" s="81"/>
      <c r="BA255" s="81">
        <v>0</v>
      </c>
      <c r="BB255" s="81">
        <f t="shared" si="735"/>
        <v>0</v>
      </c>
      <c r="BC255" s="98">
        <f t="shared" si="736"/>
        <v>0</v>
      </c>
      <c r="BD255" s="98"/>
      <c r="BE255" s="98"/>
      <c r="BF255" s="98"/>
      <c r="BG255" s="98"/>
      <c r="BH255" s="98"/>
      <c r="BI255" s="81"/>
      <c r="BJ255" s="81">
        <f t="shared" si="737"/>
        <v>0</v>
      </c>
      <c r="BK255" s="81">
        <f t="shared" si="738"/>
        <v>0</v>
      </c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82" t="s">
        <v>558</v>
      </c>
      <c r="BW255" s="85"/>
      <c r="BX255" s="24"/>
    </row>
    <row r="256" spans="1:76" ht="24" x14ac:dyDescent="0.2">
      <c r="A256" s="108"/>
      <c r="B256" s="243"/>
      <c r="C256" s="285" t="s">
        <v>487</v>
      </c>
      <c r="D256" s="80">
        <f t="shared" si="727"/>
        <v>46530</v>
      </c>
      <c r="E256" s="295">
        <f t="shared" si="728"/>
        <v>46962</v>
      </c>
      <c r="F256" s="81">
        <v>46530</v>
      </c>
      <c r="G256" s="81">
        <f t="shared" si="729"/>
        <v>46962</v>
      </c>
      <c r="H256" s="81">
        <f t="shared" si="730"/>
        <v>432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>
        <v>432</v>
      </c>
      <c r="X256" s="81"/>
      <c r="Y256" s="81"/>
      <c r="Z256" s="81"/>
      <c r="AA256" s="81">
        <v>0</v>
      </c>
      <c r="AB256" s="81">
        <f t="shared" si="731"/>
        <v>0</v>
      </c>
      <c r="AC256" s="81">
        <f t="shared" si="732"/>
        <v>0</v>
      </c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>
        <v>0</v>
      </c>
      <c r="AO256" s="81">
        <f t="shared" si="733"/>
        <v>0</v>
      </c>
      <c r="AP256" s="81">
        <f t="shared" si="734"/>
        <v>0</v>
      </c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>
        <v>0</v>
      </c>
      <c r="BB256" s="81">
        <f t="shared" si="735"/>
        <v>0</v>
      </c>
      <c r="BC256" s="98">
        <f t="shared" si="736"/>
        <v>0</v>
      </c>
      <c r="BD256" s="98"/>
      <c r="BE256" s="98"/>
      <c r="BF256" s="98"/>
      <c r="BG256" s="98"/>
      <c r="BH256" s="98"/>
      <c r="BI256" s="81"/>
      <c r="BJ256" s="81">
        <f t="shared" si="737"/>
        <v>0</v>
      </c>
      <c r="BK256" s="81">
        <f t="shared" si="738"/>
        <v>0</v>
      </c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82" t="s">
        <v>504</v>
      </c>
      <c r="BW256" s="85"/>
      <c r="BX256" s="24"/>
    </row>
    <row r="257" spans="1:76" ht="12.75" x14ac:dyDescent="0.2">
      <c r="A257" s="108"/>
      <c r="B257" s="243"/>
      <c r="C257" s="285" t="s">
        <v>212</v>
      </c>
      <c r="D257" s="80">
        <f t="shared" si="727"/>
        <v>3544</v>
      </c>
      <c r="E257" s="295">
        <f t="shared" si="728"/>
        <v>3544</v>
      </c>
      <c r="F257" s="81">
        <v>3544</v>
      </c>
      <c r="G257" s="81">
        <f t="shared" si="729"/>
        <v>3544</v>
      </c>
      <c r="H257" s="81">
        <f t="shared" si="730"/>
        <v>0</v>
      </c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>
        <v>0</v>
      </c>
      <c r="AB257" s="81">
        <f t="shared" si="731"/>
        <v>0</v>
      </c>
      <c r="AC257" s="81">
        <f t="shared" si="732"/>
        <v>0</v>
      </c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>
        <v>0</v>
      </c>
      <c r="AO257" s="81">
        <f t="shared" si="733"/>
        <v>0</v>
      </c>
      <c r="AP257" s="81">
        <f t="shared" si="734"/>
        <v>0</v>
      </c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>
        <v>0</v>
      </c>
      <c r="BB257" s="81">
        <f t="shared" si="735"/>
        <v>0</v>
      </c>
      <c r="BC257" s="98">
        <f t="shared" si="736"/>
        <v>0</v>
      </c>
      <c r="BD257" s="98"/>
      <c r="BE257" s="98"/>
      <c r="BF257" s="98"/>
      <c r="BG257" s="98"/>
      <c r="BH257" s="98"/>
      <c r="BI257" s="81"/>
      <c r="BJ257" s="81">
        <f t="shared" si="737"/>
        <v>0</v>
      </c>
      <c r="BK257" s="81">
        <f t="shared" si="738"/>
        <v>0</v>
      </c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82" t="s">
        <v>432</v>
      </c>
      <c r="BW257" s="85"/>
      <c r="BX257" s="24"/>
    </row>
    <row r="258" spans="1:76" ht="12.75" x14ac:dyDescent="0.2">
      <c r="A258" s="108"/>
      <c r="B258" s="243"/>
      <c r="C258" s="285" t="s">
        <v>211</v>
      </c>
      <c r="D258" s="80">
        <f t="shared" si="727"/>
        <v>125141</v>
      </c>
      <c r="E258" s="295">
        <f t="shared" si="728"/>
        <v>125141</v>
      </c>
      <c r="F258" s="81">
        <v>125141</v>
      </c>
      <c r="G258" s="81">
        <f t="shared" si="729"/>
        <v>125141</v>
      </c>
      <c r="H258" s="81">
        <f t="shared" si="730"/>
        <v>0</v>
      </c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>
        <v>0</v>
      </c>
      <c r="AB258" s="81">
        <f t="shared" si="731"/>
        <v>0</v>
      </c>
      <c r="AC258" s="81">
        <f t="shared" si="732"/>
        <v>0</v>
      </c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>
        <v>0</v>
      </c>
      <c r="AO258" s="81">
        <f t="shared" si="733"/>
        <v>0</v>
      </c>
      <c r="AP258" s="81">
        <f t="shared" si="734"/>
        <v>0</v>
      </c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>
        <v>0</v>
      </c>
      <c r="BB258" s="81">
        <f t="shared" si="735"/>
        <v>0</v>
      </c>
      <c r="BC258" s="98">
        <f t="shared" si="736"/>
        <v>0</v>
      </c>
      <c r="BD258" s="98"/>
      <c r="BE258" s="98"/>
      <c r="BF258" s="98"/>
      <c r="BG258" s="98"/>
      <c r="BH258" s="98"/>
      <c r="BI258" s="81"/>
      <c r="BJ258" s="81">
        <f t="shared" si="737"/>
        <v>0</v>
      </c>
      <c r="BK258" s="81">
        <f t="shared" si="738"/>
        <v>0</v>
      </c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82" t="s">
        <v>433</v>
      </c>
      <c r="BW258" s="85"/>
      <c r="BX258" s="24"/>
    </row>
    <row r="259" spans="1:76" ht="25.5" customHeight="1" x14ac:dyDescent="0.2">
      <c r="A259" s="108"/>
      <c r="B259" s="243"/>
      <c r="C259" s="285" t="s">
        <v>276</v>
      </c>
      <c r="D259" s="80">
        <f t="shared" si="727"/>
        <v>415036</v>
      </c>
      <c r="E259" s="295">
        <f t="shared" si="728"/>
        <v>415036</v>
      </c>
      <c r="F259" s="81">
        <v>401771</v>
      </c>
      <c r="G259" s="81">
        <f t="shared" si="729"/>
        <v>401771</v>
      </c>
      <c r="H259" s="81">
        <f t="shared" si="730"/>
        <v>0</v>
      </c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>
        <v>0</v>
      </c>
      <c r="AB259" s="81">
        <f t="shared" si="731"/>
        <v>0</v>
      </c>
      <c r="AC259" s="81">
        <f t="shared" si="732"/>
        <v>0</v>
      </c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>
        <v>13265</v>
      </c>
      <c r="AO259" s="81">
        <f t="shared" si="733"/>
        <v>13265</v>
      </c>
      <c r="AP259" s="81">
        <f t="shared" si="734"/>
        <v>0</v>
      </c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>
        <v>0</v>
      </c>
      <c r="BB259" s="81">
        <f t="shared" si="735"/>
        <v>0</v>
      </c>
      <c r="BC259" s="98">
        <f t="shared" si="736"/>
        <v>0</v>
      </c>
      <c r="BD259" s="98"/>
      <c r="BE259" s="98"/>
      <c r="BF259" s="98"/>
      <c r="BG259" s="98"/>
      <c r="BH259" s="98"/>
      <c r="BI259" s="81"/>
      <c r="BJ259" s="81">
        <f t="shared" si="737"/>
        <v>0</v>
      </c>
      <c r="BK259" s="81">
        <f t="shared" si="738"/>
        <v>0</v>
      </c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82" t="s">
        <v>434</v>
      </c>
      <c r="BW259" s="85"/>
      <c r="BX259" s="24"/>
    </row>
    <row r="260" spans="1:76" ht="12.75" x14ac:dyDescent="0.2">
      <c r="A260" s="108"/>
      <c r="B260" s="243"/>
      <c r="C260" s="285" t="s">
        <v>488</v>
      </c>
      <c r="D260" s="80">
        <f t="shared" si="727"/>
        <v>67046</v>
      </c>
      <c r="E260" s="295">
        <f t="shared" si="728"/>
        <v>117570</v>
      </c>
      <c r="F260" s="81">
        <v>67046</v>
      </c>
      <c r="G260" s="81">
        <f t="shared" si="729"/>
        <v>117570</v>
      </c>
      <c r="H260" s="81">
        <f t="shared" si="730"/>
        <v>50524</v>
      </c>
      <c r="I260" s="81"/>
      <c r="J260" s="81"/>
      <c r="K260" s="81">
        <v>49000</v>
      </c>
      <c r="L260" s="81"/>
      <c r="M260" s="81">
        <v>1524</v>
      </c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>
        <v>0</v>
      </c>
      <c r="AB260" s="81">
        <f t="shared" si="731"/>
        <v>0</v>
      </c>
      <c r="AC260" s="81">
        <f t="shared" si="732"/>
        <v>0</v>
      </c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>
        <v>0</v>
      </c>
      <c r="AO260" s="81">
        <f t="shared" si="733"/>
        <v>0</v>
      </c>
      <c r="AP260" s="81">
        <f t="shared" si="734"/>
        <v>0</v>
      </c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>
        <v>0</v>
      </c>
      <c r="BB260" s="81">
        <f t="shared" si="735"/>
        <v>0</v>
      </c>
      <c r="BC260" s="98">
        <f t="shared" si="736"/>
        <v>0</v>
      </c>
      <c r="BD260" s="98"/>
      <c r="BE260" s="98"/>
      <c r="BF260" s="98"/>
      <c r="BG260" s="98"/>
      <c r="BH260" s="98"/>
      <c r="BI260" s="81"/>
      <c r="BJ260" s="81">
        <f t="shared" si="737"/>
        <v>0</v>
      </c>
      <c r="BK260" s="81">
        <f t="shared" si="738"/>
        <v>0</v>
      </c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82" t="s">
        <v>435</v>
      </c>
      <c r="BW260" s="85"/>
      <c r="BX260" s="24"/>
    </row>
    <row r="261" spans="1:76" s="105" customFormat="1" ht="26.25" customHeight="1" x14ac:dyDescent="0.2">
      <c r="A261" s="108"/>
      <c r="B261" s="243"/>
      <c r="C261" s="285" t="s">
        <v>509</v>
      </c>
      <c r="D261" s="80">
        <f t="shared" si="727"/>
        <v>360284</v>
      </c>
      <c r="E261" s="295">
        <f t="shared" si="728"/>
        <v>360284</v>
      </c>
      <c r="F261" s="81">
        <v>360284</v>
      </c>
      <c r="G261" s="81">
        <f t="shared" si="729"/>
        <v>360284</v>
      </c>
      <c r="H261" s="81">
        <f t="shared" si="730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>
        <v>0</v>
      </c>
      <c r="AB261" s="81">
        <f t="shared" si="731"/>
        <v>0</v>
      </c>
      <c r="AC261" s="81">
        <f t="shared" si="732"/>
        <v>0</v>
      </c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>
        <v>0</v>
      </c>
      <c r="AO261" s="81">
        <f t="shared" si="733"/>
        <v>0</v>
      </c>
      <c r="AP261" s="81">
        <f t="shared" si="734"/>
        <v>0</v>
      </c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>
        <v>0</v>
      </c>
      <c r="BB261" s="81">
        <f t="shared" si="735"/>
        <v>0</v>
      </c>
      <c r="BC261" s="98">
        <f t="shared" si="736"/>
        <v>0</v>
      </c>
      <c r="BD261" s="98"/>
      <c r="BE261" s="98"/>
      <c r="BF261" s="98"/>
      <c r="BG261" s="98"/>
      <c r="BH261" s="98"/>
      <c r="BI261" s="81"/>
      <c r="BJ261" s="81">
        <f t="shared" si="737"/>
        <v>0</v>
      </c>
      <c r="BK261" s="81">
        <f t="shared" si="738"/>
        <v>0</v>
      </c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82" t="s">
        <v>557</v>
      </c>
      <c r="BW261" s="85"/>
      <c r="BX261" s="24"/>
    </row>
    <row r="262" spans="1:76" ht="26.25" customHeight="1" x14ac:dyDescent="0.2">
      <c r="A262" s="108">
        <v>90001868844</v>
      </c>
      <c r="B262" s="241" t="s">
        <v>305</v>
      </c>
      <c r="C262" s="285" t="s">
        <v>190</v>
      </c>
      <c r="D262" s="80">
        <f t="shared" si="727"/>
        <v>583593</v>
      </c>
      <c r="E262" s="295">
        <f t="shared" si="728"/>
        <v>585077</v>
      </c>
      <c r="F262" s="81">
        <v>581435</v>
      </c>
      <c r="G262" s="81">
        <f t="shared" si="729"/>
        <v>582919</v>
      </c>
      <c r="H262" s="81">
        <f t="shared" si="730"/>
        <v>1484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>
        <v>1484</v>
      </c>
      <c r="X262" s="81"/>
      <c r="Y262" s="81"/>
      <c r="Z262" s="81"/>
      <c r="AA262" s="81">
        <v>0</v>
      </c>
      <c r="AB262" s="81">
        <f t="shared" si="731"/>
        <v>0</v>
      </c>
      <c r="AC262" s="81">
        <f t="shared" si="732"/>
        <v>0</v>
      </c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>
        <v>1620</v>
      </c>
      <c r="AO262" s="81">
        <f t="shared" si="733"/>
        <v>1620</v>
      </c>
      <c r="AP262" s="81">
        <f t="shared" si="734"/>
        <v>0</v>
      </c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>
        <v>538</v>
      </c>
      <c r="BB262" s="81">
        <f t="shared" si="735"/>
        <v>538</v>
      </c>
      <c r="BC262" s="98">
        <f t="shared" si="736"/>
        <v>0</v>
      </c>
      <c r="BD262" s="98"/>
      <c r="BE262" s="98"/>
      <c r="BF262" s="98"/>
      <c r="BG262" s="98"/>
      <c r="BH262" s="98"/>
      <c r="BI262" s="81"/>
      <c r="BJ262" s="81">
        <f t="shared" si="737"/>
        <v>0</v>
      </c>
      <c r="BK262" s="81">
        <f t="shared" si="738"/>
        <v>0</v>
      </c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82" t="s">
        <v>436</v>
      </c>
      <c r="BW262" s="85"/>
      <c r="BX262" s="24"/>
    </row>
    <row r="263" spans="1:76" ht="12" customHeight="1" x14ac:dyDescent="0.2">
      <c r="A263" s="108">
        <v>90000091456</v>
      </c>
      <c r="B263" s="241" t="s">
        <v>197</v>
      </c>
      <c r="C263" s="285" t="s">
        <v>191</v>
      </c>
      <c r="D263" s="80">
        <f t="shared" si="727"/>
        <v>170542</v>
      </c>
      <c r="E263" s="295">
        <f t="shared" si="728"/>
        <v>170542</v>
      </c>
      <c r="F263" s="81">
        <v>170534</v>
      </c>
      <c r="G263" s="81">
        <f t="shared" si="729"/>
        <v>170534</v>
      </c>
      <c r="H263" s="81">
        <f t="shared" si="730"/>
        <v>0</v>
      </c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>
        <v>0</v>
      </c>
      <c r="AB263" s="81">
        <f t="shared" si="731"/>
        <v>0</v>
      </c>
      <c r="AC263" s="81">
        <f t="shared" si="732"/>
        <v>0</v>
      </c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>
        <v>8</v>
      </c>
      <c r="AO263" s="81">
        <f t="shared" si="733"/>
        <v>293</v>
      </c>
      <c r="AP263" s="81">
        <f t="shared" si="734"/>
        <v>285</v>
      </c>
      <c r="AQ263" s="81">
        <v>13</v>
      </c>
      <c r="AR263" s="81"/>
      <c r="AS263" s="81"/>
      <c r="AT263" s="81"/>
      <c r="AU263" s="81"/>
      <c r="AV263" s="81"/>
      <c r="AW263" s="81">
        <v>272</v>
      </c>
      <c r="AX263" s="81"/>
      <c r="AY263" s="81"/>
      <c r="AZ263" s="81"/>
      <c r="BA263" s="81">
        <v>0</v>
      </c>
      <c r="BB263" s="81">
        <f t="shared" si="735"/>
        <v>0</v>
      </c>
      <c r="BC263" s="98">
        <f t="shared" si="736"/>
        <v>0</v>
      </c>
      <c r="BD263" s="98"/>
      <c r="BE263" s="98"/>
      <c r="BF263" s="98"/>
      <c r="BG263" s="98"/>
      <c r="BH263" s="98"/>
      <c r="BI263" s="81"/>
      <c r="BJ263" s="81">
        <f t="shared" si="737"/>
        <v>-285</v>
      </c>
      <c r="BK263" s="81">
        <f t="shared" si="738"/>
        <v>-285</v>
      </c>
      <c r="BL263" s="98"/>
      <c r="BM263" s="98">
        <v>-13</v>
      </c>
      <c r="BN263" s="98"/>
      <c r="BO263" s="98"/>
      <c r="BP263" s="98"/>
      <c r="BQ263" s="98"/>
      <c r="BR263" s="98"/>
      <c r="BS263" s="98">
        <v>-272</v>
      </c>
      <c r="BT263" s="98"/>
      <c r="BU263" s="98"/>
      <c r="BV263" s="82" t="s">
        <v>437</v>
      </c>
      <c r="BW263" s="85"/>
      <c r="BX263" s="24"/>
    </row>
    <row r="264" spans="1:76" ht="14.25" customHeight="1" thickBot="1" x14ac:dyDescent="0.25">
      <c r="A264" s="102"/>
      <c r="B264" s="218"/>
      <c r="C264" s="323"/>
      <c r="D264" s="71"/>
      <c r="E264" s="296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72"/>
      <c r="BC264" s="97"/>
      <c r="BD264" s="97"/>
      <c r="BE264" s="97"/>
      <c r="BF264" s="97"/>
      <c r="BG264" s="97"/>
      <c r="BH264" s="97"/>
      <c r="BI264" s="72"/>
      <c r="BJ264" s="264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73"/>
      <c r="BW264" s="202"/>
    </row>
    <row r="265" spans="1:76" s="194" customFormat="1" ht="30" customHeight="1" thickTop="1" thickBot="1" x14ac:dyDescent="0.25">
      <c r="A265" s="219"/>
      <c r="B265" s="427" t="s">
        <v>602</v>
      </c>
      <c r="C265" s="428"/>
      <c r="D265" s="14">
        <f t="shared" ref="D265:AP265" si="751">D11+D28+D36+D64+D74+D86+D93+D133+D242</f>
        <v>103094119</v>
      </c>
      <c r="E265" s="300">
        <f t="shared" si="751"/>
        <v>104638015</v>
      </c>
      <c r="F265" s="210">
        <f t="shared" si="751"/>
        <v>90502352</v>
      </c>
      <c r="G265" s="210">
        <f t="shared" si="751"/>
        <v>91645275</v>
      </c>
      <c r="H265" s="210">
        <f t="shared" si="751"/>
        <v>1142923</v>
      </c>
      <c r="I265" s="210">
        <f t="shared" si="751"/>
        <v>69591</v>
      </c>
      <c r="J265" s="210">
        <f t="shared" si="751"/>
        <v>0</v>
      </c>
      <c r="K265" s="210">
        <f t="shared" si="751"/>
        <v>4368942</v>
      </c>
      <c r="L265" s="210">
        <f t="shared" si="751"/>
        <v>817244</v>
      </c>
      <c r="M265" s="210">
        <f t="shared" si="751"/>
        <v>517943</v>
      </c>
      <c r="N265" s="210">
        <f t="shared" si="751"/>
        <v>4781</v>
      </c>
      <c r="O265" s="210">
        <f t="shared" si="751"/>
        <v>121283</v>
      </c>
      <c r="P265" s="210">
        <f t="shared" si="751"/>
        <v>0</v>
      </c>
      <c r="Q265" s="210">
        <f t="shared" si="751"/>
        <v>-245485</v>
      </c>
      <c r="R265" s="210">
        <f t="shared" si="751"/>
        <v>0</v>
      </c>
      <c r="S265" s="210">
        <f t="shared" si="751"/>
        <v>-5310734</v>
      </c>
      <c r="T265" s="210"/>
      <c r="U265" s="210">
        <f t="shared" si="751"/>
        <v>1861091</v>
      </c>
      <c r="V265" s="210"/>
      <c r="W265" s="210">
        <f>W11+W28+W36+W64+W74+W86+W93+W133+W242</f>
        <v>-1084421</v>
      </c>
      <c r="X265" s="210">
        <f t="shared" ref="X265" si="752">X11+X28+X36+X64+X74+X86+X93+X133+X242</f>
        <v>0</v>
      </c>
      <c r="Y265" s="210">
        <f t="shared" si="751"/>
        <v>22688</v>
      </c>
      <c r="Z265" s="210">
        <f t="shared" si="751"/>
        <v>0</v>
      </c>
      <c r="AA265" s="210">
        <f t="shared" si="751"/>
        <v>10871636</v>
      </c>
      <c r="AB265" s="210">
        <f t="shared" si="751"/>
        <v>11306909</v>
      </c>
      <c r="AC265" s="210">
        <f t="shared" si="751"/>
        <v>435273</v>
      </c>
      <c r="AD265" s="210">
        <f t="shared" si="751"/>
        <v>30354</v>
      </c>
      <c r="AE265" s="210">
        <f t="shared" si="751"/>
        <v>237791</v>
      </c>
      <c r="AF265" s="210">
        <f t="shared" si="751"/>
        <v>41239</v>
      </c>
      <c r="AG265" s="210">
        <f t="shared" si="751"/>
        <v>27633</v>
      </c>
      <c r="AH265" s="210">
        <f t="shared" si="751"/>
        <v>1798</v>
      </c>
      <c r="AI265" s="210">
        <f t="shared" si="751"/>
        <v>73151</v>
      </c>
      <c r="AJ265" s="210">
        <f t="shared" si="751"/>
        <v>23307</v>
      </c>
      <c r="AK265" s="210">
        <f t="shared" si="751"/>
        <v>0</v>
      </c>
      <c r="AL265" s="210">
        <f t="shared" si="751"/>
        <v>0</v>
      </c>
      <c r="AM265" s="210">
        <f t="shared" si="751"/>
        <v>0</v>
      </c>
      <c r="AN265" s="210">
        <f t="shared" si="751"/>
        <v>1744907</v>
      </c>
      <c r="AO265" s="211">
        <f t="shared" si="751"/>
        <v>1805730</v>
      </c>
      <c r="AP265" s="211">
        <f t="shared" si="751"/>
        <v>60823</v>
      </c>
      <c r="AQ265" s="211">
        <f t="shared" ref="AQ265:BU265" si="753">AQ11+AQ28+AQ36+AQ64+AQ74+AQ86+AQ93+AQ133+AQ242</f>
        <v>159230</v>
      </c>
      <c r="AR265" s="211">
        <f t="shared" si="753"/>
        <v>-99908</v>
      </c>
      <c r="AS265" s="211">
        <f t="shared" si="753"/>
        <v>111</v>
      </c>
      <c r="AT265" s="211">
        <f t="shared" si="753"/>
        <v>2875</v>
      </c>
      <c r="AU265" s="211">
        <f t="shared" si="753"/>
        <v>100</v>
      </c>
      <c r="AV265" s="211">
        <f t="shared" si="753"/>
        <v>1514</v>
      </c>
      <c r="AW265" s="211">
        <f t="shared" si="753"/>
        <v>-5105</v>
      </c>
      <c r="AX265" s="211">
        <f t="shared" si="753"/>
        <v>2006</v>
      </c>
      <c r="AY265" s="211">
        <f t="shared" si="753"/>
        <v>0</v>
      </c>
      <c r="AZ265" s="211">
        <f t="shared" si="753"/>
        <v>0</v>
      </c>
      <c r="BA265" s="211">
        <f t="shared" si="753"/>
        <v>538</v>
      </c>
      <c r="BB265" s="210">
        <f t="shared" si="753"/>
        <v>569</v>
      </c>
      <c r="BC265" s="211">
        <f t="shared" si="753"/>
        <v>31</v>
      </c>
      <c r="BD265" s="211">
        <f t="shared" si="753"/>
        <v>31</v>
      </c>
      <c r="BE265" s="211">
        <f t="shared" si="753"/>
        <v>0</v>
      </c>
      <c r="BF265" s="211">
        <f t="shared" si="753"/>
        <v>0</v>
      </c>
      <c r="BG265" s="211">
        <f t="shared" si="753"/>
        <v>0</v>
      </c>
      <c r="BH265" s="211">
        <f t="shared" si="753"/>
        <v>0</v>
      </c>
      <c r="BI265" s="210">
        <f t="shared" si="753"/>
        <v>-25314</v>
      </c>
      <c r="BJ265" s="312">
        <f t="shared" si="753"/>
        <v>-120468</v>
      </c>
      <c r="BK265" s="211">
        <f t="shared" si="753"/>
        <v>-95154</v>
      </c>
      <c r="BL265" s="211">
        <f t="shared" si="753"/>
        <v>0</v>
      </c>
      <c r="BM265" s="211">
        <f t="shared" si="753"/>
        <v>-93670</v>
      </c>
      <c r="BN265" s="211">
        <f t="shared" si="753"/>
        <v>-1038</v>
      </c>
      <c r="BO265" s="211">
        <f t="shared" si="753"/>
        <v>-111</v>
      </c>
      <c r="BP265" s="211">
        <f t="shared" si="753"/>
        <v>0</v>
      </c>
      <c r="BQ265" s="211">
        <f t="shared" si="753"/>
        <v>0</v>
      </c>
      <c r="BR265" s="211">
        <f t="shared" si="753"/>
        <v>0</v>
      </c>
      <c r="BS265" s="211">
        <f t="shared" si="753"/>
        <v>-335</v>
      </c>
      <c r="BT265" s="211">
        <f t="shared" si="753"/>
        <v>0</v>
      </c>
      <c r="BU265" s="211">
        <f t="shared" si="753"/>
        <v>0</v>
      </c>
      <c r="BV265" s="15"/>
      <c r="BW265" s="90"/>
    </row>
    <row r="266" spans="1:76" ht="13.5" customHeight="1" thickTop="1" thickBot="1" x14ac:dyDescent="0.25">
      <c r="A266" s="129" t="s">
        <v>605</v>
      </c>
      <c r="B266" s="221" t="s">
        <v>125</v>
      </c>
      <c r="C266" s="222"/>
      <c r="D266" s="207">
        <f t="shared" ref="D266:AP266" si="754">SUM(D267:D295)</f>
        <v>507869</v>
      </c>
      <c r="E266" s="301">
        <f t="shared" si="754"/>
        <v>3117648</v>
      </c>
      <c r="F266" s="208">
        <f t="shared" si="754"/>
        <v>1476869</v>
      </c>
      <c r="G266" s="208">
        <f t="shared" si="754"/>
        <v>4066865</v>
      </c>
      <c r="H266" s="208">
        <f>SUM(H267:H295)</f>
        <v>2589996</v>
      </c>
      <c r="I266" s="208">
        <f t="shared" si="754"/>
        <v>22973</v>
      </c>
      <c r="J266" s="208">
        <f t="shared" si="754"/>
        <v>0</v>
      </c>
      <c r="K266" s="208">
        <f t="shared" si="754"/>
        <v>1701293</v>
      </c>
      <c r="L266" s="208">
        <f t="shared" si="754"/>
        <v>-154648</v>
      </c>
      <c r="M266" s="208">
        <f t="shared" si="754"/>
        <v>38700</v>
      </c>
      <c r="N266" s="208">
        <f t="shared" si="754"/>
        <v>-4781</v>
      </c>
      <c r="O266" s="208">
        <f t="shared" si="754"/>
        <v>-121283</v>
      </c>
      <c r="P266" s="208">
        <f t="shared" si="754"/>
        <v>0</v>
      </c>
      <c r="Q266" s="208">
        <f t="shared" si="754"/>
        <v>-252982</v>
      </c>
      <c r="R266" s="208">
        <f t="shared" si="754"/>
        <v>0</v>
      </c>
      <c r="S266" s="208">
        <f t="shared" si="754"/>
        <v>-617773</v>
      </c>
      <c r="T266" s="208"/>
      <c r="U266" s="208">
        <f t="shared" si="754"/>
        <v>1667295</v>
      </c>
      <c r="V266" s="208"/>
      <c r="W266" s="208">
        <f>SUM(W267:W295)</f>
        <v>336767</v>
      </c>
      <c r="X266" s="208">
        <f t="shared" ref="X266" si="755">SUM(X267:X295)</f>
        <v>0</v>
      </c>
      <c r="Y266" s="208">
        <f t="shared" si="754"/>
        <v>-25565</v>
      </c>
      <c r="Z266" s="208">
        <f t="shared" si="754"/>
        <v>0</v>
      </c>
      <c r="AA266" s="208">
        <f t="shared" si="754"/>
        <v>51272</v>
      </c>
      <c r="AB266" s="208">
        <f t="shared" si="754"/>
        <v>175185</v>
      </c>
      <c r="AC266" s="208">
        <f t="shared" si="754"/>
        <v>123913</v>
      </c>
      <c r="AD266" s="208">
        <f t="shared" si="754"/>
        <v>-86</v>
      </c>
      <c r="AE266" s="208">
        <f t="shared" si="754"/>
        <v>144776</v>
      </c>
      <c r="AF266" s="208">
        <f t="shared" si="754"/>
        <v>0</v>
      </c>
      <c r="AG266" s="208">
        <f t="shared" si="754"/>
        <v>0</v>
      </c>
      <c r="AH266" s="208">
        <f t="shared" si="754"/>
        <v>3775</v>
      </c>
      <c r="AI266" s="208">
        <f t="shared" si="754"/>
        <v>-40008</v>
      </c>
      <c r="AJ266" s="208">
        <f t="shared" si="754"/>
        <v>15456</v>
      </c>
      <c r="AK266" s="208">
        <f t="shared" si="754"/>
        <v>0</v>
      </c>
      <c r="AL266" s="208">
        <f t="shared" si="754"/>
        <v>0</v>
      </c>
      <c r="AM266" s="208">
        <f t="shared" si="754"/>
        <v>0</v>
      </c>
      <c r="AN266" s="208">
        <f t="shared" si="754"/>
        <v>1642</v>
      </c>
      <c r="AO266" s="209">
        <f t="shared" si="754"/>
        <v>14572</v>
      </c>
      <c r="AP266" s="209">
        <f t="shared" si="754"/>
        <v>12930</v>
      </c>
      <c r="AQ266" s="209">
        <f t="shared" ref="AQ266:BU266" si="756">SUM(AQ267:AQ295)</f>
        <v>240</v>
      </c>
      <c r="AR266" s="209">
        <f t="shared" si="756"/>
        <v>0</v>
      </c>
      <c r="AS266" s="209">
        <f t="shared" si="756"/>
        <v>0</v>
      </c>
      <c r="AT266" s="209">
        <f t="shared" si="756"/>
        <v>0</v>
      </c>
      <c r="AU266" s="209">
        <f t="shared" si="756"/>
        <v>0</v>
      </c>
      <c r="AV266" s="209">
        <f t="shared" si="756"/>
        <v>0</v>
      </c>
      <c r="AW266" s="209">
        <f t="shared" si="756"/>
        <v>11086</v>
      </c>
      <c r="AX266" s="209">
        <f t="shared" si="756"/>
        <v>1604</v>
      </c>
      <c r="AY266" s="209">
        <f t="shared" si="756"/>
        <v>0</v>
      </c>
      <c r="AZ266" s="209">
        <f t="shared" si="756"/>
        <v>0</v>
      </c>
      <c r="BA266" s="209">
        <f t="shared" si="756"/>
        <v>0</v>
      </c>
      <c r="BB266" s="208">
        <f t="shared" si="756"/>
        <v>0</v>
      </c>
      <c r="BC266" s="209">
        <f t="shared" si="756"/>
        <v>0</v>
      </c>
      <c r="BD266" s="209">
        <f t="shared" si="756"/>
        <v>0</v>
      </c>
      <c r="BE266" s="209">
        <f t="shared" si="756"/>
        <v>0</v>
      </c>
      <c r="BF266" s="209">
        <f t="shared" si="756"/>
        <v>0</v>
      </c>
      <c r="BG266" s="209">
        <f t="shared" si="756"/>
        <v>0</v>
      </c>
      <c r="BH266" s="209">
        <f t="shared" si="756"/>
        <v>0</v>
      </c>
      <c r="BI266" s="208">
        <f t="shared" si="756"/>
        <v>-1021914</v>
      </c>
      <c r="BJ266" s="313">
        <f t="shared" si="756"/>
        <v>-1138974</v>
      </c>
      <c r="BK266" s="209">
        <f t="shared" si="756"/>
        <v>-117060</v>
      </c>
      <c r="BL266" s="209">
        <f t="shared" si="756"/>
        <v>-11045</v>
      </c>
      <c r="BM266" s="209">
        <f t="shared" si="756"/>
        <v>-112853</v>
      </c>
      <c r="BN266" s="209">
        <f t="shared" si="756"/>
        <v>-17640</v>
      </c>
      <c r="BO266" s="209">
        <f t="shared" si="756"/>
        <v>45269</v>
      </c>
      <c r="BP266" s="209">
        <f t="shared" si="756"/>
        <v>-7681</v>
      </c>
      <c r="BQ266" s="209">
        <f t="shared" si="756"/>
        <v>20825</v>
      </c>
      <c r="BR266" s="209">
        <f t="shared" si="756"/>
        <v>-1738</v>
      </c>
      <c r="BS266" s="209">
        <f t="shared" si="756"/>
        <v>-1</v>
      </c>
      <c r="BT266" s="209">
        <f t="shared" si="756"/>
        <v>-32196</v>
      </c>
      <c r="BU266" s="209">
        <f t="shared" si="756"/>
        <v>0</v>
      </c>
      <c r="BV266" s="223"/>
      <c r="BW266" s="206"/>
    </row>
    <row r="267" spans="1:76" s="194" customFormat="1" hidden="1" outlineLevel="1" x14ac:dyDescent="0.2">
      <c r="A267" s="137"/>
      <c r="B267" s="441" t="s">
        <v>577</v>
      </c>
      <c r="C267" s="442"/>
      <c r="D267" s="80">
        <f t="shared" ref="D267:D294" si="757">F267+AA267+AN267+BA267+BI267</f>
        <v>194000</v>
      </c>
      <c r="E267" s="295">
        <f t="shared" ref="E267:E294" si="758">G267+AB267+AO267+BB267+BJ267</f>
        <v>194000</v>
      </c>
      <c r="F267" s="163">
        <v>194000</v>
      </c>
      <c r="G267" s="163">
        <f t="shared" ref="G267:G294" si="759">F267+H267</f>
        <v>194000</v>
      </c>
      <c r="H267" s="163">
        <f t="shared" ref="H267:H294" si="760">SUM(I267:Z267)</f>
        <v>0</v>
      </c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>
        <f t="shared" ref="AB267:AB294" si="761">AA267+AC267</f>
        <v>0</v>
      </c>
      <c r="AC267" s="163">
        <f t="shared" ref="AC267:AC294" si="762">SUM(AD267:AM267)</f>
        <v>0</v>
      </c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99">
        <f t="shared" ref="AO267:AO295" si="763">AN267+AP267</f>
        <v>0</v>
      </c>
      <c r="AP267" s="199">
        <f t="shared" ref="AP267:AP295" si="764">SUM(AQ267:AZ267)</f>
        <v>0</v>
      </c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81">
        <f t="shared" ref="BB267:BB294" si="765">BA267+BC267</f>
        <v>0</v>
      </c>
      <c r="BC267" s="98">
        <f>SUM(BD267:BH267)</f>
        <v>0</v>
      </c>
      <c r="BD267" s="199"/>
      <c r="BE267" s="199"/>
      <c r="BF267" s="199"/>
      <c r="BG267" s="199"/>
      <c r="BH267" s="199"/>
      <c r="BI267" s="163"/>
      <c r="BJ267" s="81">
        <f t="shared" ref="BJ267:BJ294" si="766">BI267+BK267</f>
        <v>0</v>
      </c>
      <c r="BK267" s="81">
        <f t="shared" ref="BK267:BK294" si="767">SUM(BL267:BU267)</f>
        <v>0</v>
      </c>
      <c r="BL267" s="199"/>
      <c r="BM267" s="199"/>
      <c r="BN267" s="199"/>
      <c r="BO267" s="199"/>
      <c r="BP267" s="199"/>
      <c r="BQ267" s="199"/>
      <c r="BR267" s="199"/>
      <c r="BS267" s="199"/>
      <c r="BT267" s="199"/>
      <c r="BU267" s="199"/>
      <c r="BV267" s="220"/>
      <c r="BW267" s="200"/>
    </row>
    <row r="268" spans="1:76" s="194" customFormat="1" hidden="1" outlineLevel="1" x14ac:dyDescent="0.2">
      <c r="A268" s="137"/>
      <c r="B268" s="414" t="s">
        <v>463</v>
      </c>
      <c r="C268" s="413"/>
      <c r="D268" s="80">
        <f t="shared" si="757"/>
        <v>185314</v>
      </c>
      <c r="E268" s="295">
        <f t="shared" si="758"/>
        <v>1469824</v>
      </c>
      <c r="F268" s="81">
        <f>324000+25314-164000</f>
        <v>185314</v>
      </c>
      <c r="G268" s="81">
        <f t="shared" si="759"/>
        <v>1469825</v>
      </c>
      <c r="H268" s="81">
        <f>SUM(I268:Z268)</f>
        <v>1284511</v>
      </c>
      <c r="I268" s="81">
        <f>6</f>
        <v>6</v>
      </c>
      <c r="J268" s="81"/>
      <c r="K268" s="81">
        <f>-61396-25000+5760+1583+10066+1510-4511+8429-69281-1516-55134+5401+4761+832+76+40+160+565-72130-2400-8457-83277-710+1222-13063-5107-3582-8897+12610-49000+1689958+10268+623+2751-150000+40075-1132-6169-8852-132+132</f>
        <v>1167076</v>
      </c>
      <c r="L268" s="81">
        <f>-29999-100-81409-60780</f>
        <v>-172288</v>
      </c>
      <c r="M268" s="81">
        <f>-13785-1357-12541-1524-33254-1714-284-56180-11665-1646-50000-10804-19100-1280+8591-14158+5567-568+7489</f>
        <v>-208213</v>
      </c>
      <c r="N268" s="81">
        <f>-2025-2756+5000-5000</f>
        <v>-4781</v>
      </c>
      <c r="O268" s="81">
        <v>-121283</v>
      </c>
      <c r="P268" s="81">
        <f>-544+544</f>
        <v>0</v>
      </c>
      <c r="Q268" s="81">
        <f>-107022-1278-740+10479-180983</f>
        <v>-279544</v>
      </c>
      <c r="R268" s="81">
        <f>2104-2104</f>
        <v>0</v>
      </c>
      <c r="S268" s="81">
        <f>-5000+5000+347000+30000+10000-49244-282993-261116-31711-1209375+140000-327994+2000000-11700+20825+18599+9489+169645-88045+27398-16500-10268-1148816-66663-140778+93059+60196-407685-20075-2550+300000+20075+2550+67375+19000+13400+7910</f>
        <v>-718992</v>
      </c>
      <c r="T268" s="81"/>
      <c r="U268" s="81">
        <f>261116+31711+1209375-7000-2200+2200+428-7+3-12193+12193+965-965+5549-5549-27844-3</f>
        <v>1467779</v>
      </c>
      <c r="V268" s="81">
        <f>3185-3185</f>
        <v>0</v>
      </c>
      <c r="W268" s="81">
        <f>5924-432-185-2000+400-400-790-6700+18146-10074+2185+3272-3854-1484-11267-2556-32024-1200+59-4555-1954+1500-23100-196+18000-5241-4826-34920+432+17677-17257+22970-10000+20000+6500-2000-14500-2915+1277+1638-773+1-37949+364488+7157+14336+4879+15121-20000+350-350+1307+1857+1057-4221+489288-489288</f>
        <v>272810</v>
      </c>
      <c r="X268" s="81">
        <f>5100-5100</f>
        <v>0</v>
      </c>
      <c r="Y268" s="81">
        <f>-3610-42207+11459-11459+6888+37195-55845+18650+95510-95510-8133-7558-41065-20480-13-1-4-1876</f>
        <v>-118059</v>
      </c>
      <c r="Z268" s="81"/>
      <c r="AA268" s="81"/>
      <c r="AB268" s="81">
        <f t="shared" si="761"/>
        <v>0</v>
      </c>
      <c r="AC268" s="81">
        <f t="shared" si="762"/>
        <v>0</v>
      </c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98">
        <f t="shared" si="763"/>
        <v>0</v>
      </c>
      <c r="AP268" s="98">
        <f t="shared" si="764"/>
        <v>0</v>
      </c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81">
        <f>BA268+BC268</f>
        <v>0</v>
      </c>
      <c r="BC268" s="98">
        <f t="shared" ref="BC268:BC294" si="768">SUM(BD268:BH268)</f>
        <v>0</v>
      </c>
      <c r="BD268" s="98"/>
      <c r="BE268" s="98"/>
      <c r="BF268" s="98"/>
      <c r="BG268" s="98"/>
      <c r="BH268" s="98"/>
      <c r="BI268" s="81"/>
      <c r="BJ268" s="81">
        <f>BI268+BK268</f>
        <v>-1</v>
      </c>
      <c r="BK268" s="81">
        <f t="shared" si="767"/>
        <v>-1</v>
      </c>
      <c r="BL268" s="98"/>
      <c r="BM268" s="98"/>
      <c r="BN268" s="98"/>
      <c r="BO268" s="98"/>
      <c r="BP268" s="98"/>
      <c r="BQ268" s="98"/>
      <c r="BR268" s="98"/>
      <c r="BS268" s="98">
        <v>-1</v>
      </c>
      <c r="BT268" s="98"/>
      <c r="BU268" s="98"/>
      <c r="BV268" s="82"/>
      <c r="BW268" s="85"/>
    </row>
    <row r="269" spans="1:76" s="198" customFormat="1" ht="12.75" hidden="1" customHeight="1" outlineLevel="1" x14ac:dyDescent="0.2">
      <c r="A269" s="137"/>
      <c r="B269" s="412" t="s">
        <v>734</v>
      </c>
      <c r="C269" s="413"/>
      <c r="D269" s="80">
        <f>F269+AA269+AN269+BA269+BI269</f>
        <v>0</v>
      </c>
      <c r="E269" s="295">
        <f>G269+AB269+AO269+BB269+BJ269</f>
        <v>184750</v>
      </c>
      <c r="F269" s="81"/>
      <c r="G269" s="81">
        <f>F269+H269</f>
        <v>184750</v>
      </c>
      <c r="H269" s="81">
        <f>SUM(I269:Z269)</f>
        <v>184750</v>
      </c>
      <c r="I269" s="81">
        <f>750+2719+7576</f>
        <v>11045</v>
      </c>
      <c r="J269" s="81"/>
      <c r="K269" s="81">
        <f>1-1+101+6450-2088-1447-1339-1576+37949+1+13+25845+3777+4897+85145+113+19033+23199</f>
        <v>200073</v>
      </c>
      <c r="L269" s="81"/>
      <c r="M269" s="81">
        <f>21968-7251-59986</f>
        <v>-45269</v>
      </c>
      <c r="N269" s="81"/>
      <c r="O269" s="81"/>
      <c r="P269" s="81"/>
      <c r="Q269" s="81">
        <v>7681</v>
      </c>
      <c r="R269" s="81"/>
      <c r="S269" s="81">
        <v>-20825</v>
      </c>
      <c r="T269" s="81"/>
      <c r="U269" s="81">
        <v>-151</v>
      </c>
      <c r="V269" s="81"/>
      <c r="W269" s="81"/>
      <c r="X269" s="81"/>
      <c r="Y269" s="81">
        <v>32196</v>
      </c>
      <c r="Z269" s="81"/>
      <c r="AA269" s="81"/>
      <c r="AB269" s="81">
        <f>AA269+AC269</f>
        <v>1889</v>
      </c>
      <c r="AC269" s="81">
        <f>SUM(AD269:AM269)</f>
        <v>1889</v>
      </c>
      <c r="AD269" s="81"/>
      <c r="AE269" s="81"/>
      <c r="AF269" s="81"/>
      <c r="AG269" s="81"/>
      <c r="AH269" s="81">
        <f>22+486+895+4+64+138+210+1+5+19+45</f>
        <v>1889</v>
      </c>
      <c r="AI269" s="81"/>
      <c r="AJ269" s="81"/>
      <c r="AK269" s="81"/>
      <c r="AL269" s="81"/>
      <c r="AM269" s="81"/>
      <c r="AN269" s="81"/>
      <c r="AO269" s="98">
        <f>AN269+AP269</f>
        <v>0</v>
      </c>
      <c r="AP269" s="98">
        <f>SUM(AQ269:AZ269)</f>
        <v>0</v>
      </c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81">
        <f>BA269+BC269</f>
        <v>0</v>
      </c>
      <c r="BC269" s="98">
        <f>SUM(BD269:BH269)</f>
        <v>0</v>
      </c>
      <c r="BD269" s="98"/>
      <c r="BE269" s="98"/>
      <c r="BF269" s="98"/>
      <c r="BG269" s="98"/>
      <c r="BH269" s="98"/>
      <c r="BI269" s="81"/>
      <c r="BJ269" s="81">
        <f>BI269+BK269</f>
        <v>-1889</v>
      </c>
      <c r="BK269" s="81">
        <f>SUM(BL269:BU269)</f>
        <v>-1889</v>
      </c>
      <c r="BL269" s="98"/>
      <c r="BM269" s="98"/>
      <c r="BN269" s="98"/>
      <c r="BO269" s="98"/>
      <c r="BP269" s="98"/>
      <c r="BQ269" s="98"/>
      <c r="BR269" s="98">
        <f>-22-486-895-4-64-138-210-1-5-19-45</f>
        <v>-1889</v>
      </c>
      <c r="BS269" s="98"/>
      <c r="BT269" s="98"/>
      <c r="BU269" s="98"/>
      <c r="BV269" s="82"/>
      <c r="BW269" s="85"/>
    </row>
    <row r="270" spans="1:76" s="198" customFormat="1" ht="12.75" hidden="1" customHeight="1" outlineLevel="1" x14ac:dyDescent="0.2">
      <c r="A270" s="137"/>
      <c r="B270" s="412" t="s">
        <v>752</v>
      </c>
      <c r="C270" s="413"/>
      <c r="D270" s="80">
        <f t="shared" ref="D270:D271" si="769">F270+AA270+AN270+BA270+BI270</f>
        <v>0</v>
      </c>
      <c r="E270" s="295">
        <f t="shared" ref="E270:E271" si="770">G270+AB270+AO270+BB270+BJ270</f>
        <v>0</v>
      </c>
      <c r="F270" s="81">
        <v>995567</v>
      </c>
      <c r="G270" s="81">
        <f t="shared" ref="G270:G272" si="771">F270+H270</f>
        <v>1096559</v>
      </c>
      <c r="H270" s="81">
        <f t="shared" ref="H270:H272" si="772">SUM(I270:Z270)</f>
        <v>100992</v>
      </c>
      <c r="I270" s="81">
        <f>750+7576</f>
        <v>8326</v>
      </c>
      <c r="J270" s="81"/>
      <c r="K270" s="81">
        <f>4897+85145+19033</f>
        <v>109075</v>
      </c>
      <c r="L270" s="81">
        <v>17640</v>
      </c>
      <c r="M270" s="81">
        <f>-7251+21968-59986</f>
        <v>-45269</v>
      </c>
      <c r="N270" s="81"/>
      <c r="O270" s="81"/>
      <c r="P270" s="81"/>
      <c r="Q270" s="81"/>
      <c r="R270" s="81"/>
      <c r="S270" s="81">
        <v>-20825</v>
      </c>
      <c r="T270" s="81"/>
      <c r="U270" s="81">
        <v>-151</v>
      </c>
      <c r="V270" s="81"/>
      <c r="W270" s="81"/>
      <c r="X270" s="81"/>
      <c r="Y270" s="81">
        <v>32196</v>
      </c>
      <c r="Z270" s="81"/>
      <c r="AA270" s="81"/>
      <c r="AB270" s="81">
        <f t="shared" ref="AB270:AB271" si="773">AA270+AC270</f>
        <v>0</v>
      </c>
      <c r="AC270" s="81">
        <f t="shared" ref="AC270:AC271" si="774">SUM(AD270:AM270)</f>
        <v>0</v>
      </c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98">
        <f t="shared" ref="AO270:AO271" si="775">AN270+AP270</f>
        <v>0</v>
      </c>
      <c r="AP270" s="98">
        <f t="shared" ref="AP270:AP271" si="776">SUM(AQ270:AZ270)</f>
        <v>0</v>
      </c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81">
        <f t="shared" ref="BB270:BB271" si="777">BA270+BC270</f>
        <v>0</v>
      </c>
      <c r="BC270" s="98">
        <f t="shared" ref="BC270:BC271" si="778">SUM(BD270:BH270)</f>
        <v>0</v>
      </c>
      <c r="BD270" s="98"/>
      <c r="BE270" s="98"/>
      <c r="BF270" s="98"/>
      <c r="BG270" s="98"/>
      <c r="BH270" s="98"/>
      <c r="BI270" s="81">
        <v>-995567</v>
      </c>
      <c r="BJ270" s="81">
        <f t="shared" ref="BJ270:BJ271" si="779">BI270+BK270</f>
        <v>-1096559</v>
      </c>
      <c r="BK270" s="81">
        <f t="shared" ref="BK270:BK271" si="780">SUM(BL270:BU270)</f>
        <v>-100992</v>
      </c>
      <c r="BL270" s="98">
        <f>-750-7576</f>
        <v>-8326</v>
      </c>
      <c r="BM270" s="98">
        <f>-4897-85145-19033</f>
        <v>-109075</v>
      </c>
      <c r="BN270" s="98">
        <v>-17640</v>
      </c>
      <c r="BO270" s="98">
        <f>7251-21968+59986</f>
        <v>45269</v>
      </c>
      <c r="BP270" s="98"/>
      <c r="BQ270" s="98">
        <v>20825</v>
      </c>
      <c r="BR270" s="98">
        <v>151</v>
      </c>
      <c r="BS270" s="98"/>
      <c r="BT270" s="98">
        <v>-32196</v>
      </c>
      <c r="BU270" s="98"/>
      <c r="BV270" s="82"/>
      <c r="BW270" s="85"/>
    </row>
    <row r="271" spans="1:76" s="198" customFormat="1" ht="12.75" hidden="1" customHeight="1" outlineLevel="1" x14ac:dyDescent="0.2">
      <c r="A271" s="137"/>
      <c r="B271" s="412" t="s">
        <v>753</v>
      </c>
      <c r="C271" s="413"/>
      <c r="D271" s="80">
        <f t="shared" si="769"/>
        <v>0</v>
      </c>
      <c r="E271" s="295">
        <f t="shared" si="770"/>
        <v>0</v>
      </c>
      <c r="F271" s="81">
        <v>26347</v>
      </c>
      <c r="G271" s="81">
        <f t="shared" si="771"/>
        <v>40525</v>
      </c>
      <c r="H271" s="81">
        <f t="shared" si="772"/>
        <v>14178</v>
      </c>
      <c r="I271" s="81">
        <v>2719</v>
      </c>
      <c r="J271" s="81"/>
      <c r="K271" s="81">
        <f>1+3777</f>
        <v>3778</v>
      </c>
      <c r="L271" s="81"/>
      <c r="M271" s="81"/>
      <c r="N271" s="81"/>
      <c r="O271" s="81"/>
      <c r="P271" s="81"/>
      <c r="Q271" s="81">
        <v>7681</v>
      </c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>
        <f t="shared" si="773"/>
        <v>0</v>
      </c>
      <c r="AC271" s="81">
        <f t="shared" si="774"/>
        <v>0</v>
      </c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98">
        <f t="shared" si="775"/>
        <v>0</v>
      </c>
      <c r="AP271" s="98">
        <f t="shared" si="776"/>
        <v>0</v>
      </c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81">
        <f t="shared" si="777"/>
        <v>0</v>
      </c>
      <c r="BC271" s="98">
        <f t="shared" si="778"/>
        <v>0</v>
      </c>
      <c r="BD271" s="98"/>
      <c r="BE271" s="98"/>
      <c r="BF271" s="98"/>
      <c r="BG271" s="98"/>
      <c r="BH271" s="98"/>
      <c r="BI271" s="81">
        <v>-26347</v>
      </c>
      <c r="BJ271" s="81">
        <f t="shared" si="779"/>
        <v>-40525</v>
      </c>
      <c r="BK271" s="81">
        <f t="shared" si="780"/>
        <v>-14178</v>
      </c>
      <c r="BL271" s="98">
        <v>-2719</v>
      </c>
      <c r="BM271" s="98">
        <f>-1-3777</f>
        <v>-3778</v>
      </c>
      <c r="BN271" s="98"/>
      <c r="BO271" s="98"/>
      <c r="BP271" s="98">
        <v>-7681</v>
      </c>
      <c r="BQ271" s="98"/>
      <c r="BR271" s="98"/>
      <c r="BS271" s="98"/>
      <c r="BT271" s="98"/>
      <c r="BU271" s="98"/>
      <c r="BV271" s="82"/>
      <c r="BW271" s="85"/>
    </row>
    <row r="272" spans="1:76" s="198" customFormat="1" ht="12.75" hidden="1" customHeight="1" outlineLevel="1" x14ac:dyDescent="0.2">
      <c r="A272" s="137"/>
      <c r="B272" s="412" t="s">
        <v>821</v>
      </c>
      <c r="C272" s="413"/>
      <c r="D272" s="80">
        <f t="shared" ref="D272" si="781">F272+AA272+AN272+BA272+BI272</f>
        <v>0</v>
      </c>
      <c r="E272" s="295">
        <f t="shared" ref="E272" si="782">G272+AB272+AO272+BB272+BJ272</f>
        <v>160212</v>
      </c>
      <c r="F272" s="81"/>
      <c r="G272" s="81">
        <f t="shared" si="771"/>
        <v>160212</v>
      </c>
      <c r="H272" s="81">
        <f t="shared" si="772"/>
        <v>160212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>
        <f>16200+20377+88045</f>
        <v>124622</v>
      </c>
      <c r="T272" s="81"/>
      <c r="U272" s="81"/>
      <c r="V272" s="81"/>
      <c r="W272" s="81">
        <f>233+4130+1227+30000</f>
        <v>35590</v>
      </c>
      <c r="X272" s="81"/>
      <c r="Y272" s="81"/>
      <c r="Z272" s="81"/>
      <c r="AA272" s="81"/>
      <c r="AB272" s="81">
        <f t="shared" ref="AB272" si="783">AA272+AC272</f>
        <v>0</v>
      </c>
      <c r="AC272" s="81">
        <f t="shared" ref="AC272" si="784">SUM(AD272:AM272)</f>
        <v>0</v>
      </c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98">
        <f t="shared" ref="AO272" si="785">AN272+AP272</f>
        <v>0</v>
      </c>
      <c r="AP272" s="98">
        <f t="shared" ref="AP272" si="786">SUM(AQ272:AZ272)</f>
        <v>0</v>
      </c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81">
        <f t="shared" ref="BB272" si="787">BA272+BC272</f>
        <v>0</v>
      </c>
      <c r="BC272" s="98">
        <f t="shared" ref="BC272" si="788">SUM(BD272:BH272)</f>
        <v>0</v>
      </c>
      <c r="BD272" s="98"/>
      <c r="BE272" s="98"/>
      <c r="BF272" s="98"/>
      <c r="BG272" s="98"/>
      <c r="BH272" s="98"/>
      <c r="BI272" s="81"/>
      <c r="BJ272" s="81">
        <f t="shared" ref="BJ272" si="789">BI272+BK272</f>
        <v>0</v>
      </c>
      <c r="BK272" s="81">
        <f t="shared" ref="BK272" si="790">SUM(BL272:BU272)</f>
        <v>0</v>
      </c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82"/>
      <c r="BW272" s="85"/>
    </row>
    <row r="273" spans="1:75" s="194" customFormat="1" hidden="1" outlineLevel="1" x14ac:dyDescent="0.2">
      <c r="A273" s="137"/>
      <c r="B273" s="414" t="s">
        <v>578</v>
      </c>
      <c r="C273" s="413"/>
      <c r="D273" s="80">
        <f t="shared" si="757"/>
        <v>62204</v>
      </c>
      <c r="E273" s="295">
        <f>G273+AB273+AO273+BB273+BJ273</f>
        <v>707368</v>
      </c>
      <c r="F273" s="81">
        <v>62204</v>
      </c>
      <c r="G273" s="81">
        <f>F273+H273</f>
        <v>707368</v>
      </c>
      <c r="H273" s="81">
        <f t="shared" si="760"/>
        <v>645164</v>
      </c>
      <c r="I273" s="81">
        <f>877</f>
        <v>877</v>
      </c>
      <c r="J273" s="81"/>
      <c r="K273" s="81">
        <f>2352-12169+5351+22638+235-243+147145+53792</f>
        <v>219101</v>
      </c>
      <c r="L273" s="81"/>
      <c r="M273" s="81">
        <v>337451</v>
      </c>
      <c r="N273" s="81"/>
      <c r="O273" s="81"/>
      <c r="P273" s="81"/>
      <c r="Q273" s="81">
        <f>-147145-22638</f>
        <v>-169783</v>
      </c>
      <c r="R273" s="81"/>
      <c r="S273" s="81">
        <f>30597-53792+91780</f>
        <v>68585</v>
      </c>
      <c r="T273" s="81"/>
      <c r="U273" s="81">
        <f>185947+1210</f>
        <v>187157</v>
      </c>
      <c r="V273" s="81"/>
      <c r="W273" s="81">
        <f>371+1405</f>
        <v>1776</v>
      </c>
      <c r="X273" s="81"/>
      <c r="Y273" s="81"/>
      <c r="Z273" s="81"/>
      <c r="AA273" s="81"/>
      <c r="AB273" s="81">
        <f t="shared" si="761"/>
        <v>0</v>
      </c>
      <c r="AC273" s="81">
        <f t="shared" si="762"/>
        <v>0</v>
      </c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98">
        <f t="shared" si="763"/>
        <v>0</v>
      </c>
      <c r="AP273" s="98">
        <f t="shared" si="764"/>
        <v>0</v>
      </c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81">
        <f t="shared" ref="BB273" si="791">BA273+BC273</f>
        <v>0</v>
      </c>
      <c r="BC273" s="98">
        <f t="shared" si="768"/>
        <v>0</v>
      </c>
      <c r="BD273" s="98"/>
      <c r="BE273" s="98"/>
      <c r="BF273" s="98"/>
      <c r="BG273" s="98"/>
      <c r="BH273" s="98"/>
      <c r="BI273" s="81"/>
      <c r="BJ273" s="81">
        <f t="shared" si="766"/>
        <v>0</v>
      </c>
      <c r="BK273" s="81">
        <f t="shared" si="767"/>
        <v>0</v>
      </c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82"/>
      <c r="BW273" s="85"/>
    </row>
    <row r="274" spans="1:75" s="194" customFormat="1" hidden="1" outlineLevel="1" x14ac:dyDescent="0.2">
      <c r="A274" s="137"/>
      <c r="B274" s="414" t="s">
        <v>579</v>
      </c>
      <c r="C274" s="413"/>
      <c r="D274" s="80">
        <f t="shared" si="757"/>
        <v>13437</v>
      </c>
      <c r="E274" s="295">
        <f t="shared" si="758"/>
        <v>74583</v>
      </c>
      <c r="F274" s="81">
        <v>13437</v>
      </c>
      <c r="G274" s="81">
        <f t="shared" si="759"/>
        <v>74583</v>
      </c>
      <c r="H274" s="81">
        <f t="shared" si="760"/>
        <v>61146</v>
      </c>
      <c r="I274" s="81"/>
      <c r="J274" s="81"/>
      <c r="K274" s="81">
        <f>-3454-2751</f>
        <v>-6205</v>
      </c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f>13291-633</f>
        <v>12658</v>
      </c>
      <c r="V274" s="81"/>
      <c r="W274" s="81">
        <v>26591</v>
      </c>
      <c r="X274" s="81"/>
      <c r="Y274" s="81">
        <f>16176+8385+3541</f>
        <v>28102</v>
      </c>
      <c r="Z274" s="81"/>
      <c r="AA274" s="81"/>
      <c r="AB274" s="81">
        <f t="shared" si="761"/>
        <v>0</v>
      </c>
      <c r="AC274" s="81">
        <f t="shared" si="762"/>
        <v>0</v>
      </c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98">
        <f t="shared" si="763"/>
        <v>0</v>
      </c>
      <c r="AP274" s="98">
        <f t="shared" si="764"/>
        <v>0</v>
      </c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81">
        <f t="shared" si="765"/>
        <v>0</v>
      </c>
      <c r="BC274" s="98">
        <f t="shared" si="768"/>
        <v>0</v>
      </c>
      <c r="BD274" s="98"/>
      <c r="BE274" s="98"/>
      <c r="BF274" s="98"/>
      <c r="BG274" s="98"/>
      <c r="BH274" s="98"/>
      <c r="BI274" s="81"/>
      <c r="BJ274" s="81">
        <f>BI274+BK274</f>
        <v>0</v>
      </c>
      <c r="BK274" s="81">
        <f t="shared" si="767"/>
        <v>0</v>
      </c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82"/>
      <c r="BW274" s="85"/>
    </row>
    <row r="275" spans="1:75" s="194" customFormat="1" hidden="1" outlineLevel="1" x14ac:dyDescent="0.2">
      <c r="A275" s="137"/>
      <c r="B275" s="414" t="s">
        <v>580</v>
      </c>
      <c r="C275" s="413"/>
      <c r="D275" s="80">
        <f t="shared" si="757"/>
        <v>0</v>
      </c>
      <c r="E275" s="295">
        <f t="shared" si="758"/>
        <v>11336</v>
      </c>
      <c r="F275" s="81"/>
      <c r="G275" s="81">
        <f t="shared" si="759"/>
        <v>0</v>
      </c>
      <c r="H275" s="81">
        <f t="shared" si="760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>
        <f t="shared" si="761"/>
        <v>0</v>
      </c>
      <c r="AC275" s="81">
        <f t="shared" si="762"/>
        <v>0</v>
      </c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>
        <v>0</v>
      </c>
      <c r="AO275" s="98">
        <f t="shared" si="763"/>
        <v>11336</v>
      </c>
      <c r="AP275" s="98">
        <f t="shared" si="764"/>
        <v>11336</v>
      </c>
      <c r="AQ275" s="98">
        <v>250</v>
      </c>
      <c r="AR275" s="98"/>
      <c r="AS275" s="98"/>
      <c r="AT275" s="98"/>
      <c r="AU275" s="98"/>
      <c r="AV275" s="98"/>
      <c r="AW275" s="98">
        <v>11086</v>
      </c>
      <c r="AX275" s="98"/>
      <c r="AY275" s="98"/>
      <c r="AZ275" s="98"/>
      <c r="BA275" s="98"/>
      <c r="BB275" s="81">
        <f t="shared" si="765"/>
        <v>0</v>
      </c>
      <c r="BC275" s="98">
        <f t="shared" si="768"/>
        <v>0</v>
      </c>
      <c r="BD275" s="98"/>
      <c r="BE275" s="98"/>
      <c r="BF275" s="98"/>
      <c r="BG275" s="98"/>
      <c r="BH275" s="98"/>
      <c r="BI275" s="81"/>
      <c r="BJ275" s="81">
        <f t="shared" si="766"/>
        <v>0</v>
      </c>
      <c r="BK275" s="81">
        <f t="shared" si="767"/>
        <v>0</v>
      </c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82"/>
      <c r="BW275" s="85"/>
    </row>
    <row r="276" spans="1:75" s="194" customFormat="1" hidden="1" outlineLevel="1" x14ac:dyDescent="0.2">
      <c r="A276" s="137"/>
      <c r="B276" s="414" t="s">
        <v>581</v>
      </c>
      <c r="C276" s="413"/>
      <c r="D276" s="80">
        <f t="shared" si="757"/>
        <v>1642</v>
      </c>
      <c r="E276" s="295">
        <f t="shared" si="758"/>
        <v>3236</v>
      </c>
      <c r="F276" s="81"/>
      <c r="G276" s="81">
        <f t="shared" si="759"/>
        <v>0</v>
      </c>
      <c r="H276" s="81">
        <f t="shared" si="760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>
        <f t="shared" si="761"/>
        <v>0</v>
      </c>
      <c r="AC276" s="81">
        <f t="shared" si="762"/>
        <v>0</v>
      </c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>
        <v>1642</v>
      </c>
      <c r="AO276" s="98">
        <f t="shared" si="763"/>
        <v>3236</v>
      </c>
      <c r="AP276" s="98">
        <f t="shared" si="764"/>
        <v>1594</v>
      </c>
      <c r="AQ276" s="98">
        <v>-10</v>
      </c>
      <c r="AR276" s="98"/>
      <c r="AS276" s="98"/>
      <c r="AT276" s="98"/>
      <c r="AU276" s="98"/>
      <c r="AV276" s="98"/>
      <c r="AW276" s="98"/>
      <c r="AX276" s="98">
        <v>1604</v>
      </c>
      <c r="AY276" s="98"/>
      <c r="AZ276" s="98"/>
      <c r="BA276" s="98"/>
      <c r="BB276" s="81">
        <f t="shared" si="765"/>
        <v>0</v>
      </c>
      <c r="BC276" s="98">
        <f t="shared" si="768"/>
        <v>0</v>
      </c>
      <c r="BD276" s="98"/>
      <c r="BE276" s="98"/>
      <c r="BF276" s="98"/>
      <c r="BG276" s="98"/>
      <c r="BH276" s="98"/>
      <c r="BI276" s="81"/>
      <c r="BJ276" s="81">
        <f t="shared" si="766"/>
        <v>0</v>
      </c>
      <c r="BK276" s="81">
        <f t="shared" si="767"/>
        <v>0</v>
      </c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82"/>
      <c r="BW276" s="85"/>
    </row>
    <row r="277" spans="1:75" s="194" customFormat="1" hidden="1" outlineLevel="1" x14ac:dyDescent="0.2">
      <c r="A277" s="137"/>
      <c r="B277" s="414" t="s">
        <v>54</v>
      </c>
      <c r="C277" s="413"/>
      <c r="D277" s="80">
        <f t="shared" si="757"/>
        <v>0</v>
      </c>
      <c r="E277" s="295">
        <f t="shared" si="758"/>
        <v>0</v>
      </c>
      <c r="F277" s="81"/>
      <c r="G277" s="81">
        <f t="shared" si="759"/>
        <v>0</v>
      </c>
      <c r="H277" s="81">
        <f t="shared" si="760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>
        <f t="shared" si="761"/>
        <v>0</v>
      </c>
      <c r="AC277" s="81">
        <f t="shared" si="762"/>
        <v>0</v>
      </c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98">
        <f t="shared" si="763"/>
        <v>0</v>
      </c>
      <c r="AP277" s="98">
        <f t="shared" si="764"/>
        <v>0</v>
      </c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81">
        <f t="shared" si="765"/>
        <v>0</v>
      </c>
      <c r="BC277" s="98">
        <f t="shared" si="768"/>
        <v>0</v>
      </c>
      <c r="BD277" s="98"/>
      <c r="BE277" s="98"/>
      <c r="BF277" s="98"/>
      <c r="BG277" s="98"/>
      <c r="BH277" s="98"/>
      <c r="BI277" s="81"/>
      <c r="BJ277" s="81">
        <f t="shared" si="766"/>
        <v>0</v>
      </c>
      <c r="BK277" s="81">
        <f t="shared" si="767"/>
        <v>0</v>
      </c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82"/>
      <c r="BW277" s="85"/>
    </row>
    <row r="278" spans="1:75" s="194" customFormat="1" hidden="1" outlineLevel="1" x14ac:dyDescent="0.2">
      <c r="A278" s="137"/>
      <c r="B278" s="414" t="s">
        <v>582</v>
      </c>
      <c r="C278" s="413"/>
      <c r="D278" s="80">
        <f t="shared" si="757"/>
        <v>0</v>
      </c>
      <c r="E278" s="295">
        <f t="shared" si="758"/>
        <v>0</v>
      </c>
      <c r="F278" s="81"/>
      <c r="G278" s="81">
        <f t="shared" si="759"/>
        <v>0</v>
      </c>
      <c r="H278" s="81">
        <f t="shared" si="760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>
        <f t="shared" si="761"/>
        <v>0</v>
      </c>
      <c r="AC278" s="81">
        <f t="shared" si="762"/>
        <v>0</v>
      </c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98">
        <f t="shared" si="763"/>
        <v>0</v>
      </c>
      <c r="AP278" s="98">
        <f t="shared" si="764"/>
        <v>0</v>
      </c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81">
        <f t="shared" si="765"/>
        <v>0</v>
      </c>
      <c r="BC278" s="98">
        <f t="shared" si="768"/>
        <v>0</v>
      </c>
      <c r="BD278" s="98"/>
      <c r="BE278" s="98"/>
      <c r="BF278" s="98"/>
      <c r="BG278" s="98"/>
      <c r="BH278" s="98"/>
      <c r="BI278" s="81"/>
      <c r="BJ278" s="81">
        <f t="shared" si="766"/>
        <v>0</v>
      </c>
      <c r="BK278" s="81">
        <f t="shared" si="767"/>
        <v>0</v>
      </c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82"/>
      <c r="BW278" s="85"/>
    </row>
    <row r="279" spans="1:75" s="198" customFormat="1" hidden="1" outlineLevel="1" x14ac:dyDescent="0.2">
      <c r="A279" s="137"/>
      <c r="B279" s="412" t="s">
        <v>825</v>
      </c>
      <c r="C279" s="413"/>
      <c r="D279" s="80">
        <f t="shared" si="757"/>
        <v>0</v>
      </c>
      <c r="E279" s="295">
        <f t="shared" si="758"/>
        <v>3</v>
      </c>
      <c r="F279" s="81"/>
      <c r="G279" s="81">
        <f t="shared" si="759"/>
        <v>3</v>
      </c>
      <c r="H279" s="81">
        <f t="shared" si="760"/>
        <v>3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>
        <v>3</v>
      </c>
      <c r="V279" s="81"/>
      <c r="W279" s="81"/>
      <c r="X279" s="81"/>
      <c r="Y279" s="81"/>
      <c r="Z279" s="81"/>
      <c r="AA279" s="81"/>
      <c r="AB279" s="81">
        <f t="shared" si="761"/>
        <v>0</v>
      </c>
      <c r="AC279" s="81">
        <f t="shared" si="762"/>
        <v>0</v>
      </c>
      <c r="AD279" s="81"/>
      <c r="AE279" s="81"/>
      <c r="AF279" s="81"/>
      <c r="AG279" s="81"/>
      <c r="AH279" s="81">
        <f>22+486+895+4+64+138+210+1+5+19+45-3</f>
        <v>1886</v>
      </c>
      <c r="AI279" s="81">
        <v>-1886</v>
      </c>
      <c r="AJ279" s="81"/>
      <c r="AK279" s="81"/>
      <c r="AL279" s="81"/>
      <c r="AM279" s="81"/>
      <c r="AN279" s="81"/>
      <c r="AO279" s="98">
        <f t="shared" si="763"/>
        <v>0</v>
      </c>
      <c r="AP279" s="98">
        <f t="shared" si="764"/>
        <v>0</v>
      </c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81">
        <f t="shared" si="765"/>
        <v>0</v>
      </c>
      <c r="BC279" s="98">
        <f t="shared" si="768"/>
        <v>0</v>
      </c>
      <c r="BD279" s="98"/>
      <c r="BE279" s="98"/>
      <c r="BF279" s="98"/>
      <c r="BG279" s="98"/>
      <c r="BH279" s="98"/>
      <c r="BI279" s="81"/>
      <c r="BJ279" s="81">
        <f t="shared" si="766"/>
        <v>0</v>
      </c>
      <c r="BK279" s="81">
        <f t="shared" si="767"/>
        <v>0</v>
      </c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82"/>
      <c r="BW279" s="85"/>
    </row>
    <row r="280" spans="1:75" s="198" customFormat="1" ht="12.75" hidden="1" customHeight="1" outlineLevel="1" x14ac:dyDescent="0.2">
      <c r="A280" s="137"/>
      <c r="B280" s="429" t="s">
        <v>848</v>
      </c>
      <c r="C280" s="420"/>
      <c r="D280" s="80">
        <f t="shared" si="757"/>
        <v>0</v>
      </c>
      <c r="E280" s="295">
        <f t="shared" si="758"/>
        <v>15456</v>
      </c>
      <c r="F280" s="81"/>
      <c r="G280" s="81">
        <f t="shared" si="759"/>
        <v>0</v>
      </c>
      <c r="H280" s="81">
        <f t="shared" si="760"/>
        <v>0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>
        <f t="shared" si="761"/>
        <v>15456</v>
      </c>
      <c r="AC280" s="81">
        <f t="shared" si="762"/>
        <v>15456</v>
      </c>
      <c r="AD280" s="81"/>
      <c r="AE280" s="81"/>
      <c r="AF280" s="81"/>
      <c r="AG280" s="81"/>
      <c r="AH280" s="81"/>
      <c r="AI280" s="81"/>
      <c r="AJ280" s="81">
        <f>30268-4536-4620-735-791-4130</f>
        <v>15456</v>
      </c>
      <c r="AK280" s="81"/>
      <c r="AL280" s="81"/>
      <c r="AM280" s="81"/>
      <c r="AN280" s="81"/>
      <c r="AO280" s="98">
        <f t="shared" si="763"/>
        <v>0</v>
      </c>
      <c r="AP280" s="98">
        <f t="shared" si="764"/>
        <v>0</v>
      </c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81">
        <f t="shared" si="765"/>
        <v>0</v>
      </c>
      <c r="BC280" s="98">
        <f t="shared" si="768"/>
        <v>0</v>
      </c>
      <c r="BD280" s="98"/>
      <c r="BE280" s="98"/>
      <c r="BF280" s="98"/>
      <c r="BG280" s="98"/>
      <c r="BH280" s="98"/>
      <c r="BI280" s="81"/>
      <c r="BJ280" s="81">
        <f t="shared" si="766"/>
        <v>0</v>
      </c>
      <c r="BK280" s="81">
        <f t="shared" si="767"/>
        <v>0</v>
      </c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82"/>
      <c r="BW280" s="85"/>
    </row>
    <row r="281" spans="1:75" s="194" customFormat="1" hidden="1" outlineLevel="1" x14ac:dyDescent="0.2">
      <c r="A281" s="137"/>
      <c r="B281" s="414" t="s">
        <v>583</v>
      </c>
      <c r="C281" s="413"/>
      <c r="D281" s="80">
        <f t="shared" si="757"/>
        <v>41531</v>
      </c>
      <c r="E281" s="295">
        <f t="shared" si="758"/>
        <v>100742</v>
      </c>
      <c r="F281" s="81"/>
      <c r="G281" s="81">
        <f t="shared" si="759"/>
        <v>0</v>
      </c>
      <c r="H281" s="81">
        <f t="shared" si="760"/>
        <v>0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>
        <v>41531</v>
      </c>
      <c r="AB281" s="81">
        <f t="shared" si="761"/>
        <v>100742</v>
      </c>
      <c r="AC281" s="81">
        <f t="shared" si="762"/>
        <v>59211</v>
      </c>
      <c r="AD281" s="81">
        <v>-86</v>
      </c>
      <c r="AE281" s="81">
        <f>12984+84722-287</f>
        <v>97419</v>
      </c>
      <c r="AF281" s="81"/>
      <c r="AG281" s="81"/>
      <c r="AH281" s="81"/>
      <c r="AI281" s="81">
        <v>-38122</v>
      </c>
      <c r="AJ281" s="81"/>
      <c r="AK281" s="81"/>
      <c r="AL281" s="81"/>
      <c r="AM281" s="81"/>
      <c r="AN281" s="81"/>
      <c r="AO281" s="98">
        <f t="shared" si="763"/>
        <v>0</v>
      </c>
      <c r="AP281" s="98">
        <f t="shared" si="764"/>
        <v>0</v>
      </c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81">
        <f t="shared" si="765"/>
        <v>0</v>
      </c>
      <c r="BC281" s="98">
        <f t="shared" si="768"/>
        <v>0</v>
      </c>
      <c r="BD281" s="98"/>
      <c r="BE281" s="98"/>
      <c r="BF281" s="98"/>
      <c r="BG281" s="98"/>
      <c r="BH281" s="98"/>
      <c r="BI281" s="81"/>
      <c r="BJ281" s="81">
        <f t="shared" si="766"/>
        <v>0</v>
      </c>
      <c r="BK281" s="81">
        <f t="shared" si="767"/>
        <v>0</v>
      </c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82"/>
      <c r="BW281" s="85"/>
    </row>
    <row r="282" spans="1:75" s="194" customFormat="1" hidden="1" outlineLevel="1" x14ac:dyDescent="0.2">
      <c r="A282" s="137"/>
      <c r="B282" s="423" t="s">
        <v>584</v>
      </c>
      <c r="C282" s="424"/>
      <c r="D282" s="80">
        <f t="shared" si="757"/>
        <v>9691</v>
      </c>
      <c r="E282" s="295">
        <f t="shared" si="758"/>
        <v>40469</v>
      </c>
      <c r="F282" s="81"/>
      <c r="G282" s="81">
        <f t="shared" si="759"/>
        <v>0</v>
      </c>
      <c r="H282" s="81">
        <f t="shared" si="760"/>
        <v>0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>
        <v>9691</v>
      </c>
      <c r="AB282" s="81">
        <f t="shared" si="761"/>
        <v>40469</v>
      </c>
      <c r="AC282" s="81">
        <f t="shared" si="762"/>
        <v>30778</v>
      </c>
      <c r="AD282" s="81"/>
      <c r="AE282" s="81">
        <f>-1315+31806+287</f>
        <v>30778</v>
      </c>
      <c r="AF282" s="81"/>
      <c r="AG282" s="81"/>
      <c r="AH282" s="81"/>
      <c r="AI282" s="81"/>
      <c r="AJ282" s="81"/>
      <c r="AK282" s="81"/>
      <c r="AL282" s="81"/>
      <c r="AM282" s="81"/>
      <c r="AN282" s="81"/>
      <c r="AO282" s="98">
        <f t="shared" si="763"/>
        <v>0</v>
      </c>
      <c r="AP282" s="98">
        <f t="shared" si="764"/>
        <v>0</v>
      </c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81">
        <f t="shared" si="765"/>
        <v>0</v>
      </c>
      <c r="BC282" s="98">
        <f t="shared" si="768"/>
        <v>0</v>
      </c>
      <c r="BD282" s="98"/>
      <c r="BE282" s="98"/>
      <c r="BF282" s="98"/>
      <c r="BG282" s="98"/>
      <c r="BH282" s="98"/>
      <c r="BI282" s="81"/>
      <c r="BJ282" s="81">
        <f t="shared" si="766"/>
        <v>0</v>
      </c>
      <c r="BK282" s="81">
        <f t="shared" si="767"/>
        <v>0</v>
      </c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82"/>
      <c r="BW282" s="85"/>
    </row>
    <row r="283" spans="1:75" s="194" customFormat="1" hidden="1" outlineLevel="1" x14ac:dyDescent="0.2">
      <c r="A283" s="137"/>
      <c r="B283" s="414" t="s">
        <v>585</v>
      </c>
      <c r="C283" s="413"/>
      <c r="D283" s="80">
        <f t="shared" si="757"/>
        <v>50</v>
      </c>
      <c r="E283" s="295">
        <f t="shared" si="758"/>
        <v>16629</v>
      </c>
      <c r="F283" s="81"/>
      <c r="G283" s="81">
        <f t="shared" si="759"/>
        <v>0</v>
      </c>
      <c r="H283" s="81">
        <f t="shared" si="760"/>
        <v>0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>
        <v>50</v>
      </c>
      <c r="AB283" s="81">
        <f t="shared" si="761"/>
        <v>16629</v>
      </c>
      <c r="AC283" s="81">
        <f t="shared" si="762"/>
        <v>16579</v>
      </c>
      <c r="AD283" s="81"/>
      <c r="AE283" s="81">
        <v>16579</v>
      </c>
      <c r="AF283" s="81"/>
      <c r="AG283" s="81"/>
      <c r="AH283" s="81"/>
      <c r="AI283" s="81"/>
      <c r="AJ283" s="81"/>
      <c r="AK283" s="81"/>
      <c r="AL283" s="81"/>
      <c r="AM283" s="81"/>
      <c r="AN283" s="81"/>
      <c r="AO283" s="98">
        <f t="shared" si="763"/>
        <v>0</v>
      </c>
      <c r="AP283" s="98">
        <f t="shared" si="764"/>
        <v>0</v>
      </c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81">
        <f t="shared" si="765"/>
        <v>0</v>
      </c>
      <c r="BC283" s="98">
        <f t="shared" si="768"/>
        <v>0</v>
      </c>
      <c r="BD283" s="98"/>
      <c r="BE283" s="98"/>
      <c r="BF283" s="98"/>
      <c r="BG283" s="98"/>
      <c r="BH283" s="98"/>
      <c r="BI283" s="81"/>
      <c r="BJ283" s="81">
        <f t="shared" si="766"/>
        <v>0</v>
      </c>
      <c r="BK283" s="81">
        <f t="shared" si="767"/>
        <v>0</v>
      </c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82"/>
      <c r="BW283" s="85"/>
    </row>
    <row r="284" spans="1:75" s="194" customFormat="1" hidden="1" outlineLevel="1" x14ac:dyDescent="0.2">
      <c r="A284" s="137"/>
      <c r="B284" s="414" t="s">
        <v>586</v>
      </c>
      <c r="C284" s="413"/>
      <c r="D284" s="80">
        <f t="shared" si="757"/>
        <v>0</v>
      </c>
      <c r="E284" s="295">
        <f t="shared" si="758"/>
        <v>0</v>
      </c>
      <c r="F284" s="81"/>
      <c r="G284" s="81">
        <f t="shared" si="759"/>
        <v>0</v>
      </c>
      <c r="H284" s="81">
        <f t="shared" si="760"/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>
        <f t="shared" si="761"/>
        <v>0</v>
      </c>
      <c r="AC284" s="81">
        <f t="shared" si="762"/>
        <v>0</v>
      </c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98">
        <f t="shared" si="763"/>
        <v>0</v>
      </c>
      <c r="AP284" s="98">
        <f t="shared" si="764"/>
        <v>0</v>
      </c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81">
        <f t="shared" si="765"/>
        <v>0</v>
      </c>
      <c r="BC284" s="98">
        <f t="shared" si="768"/>
        <v>0</v>
      </c>
      <c r="BD284" s="98"/>
      <c r="BE284" s="98"/>
      <c r="BF284" s="98"/>
      <c r="BG284" s="98"/>
      <c r="BH284" s="98"/>
      <c r="BI284" s="81"/>
      <c r="BJ284" s="81">
        <f t="shared" si="766"/>
        <v>0</v>
      </c>
      <c r="BK284" s="81">
        <f t="shared" si="767"/>
        <v>0</v>
      </c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82"/>
      <c r="BW284" s="85"/>
    </row>
    <row r="285" spans="1:75" s="194" customFormat="1" hidden="1" outlineLevel="1" x14ac:dyDescent="0.2">
      <c r="A285" s="137"/>
      <c r="B285" s="414" t="s">
        <v>587</v>
      </c>
      <c r="C285" s="413"/>
      <c r="D285" s="80">
        <f t="shared" si="757"/>
        <v>0</v>
      </c>
      <c r="E285" s="295">
        <f t="shared" si="758"/>
        <v>0</v>
      </c>
      <c r="F285" s="81"/>
      <c r="G285" s="81">
        <f t="shared" si="759"/>
        <v>0</v>
      </c>
      <c r="H285" s="81">
        <f t="shared" si="760"/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>
        <f t="shared" si="761"/>
        <v>0</v>
      </c>
      <c r="AC285" s="81">
        <f t="shared" si="762"/>
        <v>0</v>
      </c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98">
        <f t="shared" si="763"/>
        <v>0</v>
      </c>
      <c r="AP285" s="98">
        <f t="shared" si="764"/>
        <v>0</v>
      </c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81">
        <f t="shared" si="765"/>
        <v>0</v>
      </c>
      <c r="BC285" s="98">
        <f t="shared" si="768"/>
        <v>0</v>
      </c>
      <c r="BD285" s="98"/>
      <c r="BE285" s="98"/>
      <c r="BF285" s="98"/>
      <c r="BG285" s="98"/>
      <c r="BH285" s="98"/>
      <c r="BI285" s="81"/>
      <c r="BJ285" s="81">
        <f t="shared" si="766"/>
        <v>0</v>
      </c>
      <c r="BK285" s="81">
        <f t="shared" si="767"/>
        <v>0</v>
      </c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82"/>
      <c r="BW285" s="85"/>
    </row>
    <row r="286" spans="1:75" s="194" customFormat="1" hidden="1" outlineLevel="1" x14ac:dyDescent="0.2">
      <c r="A286" s="137"/>
      <c r="B286" s="414" t="s">
        <v>588</v>
      </c>
      <c r="C286" s="413"/>
      <c r="D286" s="80">
        <f t="shared" si="757"/>
        <v>0</v>
      </c>
      <c r="E286" s="295">
        <f t="shared" si="758"/>
        <v>0</v>
      </c>
      <c r="F286" s="81"/>
      <c r="G286" s="81">
        <f t="shared" si="759"/>
        <v>0</v>
      </c>
      <c r="H286" s="81">
        <f t="shared" si="760"/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>
        <f t="shared" si="761"/>
        <v>0</v>
      </c>
      <c r="AC286" s="81">
        <f t="shared" si="762"/>
        <v>0</v>
      </c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98">
        <f t="shared" si="763"/>
        <v>0</v>
      </c>
      <c r="AP286" s="98">
        <f t="shared" si="764"/>
        <v>0</v>
      </c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81">
        <f t="shared" si="765"/>
        <v>0</v>
      </c>
      <c r="BC286" s="98">
        <f t="shared" si="768"/>
        <v>0</v>
      </c>
      <c r="BD286" s="98"/>
      <c r="BE286" s="98"/>
      <c r="BF286" s="98"/>
      <c r="BG286" s="98"/>
      <c r="BH286" s="98"/>
      <c r="BI286" s="81"/>
      <c r="BJ286" s="81">
        <f t="shared" si="766"/>
        <v>0</v>
      </c>
      <c r="BK286" s="81">
        <f t="shared" si="767"/>
        <v>0</v>
      </c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82"/>
      <c r="BW286" s="85"/>
    </row>
    <row r="287" spans="1:75" s="194" customFormat="1" hidden="1" outlineLevel="1" x14ac:dyDescent="0.2">
      <c r="A287" s="137"/>
      <c r="B287" s="414" t="s">
        <v>589</v>
      </c>
      <c r="C287" s="413"/>
      <c r="D287" s="80">
        <f t="shared" si="757"/>
        <v>0</v>
      </c>
      <c r="E287" s="295">
        <f t="shared" si="758"/>
        <v>0</v>
      </c>
      <c r="F287" s="81"/>
      <c r="G287" s="81">
        <f t="shared" si="759"/>
        <v>0</v>
      </c>
      <c r="H287" s="81">
        <f t="shared" si="760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>
        <f t="shared" si="761"/>
        <v>0</v>
      </c>
      <c r="AC287" s="81">
        <f t="shared" si="762"/>
        <v>0</v>
      </c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98">
        <f t="shared" si="763"/>
        <v>0</v>
      </c>
      <c r="AP287" s="98">
        <f t="shared" si="764"/>
        <v>0</v>
      </c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81">
        <f t="shared" si="765"/>
        <v>0</v>
      </c>
      <c r="BC287" s="98">
        <f t="shared" si="768"/>
        <v>0</v>
      </c>
      <c r="BD287" s="98"/>
      <c r="BE287" s="98"/>
      <c r="BF287" s="98"/>
      <c r="BG287" s="98"/>
      <c r="BH287" s="98"/>
      <c r="BI287" s="81"/>
      <c r="BJ287" s="81">
        <f t="shared" si="766"/>
        <v>0</v>
      </c>
      <c r="BK287" s="81">
        <f t="shared" si="767"/>
        <v>0</v>
      </c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82"/>
      <c r="BW287" s="85"/>
    </row>
    <row r="288" spans="1:75" s="198" customFormat="1" ht="12.75" hidden="1" customHeight="1" outlineLevel="1" x14ac:dyDescent="0.2">
      <c r="A288" s="137"/>
      <c r="B288" s="412" t="s">
        <v>816</v>
      </c>
      <c r="C288" s="413"/>
      <c r="D288" s="80">
        <f t="shared" ref="D288" si="792">F288+AA288+AN288+BA288+BI288</f>
        <v>0</v>
      </c>
      <c r="E288" s="295">
        <f t="shared" ref="E288" si="793">G288+AB288+AO288+BB288+BJ288</f>
        <v>137371</v>
      </c>
      <c r="F288" s="81"/>
      <c r="G288" s="81">
        <f t="shared" ref="G288" si="794">F288+H288</f>
        <v>137371</v>
      </c>
      <c r="H288" s="81">
        <f t="shared" ref="H288" si="795">SUM(I288:Z288)</f>
        <v>137371</v>
      </c>
      <c r="I288" s="81"/>
      <c r="J288" s="81"/>
      <c r="K288" s="81">
        <f>6726+132-132</f>
        <v>6726</v>
      </c>
      <c r="L288" s="81"/>
      <c r="M288" s="81"/>
      <c r="N288" s="81"/>
      <c r="O288" s="81"/>
      <c r="P288" s="81"/>
      <c r="Q288" s="81">
        <v>180983</v>
      </c>
      <c r="R288" s="81"/>
      <c r="S288" s="81">
        <v>-50338</v>
      </c>
      <c r="T288" s="81"/>
      <c r="U288" s="81"/>
      <c r="V288" s="81"/>
      <c r="W288" s="81"/>
      <c r="X288" s="81"/>
      <c r="Y288" s="81"/>
      <c r="Z288" s="81"/>
      <c r="AA288" s="81"/>
      <c r="AB288" s="81">
        <f t="shared" si="761"/>
        <v>0</v>
      </c>
      <c r="AC288" s="81">
        <f t="shared" si="762"/>
        <v>0</v>
      </c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98">
        <f t="shared" si="763"/>
        <v>0</v>
      </c>
      <c r="AP288" s="98">
        <f t="shared" si="764"/>
        <v>0</v>
      </c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81">
        <f t="shared" si="765"/>
        <v>0</v>
      </c>
      <c r="BC288" s="98">
        <f t="shared" si="768"/>
        <v>0</v>
      </c>
      <c r="BD288" s="98"/>
      <c r="BE288" s="98"/>
      <c r="BF288" s="98"/>
      <c r="BG288" s="98"/>
      <c r="BH288" s="98"/>
      <c r="BI288" s="81"/>
      <c r="BJ288" s="81">
        <f t="shared" si="766"/>
        <v>0</v>
      </c>
      <c r="BK288" s="81">
        <f t="shared" si="767"/>
        <v>0</v>
      </c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82"/>
      <c r="BW288" s="85"/>
    </row>
    <row r="289" spans="1:75" s="194" customFormat="1" hidden="1" outlineLevel="1" x14ac:dyDescent="0.2">
      <c r="A289" s="137"/>
      <c r="B289" s="414" t="s">
        <v>590</v>
      </c>
      <c r="C289" s="413"/>
      <c r="D289" s="80">
        <f t="shared" si="757"/>
        <v>0</v>
      </c>
      <c r="E289" s="295">
        <f t="shared" si="758"/>
        <v>0</v>
      </c>
      <c r="F289" s="81"/>
      <c r="G289" s="81">
        <f t="shared" si="759"/>
        <v>0</v>
      </c>
      <c r="H289" s="81">
        <f t="shared" si="760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>
        <f t="shared" si="761"/>
        <v>0</v>
      </c>
      <c r="AC289" s="81">
        <f t="shared" si="762"/>
        <v>0</v>
      </c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98">
        <f t="shared" si="763"/>
        <v>0</v>
      </c>
      <c r="AP289" s="98">
        <f t="shared" si="764"/>
        <v>0</v>
      </c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81">
        <f t="shared" si="765"/>
        <v>0</v>
      </c>
      <c r="BC289" s="98">
        <f t="shared" si="768"/>
        <v>0</v>
      </c>
      <c r="BD289" s="98"/>
      <c r="BE289" s="98"/>
      <c r="BF289" s="98"/>
      <c r="BG289" s="98"/>
      <c r="BH289" s="98"/>
      <c r="BI289" s="81"/>
      <c r="BJ289" s="81">
        <f t="shared" si="766"/>
        <v>0</v>
      </c>
      <c r="BK289" s="81">
        <f t="shared" si="767"/>
        <v>0</v>
      </c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82"/>
      <c r="BW289" s="85"/>
    </row>
    <row r="290" spans="1:75" s="194" customFormat="1" hidden="1" outlineLevel="1" x14ac:dyDescent="0.2">
      <c r="A290" s="137"/>
      <c r="B290" s="414" t="s">
        <v>491</v>
      </c>
      <c r="C290" s="413"/>
      <c r="D290" s="80">
        <f t="shared" si="757"/>
        <v>0</v>
      </c>
      <c r="E290" s="295">
        <f t="shared" si="758"/>
        <v>0</v>
      </c>
      <c r="F290" s="81"/>
      <c r="G290" s="81">
        <f t="shared" si="759"/>
        <v>0</v>
      </c>
      <c r="H290" s="81">
        <f t="shared" si="760"/>
        <v>0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>
        <f t="shared" si="761"/>
        <v>0</v>
      </c>
      <c r="AC290" s="81">
        <f t="shared" si="762"/>
        <v>0</v>
      </c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98">
        <f t="shared" si="763"/>
        <v>0</v>
      </c>
      <c r="AP290" s="98">
        <f t="shared" si="764"/>
        <v>0</v>
      </c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81">
        <f t="shared" si="765"/>
        <v>0</v>
      </c>
      <c r="BC290" s="98">
        <f t="shared" si="768"/>
        <v>0</v>
      </c>
      <c r="BD290" s="98"/>
      <c r="BE290" s="98"/>
      <c r="BF290" s="98"/>
      <c r="BG290" s="98"/>
      <c r="BH290" s="98"/>
      <c r="BI290" s="81"/>
      <c r="BJ290" s="81">
        <f t="shared" si="766"/>
        <v>0</v>
      </c>
      <c r="BK290" s="81">
        <f t="shared" si="767"/>
        <v>0</v>
      </c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82"/>
      <c r="BW290" s="85"/>
    </row>
    <row r="291" spans="1:75" s="194" customFormat="1" hidden="1" outlineLevel="1" x14ac:dyDescent="0.2">
      <c r="A291" s="137"/>
      <c r="B291" s="414" t="s">
        <v>591</v>
      </c>
      <c r="C291" s="413"/>
      <c r="D291" s="80">
        <f t="shared" si="757"/>
        <v>0</v>
      </c>
      <c r="E291" s="295">
        <f t="shared" si="758"/>
        <v>0</v>
      </c>
      <c r="F291" s="81"/>
      <c r="G291" s="81">
        <f t="shared" si="759"/>
        <v>0</v>
      </c>
      <c r="H291" s="81">
        <f t="shared" si="760"/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>
        <f t="shared" si="761"/>
        <v>0</v>
      </c>
      <c r="AC291" s="81">
        <f t="shared" si="762"/>
        <v>0</v>
      </c>
      <c r="AD291" s="81"/>
      <c r="AE291" s="81"/>
      <c r="AF291" s="81"/>
      <c r="AG291" s="81">
        <f>93059-93059</f>
        <v>0</v>
      </c>
      <c r="AH291" s="81"/>
      <c r="AI291" s="81"/>
      <c r="AJ291" s="81"/>
      <c r="AK291" s="81"/>
      <c r="AL291" s="81"/>
      <c r="AM291" s="81"/>
      <c r="AN291" s="81"/>
      <c r="AO291" s="98">
        <f t="shared" si="763"/>
        <v>0</v>
      </c>
      <c r="AP291" s="98">
        <f t="shared" si="764"/>
        <v>0</v>
      </c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81">
        <f t="shared" si="765"/>
        <v>0</v>
      </c>
      <c r="BC291" s="98">
        <f t="shared" si="768"/>
        <v>0</v>
      </c>
      <c r="BD291" s="98"/>
      <c r="BE291" s="98"/>
      <c r="BF291" s="98"/>
      <c r="BG291" s="98"/>
      <c r="BH291" s="98"/>
      <c r="BI291" s="81"/>
      <c r="BJ291" s="81">
        <f t="shared" si="766"/>
        <v>0</v>
      </c>
      <c r="BK291" s="81">
        <f t="shared" si="767"/>
        <v>0</v>
      </c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82"/>
      <c r="BW291" s="85"/>
    </row>
    <row r="292" spans="1:75" s="194" customFormat="1" hidden="1" outlineLevel="1" x14ac:dyDescent="0.2">
      <c r="A292" s="137"/>
      <c r="B292" s="414" t="s">
        <v>147</v>
      </c>
      <c r="C292" s="413"/>
      <c r="D292" s="80">
        <f t="shared" si="757"/>
        <v>0</v>
      </c>
      <c r="E292" s="295">
        <f t="shared" si="758"/>
        <v>0</v>
      </c>
      <c r="F292" s="81"/>
      <c r="G292" s="81">
        <f t="shared" si="759"/>
        <v>0</v>
      </c>
      <c r="H292" s="81">
        <f t="shared" si="760"/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>
        <f t="shared" si="761"/>
        <v>0</v>
      </c>
      <c r="AC292" s="81">
        <f t="shared" si="762"/>
        <v>0</v>
      </c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98">
        <f t="shared" si="763"/>
        <v>0</v>
      </c>
      <c r="AP292" s="98">
        <f t="shared" si="764"/>
        <v>0</v>
      </c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81">
        <f t="shared" si="765"/>
        <v>0</v>
      </c>
      <c r="BC292" s="98">
        <f t="shared" si="768"/>
        <v>0</v>
      </c>
      <c r="BD292" s="98"/>
      <c r="BE292" s="98"/>
      <c r="BF292" s="98"/>
      <c r="BG292" s="98"/>
      <c r="BH292" s="98"/>
      <c r="BI292" s="81"/>
      <c r="BJ292" s="81">
        <f t="shared" si="766"/>
        <v>0</v>
      </c>
      <c r="BK292" s="81">
        <f t="shared" si="767"/>
        <v>0</v>
      </c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82"/>
      <c r="BW292" s="85"/>
    </row>
    <row r="293" spans="1:75" s="194" customFormat="1" hidden="1" outlineLevel="1" x14ac:dyDescent="0.2">
      <c r="A293" s="137"/>
      <c r="B293" s="414" t="s">
        <v>143</v>
      </c>
      <c r="C293" s="413"/>
      <c r="D293" s="80">
        <f t="shared" si="757"/>
        <v>0</v>
      </c>
      <c r="E293" s="295">
        <f t="shared" si="758"/>
        <v>0</v>
      </c>
      <c r="F293" s="81"/>
      <c r="G293" s="81">
        <f t="shared" si="759"/>
        <v>0</v>
      </c>
      <c r="H293" s="81">
        <f t="shared" si="760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>
        <f t="shared" si="761"/>
        <v>0</v>
      </c>
      <c r="AC293" s="81">
        <f t="shared" si="762"/>
        <v>0</v>
      </c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98">
        <f t="shared" si="763"/>
        <v>0</v>
      </c>
      <c r="AP293" s="98">
        <f t="shared" si="764"/>
        <v>0</v>
      </c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81">
        <f t="shared" si="765"/>
        <v>0</v>
      </c>
      <c r="BC293" s="98">
        <f t="shared" si="768"/>
        <v>0</v>
      </c>
      <c r="BD293" s="98"/>
      <c r="BE293" s="98"/>
      <c r="BF293" s="98"/>
      <c r="BG293" s="98"/>
      <c r="BH293" s="98"/>
      <c r="BI293" s="81"/>
      <c r="BJ293" s="81">
        <f t="shared" si="766"/>
        <v>0</v>
      </c>
      <c r="BK293" s="81">
        <f t="shared" si="767"/>
        <v>0</v>
      </c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82"/>
      <c r="BW293" s="85"/>
    </row>
    <row r="294" spans="1:75" s="194" customFormat="1" hidden="1" outlineLevel="1" x14ac:dyDescent="0.2">
      <c r="A294" s="137"/>
      <c r="B294" s="414" t="s">
        <v>169</v>
      </c>
      <c r="C294" s="413"/>
      <c r="D294" s="80">
        <f t="shared" si="757"/>
        <v>0</v>
      </c>
      <c r="E294" s="295">
        <f t="shared" si="758"/>
        <v>1669</v>
      </c>
      <c r="F294" s="81"/>
      <c r="G294" s="81">
        <f t="shared" si="759"/>
        <v>1669</v>
      </c>
      <c r="H294" s="81">
        <f t="shared" si="760"/>
        <v>1669</v>
      </c>
      <c r="I294" s="81"/>
      <c r="J294" s="81"/>
      <c r="K294" s="81">
        <v>1669</v>
      </c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>
        <f t="shared" si="761"/>
        <v>0</v>
      </c>
      <c r="AC294" s="81">
        <f t="shared" si="762"/>
        <v>0</v>
      </c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98">
        <f t="shared" si="763"/>
        <v>0</v>
      </c>
      <c r="AP294" s="98">
        <f t="shared" si="764"/>
        <v>0</v>
      </c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81">
        <f t="shared" si="765"/>
        <v>0</v>
      </c>
      <c r="BC294" s="98">
        <f t="shared" si="768"/>
        <v>0</v>
      </c>
      <c r="BD294" s="98"/>
      <c r="BE294" s="98"/>
      <c r="BF294" s="98"/>
      <c r="BG294" s="98"/>
      <c r="BH294" s="98"/>
      <c r="BI294" s="81"/>
      <c r="BJ294" s="81">
        <f t="shared" si="766"/>
        <v>0</v>
      </c>
      <c r="BK294" s="81">
        <f t="shared" si="767"/>
        <v>0</v>
      </c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82"/>
      <c r="BW294" s="85"/>
    </row>
    <row r="295" spans="1:75" s="194" customFormat="1" ht="13.5" hidden="1" outlineLevel="1" thickBot="1" x14ac:dyDescent="0.25">
      <c r="A295" s="137"/>
      <c r="B295" s="406"/>
      <c r="C295" s="407"/>
      <c r="D295" s="139"/>
      <c r="E295" s="299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0"/>
      <c r="AN295" s="170"/>
      <c r="AO295" s="203">
        <f t="shared" si="763"/>
        <v>0</v>
      </c>
      <c r="AP295" s="203">
        <f t="shared" si="764"/>
        <v>0</v>
      </c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3"/>
      <c r="BA295" s="203"/>
      <c r="BB295" s="170"/>
      <c r="BC295" s="203"/>
      <c r="BD295" s="203"/>
      <c r="BE295" s="203"/>
      <c r="BF295" s="203"/>
      <c r="BG295" s="203"/>
      <c r="BH295" s="203"/>
      <c r="BI295" s="170"/>
      <c r="BJ295" s="311"/>
      <c r="BK295" s="203"/>
      <c r="BL295" s="203"/>
      <c r="BM295" s="203"/>
      <c r="BN295" s="203"/>
      <c r="BO295" s="203"/>
      <c r="BP295" s="203"/>
      <c r="BQ295" s="203"/>
      <c r="BR295" s="203"/>
      <c r="BS295" s="203"/>
      <c r="BT295" s="203"/>
      <c r="BU295" s="203"/>
      <c r="BV295" s="204"/>
      <c r="BW295" s="88"/>
    </row>
    <row r="296" spans="1:75" s="194" customFormat="1" ht="13.5" customHeight="1" collapsed="1" thickTop="1" x14ac:dyDescent="0.2">
      <c r="A296" s="224" t="s">
        <v>606</v>
      </c>
      <c r="B296" s="225" t="s">
        <v>607</v>
      </c>
      <c r="C296" s="328"/>
      <c r="D296" s="226">
        <f t="shared" ref="D296:E296" si="796">D297+D299+D304+D308+D312</f>
        <v>5245096</v>
      </c>
      <c r="E296" s="302">
        <f t="shared" si="796"/>
        <v>5283045</v>
      </c>
      <c r="F296" s="227">
        <f t="shared" ref="F296:BU296" si="797">F297+F299+F304+F308+F312</f>
        <v>5010096</v>
      </c>
      <c r="G296" s="227">
        <f t="shared" si="797"/>
        <v>5048045</v>
      </c>
      <c r="H296" s="227">
        <f t="shared" ref="H296" si="798">H297+H299+H304+H308+H312</f>
        <v>37949</v>
      </c>
      <c r="I296" s="227">
        <f t="shared" si="797"/>
        <v>0</v>
      </c>
      <c r="J296" s="227">
        <f t="shared" ref="J296" si="799">J297+J299+J304+J308+J312</f>
        <v>0</v>
      </c>
      <c r="K296" s="227">
        <f t="shared" si="797"/>
        <v>0</v>
      </c>
      <c r="L296" s="227">
        <f t="shared" si="797"/>
        <v>0</v>
      </c>
      <c r="M296" s="227">
        <f t="shared" si="797"/>
        <v>0</v>
      </c>
      <c r="N296" s="227">
        <f t="shared" si="797"/>
        <v>0</v>
      </c>
      <c r="O296" s="227">
        <f t="shared" si="797"/>
        <v>0</v>
      </c>
      <c r="P296" s="227">
        <f t="shared" si="797"/>
        <v>0</v>
      </c>
      <c r="Q296" s="227">
        <f t="shared" si="797"/>
        <v>0</v>
      </c>
      <c r="R296" s="227">
        <f t="shared" si="797"/>
        <v>0</v>
      </c>
      <c r="S296" s="227">
        <f t="shared" si="797"/>
        <v>0</v>
      </c>
      <c r="T296" s="227"/>
      <c r="U296" s="227">
        <f t="shared" si="797"/>
        <v>0</v>
      </c>
      <c r="V296" s="227"/>
      <c r="W296" s="227">
        <f t="shared" si="797"/>
        <v>37949</v>
      </c>
      <c r="X296" s="227">
        <f t="shared" ref="X296" si="800">X297+X299+X304+X308+X312</f>
        <v>0</v>
      </c>
      <c r="Y296" s="227">
        <f t="shared" si="797"/>
        <v>0</v>
      </c>
      <c r="Z296" s="227">
        <f t="shared" si="797"/>
        <v>0</v>
      </c>
      <c r="AA296" s="227">
        <f t="shared" si="797"/>
        <v>235000</v>
      </c>
      <c r="AB296" s="227">
        <f t="shared" ref="AB296:AM296" si="801">AB297+AB299+AB304+AB308+AB312</f>
        <v>235000</v>
      </c>
      <c r="AC296" s="227">
        <f t="shared" si="801"/>
        <v>0</v>
      </c>
      <c r="AD296" s="227">
        <f t="shared" si="801"/>
        <v>0</v>
      </c>
      <c r="AE296" s="227">
        <f t="shared" si="801"/>
        <v>0</v>
      </c>
      <c r="AF296" s="227">
        <f t="shared" si="801"/>
        <v>0</v>
      </c>
      <c r="AG296" s="227">
        <f t="shared" si="801"/>
        <v>0</v>
      </c>
      <c r="AH296" s="227">
        <f t="shared" si="801"/>
        <v>0</v>
      </c>
      <c r="AI296" s="227">
        <f t="shared" si="801"/>
        <v>0</v>
      </c>
      <c r="AJ296" s="227">
        <f t="shared" si="801"/>
        <v>0</v>
      </c>
      <c r="AK296" s="227">
        <f t="shared" si="801"/>
        <v>0</v>
      </c>
      <c r="AL296" s="227">
        <f t="shared" si="801"/>
        <v>0</v>
      </c>
      <c r="AM296" s="227">
        <f t="shared" si="801"/>
        <v>0</v>
      </c>
      <c r="AN296" s="227">
        <f t="shared" si="797"/>
        <v>0</v>
      </c>
      <c r="AO296" s="228">
        <f t="shared" si="797"/>
        <v>0</v>
      </c>
      <c r="AP296" s="228">
        <f t="shared" si="797"/>
        <v>0</v>
      </c>
      <c r="AQ296" s="228">
        <f t="shared" si="797"/>
        <v>0</v>
      </c>
      <c r="AR296" s="228">
        <f t="shared" si="797"/>
        <v>0</v>
      </c>
      <c r="AS296" s="228">
        <f t="shared" si="797"/>
        <v>0</v>
      </c>
      <c r="AT296" s="228">
        <f t="shared" si="797"/>
        <v>0</v>
      </c>
      <c r="AU296" s="228">
        <f t="shared" si="797"/>
        <v>0</v>
      </c>
      <c r="AV296" s="228">
        <f t="shared" si="797"/>
        <v>0</v>
      </c>
      <c r="AW296" s="228">
        <f t="shared" si="797"/>
        <v>0</v>
      </c>
      <c r="AX296" s="228">
        <f t="shared" si="797"/>
        <v>0</v>
      </c>
      <c r="AY296" s="228">
        <f t="shared" si="797"/>
        <v>0</v>
      </c>
      <c r="AZ296" s="228">
        <f t="shared" si="797"/>
        <v>0</v>
      </c>
      <c r="BA296" s="228">
        <f t="shared" si="797"/>
        <v>0</v>
      </c>
      <c r="BB296" s="227">
        <f t="shared" ref="BB296:BH296" si="802">BB297+BB299+BB304+BB308+BB312</f>
        <v>0</v>
      </c>
      <c r="BC296" s="228">
        <f t="shared" si="802"/>
        <v>0</v>
      </c>
      <c r="BD296" s="228">
        <f t="shared" si="802"/>
        <v>0</v>
      </c>
      <c r="BE296" s="228">
        <f t="shared" si="802"/>
        <v>0</v>
      </c>
      <c r="BF296" s="228">
        <f t="shared" si="802"/>
        <v>0</v>
      </c>
      <c r="BG296" s="228">
        <f t="shared" si="802"/>
        <v>0</v>
      </c>
      <c r="BH296" s="228">
        <f t="shared" si="802"/>
        <v>0</v>
      </c>
      <c r="BI296" s="227">
        <f t="shared" si="797"/>
        <v>0</v>
      </c>
      <c r="BJ296" s="314">
        <f t="shared" si="797"/>
        <v>0</v>
      </c>
      <c r="BK296" s="228">
        <f t="shared" si="797"/>
        <v>0</v>
      </c>
      <c r="BL296" s="228">
        <f t="shared" si="797"/>
        <v>0</v>
      </c>
      <c r="BM296" s="228">
        <f t="shared" si="797"/>
        <v>0</v>
      </c>
      <c r="BN296" s="228">
        <f t="shared" si="797"/>
        <v>0</v>
      </c>
      <c r="BO296" s="228">
        <f t="shared" si="797"/>
        <v>0</v>
      </c>
      <c r="BP296" s="228">
        <f t="shared" si="797"/>
        <v>0</v>
      </c>
      <c r="BQ296" s="228">
        <f t="shared" si="797"/>
        <v>0</v>
      </c>
      <c r="BR296" s="228">
        <f t="shared" si="797"/>
        <v>0</v>
      </c>
      <c r="BS296" s="228">
        <f t="shared" si="797"/>
        <v>0</v>
      </c>
      <c r="BT296" s="228">
        <f t="shared" si="797"/>
        <v>0</v>
      </c>
      <c r="BU296" s="228">
        <f t="shared" si="797"/>
        <v>0</v>
      </c>
      <c r="BV296" s="229"/>
      <c r="BW296" s="230"/>
    </row>
    <row r="297" spans="1:75" s="198" customFormat="1" ht="13.5" customHeight="1" x14ac:dyDescent="0.2">
      <c r="A297" s="237" t="s">
        <v>7</v>
      </c>
      <c r="B297" s="231" t="s">
        <v>8</v>
      </c>
      <c r="C297" s="329"/>
      <c r="D297" s="232">
        <f t="shared" ref="D297:BU297" si="803">SUM(D298:D298)</f>
        <v>808099</v>
      </c>
      <c r="E297" s="303">
        <f t="shared" si="803"/>
        <v>808099</v>
      </c>
      <c r="F297" s="233">
        <f t="shared" si="803"/>
        <v>573099</v>
      </c>
      <c r="G297" s="233">
        <f t="shared" si="803"/>
        <v>573099</v>
      </c>
      <c r="H297" s="233">
        <f t="shared" si="803"/>
        <v>0</v>
      </c>
      <c r="I297" s="233">
        <f t="shared" si="803"/>
        <v>0</v>
      </c>
      <c r="J297" s="233">
        <f t="shared" si="803"/>
        <v>0</v>
      </c>
      <c r="K297" s="233">
        <f t="shared" si="803"/>
        <v>0</v>
      </c>
      <c r="L297" s="233">
        <f t="shared" si="803"/>
        <v>0</v>
      </c>
      <c r="M297" s="233">
        <f t="shared" si="803"/>
        <v>0</v>
      </c>
      <c r="N297" s="233">
        <f t="shared" si="803"/>
        <v>0</v>
      </c>
      <c r="O297" s="233">
        <f t="shared" si="803"/>
        <v>0</v>
      </c>
      <c r="P297" s="233">
        <f t="shared" si="803"/>
        <v>0</v>
      </c>
      <c r="Q297" s="233">
        <f t="shared" si="803"/>
        <v>0</v>
      </c>
      <c r="R297" s="233">
        <f t="shared" si="803"/>
        <v>0</v>
      </c>
      <c r="S297" s="233">
        <f t="shared" si="803"/>
        <v>0</v>
      </c>
      <c r="T297" s="233"/>
      <c r="U297" s="233">
        <f t="shared" si="803"/>
        <v>0</v>
      </c>
      <c r="V297" s="233"/>
      <c r="W297" s="233">
        <f t="shared" si="803"/>
        <v>0</v>
      </c>
      <c r="X297" s="233">
        <f t="shared" si="803"/>
        <v>0</v>
      </c>
      <c r="Y297" s="233">
        <f t="shared" si="803"/>
        <v>0</v>
      </c>
      <c r="Z297" s="233">
        <f t="shared" si="803"/>
        <v>0</v>
      </c>
      <c r="AA297" s="233">
        <f t="shared" si="803"/>
        <v>235000</v>
      </c>
      <c r="AB297" s="233">
        <f t="shared" si="803"/>
        <v>235000</v>
      </c>
      <c r="AC297" s="233">
        <f t="shared" si="803"/>
        <v>0</v>
      </c>
      <c r="AD297" s="233">
        <f t="shared" si="803"/>
        <v>0</v>
      </c>
      <c r="AE297" s="233">
        <f t="shared" si="803"/>
        <v>0</v>
      </c>
      <c r="AF297" s="233">
        <f t="shared" si="803"/>
        <v>0</v>
      </c>
      <c r="AG297" s="233">
        <f t="shared" si="803"/>
        <v>0</v>
      </c>
      <c r="AH297" s="233">
        <f t="shared" si="803"/>
        <v>0</v>
      </c>
      <c r="AI297" s="233">
        <f t="shared" si="803"/>
        <v>0</v>
      </c>
      <c r="AJ297" s="233">
        <f t="shared" si="803"/>
        <v>0</v>
      </c>
      <c r="AK297" s="233">
        <f t="shared" si="803"/>
        <v>0</v>
      </c>
      <c r="AL297" s="233">
        <f t="shared" si="803"/>
        <v>0</v>
      </c>
      <c r="AM297" s="233">
        <f t="shared" si="803"/>
        <v>0</v>
      </c>
      <c r="AN297" s="233">
        <f t="shared" si="803"/>
        <v>0</v>
      </c>
      <c r="AO297" s="234">
        <f t="shared" si="803"/>
        <v>0</v>
      </c>
      <c r="AP297" s="234">
        <f t="shared" si="803"/>
        <v>0</v>
      </c>
      <c r="AQ297" s="234">
        <f t="shared" si="803"/>
        <v>0</v>
      </c>
      <c r="AR297" s="234">
        <f t="shared" si="803"/>
        <v>0</v>
      </c>
      <c r="AS297" s="234">
        <f t="shared" si="803"/>
        <v>0</v>
      </c>
      <c r="AT297" s="234">
        <f t="shared" si="803"/>
        <v>0</v>
      </c>
      <c r="AU297" s="234">
        <f t="shared" si="803"/>
        <v>0</v>
      </c>
      <c r="AV297" s="234">
        <f t="shared" si="803"/>
        <v>0</v>
      </c>
      <c r="AW297" s="234">
        <f t="shared" si="803"/>
        <v>0</v>
      </c>
      <c r="AX297" s="234">
        <f t="shared" si="803"/>
        <v>0</v>
      </c>
      <c r="AY297" s="234">
        <f t="shared" si="803"/>
        <v>0</v>
      </c>
      <c r="AZ297" s="234">
        <f t="shared" si="803"/>
        <v>0</v>
      </c>
      <c r="BA297" s="234">
        <f t="shared" si="803"/>
        <v>0</v>
      </c>
      <c r="BB297" s="233">
        <f t="shared" si="803"/>
        <v>0</v>
      </c>
      <c r="BC297" s="234">
        <f t="shared" si="803"/>
        <v>0</v>
      </c>
      <c r="BD297" s="234">
        <f t="shared" si="803"/>
        <v>0</v>
      </c>
      <c r="BE297" s="234">
        <f t="shared" si="803"/>
        <v>0</v>
      </c>
      <c r="BF297" s="234">
        <f t="shared" si="803"/>
        <v>0</v>
      </c>
      <c r="BG297" s="234">
        <f t="shared" si="803"/>
        <v>0</v>
      </c>
      <c r="BH297" s="234">
        <f t="shared" si="803"/>
        <v>0</v>
      </c>
      <c r="BI297" s="233">
        <f t="shared" si="803"/>
        <v>0</v>
      </c>
      <c r="BJ297" s="315">
        <f t="shared" si="803"/>
        <v>0</v>
      </c>
      <c r="BK297" s="234">
        <f t="shared" si="803"/>
        <v>0</v>
      </c>
      <c r="BL297" s="234">
        <f t="shared" si="803"/>
        <v>0</v>
      </c>
      <c r="BM297" s="234">
        <f t="shared" si="803"/>
        <v>0</v>
      </c>
      <c r="BN297" s="234">
        <f t="shared" si="803"/>
        <v>0</v>
      </c>
      <c r="BO297" s="234">
        <f t="shared" si="803"/>
        <v>0</v>
      </c>
      <c r="BP297" s="234">
        <f t="shared" si="803"/>
        <v>0</v>
      </c>
      <c r="BQ297" s="234">
        <f t="shared" si="803"/>
        <v>0</v>
      </c>
      <c r="BR297" s="234">
        <f t="shared" si="803"/>
        <v>0</v>
      </c>
      <c r="BS297" s="234">
        <f t="shared" si="803"/>
        <v>0</v>
      </c>
      <c r="BT297" s="234">
        <f t="shared" si="803"/>
        <v>0</v>
      </c>
      <c r="BU297" s="234">
        <f t="shared" si="803"/>
        <v>0</v>
      </c>
      <c r="BV297" s="235"/>
      <c r="BW297" s="236"/>
    </row>
    <row r="298" spans="1:75" s="194" customFormat="1" ht="13.5" customHeight="1" x14ac:dyDescent="0.2">
      <c r="A298" s="108"/>
      <c r="B298" s="419" t="s">
        <v>592</v>
      </c>
      <c r="C298" s="420"/>
      <c r="D298" s="80">
        <f>F298+AA298+AN298+BA298+BI298</f>
        <v>808099</v>
      </c>
      <c r="E298" s="295">
        <f>G298+AB298+AO298+BB298+BJ298</f>
        <v>808099</v>
      </c>
      <c r="F298" s="81">
        <v>573099</v>
      </c>
      <c r="G298" s="81">
        <f>F298+H298</f>
        <v>573099</v>
      </c>
      <c r="H298" s="81">
        <f>SUM(I298:Z298)</f>
        <v>0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>
        <v>235000</v>
      </c>
      <c r="AB298" s="81">
        <f>AA298+AC298</f>
        <v>235000</v>
      </c>
      <c r="AC298" s="81">
        <f>SUM(AD298:AM298)</f>
        <v>0</v>
      </c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98">
        <f>AN298+AP298</f>
        <v>0</v>
      </c>
      <c r="AP298" s="98">
        <f>SUM(AQ298:AZ298)</f>
        <v>0</v>
      </c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81">
        <f>BA298+BC298</f>
        <v>0</v>
      </c>
      <c r="BC298" s="98">
        <f>SUM(BD298:BH298)</f>
        <v>0</v>
      </c>
      <c r="BD298" s="98"/>
      <c r="BE298" s="98"/>
      <c r="BF298" s="98"/>
      <c r="BG298" s="98"/>
      <c r="BH298" s="98"/>
      <c r="BI298" s="81"/>
      <c r="BJ298" s="309">
        <f>BI298+BK298</f>
        <v>0</v>
      </c>
      <c r="BK298" s="98">
        <f>SUM(BL298:BU298)</f>
        <v>0</v>
      </c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82"/>
      <c r="BW298" s="85"/>
    </row>
    <row r="299" spans="1:75" s="198" customFormat="1" ht="14.25" customHeight="1" x14ac:dyDescent="0.2">
      <c r="A299" s="237" t="s">
        <v>11</v>
      </c>
      <c r="B299" s="231" t="s">
        <v>166</v>
      </c>
      <c r="C299" s="329"/>
      <c r="D299" s="232">
        <f t="shared" ref="D299:E299" si="804">SUM(D300:D303)</f>
        <v>1719081</v>
      </c>
      <c r="E299" s="303">
        <f t="shared" si="804"/>
        <v>1757030</v>
      </c>
      <c r="F299" s="233">
        <f t="shared" ref="F299:BU299" si="805">SUM(F300:F303)</f>
        <v>1719081</v>
      </c>
      <c r="G299" s="233">
        <f t="shared" si="805"/>
        <v>1757030</v>
      </c>
      <c r="H299" s="233">
        <f t="shared" ref="H299" si="806">SUM(H300:H303)</f>
        <v>37949</v>
      </c>
      <c r="I299" s="233">
        <f t="shared" si="805"/>
        <v>0</v>
      </c>
      <c r="J299" s="233">
        <f t="shared" ref="J299" si="807">SUM(J300:J303)</f>
        <v>0</v>
      </c>
      <c r="K299" s="233">
        <f t="shared" si="805"/>
        <v>0</v>
      </c>
      <c r="L299" s="233">
        <f t="shared" si="805"/>
        <v>0</v>
      </c>
      <c r="M299" s="233">
        <f t="shared" si="805"/>
        <v>0</v>
      </c>
      <c r="N299" s="233">
        <f t="shared" si="805"/>
        <v>0</v>
      </c>
      <c r="O299" s="233">
        <f t="shared" si="805"/>
        <v>0</v>
      </c>
      <c r="P299" s="233">
        <f t="shared" si="805"/>
        <v>0</v>
      </c>
      <c r="Q299" s="233">
        <f t="shared" si="805"/>
        <v>0</v>
      </c>
      <c r="R299" s="233">
        <f t="shared" si="805"/>
        <v>0</v>
      </c>
      <c r="S299" s="233">
        <f t="shared" si="805"/>
        <v>0</v>
      </c>
      <c r="T299" s="233"/>
      <c r="U299" s="233">
        <f t="shared" si="805"/>
        <v>0</v>
      </c>
      <c r="V299" s="233"/>
      <c r="W299" s="233">
        <f t="shared" si="805"/>
        <v>37949</v>
      </c>
      <c r="X299" s="233">
        <f t="shared" ref="X299" si="808">SUM(X300:X303)</f>
        <v>0</v>
      </c>
      <c r="Y299" s="233">
        <f t="shared" si="805"/>
        <v>0</v>
      </c>
      <c r="Z299" s="233">
        <f t="shared" si="805"/>
        <v>0</v>
      </c>
      <c r="AA299" s="233">
        <f t="shared" si="805"/>
        <v>0</v>
      </c>
      <c r="AB299" s="233">
        <f t="shared" ref="AB299:AM299" si="809">SUM(AB300:AB303)</f>
        <v>0</v>
      </c>
      <c r="AC299" s="233">
        <f t="shared" si="809"/>
        <v>0</v>
      </c>
      <c r="AD299" s="233">
        <f t="shared" si="809"/>
        <v>0</v>
      </c>
      <c r="AE299" s="233">
        <f t="shared" si="809"/>
        <v>0</v>
      </c>
      <c r="AF299" s="233">
        <f t="shared" si="809"/>
        <v>0</v>
      </c>
      <c r="AG299" s="233">
        <f t="shared" si="809"/>
        <v>0</v>
      </c>
      <c r="AH299" s="233">
        <f t="shared" si="809"/>
        <v>0</v>
      </c>
      <c r="AI299" s="233">
        <f t="shared" si="809"/>
        <v>0</v>
      </c>
      <c r="AJ299" s="233">
        <f t="shared" si="809"/>
        <v>0</v>
      </c>
      <c r="AK299" s="233">
        <f t="shared" si="809"/>
        <v>0</v>
      </c>
      <c r="AL299" s="233">
        <f t="shared" si="809"/>
        <v>0</v>
      </c>
      <c r="AM299" s="233">
        <f t="shared" si="809"/>
        <v>0</v>
      </c>
      <c r="AN299" s="233">
        <f t="shared" si="805"/>
        <v>0</v>
      </c>
      <c r="AO299" s="234">
        <f t="shared" si="805"/>
        <v>0</v>
      </c>
      <c r="AP299" s="234">
        <f t="shared" si="805"/>
        <v>0</v>
      </c>
      <c r="AQ299" s="234">
        <f t="shared" si="805"/>
        <v>0</v>
      </c>
      <c r="AR299" s="234">
        <f t="shared" si="805"/>
        <v>0</v>
      </c>
      <c r="AS299" s="234">
        <f t="shared" si="805"/>
        <v>0</v>
      </c>
      <c r="AT299" s="234">
        <f t="shared" si="805"/>
        <v>0</v>
      </c>
      <c r="AU299" s="234">
        <f t="shared" si="805"/>
        <v>0</v>
      </c>
      <c r="AV299" s="234">
        <f t="shared" si="805"/>
        <v>0</v>
      </c>
      <c r="AW299" s="234">
        <f t="shared" si="805"/>
        <v>0</v>
      </c>
      <c r="AX299" s="234">
        <f t="shared" si="805"/>
        <v>0</v>
      </c>
      <c r="AY299" s="234">
        <f t="shared" si="805"/>
        <v>0</v>
      </c>
      <c r="AZ299" s="234">
        <f t="shared" si="805"/>
        <v>0</v>
      </c>
      <c r="BA299" s="234">
        <f t="shared" si="805"/>
        <v>0</v>
      </c>
      <c r="BB299" s="233">
        <f t="shared" ref="BB299:BH299" si="810">SUM(BB300:BB303)</f>
        <v>0</v>
      </c>
      <c r="BC299" s="234">
        <f t="shared" si="810"/>
        <v>0</v>
      </c>
      <c r="BD299" s="234">
        <f t="shared" si="810"/>
        <v>0</v>
      </c>
      <c r="BE299" s="234">
        <f t="shared" si="810"/>
        <v>0</v>
      </c>
      <c r="BF299" s="234">
        <f t="shared" si="810"/>
        <v>0</v>
      </c>
      <c r="BG299" s="234">
        <f t="shared" si="810"/>
        <v>0</v>
      </c>
      <c r="BH299" s="234">
        <f t="shared" si="810"/>
        <v>0</v>
      </c>
      <c r="BI299" s="233">
        <f t="shared" si="805"/>
        <v>0</v>
      </c>
      <c r="BJ299" s="315">
        <f t="shared" si="805"/>
        <v>0</v>
      </c>
      <c r="BK299" s="234">
        <f t="shared" si="805"/>
        <v>0</v>
      </c>
      <c r="BL299" s="234">
        <f t="shared" si="805"/>
        <v>0</v>
      </c>
      <c r="BM299" s="234">
        <f t="shared" si="805"/>
        <v>0</v>
      </c>
      <c r="BN299" s="234">
        <f t="shared" si="805"/>
        <v>0</v>
      </c>
      <c r="BO299" s="234">
        <f t="shared" si="805"/>
        <v>0</v>
      </c>
      <c r="BP299" s="234">
        <f t="shared" si="805"/>
        <v>0</v>
      </c>
      <c r="BQ299" s="234">
        <f t="shared" si="805"/>
        <v>0</v>
      </c>
      <c r="BR299" s="234">
        <f t="shared" si="805"/>
        <v>0</v>
      </c>
      <c r="BS299" s="234">
        <f t="shared" si="805"/>
        <v>0</v>
      </c>
      <c r="BT299" s="234">
        <f t="shared" si="805"/>
        <v>0</v>
      </c>
      <c r="BU299" s="234">
        <f t="shared" si="805"/>
        <v>0</v>
      </c>
      <c r="BV299" s="235"/>
      <c r="BW299" s="236"/>
    </row>
    <row r="300" spans="1:75" s="194" customFormat="1" ht="27.75" customHeight="1" x14ac:dyDescent="0.2">
      <c r="A300" s="108"/>
      <c r="B300" s="419" t="s">
        <v>593</v>
      </c>
      <c r="C300" s="420"/>
      <c r="D300" s="80">
        <f t="shared" ref="D300:D303" si="811">F300+AA300+AN300+BA300+BI300</f>
        <v>650000</v>
      </c>
      <c r="E300" s="295">
        <f t="shared" ref="E300:E303" si="812">G300+AB300+AO300+BB300+BJ300</f>
        <v>650000</v>
      </c>
      <c r="F300" s="81">
        <v>650000</v>
      </c>
      <c r="G300" s="81">
        <f t="shared" ref="G300:G303" si="813">F300+H300</f>
        <v>650000</v>
      </c>
      <c r="H300" s="81">
        <f t="shared" ref="H300:H303" si="814">SUM(I300:Z300)</f>
        <v>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>
        <f t="shared" ref="AB300:AB303" si="815">AA300+AC300</f>
        <v>0</v>
      </c>
      <c r="AC300" s="81">
        <f t="shared" ref="AC300:AC303" si="816">SUM(AD300:AM300)</f>
        <v>0</v>
      </c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98">
        <f t="shared" ref="AO300:AO303" si="817">AN300+AP300</f>
        <v>0</v>
      </c>
      <c r="AP300" s="98">
        <f t="shared" ref="AP300:AP303" si="818">SUM(AQ300:AZ300)</f>
        <v>0</v>
      </c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81">
        <f t="shared" ref="BB300:BB303" si="819">BA300+BC300</f>
        <v>0</v>
      </c>
      <c r="BC300" s="98">
        <f t="shared" ref="BC300:BC303" si="820">SUM(BD300:BH300)</f>
        <v>0</v>
      </c>
      <c r="BD300" s="98"/>
      <c r="BE300" s="98"/>
      <c r="BF300" s="98"/>
      <c r="BG300" s="98"/>
      <c r="BH300" s="98"/>
      <c r="BI300" s="81"/>
      <c r="BJ300" s="309">
        <f t="shared" ref="BJ300:BJ303" si="821">BI300+BK300</f>
        <v>0</v>
      </c>
      <c r="BK300" s="98">
        <f t="shared" ref="BK300:BK303" si="822">SUM(BL300:BU300)</f>
        <v>0</v>
      </c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82"/>
      <c r="BW300" s="85"/>
    </row>
    <row r="301" spans="1:75" s="194" customFormat="1" ht="27.75" customHeight="1" x14ac:dyDescent="0.2">
      <c r="A301" s="108"/>
      <c r="B301" s="419" t="s">
        <v>594</v>
      </c>
      <c r="C301" s="420"/>
      <c r="D301" s="80">
        <f t="shared" si="811"/>
        <v>320500</v>
      </c>
      <c r="E301" s="295">
        <f t="shared" si="812"/>
        <v>320500</v>
      </c>
      <c r="F301" s="81">
        <v>320500</v>
      </c>
      <c r="G301" s="81">
        <f t="shared" si="813"/>
        <v>320500</v>
      </c>
      <c r="H301" s="81">
        <f t="shared" si="814"/>
        <v>0</v>
      </c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>
        <f t="shared" si="815"/>
        <v>0</v>
      </c>
      <c r="AC301" s="81">
        <f t="shared" si="816"/>
        <v>0</v>
      </c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98">
        <f t="shared" si="817"/>
        <v>0</v>
      </c>
      <c r="AP301" s="98">
        <f t="shared" si="818"/>
        <v>0</v>
      </c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81">
        <f t="shared" si="819"/>
        <v>0</v>
      </c>
      <c r="BC301" s="98">
        <f t="shared" si="820"/>
        <v>0</v>
      </c>
      <c r="BD301" s="98"/>
      <c r="BE301" s="98"/>
      <c r="BF301" s="98"/>
      <c r="BG301" s="98"/>
      <c r="BH301" s="98"/>
      <c r="BI301" s="81"/>
      <c r="BJ301" s="309">
        <f t="shared" si="821"/>
        <v>0</v>
      </c>
      <c r="BK301" s="98">
        <f t="shared" si="822"/>
        <v>0</v>
      </c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82"/>
      <c r="BW301" s="85"/>
    </row>
    <row r="302" spans="1:75" s="194" customFormat="1" ht="37.5" customHeight="1" x14ac:dyDescent="0.2">
      <c r="A302" s="108"/>
      <c r="B302" s="419" t="s">
        <v>595</v>
      </c>
      <c r="C302" s="420"/>
      <c r="D302" s="80">
        <f t="shared" si="811"/>
        <v>202540</v>
      </c>
      <c r="E302" s="295">
        <f t="shared" si="812"/>
        <v>202540</v>
      </c>
      <c r="F302" s="81">
        <v>202540</v>
      </c>
      <c r="G302" s="81">
        <f t="shared" si="813"/>
        <v>202540</v>
      </c>
      <c r="H302" s="81">
        <f t="shared" si="814"/>
        <v>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>
        <f t="shared" si="815"/>
        <v>0</v>
      </c>
      <c r="AC302" s="81">
        <f t="shared" si="816"/>
        <v>0</v>
      </c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98">
        <f t="shared" si="817"/>
        <v>0</v>
      </c>
      <c r="AP302" s="98">
        <f t="shared" si="818"/>
        <v>0</v>
      </c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81">
        <f t="shared" si="819"/>
        <v>0</v>
      </c>
      <c r="BC302" s="98">
        <f t="shared" si="820"/>
        <v>0</v>
      </c>
      <c r="BD302" s="98"/>
      <c r="BE302" s="98"/>
      <c r="BF302" s="98"/>
      <c r="BG302" s="98"/>
      <c r="BH302" s="98"/>
      <c r="BI302" s="81"/>
      <c r="BJ302" s="309">
        <f t="shared" si="821"/>
        <v>0</v>
      </c>
      <c r="BK302" s="98">
        <f t="shared" si="822"/>
        <v>0</v>
      </c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82"/>
      <c r="BW302" s="85"/>
    </row>
    <row r="303" spans="1:75" s="194" customFormat="1" ht="37.5" customHeight="1" x14ac:dyDescent="0.2">
      <c r="A303" s="108"/>
      <c r="B303" s="419" t="s">
        <v>475</v>
      </c>
      <c r="C303" s="420"/>
      <c r="D303" s="80">
        <f t="shared" si="811"/>
        <v>546041</v>
      </c>
      <c r="E303" s="295">
        <f t="shared" si="812"/>
        <v>583990</v>
      </c>
      <c r="F303" s="81">
        <v>546041</v>
      </c>
      <c r="G303" s="81">
        <f t="shared" si="813"/>
        <v>583990</v>
      </c>
      <c r="H303" s="81">
        <f t="shared" si="814"/>
        <v>37949</v>
      </c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>
        <v>37949</v>
      </c>
      <c r="X303" s="81"/>
      <c r="Y303" s="81"/>
      <c r="Z303" s="81"/>
      <c r="AA303" s="81"/>
      <c r="AB303" s="81">
        <f t="shared" si="815"/>
        <v>0</v>
      </c>
      <c r="AC303" s="81">
        <f t="shared" si="816"/>
        <v>0</v>
      </c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98">
        <f t="shared" si="817"/>
        <v>0</v>
      </c>
      <c r="AP303" s="98">
        <f t="shared" si="818"/>
        <v>0</v>
      </c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81">
        <f t="shared" si="819"/>
        <v>0</v>
      </c>
      <c r="BC303" s="98">
        <f t="shared" si="820"/>
        <v>0</v>
      </c>
      <c r="BD303" s="98"/>
      <c r="BE303" s="98"/>
      <c r="BF303" s="98"/>
      <c r="BG303" s="98"/>
      <c r="BH303" s="98"/>
      <c r="BI303" s="81"/>
      <c r="BJ303" s="309">
        <f t="shared" si="821"/>
        <v>0</v>
      </c>
      <c r="BK303" s="98">
        <f t="shared" si="822"/>
        <v>0</v>
      </c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82"/>
      <c r="BW303" s="85"/>
    </row>
    <row r="304" spans="1:75" s="198" customFormat="1" x14ac:dyDescent="0.2">
      <c r="A304" s="237" t="s">
        <v>14</v>
      </c>
      <c r="B304" s="231" t="s">
        <v>15</v>
      </c>
      <c r="C304" s="329"/>
      <c r="D304" s="232">
        <f t="shared" ref="D304:E304" si="823">SUM(D305:D307)</f>
        <v>1678399</v>
      </c>
      <c r="E304" s="303">
        <f t="shared" si="823"/>
        <v>1678399</v>
      </c>
      <c r="F304" s="233">
        <f t="shared" ref="F304:BU304" si="824">SUM(F305:F307)</f>
        <v>1678399</v>
      </c>
      <c r="G304" s="233">
        <f t="shared" si="824"/>
        <v>1678399</v>
      </c>
      <c r="H304" s="233">
        <f t="shared" ref="H304" si="825">SUM(H305:H307)</f>
        <v>0</v>
      </c>
      <c r="I304" s="233">
        <f t="shared" si="824"/>
        <v>0</v>
      </c>
      <c r="J304" s="233">
        <f t="shared" ref="J304" si="826">SUM(J305:J307)</f>
        <v>0</v>
      </c>
      <c r="K304" s="233">
        <f t="shared" si="824"/>
        <v>0</v>
      </c>
      <c r="L304" s="233">
        <f t="shared" si="824"/>
        <v>0</v>
      </c>
      <c r="M304" s="233">
        <f t="shared" si="824"/>
        <v>0</v>
      </c>
      <c r="N304" s="233">
        <f t="shared" si="824"/>
        <v>0</v>
      </c>
      <c r="O304" s="233">
        <f t="shared" si="824"/>
        <v>0</v>
      </c>
      <c r="P304" s="233">
        <f t="shared" si="824"/>
        <v>0</v>
      </c>
      <c r="Q304" s="233">
        <f t="shared" si="824"/>
        <v>0</v>
      </c>
      <c r="R304" s="233">
        <f t="shared" si="824"/>
        <v>0</v>
      </c>
      <c r="S304" s="233">
        <f t="shared" si="824"/>
        <v>0</v>
      </c>
      <c r="T304" s="233"/>
      <c r="U304" s="233">
        <f t="shared" si="824"/>
        <v>0</v>
      </c>
      <c r="V304" s="233"/>
      <c r="W304" s="233">
        <f t="shared" si="824"/>
        <v>0</v>
      </c>
      <c r="X304" s="233">
        <f t="shared" ref="X304" si="827">SUM(X305:X307)</f>
        <v>0</v>
      </c>
      <c r="Y304" s="233">
        <f t="shared" si="824"/>
        <v>0</v>
      </c>
      <c r="Z304" s="233">
        <f t="shared" si="824"/>
        <v>0</v>
      </c>
      <c r="AA304" s="233">
        <f t="shared" si="824"/>
        <v>0</v>
      </c>
      <c r="AB304" s="233">
        <f t="shared" ref="AB304:AM304" si="828">SUM(AB305:AB307)</f>
        <v>0</v>
      </c>
      <c r="AC304" s="233">
        <f t="shared" si="828"/>
        <v>0</v>
      </c>
      <c r="AD304" s="233">
        <f t="shared" si="828"/>
        <v>0</v>
      </c>
      <c r="AE304" s="233">
        <f t="shared" si="828"/>
        <v>0</v>
      </c>
      <c r="AF304" s="233">
        <f t="shared" si="828"/>
        <v>0</v>
      </c>
      <c r="AG304" s="233">
        <f t="shared" si="828"/>
        <v>0</v>
      </c>
      <c r="AH304" s="233">
        <f t="shared" si="828"/>
        <v>0</v>
      </c>
      <c r="AI304" s="233">
        <f t="shared" si="828"/>
        <v>0</v>
      </c>
      <c r="AJ304" s="233">
        <f t="shared" si="828"/>
        <v>0</v>
      </c>
      <c r="AK304" s="233">
        <f t="shared" si="828"/>
        <v>0</v>
      </c>
      <c r="AL304" s="233">
        <f t="shared" si="828"/>
        <v>0</v>
      </c>
      <c r="AM304" s="233">
        <f t="shared" si="828"/>
        <v>0</v>
      </c>
      <c r="AN304" s="233">
        <f t="shared" si="824"/>
        <v>0</v>
      </c>
      <c r="AO304" s="234">
        <f t="shared" si="824"/>
        <v>0</v>
      </c>
      <c r="AP304" s="234">
        <f t="shared" si="824"/>
        <v>0</v>
      </c>
      <c r="AQ304" s="234">
        <f t="shared" si="824"/>
        <v>0</v>
      </c>
      <c r="AR304" s="234">
        <f t="shared" si="824"/>
        <v>0</v>
      </c>
      <c r="AS304" s="234">
        <f t="shared" si="824"/>
        <v>0</v>
      </c>
      <c r="AT304" s="234">
        <f t="shared" si="824"/>
        <v>0</v>
      </c>
      <c r="AU304" s="234">
        <f t="shared" si="824"/>
        <v>0</v>
      </c>
      <c r="AV304" s="234">
        <f t="shared" si="824"/>
        <v>0</v>
      </c>
      <c r="AW304" s="234">
        <f t="shared" si="824"/>
        <v>0</v>
      </c>
      <c r="AX304" s="234">
        <f t="shared" si="824"/>
        <v>0</v>
      </c>
      <c r="AY304" s="234">
        <f t="shared" si="824"/>
        <v>0</v>
      </c>
      <c r="AZ304" s="234">
        <f t="shared" si="824"/>
        <v>0</v>
      </c>
      <c r="BA304" s="234">
        <f t="shared" si="824"/>
        <v>0</v>
      </c>
      <c r="BB304" s="233">
        <f t="shared" ref="BB304:BH304" si="829">SUM(BB305:BB307)</f>
        <v>0</v>
      </c>
      <c r="BC304" s="234">
        <f t="shared" si="829"/>
        <v>0</v>
      </c>
      <c r="BD304" s="234">
        <f t="shared" si="829"/>
        <v>0</v>
      </c>
      <c r="BE304" s="234">
        <f t="shared" si="829"/>
        <v>0</v>
      </c>
      <c r="BF304" s="234">
        <f t="shared" si="829"/>
        <v>0</v>
      </c>
      <c r="BG304" s="234">
        <f t="shared" si="829"/>
        <v>0</v>
      </c>
      <c r="BH304" s="234">
        <f t="shared" si="829"/>
        <v>0</v>
      </c>
      <c r="BI304" s="233">
        <f t="shared" si="824"/>
        <v>0</v>
      </c>
      <c r="BJ304" s="315">
        <f t="shared" si="824"/>
        <v>0</v>
      </c>
      <c r="BK304" s="234">
        <f t="shared" si="824"/>
        <v>0</v>
      </c>
      <c r="BL304" s="234">
        <f t="shared" si="824"/>
        <v>0</v>
      </c>
      <c r="BM304" s="234">
        <f t="shared" si="824"/>
        <v>0</v>
      </c>
      <c r="BN304" s="234">
        <f t="shared" si="824"/>
        <v>0</v>
      </c>
      <c r="BO304" s="234">
        <f t="shared" si="824"/>
        <v>0</v>
      </c>
      <c r="BP304" s="234">
        <f t="shared" si="824"/>
        <v>0</v>
      </c>
      <c r="BQ304" s="234">
        <f t="shared" si="824"/>
        <v>0</v>
      </c>
      <c r="BR304" s="234">
        <f t="shared" si="824"/>
        <v>0</v>
      </c>
      <c r="BS304" s="234">
        <f t="shared" si="824"/>
        <v>0</v>
      </c>
      <c r="BT304" s="234">
        <f t="shared" si="824"/>
        <v>0</v>
      </c>
      <c r="BU304" s="234">
        <f t="shared" si="824"/>
        <v>0</v>
      </c>
      <c r="BV304" s="235"/>
      <c r="BW304" s="236"/>
    </row>
    <row r="305" spans="1:75" s="194" customFormat="1" ht="26.25" customHeight="1" x14ac:dyDescent="0.2">
      <c r="A305" s="108"/>
      <c r="B305" s="419" t="s">
        <v>596</v>
      </c>
      <c r="C305" s="420"/>
      <c r="D305" s="80">
        <f t="shared" ref="D305:D307" si="830">F305+AA305+AN305+BA305+BI305</f>
        <v>217104</v>
      </c>
      <c r="E305" s="295">
        <f t="shared" ref="E305:E307" si="831">G305+AB305+AO305+BB305+BJ305</f>
        <v>217104</v>
      </c>
      <c r="F305" s="81">
        <v>217104</v>
      </c>
      <c r="G305" s="81">
        <f t="shared" ref="G305:G307" si="832">F305+H305</f>
        <v>217104</v>
      </c>
      <c r="H305" s="81">
        <f t="shared" ref="H305:H307" si="833">SUM(I305:Z305)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>
        <f t="shared" ref="AB305:AB307" si="834">AA305+AC305</f>
        <v>0</v>
      </c>
      <c r="AC305" s="81">
        <f t="shared" ref="AC305:AC307" si="835">SUM(AD305:AM305)</f>
        <v>0</v>
      </c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98">
        <f t="shared" ref="AO305:AO307" si="836">AN305+AP305</f>
        <v>0</v>
      </c>
      <c r="AP305" s="98">
        <f t="shared" ref="AP305:AP307" si="837">SUM(AQ305:AZ305)</f>
        <v>0</v>
      </c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81">
        <f t="shared" ref="BB305:BB307" si="838">BA305+BC305</f>
        <v>0</v>
      </c>
      <c r="BC305" s="98">
        <f t="shared" ref="BC305:BC307" si="839">SUM(BD305:BH305)</f>
        <v>0</v>
      </c>
      <c r="BD305" s="98"/>
      <c r="BE305" s="98"/>
      <c r="BF305" s="98"/>
      <c r="BG305" s="98"/>
      <c r="BH305" s="98"/>
      <c r="BI305" s="81"/>
      <c r="BJ305" s="309">
        <f t="shared" ref="BJ305:BJ307" si="840">BI305+BK305</f>
        <v>0</v>
      </c>
      <c r="BK305" s="98">
        <f t="shared" ref="BK305:BK307" si="841">SUM(BL305:BU305)</f>
        <v>0</v>
      </c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82"/>
      <c r="BW305" s="85"/>
    </row>
    <row r="306" spans="1:75" s="198" customFormat="1" ht="51" customHeight="1" x14ac:dyDescent="0.2">
      <c r="A306" s="108"/>
      <c r="B306" s="429" t="s">
        <v>645</v>
      </c>
      <c r="C306" s="420"/>
      <c r="D306" s="80">
        <f t="shared" si="830"/>
        <v>809607</v>
      </c>
      <c r="E306" s="295">
        <f t="shared" si="831"/>
        <v>809607</v>
      </c>
      <c r="F306" s="81">
        <v>809607</v>
      </c>
      <c r="G306" s="81">
        <f t="shared" si="832"/>
        <v>809607</v>
      </c>
      <c r="H306" s="81">
        <f t="shared" si="833"/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>
        <f t="shared" si="834"/>
        <v>0</v>
      </c>
      <c r="AC306" s="81">
        <f t="shared" si="835"/>
        <v>0</v>
      </c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98">
        <f t="shared" si="836"/>
        <v>0</v>
      </c>
      <c r="AP306" s="98">
        <f t="shared" si="837"/>
        <v>0</v>
      </c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81">
        <f t="shared" si="838"/>
        <v>0</v>
      </c>
      <c r="BC306" s="98">
        <f t="shared" si="839"/>
        <v>0</v>
      </c>
      <c r="BD306" s="98"/>
      <c r="BE306" s="98"/>
      <c r="BF306" s="98"/>
      <c r="BG306" s="98"/>
      <c r="BH306" s="98"/>
      <c r="BI306" s="81"/>
      <c r="BJ306" s="309">
        <f t="shared" si="840"/>
        <v>0</v>
      </c>
      <c r="BK306" s="98">
        <f t="shared" si="841"/>
        <v>0</v>
      </c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82"/>
      <c r="BW306" s="85"/>
    </row>
    <row r="307" spans="1:75" s="194" customFormat="1" ht="24" customHeight="1" x14ac:dyDescent="0.2">
      <c r="A307" s="108"/>
      <c r="B307" s="419" t="s">
        <v>597</v>
      </c>
      <c r="C307" s="420"/>
      <c r="D307" s="80">
        <f t="shared" si="830"/>
        <v>651688</v>
      </c>
      <c r="E307" s="295">
        <f t="shared" si="831"/>
        <v>651688</v>
      </c>
      <c r="F307" s="81">
        <v>651688</v>
      </c>
      <c r="G307" s="81">
        <f t="shared" si="832"/>
        <v>651688</v>
      </c>
      <c r="H307" s="81">
        <f t="shared" si="833"/>
        <v>0</v>
      </c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>
        <f t="shared" si="834"/>
        <v>0</v>
      </c>
      <c r="AC307" s="81">
        <f t="shared" si="835"/>
        <v>0</v>
      </c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98">
        <f t="shared" si="836"/>
        <v>0</v>
      </c>
      <c r="AP307" s="98">
        <f t="shared" si="837"/>
        <v>0</v>
      </c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81">
        <f t="shared" si="838"/>
        <v>0</v>
      </c>
      <c r="BC307" s="98">
        <f t="shared" si="839"/>
        <v>0</v>
      </c>
      <c r="BD307" s="98"/>
      <c r="BE307" s="98"/>
      <c r="BF307" s="98"/>
      <c r="BG307" s="98"/>
      <c r="BH307" s="98"/>
      <c r="BI307" s="81"/>
      <c r="BJ307" s="309">
        <f t="shared" si="840"/>
        <v>0</v>
      </c>
      <c r="BK307" s="98">
        <f t="shared" si="841"/>
        <v>0</v>
      </c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82"/>
      <c r="BW307" s="85"/>
    </row>
    <row r="308" spans="1:75" s="198" customFormat="1" x14ac:dyDescent="0.2">
      <c r="A308" s="237" t="s">
        <v>17</v>
      </c>
      <c r="B308" s="231" t="s">
        <v>18</v>
      </c>
      <c r="C308" s="329"/>
      <c r="D308" s="232">
        <f t="shared" ref="D308:E308" si="842">SUM(D309:D311)</f>
        <v>872835</v>
      </c>
      <c r="E308" s="303">
        <f t="shared" si="842"/>
        <v>872835</v>
      </c>
      <c r="F308" s="233">
        <f t="shared" ref="F308:BU308" si="843">SUM(F309:F311)</f>
        <v>872835</v>
      </c>
      <c r="G308" s="233">
        <f t="shared" si="843"/>
        <v>872835</v>
      </c>
      <c r="H308" s="233">
        <f t="shared" ref="H308" si="844">SUM(H309:H311)</f>
        <v>0</v>
      </c>
      <c r="I308" s="233">
        <f t="shared" si="843"/>
        <v>0</v>
      </c>
      <c r="J308" s="233">
        <f t="shared" ref="J308" si="845">SUM(J309:J311)</f>
        <v>0</v>
      </c>
      <c r="K308" s="233">
        <f t="shared" si="843"/>
        <v>0</v>
      </c>
      <c r="L308" s="233">
        <f t="shared" si="843"/>
        <v>0</v>
      </c>
      <c r="M308" s="233">
        <f t="shared" si="843"/>
        <v>0</v>
      </c>
      <c r="N308" s="233">
        <f t="shared" si="843"/>
        <v>0</v>
      </c>
      <c r="O308" s="233">
        <f t="shared" si="843"/>
        <v>0</v>
      </c>
      <c r="P308" s="233">
        <f t="shared" si="843"/>
        <v>0</v>
      </c>
      <c r="Q308" s="233">
        <f t="shared" si="843"/>
        <v>0</v>
      </c>
      <c r="R308" s="233">
        <f t="shared" si="843"/>
        <v>0</v>
      </c>
      <c r="S308" s="233">
        <f t="shared" si="843"/>
        <v>0</v>
      </c>
      <c r="T308" s="233"/>
      <c r="U308" s="233">
        <f t="shared" si="843"/>
        <v>0</v>
      </c>
      <c r="V308" s="233"/>
      <c r="W308" s="233">
        <f t="shared" si="843"/>
        <v>0</v>
      </c>
      <c r="X308" s="233">
        <f t="shared" ref="X308" si="846">SUM(X309:X311)</f>
        <v>0</v>
      </c>
      <c r="Y308" s="233">
        <f t="shared" si="843"/>
        <v>0</v>
      </c>
      <c r="Z308" s="233">
        <f t="shared" si="843"/>
        <v>0</v>
      </c>
      <c r="AA308" s="233">
        <f t="shared" si="843"/>
        <v>0</v>
      </c>
      <c r="AB308" s="233">
        <f t="shared" ref="AB308:AM308" si="847">SUM(AB309:AB311)</f>
        <v>0</v>
      </c>
      <c r="AC308" s="233">
        <f t="shared" si="847"/>
        <v>0</v>
      </c>
      <c r="AD308" s="233">
        <f t="shared" si="847"/>
        <v>0</v>
      </c>
      <c r="AE308" s="233">
        <f t="shared" si="847"/>
        <v>0</v>
      </c>
      <c r="AF308" s="233">
        <f t="shared" si="847"/>
        <v>0</v>
      </c>
      <c r="AG308" s="233">
        <f t="shared" si="847"/>
        <v>0</v>
      </c>
      <c r="AH308" s="233">
        <f t="shared" si="847"/>
        <v>0</v>
      </c>
      <c r="AI308" s="233">
        <f t="shared" si="847"/>
        <v>0</v>
      </c>
      <c r="AJ308" s="233">
        <f t="shared" si="847"/>
        <v>0</v>
      </c>
      <c r="AK308" s="233">
        <f t="shared" si="847"/>
        <v>0</v>
      </c>
      <c r="AL308" s="233">
        <f t="shared" si="847"/>
        <v>0</v>
      </c>
      <c r="AM308" s="233">
        <f t="shared" si="847"/>
        <v>0</v>
      </c>
      <c r="AN308" s="233">
        <f t="shared" si="843"/>
        <v>0</v>
      </c>
      <c r="AO308" s="234">
        <f t="shared" si="843"/>
        <v>0</v>
      </c>
      <c r="AP308" s="234">
        <f t="shared" si="843"/>
        <v>0</v>
      </c>
      <c r="AQ308" s="234">
        <f t="shared" si="843"/>
        <v>0</v>
      </c>
      <c r="AR308" s="234">
        <f t="shared" si="843"/>
        <v>0</v>
      </c>
      <c r="AS308" s="234">
        <f t="shared" si="843"/>
        <v>0</v>
      </c>
      <c r="AT308" s="234">
        <f t="shared" si="843"/>
        <v>0</v>
      </c>
      <c r="AU308" s="234">
        <f t="shared" si="843"/>
        <v>0</v>
      </c>
      <c r="AV308" s="234">
        <f t="shared" si="843"/>
        <v>0</v>
      </c>
      <c r="AW308" s="234">
        <f t="shared" si="843"/>
        <v>0</v>
      </c>
      <c r="AX308" s="234">
        <f t="shared" si="843"/>
        <v>0</v>
      </c>
      <c r="AY308" s="234">
        <f t="shared" si="843"/>
        <v>0</v>
      </c>
      <c r="AZ308" s="234">
        <f t="shared" si="843"/>
        <v>0</v>
      </c>
      <c r="BA308" s="234">
        <f t="shared" si="843"/>
        <v>0</v>
      </c>
      <c r="BB308" s="233">
        <f t="shared" ref="BB308:BH308" si="848">SUM(BB309:BB311)</f>
        <v>0</v>
      </c>
      <c r="BC308" s="234">
        <f t="shared" si="848"/>
        <v>0</v>
      </c>
      <c r="BD308" s="234">
        <f t="shared" si="848"/>
        <v>0</v>
      </c>
      <c r="BE308" s="234">
        <f t="shared" si="848"/>
        <v>0</v>
      </c>
      <c r="BF308" s="234">
        <f t="shared" si="848"/>
        <v>0</v>
      </c>
      <c r="BG308" s="234">
        <f t="shared" si="848"/>
        <v>0</v>
      </c>
      <c r="BH308" s="234">
        <f t="shared" si="848"/>
        <v>0</v>
      </c>
      <c r="BI308" s="233">
        <f t="shared" si="843"/>
        <v>0</v>
      </c>
      <c r="BJ308" s="315">
        <f t="shared" si="843"/>
        <v>0</v>
      </c>
      <c r="BK308" s="234">
        <f t="shared" si="843"/>
        <v>0</v>
      </c>
      <c r="BL308" s="234">
        <f t="shared" si="843"/>
        <v>0</v>
      </c>
      <c r="BM308" s="234">
        <f t="shared" si="843"/>
        <v>0</v>
      </c>
      <c r="BN308" s="234">
        <f t="shared" si="843"/>
        <v>0</v>
      </c>
      <c r="BO308" s="234">
        <f t="shared" si="843"/>
        <v>0</v>
      </c>
      <c r="BP308" s="234">
        <f t="shared" si="843"/>
        <v>0</v>
      </c>
      <c r="BQ308" s="234">
        <f t="shared" si="843"/>
        <v>0</v>
      </c>
      <c r="BR308" s="234">
        <f t="shared" si="843"/>
        <v>0</v>
      </c>
      <c r="BS308" s="234">
        <f t="shared" si="843"/>
        <v>0</v>
      </c>
      <c r="BT308" s="234">
        <f t="shared" si="843"/>
        <v>0</v>
      </c>
      <c r="BU308" s="234">
        <f t="shared" si="843"/>
        <v>0</v>
      </c>
      <c r="BV308" s="235"/>
      <c r="BW308" s="236"/>
    </row>
    <row r="309" spans="1:75" s="194" customFormat="1" ht="27.75" customHeight="1" x14ac:dyDescent="0.2">
      <c r="A309" s="108"/>
      <c r="B309" s="419" t="s">
        <v>237</v>
      </c>
      <c r="C309" s="420"/>
      <c r="D309" s="80">
        <f t="shared" ref="D309:D311" si="849">F309+AA309+AN309+BA309+BI309</f>
        <v>500500</v>
      </c>
      <c r="E309" s="295">
        <f t="shared" ref="E309:E311" si="850">G309+AB309+AO309+BB309+BJ309</f>
        <v>500500</v>
      </c>
      <c r="F309" s="81">
        <v>500500</v>
      </c>
      <c r="G309" s="81">
        <f t="shared" ref="G309:G311" si="851">F309+H309</f>
        <v>500500</v>
      </c>
      <c r="H309" s="81">
        <f t="shared" ref="H309:H311" si="852">SUM(I309:Z309)</f>
        <v>0</v>
      </c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>
        <f t="shared" ref="AB309:AB311" si="853">AA309+AC309</f>
        <v>0</v>
      </c>
      <c r="AC309" s="81">
        <f t="shared" ref="AC309:AC311" si="854">SUM(AD309:AM309)</f>
        <v>0</v>
      </c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98">
        <f t="shared" ref="AO309:AO311" si="855">AN309+AP309</f>
        <v>0</v>
      </c>
      <c r="AP309" s="98">
        <f t="shared" ref="AP309:AP311" si="856">SUM(AQ309:AZ309)</f>
        <v>0</v>
      </c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81">
        <f t="shared" ref="BB309:BB311" si="857">BA309+BC309</f>
        <v>0</v>
      </c>
      <c r="BC309" s="98">
        <f t="shared" ref="BC309:BC311" si="858">SUM(BD309:BH309)</f>
        <v>0</v>
      </c>
      <c r="BD309" s="98"/>
      <c r="BE309" s="98"/>
      <c r="BF309" s="98"/>
      <c r="BG309" s="98"/>
      <c r="BH309" s="98"/>
      <c r="BI309" s="81"/>
      <c r="BJ309" s="309">
        <f t="shared" ref="BJ309:BJ311" si="859">BI309+BK309</f>
        <v>0</v>
      </c>
      <c r="BK309" s="98">
        <f t="shared" ref="BK309:BK311" si="860">SUM(BL309:BU309)</f>
        <v>0</v>
      </c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82"/>
      <c r="BW309" s="85"/>
    </row>
    <row r="310" spans="1:75" s="194" customFormat="1" x14ac:dyDescent="0.2">
      <c r="A310" s="108"/>
      <c r="B310" s="419" t="s">
        <v>598</v>
      </c>
      <c r="C310" s="420"/>
      <c r="D310" s="80">
        <f t="shared" si="849"/>
        <v>284577</v>
      </c>
      <c r="E310" s="295">
        <f t="shared" si="850"/>
        <v>284577</v>
      </c>
      <c r="F310" s="81">
        <v>284577</v>
      </c>
      <c r="G310" s="81">
        <f t="shared" si="851"/>
        <v>284577</v>
      </c>
      <c r="H310" s="81">
        <f t="shared" si="852"/>
        <v>0</v>
      </c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>
        <f t="shared" si="853"/>
        <v>0</v>
      </c>
      <c r="AC310" s="81">
        <f t="shared" si="854"/>
        <v>0</v>
      </c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98">
        <f t="shared" si="855"/>
        <v>0</v>
      </c>
      <c r="AP310" s="98">
        <f t="shared" si="856"/>
        <v>0</v>
      </c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81">
        <f t="shared" si="857"/>
        <v>0</v>
      </c>
      <c r="BC310" s="98">
        <f t="shared" si="858"/>
        <v>0</v>
      </c>
      <c r="BD310" s="98"/>
      <c r="BE310" s="98"/>
      <c r="BF310" s="98"/>
      <c r="BG310" s="98"/>
      <c r="BH310" s="98"/>
      <c r="BI310" s="81"/>
      <c r="BJ310" s="309">
        <f t="shared" si="859"/>
        <v>0</v>
      </c>
      <c r="BK310" s="98">
        <f t="shared" si="860"/>
        <v>0</v>
      </c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82"/>
      <c r="BW310" s="85"/>
    </row>
    <row r="311" spans="1:75" s="194" customFormat="1" ht="27.75" customHeight="1" x14ac:dyDescent="0.2">
      <c r="A311" s="108"/>
      <c r="B311" s="419" t="s">
        <v>599</v>
      </c>
      <c r="C311" s="420"/>
      <c r="D311" s="80">
        <f t="shared" si="849"/>
        <v>87758</v>
      </c>
      <c r="E311" s="295">
        <f t="shared" si="850"/>
        <v>87758</v>
      </c>
      <c r="F311" s="81">
        <v>87758</v>
      </c>
      <c r="G311" s="81">
        <f t="shared" si="851"/>
        <v>87758</v>
      </c>
      <c r="H311" s="81">
        <f t="shared" si="852"/>
        <v>0</v>
      </c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>
        <f t="shared" si="853"/>
        <v>0</v>
      </c>
      <c r="AC311" s="81">
        <f t="shared" si="854"/>
        <v>0</v>
      </c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98">
        <f t="shared" si="855"/>
        <v>0</v>
      </c>
      <c r="AP311" s="98">
        <f t="shared" si="856"/>
        <v>0</v>
      </c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81">
        <f t="shared" si="857"/>
        <v>0</v>
      </c>
      <c r="BC311" s="98">
        <f t="shared" si="858"/>
        <v>0</v>
      </c>
      <c r="BD311" s="98"/>
      <c r="BE311" s="98"/>
      <c r="BF311" s="98"/>
      <c r="BG311" s="98"/>
      <c r="BH311" s="98"/>
      <c r="BI311" s="81"/>
      <c r="BJ311" s="309">
        <f t="shared" si="859"/>
        <v>0</v>
      </c>
      <c r="BK311" s="98">
        <f t="shared" si="860"/>
        <v>0</v>
      </c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82"/>
      <c r="BW311" s="85"/>
    </row>
    <row r="312" spans="1:75" s="198" customFormat="1" x14ac:dyDescent="0.2">
      <c r="A312" s="237">
        <v>10</v>
      </c>
      <c r="B312" s="231" t="s">
        <v>21</v>
      </c>
      <c r="C312" s="329"/>
      <c r="D312" s="232">
        <f t="shared" ref="D312:E312" si="861">SUM(D313:D314)</f>
        <v>166682</v>
      </c>
      <c r="E312" s="303">
        <f t="shared" si="861"/>
        <v>166682</v>
      </c>
      <c r="F312" s="233">
        <f t="shared" ref="F312:BU312" si="862">SUM(F313:F314)</f>
        <v>166682</v>
      </c>
      <c r="G312" s="233">
        <f t="shared" si="862"/>
        <v>166682</v>
      </c>
      <c r="H312" s="233">
        <f t="shared" ref="H312" si="863">SUM(H313:H314)</f>
        <v>0</v>
      </c>
      <c r="I312" s="233">
        <f t="shared" si="862"/>
        <v>0</v>
      </c>
      <c r="J312" s="233">
        <f t="shared" ref="J312" si="864">SUM(J313:J314)</f>
        <v>0</v>
      </c>
      <c r="K312" s="233">
        <f t="shared" si="862"/>
        <v>0</v>
      </c>
      <c r="L312" s="233">
        <f t="shared" si="862"/>
        <v>0</v>
      </c>
      <c r="M312" s="233">
        <f t="shared" si="862"/>
        <v>0</v>
      </c>
      <c r="N312" s="233">
        <f t="shared" si="862"/>
        <v>0</v>
      </c>
      <c r="O312" s="233">
        <f t="shared" si="862"/>
        <v>0</v>
      </c>
      <c r="P312" s="233">
        <f t="shared" si="862"/>
        <v>0</v>
      </c>
      <c r="Q312" s="233">
        <f t="shared" si="862"/>
        <v>0</v>
      </c>
      <c r="R312" s="233">
        <f t="shared" si="862"/>
        <v>0</v>
      </c>
      <c r="S312" s="233">
        <f t="shared" si="862"/>
        <v>0</v>
      </c>
      <c r="T312" s="233"/>
      <c r="U312" s="233">
        <f t="shared" si="862"/>
        <v>0</v>
      </c>
      <c r="V312" s="233"/>
      <c r="W312" s="233">
        <f t="shared" si="862"/>
        <v>0</v>
      </c>
      <c r="X312" s="233">
        <f t="shared" ref="X312" si="865">SUM(X313:X314)</f>
        <v>0</v>
      </c>
      <c r="Y312" s="233">
        <f t="shared" si="862"/>
        <v>0</v>
      </c>
      <c r="Z312" s="233">
        <f t="shared" si="862"/>
        <v>0</v>
      </c>
      <c r="AA312" s="233">
        <f t="shared" si="862"/>
        <v>0</v>
      </c>
      <c r="AB312" s="233">
        <f t="shared" ref="AB312:AM312" si="866">SUM(AB313:AB314)</f>
        <v>0</v>
      </c>
      <c r="AC312" s="233">
        <f t="shared" si="866"/>
        <v>0</v>
      </c>
      <c r="AD312" s="233">
        <f t="shared" si="866"/>
        <v>0</v>
      </c>
      <c r="AE312" s="233">
        <f t="shared" si="866"/>
        <v>0</v>
      </c>
      <c r="AF312" s="233">
        <f t="shared" si="866"/>
        <v>0</v>
      </c>
      <c r="AG312" s="233">
        <f t="shared" si="866"/>
        <v>0</v>
      </c>
      <c r="AH312" s="233">
        <f t="shared" si="866"/>
        <v>0</v>
      </c>
      <c r="AI312" s="233">
        <f t="shared" si="866"/>
        <v>0</v>
      </c>
      <c r="AJ312" s="233">
        <f t="shared" si="866"/>
        <v>0</v>
      </c>
      <c r="AK312" s="233">
        <f t="shared" si="866"/>
        <v>0</v>
      </c>
      <c r="AL312" s="233">
        <f t="shared" si="866"/>
        <v>0</v>
      </c>
      <c r="AM312" s="233">
        <f t="shared" si="866"/>
        <v>0</v>
      </c>
      <c r="AN312" s="233">
        <f t="shared" si="862"/>
        <v>0</v>
      </c>
      <c r="AO312" s="234">
        <f t="shared" si="862"/>
        <v>0</v>
      </c>
      <c r="AP312" s="234">
        <f t="shared" si="862"/>
        <v>0</v>
      </c>
      <c r="AQ312" s="234">
        <f t="shared" si="862"/>
        <v>0</v>
      </c>
      <c r="AR312" s="234">
        <f t="shared" si="862"/>
        <v>0</v>
      </c>
      <c r="AS312" s="234">
        <f t="shared" si="862"/>
        <v>0</v>
      </c>
      <c r="AT312" s="234">
        <f t="shared" si="862"/>
        <v>0</v>
      </c>
      <c r="AU312" s="234">
        <f t="shared" si="862"/>
        <v>0</v>
      </c>
      <c r="AV312" s="234">
        <f t="shared" si="862"/>
        <v>0</v>
      </c>
      <c r="AW312" s="234">
        <f t="shared" si="862"/>
        <v>0</v>
      </c>
      <c r="AX312" s="234">
        <f t="shared" si="862"/>
        <v>0</v>
      </c>
      <c r="AY312" s="234">
        <f t="shared" si="862"/>
        <v>0</v>
      </c>
      <c r="AZ312" s="234">
        <f t="shared" si="862"/>
        <v>0</v>
      </c>
      <c r="BA312" s="234">
        <f t="shared" si="862"/>
        <v>0</v>
      </c>
      <c r="BB312" s="233">
        <f t="shared" ref="BB312:BH312" si="867">SUM(BB313:BB314)</f>
        <v>0</v>
      </c>
      <c r="BC312" s="234">
        <f t="shared" si="867"/>
        <v>0</v>
      </c>
      <c r="BD312" s="234">
        <f t="shared" si="867"/>
        <v>0</v>
      </c>
      <c r="BE312" s="234">
        <f t="shared" si="867"/>
        <v>0</v>
      </c>
      <c r="BF312" s="234">
        <f t="shared" si="867"/>
        <v>0</v>
      </c>
      <c r="BG312" s="234">
        <f t="shared" si="867"/>
        <v>0</v>
      </c>
      <c r="BH312" s="234">
        <f t="shared" si="867"/>
        <v>0</v>
      </c>
      <c r="BI312" s="233">
        <f t="shared" si="862"/>
        <v>0</v>
      </c>
      <c r="BJ312" s="315">
        <f t="shared" si="862"/>
        <v>0</v>
      </c>
      <c r="BK312" s="234">
        <f t="shared" si="862"/>
        <v>0</v>
      </c>
      <c r="BL312" s="234">
        <f t="shared" si="862"/>
        <v>0</v>
      </c>
      <c r="BM312" s="234">
        <f t="shared" si="862"/>
        <v>0</v>
      </c>
      <c r="BN312" s="234">
        <f t="shared" si="862"/>
        <v>0</v>
      </c>
      <c r="BO312" s="234">
        <f t="shared" si="862"/>
        <v>0</v>
      </c>
      <c r="BP312" s="234">
        <f t="shared" si="862"/>
        <v>0</v>
      </c>
      <c r="BQ312" s="234">
        <f t="shared" si="862"/>
        <v>0</v>
      </c>
      <c r="BR312" s="234">
        <f t="shared" si="862"/>
        <v>0</v>
      </c>
      <c r="BS312" s="234">
        <f t="shared" si="862"/>
        <v>0</v>
      </c>
      <c r="BT312" s="234">
        <f t="shared" si="862"/>
        <v>0</v>
      </c>
      <c r="BU312" s="234">
        <f t="shared" si="862"/>
        <v>0</v>
      </c>
      <c r="BV312" s="235"/>
      <c r="BW312" s="236"/>
    </row>
    <row r="313" spans="1:75" s="194" customFormat="1" ht="27" customHeight="1" x14ac:dyDescent="0.2">
      <c r="A313" s="108"/>
      <c r="B313" s="419" t="s">
        <v>600</v>
      </c>
      <c r="C313" s="420"/>
      <c r="D313" s="80">
        <f t="shared" ref="D313:D314" si="868">F313+AA313+AN313+BA313+BI313</f>
        <v>160586</v>
      </c>
      <c r="E313" s="295">
        <f t="shared" ref="E313:E314" si="869">G313+AB313+AO313+BB313+BJ313</f>
        <v>160586</v>
      </c>
      <c r="F313" s="81">
        <v>160586</v>
      </c>
      <c r="G313" s="81">
        <f t="shared" ref="G313:G314" si="870">F313+H313</f>
        <v>160586</v>
      </c>
      <c r="H313" s="81">
        <f t="shared" ref="H313:H314" si="871">SUM(I313:Z313)</f>
        <v>0</v>
      </c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>
        <f t="shared" ref="AB313:AB314" si="872">AA313+AC313</f>
        <v>0</v>
      </c>
      <c r="AC313" s="81">
        <f t="shared" ref="AC313:AC314" si="873">SUM(AD313:AM313)</f>
        <v>0</v>
      </c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98">
        <f t="shared" ref="AO313:AO315" si="874">AN313+AP313</f>
        <v>0</v>
      </c>
      <c r="AP313" s="98">
        <f t="shared" ref="AP313:AP315" si="875">SUM(AQ313:AZ313)</f>
        <v>0</v>
      </c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81">
        <f t="shared" ref="BB313:BB315" si="876">BA313+BC313</f>
        <v>0</v>
      </c>
      <c r="BC313" s="98">
        <f t="shared" ref="BC313:BC315" si="877">SUM(BD313:BH313)</f>
        <v>0</v>
      </c>
      <c r="BD313" s="98"/>
      <c r="BE313" s="98"/>
      <c r="BF313" s="98"/>
      <c r="BG313" s="98"/>
      <c r="BH313" s="98"/>
      <c r="BI313" s="81"/>
      <c r="BJ313" s="309">
        <f t="shared" ref="BJ313:BJ315" si="878">BI313+BK313</f>
        <v>0</v>
      </c>
      <c r="BK313" s="98">
        <f t="shared" ref="BK313:BK315" si="879">SUM(BL313:BU313)</f>
        <v>0</v>
      </c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82"/>
      <c r="BW313" s="85"/>
    </row>
    <row r="314" spans="1:75" s="194" customFormat="1" ht="23.25" customHeight="1" x14ac:dyDescent="0.2">
      <c r="A314" s="108"/>
      <c r="B314" s="419" t="s">
        <v>601</v>
      </c>
      <c r="C314" s="420"/>
      <c r="D314" s="80">
        <f t="shared" si="868"/>
        <v>6096</v>
      </c>
      <c r="E314" s="295">
        <f t="shared" si="869"/>
        <v>6096</v>
      </c>
      <c r="F314" s="81">
        <v>6096</v>
      </c>
      <c r="G314" s="81">
        <f t="shared" si="870"/>
        <v>6096</v>
      </c>
      <c r="H314" s="81">
        <f t="shared" si="871"/>
        <v>0</v>
      </c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>
        <f t="shared" si="872"/>
        <v>0</v>
      </c>
      <c r="AC314" s="81">
        <f t="shared" si="873"/>
        <v>0</v>
      </c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98">
        <f t="shared" si="874"/>
        <v>0</v>
      </c>
      <c r="AP314" s="98">
        <f t="shared" si="875"/>
        <v>0</v>
      </c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81">
        <f t="shared" si="876"/>
        <v>0</v>
      </c>
      <c r="BC314" s="98">
        <f t="shared" si="877"/>
        <v>0</v>
      </c>
      <c r="BD314" s="98"/>
      <c r="BE314" s="98"/>
      <c r="BF314" s="98"/>
      <c r="BG314" s="98"/>
      <c r="BH314" s="98"/>
      <c r="BI314" s="81"/>
      <c r="BJ314" s="309">
        <f t="shared" si="878"/>
        <v>0</v>
      </c>
      <c r="BK314" s="98">
        <f t="shared" si="879"/>
        <v>0</v>
      </c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82"/>
      <c r="BW314" s="85"/>
    </row>
    <row r="315" spans="1:75" s="194" customFormat="1" ht="10.5" customHeight="1" thickBot="1" x14ac:dyDescent="0.25">
      <c r="A315" s="102"/>
      <c r="B315" s="287"/>
      <c r="C315" s="327"/>
      <c r="D315" s="139"/>
      <c r="E315" s="299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203">
        <f t="shared" si="874"/>
        <v>0</v>
      </c>
      <c r="AP315" s="203">
        <f t="shared" si="875"/>
        <v>0</v>
      </c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3"/>
      <c r="BA315" s="203"/>
      <c r="BB315" s="81">
        <f t="shared" si="876"/>
        <v>0</v>
      </c>
      <c r="BC315" s="98">
        <f t="shared" si="877"/>
        <v>0</v>
      </c>
      <c r="BD315" s="203"/>
      <c r="BE315" s="203"/>
      <c r="BF315" s="203"/>
      <c r="BG315" s="203"/>
      <c r="BH315" s="203"/>
      <c r="BI315" s="170"/>
      <c r="BJ315" s="311">
        <f t="shared" si="878"/>
        <v>0</v>
      </c>
      <c r="BK315" s="203">
        <f t="shared" si="879"/>
        <v>0</v>
      </c>
      <c r="BL315" s="203"/>
      <c r="BM315" s="203"/>
      <c r="BN315" s="203"/>
      <c r="BO315" s="203"/>
      <c r="BP315" s="203"/>
      <c r="BQ315" s="203"/>
      <c r="BR315" s="203"/>
      <c r="BS315" s="203"/>
      <c r="BT315" s="203"/>
      <c r="BU315" s="203"/>
      <c r="BV315" s="204"/>
      <c r="BW315" s="88"/>
    </row>
    <row r="316" spans="1:75" s="194" customFormat="1" ht="12.75" thickTop="1" x14ac:dyDescent="0.2">
      <c r="A316" s="129" t="s">
        <v>609</v>
      </c>
      <c r="B316" s="212" t="s">
        <v>458</v>
      </c>
      <c r="C316" s="324"/>
      <c r="D316" s="207">
        <f>SUM(D317:D318)</f>
        <v>73605</v>
      </c>
      <c r="E316" s="208">
        <f t="shared" ref="E316:BQ316" si="880">SUM(E317:E318)</f>
        <v>562893</v>
      </c>
      <c r="F316" s="208">
        <f t="shared" si="880"/>
        <v>73605</v>
      </c>
      <c r="G316" s="208">
        <f t="shared" si="880"/>
        <v>562893</v>
      </c>
      <c r="H316" s="208">
        <f t="shared" si="880"/>
        <v>489288</v>
      </c>
      <c r="I316" s="208">
        <f t="shared" si="880"/>
        <v>0</v>
      </c>
      <c r="J316" s="208">
        <f t="shared" si="880"/>
        <v>0</v>
      </c>
      <c r="K316" s="208">
        <f t="shared" si="880"/>
        <v>0</v>
      </c>
      <c r="L316" s="208">
        <f t="shared" si="880"/>
        <v>0</v>
      </c>
      <c r="M316" s="208">
        <f t="shared" si="880"/>
        <v>0</v>
      </c>
      <c r="N316" s="208">
        <f t="shared" si="880"/>
        <v>0</v>
      </c>
      <c r="O316" s="208">
        <f t="shared" si="880"/>
        <v>0</v>
      </c>
      <c r="P316" s="208">
        <f t="shared" si="880"/>
        <v>0</v>
      </c>
      <c r="Q316" s="208">
        <f t="shared" si="880"/>
        <v>0</v>
      </c>
      <c r="R316" s="208">
        <f t="shared" si="880"/>
        <v>0</v>
      </c>
      <c r="S316" s="208">
        <f t="shared" si="880"/>
        <v>0</v>
      </c>
      <c r="T316" s="208">
        <f t="shared" si="880"/>
        <v>0</v>
      </c>
      <c r="U316" s="208">
        <f t="shared" si="880"/>
        <v>0</v>
      </c>
      <c r="V316" s="208">
        <f t="shared" si="880"/>
        <v>0</v>
      </c>
      <c r="W316" s="208">
        <f t="shared" si="880"/>
        <v>489288</v>
      </c>
      <c r="X316" s="208">
        <f t="shared" ref="X316" si="881">SUM(X317:X318)</f>
        <v>0</v>
      </c>
      <c r="Y316" s="208">
        <f t="shared" si="880"/>
        <v>0</v>
      </c>
      <c r="Z316" s="208">
        <f t="shared" si="880"/>
        <v>0</v>
      </c>
      <c r="AA316" s="208">
        <f t="shared" si="880"/>
        <v>0</v>
      </c>
      <c r="AB316" s="208">
        <f t="shared" si="880"/>
        <v>0</v>
      </c>
      <c r="AC316" s="208">
        <f t="shared" si="880"/>
        <v>0</v>
      </c>
      <c r="AD316" s="208">
        <f t="shared" si="880"/>
        <v>0</v>
      </c>
      <c r="AE316" s="208">
        <f t="shared" si="880"/>
        <v>0</v>
      </c>
      <c r="AF316" s="208">
        <f t="shared" si="880"/>
        <v>0</v>
      </c>
      <c r="AG316" s="208">
        <f t="shared" si="880"/>
        <v>0</v>
      </c>
      <c r="AH316" s="208">
        <f t="shared" si="880"/>
        <v>0</v>
      </c>
      <c r="AI316" s="208">
        <f t="shared" si="880"/>
        <v>0</v>
      </c>
      <c r="AJ316" s="208">
        <f t="shared" si="880"/>
        <v>0</v>
      </c>
      <c r="AK316" s="208">
        <f t="shared" si="880"/>
        <v>0</v>
      </c>
      <c r="AL316" s="208">
        <f t="shared" si="880"/>
        <v>0</v>
      </c>
      <c r="AM316" s="208">
        <f t="shared" si="880"/>
        <v>0</v>
      </c>
      <c r="AN316" s="208">
        <f t="shared" si="880"/>
        <v>0</v>
      </c>
      <c r="AO316" s="208">
        <f t="shared" si="880"/>
        <v>0</v>
      </c>
      <c r="AP316" s="208">
        <f t="shared" si="880"/>
        <v>0</v>
      </c>
      <c r="AQ316" s="208">
        <f t="shared" si="880"/>
        <v>0</v>
      </c>
      <c r="AR316" s="208">
        <f t="shared" si="880"/>
        <v>0</v>
      </c>
      <c r="AS316" s="208">
        <f t="shared" si="880"/>
        <v>0</v>
      </c>
      <c r="AT316" s="208">
        <f t="shared" si="880"/>
        <v>0</v>
      </c>
      <c r="AU316" s="208">
        <f t="shared" si="880"/>
        <v>0</v>
      </c>
      <c r="AV316" s="208">
        <f t="shared" si="880"/>
        <v>0</v>
      </c>
      <c r="AW316" s="208">
        <f t="shared" si="880"/>
        <v>0</v>
      </c>
      <c r="AX316" s="208">
        <f t="shared" si="880"/>
        <v>0</v>
      </c>
      <c r="AY316" s="208">
        <f t="shared" si="880"/>
        <v>0</v>
      </c>
      <c r="AZ316" s="208">
        <f t="shared" si="880"/>
        <v>0</v>
      </c>
      <c r="BA316" s="208">
        <f t="shared" si="880"/>
        <v>0</v>
      </c>
      <c r="BB316" s="208">
        <f t="shared" si="880"/>
        <v>0</v>
      </c>
      <c r="BC316" s="208">
        <f t="shared" si="880"/>
        <v>0</v>
      </c>
      <c r="BD316" s="208">
        <f t="shared" si="880"/>
        <v>0</v>
      </c>
      <c r="BE316" s="208">
        <f t="shared" si="880"/>
        <v>0</v>
      </c>
      <c r="BF316" s="208">
        <f t="shared" si="880"/>
        <v>0</v>
      </c>
      <c r="BG316" s="208">
        <f t="shared" si="880"/>
        <v>0</v>
      </c>
      <c r="BH316" s="208">
        <f t="shared" si="880"/>
        <v>0</v>
      </c>
      <c r="BI316" s="208">
        <f t="shared" si="880"/>
        <v>0</v>
      </c>
      <c r="BJ316" s="208">
        <f t="shared" si="880"/>
        <v>0</v>
      </c>
      <c r="BK316" s="208">
        <f t="shared" si="880"/>
        <v>0</v>
      </c>
      <c r="BL316" s="208">
        <f t="shared" si="880"/>
        <v>0</v>
      </c>
      <c r="BM316" s="208">
        <f t="shared" si="880"/>
        <v>0</v>
      </c>
      <c r="BN316" s="208">
        <f t="shared" si="880"/>
        <v>0</v>
      </c>
      <c r="BO316" s="208">
        <f t="shared" si="880"/>
        <v>0</v>
      </c>
      <c r="BP316" s="208">
        <f t="shared" si="880"/>
        <v>0</v>
      </c>
      <c r="BQ316" s="208">
        <f t="shared" si="880"/>
        <v>0</v>
      </c>
      <c r="BR316" s="208">
        <f t="shared" ref="BR316:BU316" si="882">SUM(BR317:BR318)</f>
        <v>0</v>
      </c>
      <c r="BS316" s="208">
        <f t="shared" si="882"/>
        <v>0</v>
      </c>
      <c r="BT316" s="208">
        <f t="shared" si="882"/>
        <v>0</v>
      </c>
      <c r="BU316" s="400">
        <f t="shared" si="882"/>
        <v>0</v>
      </c>
      <c r="BV316" s="205"/>
      <c r="BW316" s="206"/>
    </row>
    <row r="317" spans="1:75" s="194" customFormat="1" ht="24.75" customHeight="1" x14ac:dyDescent="0.2">
      <c r="A317" s="102">
        <v>50003220021</v>
      </c>
      <c r="B317" s="440" t="s">
        <v>508</v>
      </c>
      <c r="C317" s="439"/>
      <c r="D317" s="71">
        <f>F317+AA317+AN317+BA317+BI317</f>
        <v>73605</v>
      </c>
      <c r="E317" s="296">
        <f>G317+AB317+AO317+BB317+BJ317</f>
        <v>73605</v>
      </c>
      <c r="F317" s="72">
        <v>73605</v>
      </c>
      <c r="G317" s="72">
        <f>F317+H317</f>
        <v>73605</v>
      </c>
      <c r="H317" s="72">
        <f>SUM(I317:Z317)</f>
        <v>0</v>
      </c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>
        <f>AA317+AC317</f>
        <v>0</v>
      </c>
      <c r="AC317" s="72">
        <f>SUM(AD317:AM317)</f>
        <v>0</v>
      </c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97">
        <f>AN317+AP317</f>
        <v>0</v>
      </c>
      <c r="AP317" s="97">
        <f>SUM(AQ317:AZ317)</f>
        <v>0</v>
      </c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81">
        <f>BA317+BC317</f>
        <v>0</v>
      </c>
      <c r="BC317" s="98">
        <f>SUM(BD317:BH317)</f>
        <v>0</v>
      </c>
      <c r="BD317" s="97"/>
      <c r="BE317" s="97"/>
      <c r="BF317" s="97"/>
      <c r="BG317" s="97"/>
      <c r="BH317" s="97"/>
      <c r="BI317" s="72"/>
      <c r="BJ317" s="264">
        <f>BI317+BK317</f>
        <v>0</v>
      </c>
      <c r="BK317" s="97">
        <f>SUM(BL317:BU317)</f>
        <v>0</v>
      </c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82" t="s">
        <v>507</v>
      </c>
      <c r="BW317" s="200"/>
    </row>
    <row r="318" spans="1:75" s="198" customFormat="1" ht="12.75" x14ac:dyDescent="0.2">
      <c r="A318" s="102">
        <v>4000327533</v>
      </c>
      <c r="B318" s="438" t="s">
        <v>306</v>
      </c>
      <c r="C318" s="439"/>
      <c r="D318" s="71">
        <f>F318+AA318+AN318+BA318+BI318</f>
        <v>0</v>
      </c>
      <c r="E318" s="296">
        <f>G318+AB318+AO318+BB318+BJ318</f>
        <v>489288</v>
      </c>
      <c r="F318" s="72"/>
      <c r="G318" s="72">
        <f>F318+H318</f>
        <v>489288</v>
      </c>
      <c r="H318" s="72">
        <f>SUM(I318:Z318)</f>
        <v>489288</v>
      </c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>
        <v>489288</v>
      </c>
      <c r="X318" s="72"/>
      <c r="Y318" s="72"/>
      <c r="Z318" s="72"/>
      <c r="AA318" s="72"/>
      <c r="AB318" s="72">
        <f>AA318+AC318</f>
        <v>0</v>
      </c>
      <c r="AC318" s="72">
        <f>SUM(AD318:AM318)</f>
        <v>0</v>
      </c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97">
        <f>AN318+AP318</f>
        <v>0</v>
      </c>
      <c r="AP318" s="97">
        <f>SUM(AQ318:AZ318)</f>
        <v>0</v>
      </c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81">
        <f>BA318+BC318</f>
        <v>0</v>
      </c>
      <c r="BC318" s="98">
        <f>SUM(BD318:BH318)</f>
        <v>0</v>
      </c>
      <c r="BD318" s="97"/>
      <c r="BE318" s="97"/>
      <c r="BF318" s="97"/>
      <c r="BG318" s="97"/>
      <c r="BH318" s="97"/>
      <c r="BI318" s="72"/>
      <c r="BJ318" s="264">
        <f>BI318+BK318</f>
        <v>0</v>
      </c>
      <c r="BK318" s="97">
        <f>SUM(BL318:BU318)</f>
        <v>0</v>
      </c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204" t="s">
        <v>838</v>
      </c>
      <c r="BW318" s="86"/>
    </row>
    <row r="319" spans="1:75" s="198" customFormat="1" ht="12.75" x14ac:dyDescent="0.2">
      <c r="A319" s="108" t="s">
        <v>609</v>
      </c>
      <c r="B319" s="257" t="s">
        <v>650</v>
      </c>
      <c r="C319" s="330"/>
      <c r="D319" s="258">
        <f t="shared" ref="D319:BU319" si="883">SUM(D320)</f>
        <v>1</v>
      </c>
      <c r="E319" s="304">
        <f t="shared" si="883"/>
        <v>1</v>
      </c>
      <c r="F319" s="259">
        <f t="shared" ref="F319" si="884">SUM(F320)</f>
        <v>1</v>
      </c>
      <c r="G319" s="259">
        <f t="shared" si="883"/>
        <v>1</v>
      </c>
      <c r="H319" s="259">
        <f t="shared" si="883"/>
        <v>0</v>
      </c>
      <c r="I319" s="259">
        <f t="shared" si="883"/>
        <v>0</v>
      </c>
      <c r="J319" s="259">
        <f t="shared" si="883"/>
        <v>0</v>
      </c>
      <c r="K319" s="259">
        <f t="shared" si="883"/>
        <v>0</v>
      </c>
      <c r="L319" s="259">
        <f t="shared" si="883"/>
        <v>0</v>
      </c>
      <c r="M319" s="259">
        <f t="shared" si="883"/>
        <v>0</v>
      </c>
      <c r="N319" s="259">
        <f t="shared" si="883"/>
        <v>0</v>
      </c>
      <c r="O319" s="259">
        <f t="shared" si="883"/>
        <v>0</v>
      </c>
      <c r="P319" s="259">
        <f t="shared" si="883"/>
        <v>0</v>
      </c>
      <c r="Q319" s="259">
        <f t="shared" si="883"/>
        <v>0</v>
      </c>
      <c r="R319" s="259">
        <f t="shared" si="883"/>
        <v>0</v>
      </c>
      <c r="S319" s="259"/>
      <c r="T319" s="259"/>
      <c r="U319" s="259"/>
      <c r="V319" s="259"/>
      <c r="W319" s="259"/>
      <c r="X319" s="259">
        <f t="shared" si="883"/>
        <v>0</v>
      </c>
      <c r="Y319" s="259"/>
      <c r="Z319" s="259">
        <f t="shared" si="883"/>
        <v>0</v>
      </c>
      <c r="AA319" s="259">
        <f t="shared" ref="AA319" si="885">SUM(AA320)</f>
        <v>0</v>
      </c>
      <c r="AB319" s="259">
        <f t="shared" si="883"/>
        <v>0</v>
      </c>
      <c r="AC319" s="259">
        <f t="shared" si="883"/>
        <v>0</v>
      </c>
      <c r="AD319" s="259">
        <f t="shared" si="883"/>
        <v>0</v>
      </c>
      <c r="AE319" s="259">
        <f t="shared" si="883"/>
        <v>0</v>
      </c>
      <c r="AF319" s="259">
        <f t="shared" si="883"/>
        <v>0</v>
      </c>
      <c r="AG319" s="259">
        <f t="shared" si="883"/>
        <v>0</v>
      </c>
      <c r="AH319" s="259">
        <f t="shared" si="883"/>
        <v>0</v>
      </c>
      <c r="AI319" s="259">
        <f t="shared" si="883"/>
        <v>0</v>
      </c>
      <c r="AJ319" s="259">
        <f t="shared" si="883"/>
        <v>0</v>
      </c>
      <c r="AK319" s="259">
        <f t="shared" si="883"/>
        <v>0</v>
      </c>
      <c r="AL319" s="259">
        <f t="shared" si="883"/>
        <v>0</v>
      </c>
      <c r="AM319" s="259">
        <f t="shared" si="883"/>
        <v>0</v>
      </c>
      <c r="AN319" s="259">
        <f t="shared" ref="AN319" si="886">SUM(AN320)</f>
        <v>0</v>
      </c>
      <c r="AO319" s="260">
        <f t="shared" si="883"/>
        <v>0</v>
      </c>
      <c r="AP319" s="260">
        <f t="shared" si="883"/>
        <v>0</v>
      </c>
      <c r="AQ319" s="260">
        <f t="shared" si="883"/>
        <v>0</v>
      </c>
      <c r="AR319" s="260">
        <f t="shared" si="883"/>
        <v>0</v>
      </c>
      <c r="AS319" s="260">
        <f t="shared" si="883"/>
        <v>0</v>
      </c>
      <c r="AT319" s="260">
        <f t="shared" si="883"/>
        <v>0</v>
      </c>
      <c r="AU319" s="260">
        <f t="shared" si="883"/>
        <v>0</v>
      </c>
      <c r="AV319" s="260">
        <f t="shared" si="883"/>
        <v>0</v>
      </c>
      <c r="AW319" s="260">
        <f t="shared" si="883"/>
        <v>0</v>
      </c>
      <c r="AX319" s="260">
        <f t="shared" si="883"/>
        <v>0</v>
      </c>
      <c r="AY319" s="260">
        <f t="shared" si="883"/>
        <v>0</v>
      </c>
      <c r="AZ319" s="260">
        <f t="shared" si="883"/>
        <v>0</v>
      </c>
      <c r="BA319" s="260">
        <f t="shared" ref="BA319" si="887">SUM(BA320)</f>
        <v>0</v>
      </c>
      <c r="BB319" s="259">
        <f t="shared" si="883"/>
        <v>0</v>
      </c>
      <c r="BC319" s="260">
        <f t="shared" si="883"/>
        <v>0</v>
      </c>
      <c r="BD319" s="260">
        <f t="shared" si="883"/>
        <v>0</v>
      </c>
      <c r="BE319" s="260">
        <f t="shared" si="883"/>
        <v>0</v>
      </c>
      <c r="BF319" s="260">
        <f t="shared" si="883"/>
        <v>0</v>
      </c>
      <c r="BG319" s="260">
        <f t="shared" si="883"/>
        <v>0</v>
      </c>
      <c r="BH319" s="260">
        <f t="shared" si="883"/>
        <v>0</v>
      </c>
      <c r="BI319" s="259">
        <f t="shared" ref="BI319" si="888">SUM(BI320)</f>
        <v>0</v>
      </c>
      <c r="BJ319" s="316">
        <f t="shared" si="883"/>
        <v>0</v>
      </c>
      <c r="BK319" s="260">
        <f t="shared" si="883"/>
        <v>0</v>
      </c>
      <c r="BL319" s="260">
        <f t="shared" si="883"/>
        <v>0</v>
      </c>
      <c r="BM319" s="260">
        <f t="shared" si="883"/>
        <v>0</v>
      </c>
      <c r="BN319" s="260">
        <f t="shared" si="883"/>
        <v>0</v>
      </c>
      <c r="BO319" s="260">
        <f t="shared" si="883"/>
        <v>0</v>
      </c>
      <c r="BP319" s="260">
        <f t="shared" si="883"/>
        <v>0</v>
      </c>
      <c r="BQ319" s="260">
        <f t="shared" si="883"/>
        <v>0</v>
      </c>
      <c r="BR319" s="260">
        <f t="shared" si="883"/>
        <v>0</v>
      </c>
      <c r="BS319" s="260">
        <f t="shared" si="883"/>
        <v>0</v>
      </c>
      <c r="BT319" s="260">
        <f t="shared" si="883"/>
        <v>0</v>
      </c>
      <c r="BU319" s="260">
        <f t="shared" si="883"/>
        <v>0</v>
      </c>
      <c r="BV319" s="204"/>
      <c r="BW319" s="86"/>
    </row>
    <row r="320" spans="1:75" s="198" customFormat="1" ht="24.75" customHeight="1" x14ac:dyDescent="0.2">
      <c r="A320" s="102">
        <v>50003220021</v>
      </c>
      <c r="B320" s="440" t="s">
        <v>508</v>
      </c>
      <c r="C320" s="439"/>
      <c r="D320" s="80">
        <f>F320+AA320+AN320+BA320+BI320</f>
        <v>1</v>
      </c>
      <c r="E320" s="295">
        <f>G320+AB320+AO320+BB320+BJ320</f>
        <v>1</v>
      </c>
      <c r="F320" s="81">
        <v>1</v>
      </c>
      <c r="G320" s="81">
        <f>F320+H320</f>
        <v>1</v>
      </c>
      <c r="H320" s="81">
        <f>SUM(I320:Z320)</f>
        <v>0</v>
      </c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>
        <f>AA320+AC320</f>
        <v>0</v>
      </c>
      <c r="AC320" s="81">
        <f>SUM(AD320:AM320)</f>
        <v>0</v>
      </c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98">
        <f>AN320+AP320</f>
        <v>0</v>
      </c>
      <c r="AP320" s="98">
        <f>SUM(AQ320:AZ320)</f>
        <v>0</v>
      </c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81">
        <f>BA320+BC320</f>
        <v>0</v>
      </c>
      <c r="BC320" s="98">
        <f>SUM(BD320:BH320)</f>
        <v>0</v>
      </c>
      <c r="BD320" s="98"/>
      <c r="BE320" s="98"/>
      <c r="BF320" s="98"/>
      <c r="BG320" s="98"/>
      <c r="BH320" s="98"/>
      <c r="BI320" s="81"/>
      <c r="BJ320" s="309">
        <f>BI320+BK320</f>
        <v>0</v>
      </c>
      <c r="BK320" s="98">
        <f>SUM(BL320:BU320)</f>
        <v>0</v>
      </c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82" t="s">
        <v>696</v>
      </c>
      <c r="BW320" s="85"/>
    </row>
    <row r="321" spans="1:77" s="194" customFormat="1" ht="10.5" customHeight="1" thickBot="1" x14ac:dyDescent="0.25">
      <c r="A321" s="108"/>
      <c r="B321" s="201"/>
      <c r="C321" s="327"/>
      <c r="D321" s="139"/>
      <c r="E321" s="299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  <c r="AK321" s="170"/>
      <c r="AL321" s="170"/>
      <c r="AM321" s="170"/>
      <c r="AN321" s="170"/>
      <c r="AO321" s="203"/>
      <c r="AP321" s="203"/>
      <c r="AQ321" s="203"/>
      <c r="AR321" s="203"/>
      <c r="AS321" s="203"/>
      <c r="AT321" s="203"/>
      <c r="AU321" s="203"/>
      <c r="AV321" s="203"/>
      <c r="AW321" s="203"/>
      <c r="AX321" s="203"/>
      <c r="AY321" s="203"/>
      <c r="AZ321" s="203"/>
      <c r="BA321" s="203"/>
      <c r="BB321" s="170"/>
      <c r="BC321" s="203"/>
      <c r="BD321" s="203"/>
      <c r="BE321" s="203"/>
      <c r="BF321" s="203"/>
      <c r="BG321" s="203"/>
      <c r="BH321" s="203"/>
      <c r="BI321" s="170"/>
      <c r="BJ321" s="311"/>
      <c r="BK321" s="203"/>
      <c r="BL321" s="203"/>
      <c r="BM321" s="203"/>
      <c r="BN321" s="203"/>
      <c r="BO321" s="203"/>
      <c r="BP321" s="203"/>
      <c r="BQ321" s="203"/>
      <c r="BR321" s="203"/>
      <c r="BS321" s="203"/>
      <c r="BT321" s="203"/>
      <c r="BU321" s="203"/>
      <c r="BV321" s="204"/>
      <c r="BW321" s="88"/>
    </row>
    <row r="322" spans="1:77" ht="13.5" thickTop="1" thickBot="1" x14ac:dyDescent="0.25">
      <c r="A322" s="219"/>
      <c r="B322" s="238" t="s">
        <v>608</v>
      </c>
      <c r="C322" s="331"/>
      <c r="D322" s="14">
        <f t="shared" ref="D322:AP322" si="889">D265+D266+D296+D316+D319</f>
        <v>108920690</v>
      </c>
      <c r="E322" s="300">
        <f t="shared" si="889"/>
        <v>113601602</v>
      </c>
      <c r="F322" s="239">
        <f t="shared" si="889"/>
        <v>97062923</v>
      </c>
      <c r="G322" s="239">
        <f t="shared" si="889"/>
        <v>101323079</v>
      </c>
      <c r="H322" s="239">
        <f t="shared" si="889"/>
        <v>4260156</v>
      </c>
      <c r="I322" s="239">
        <f t="shared" si="889"/>
        <v>92564</v>
      </c>
      <c r="J322" s="239">
        <f t="shared" si="889"/>
        <v>0</v>
      </c>
      <c r="K322" s="239">
        <f t="shared" si="889"/>
        <v>6070235</v>
      </c>
      <c r="L322" s="239">
        <f t="shared" si="889"/>
        <v>662596</v>
      </c>
      <c r="M322" s="239">
        <f t="shared" si="889"/>
        <v>556643</v>
      </c>
      <c r="N322" s="239">
        <f t="shared" si="889"/>
        <v>0</v>
      </c>
      <c r="O322" s="239">
        <f t="shared" si="889"/>
        <v>0</v>
      </c>
      <c r="P322" s="239">
        <f t="shared" si="889"/>
        <v>0</v>
      </c>
      <c r="Q322" s="239">
        <f t="shared" si="889"/>
        <v>-498467</v>
      </c>
      <c r="R322" s="239">
        <f t="shared" si="889"/>
        <v>0</v>
      </c>
      <c r="S322" s="239">
        <f t="shared" si="889"/>
        <v>-5928507</v>
      </c>
      <c r="T322" s="239"/>
      <c r="U322" s="239">
        <f t="shared" si="889"/>
        <v>3528386</v>
      </c>
      <c r="V322" s="239"/>
      <c r="W322" s="239">
        <f t="shared" si="889"/>
        <v>-220417</v>
      </c>
      <c r="X322" s="239">
        <f t="shared" ref="X322" si="890">X265+X266+X296+X316+X319</f>
        <v>0</v>
      </c>
      <c r="Y322" s="239">
        <f t="shared" si="889"/>
        <v>-2877</v>
      </c>
      <c r="Z322" s="239">
        <f t="shared" si="889"/>
        <v>0</v>
      </c>
      <c r="AA322" s="239">
        <f t="shared" si="889"/>
        <v>11157908</v>
      </c>
      <c r="AB322" s="239">
        <f t="shared" si="889"/>
        <v>11717094</v>
      </c>
      <c r="AC322" s="239">
        <f t="shared" si="889"/>
        <v>559186</v>
      </c>
      <c r="AD322" s="239">
        <f t="shared" si="889"/>
        <v>30268</v>
      </c>
      <c r="AE322" s="239">
        <f t="shared" si="889"/>
        <v>382567</v>
      </c>
      <c r="AF322" s="239">
        <f t="shared" si="889"/>
        <v>41239</v>
      </c>
      <c r="AG322" s="239">
        <f t="shared" si="889"/>
        <v>27633</v>
      </c>
      <c r="AH322" s="239">
        <f t="shared" si="889"/>
        <v>5573</v>
      </c>
      <c r="AI322" s="239">
        <f t="shared" si="889"/>
        <v>33143</v>
      </c>
      <c r="AJ322" s="239">
        <f t="shared" si="889"/>
        <v>38763</v>
      </c>
      <c r="AK322" s="239">
        <f t="shared" si="889"/>
        <v>0</v>
      </c>
      <c r="AL322" s="239">
        <f t="shared" si="889"/>
        <v>0</v>
      </c>
      <c r="AM322" s="239">
        <f t="shared" si="889"/>
        <v>0</v>
      </c>
      <c r="AN322" s="239">
        <f t="shared" si="889"/>
        <v>1746549</v>
      </c>
      <c r="AO322" s="240">
        <f t="shared" si="889"/>
        <v>1820302</v>
      </c>
      <c r="AP322" s="240">
        <f t="shared" si="889"/>
        <v>73753</v>
      </c>
      <c r="AQ322" s="240">
        <f t="shared" ref="AQ322:BU322" si="891">AQ265+AQ266+AQ296+AQ316+AQ319</f>
        <v>159470</v>
      </c>
      <c r="AR322" s="240">
        <f t="shared" si="891"/>
        <v>-99908</v>
      </c>
      <c r="AS322" s="240">
        <f t="shared" si="891"/>
        <v>111</v>
      </c>
      <c r="AT322" s="240">
        <f t="shared" si="891"/>
        <v>2875</v>
      </c>
      <c r="AU322" s="240">
        <f t="shared" si="891"/>
        <v>100</v>
      </c>
      <c r="AV322" s="240">
        <f t="shared" si="891"/>
        <v>1514</v>
      </c>
      <c r="AW322" s="240">
        <f t="shared" si="891"/>
        <v>5981</v>
      </c>
      <c r="AX322" s="240">
        <f t="shared" si="891"/>
        <v>3610</v>
      </c>
      <c r="AY322" s="240">
        <f t="shared" si="891"/>
        <v>0</v>
      </c>
      <c r="AZ322" s="240">
        <f t="shared" si="891"/>
        <v>0</v>
      </c>
      <c r="BA322" s="240">
        <f t="shared" si="891"/>
        <v>538</v>
      </c>
      <c r="BB322" s="239">
        <f t="shared" si="891"/>
        <v>569</v>
      </c>
      <c r="BC322" s="240">
        <f t="shared" si="891"/>
        <v>31</v>
      </c>
      <c r="BD322" s="240">
        <f t="shared" si="891"/>
        <v>31</v>
      </c>
      <c r="BE322" s="240">
        <f t="shared" si="891"/>
        <v>0</v>
      </c>
      <c r="BF322" s="240">
        <f t="shared" si="891"/>
        <v>0</v>
      </c>
      <c r="BG322" s="240">
        <f t="shared" si="891"/>
        <v>0</v>
      </c>
      <c r="BH322" s="240">
        <f t="shared" si="891"/>
        <v>0</v>
      </c>
      <c r="BI322" s="239">
        <f t="shared" si="891"/>
        <v>-1047228</v>
      </c>
      <c r="BJ322" s="317">
        <f t="shared" si="891"/>
        <v>-1259442</v>
      </c>
      <c r="BK322" s="240">
        <f t="shared" si="891"/>
        <v>-212214</v>
      </c>
      <c r="BL322" s="240">
        <f t="shared" si="891"/>
        <v>-11045</v>
      </c>
      <c r="BM322" s="240">
        <f t="shared" si="891"/>
        <v>-206523</v>
      </c>
      <c r="BN322" s="240">
        <f t="shared" si="891"/>
        <v>-18678</v>
      </c>
      <c r="BO322" s="240">
        <f t="shared" si="891"/>
        <v>45158</v>
      </c>
      <c r="BP322" s="240">
        <f t="shared" si="891"/>
        <v>-7681</v>
      </c>
      <c r="BQ322" s="240">
        <f t="shared" si="891"/>
        <v>20825</v>
      </c>
      <c r="BR322" s="240">
        <f t="shared" si="891"/>
        <v>-1738</v>
      </c>
      <c r="BS322" s="240">
        <f t="shared" si="891"/>
        <v>-336</v>
      </c>
      <c r="BT322" s="240">
        <f t="shared" si="891"/>
        <v>-32196</v>
      </c>
      <c r="BU322" s="240">
        <f t="shared" si="891"/>
        <v>0</v>
      </c>
      <c r="BV322" s="15"/>
      <c r="BW322" s="89"/>
    </row>
    <row r="323" spans="1:77" ht="12.75" hidden="1" outlineLevel="1" thickTop="1" x14ac:dyDescent="0.2">
      <c r="B323" s="16" t="s">
        <v>22</v>
      </c>
      <c r="C323" s="16"/>
      <c r="D323" s="17">
        <f t="shared" ref="D323:AP323" si="892">SUM(D12:D27,D29:D35,D37:D63,D65:D73,D75:D85,D87:D92,D94:D132,D134:D241,D243:D264,D267:D295,D298:D298,D300:D303,D305:D307,D309:D311,D313:D314,D317,D320)</f>
        <v>108920690</v>
      </c>
      <c r="E323" s="17">
        <f t="shared" si="892"/>
        <v>113112314</v>
      </c>
      <c r="F323" s="17">
        <f t="shared" si="892"/>
        <v>97062923</v>
      </c>
      <c r="G323" s="17">
        <f t="shared" si="892"/>
        <v>100833791</v>
      </c>
      <c r="H323" s="17">
        <f t="shared" si="892"/>
        <v>3770868</v>
      </c>
      <c r="I323" s="17">
        <f t="shared" si="892"/>
        <v>92564</v>
      </c>
      <c r="J323" s="17">
        <f t="shared" si="892"/>
        <v>0</v>
      </c>
      <c r="K323" s="17">
        <f t="shared" si="892"/>
        <v>6070235</v>
      </c>
      <c r="L323" s="17">
        <f t="shared" si="892"/>
        <v>662596</v>
      </c>
      <c r="M323" s="17">
        <f t="shared" si="892"/>
        <v>556643</v>
      </c>
      <c r="N323" s="17">
        <f t="shared" si="892"/>
        <v>0</v>
      </c>
      <c r="O323" s="17">
        <f t="shared" si="892"/>
        <v>0</v>
      </c>
      <c r="P323" s="17">
        <f t="shared" si="892"/>
        <v>0</v>
      </c>
      <c r="Q323" s="17">
        <f t="shared" si="892"/>
        <v>-498467</v>
      </c>
      <c r="R323" s="17">
        <f t="shared" si="892"/>
        <v>0</v>
      </c>
      <c r="S323" s="17">
        <f t="shared" si="892"/>
        <v>-5928507</v>
      </c>
      <c r="T323" s="17"/>
      <c r="U323" s="17">
        <f t="shared" si="892"/>
        <v>3528386</v>
      </c>
      <c r="V323" s="17"/>
      <c r="W323" s="17">
        <f t="shared" si="892"/>
        <v>-709705</v>
      </c>
      <c r="X323" s="17">
        <f t="shared" ref="X323" si="893">SUM(X12:X27,X29:X35,X37:X63,X65:X73,X75:X85,X87:X92,X94:X132,X134:X241,X243:X264,X267:X295,X298:X298,X300:X303,X305:X307,X309:X311,X313:X314,X317,X320)</f>
        <v>0</v>
      </c>
      <c r="Y323" s="17">
        <f t="shared" si="892"/>
        <v>-2877</v>
      </c>
      <c r="Z323" s="17">
        <f t="shared" si="892"/>
        <v>0</v>
      </c>
      <c r="AA323" s="17">
        <f t="shared" si="892"/>
        <v>11157908</v>
      </c>
      <c r="AB323" s="17">
        <f t="shared" si="892"/>
        <v>11717094</v>
      </c>
      <c r="AC323" s="17">
        <f t="shared" si="892"/>
        <v>559186</v>
      </c>
      <c r="AD323" s="17">
        <f t="shared" si="892"/>
        <v>30268</v>
      </c>
      <c r="AE323" s="17">
        <f t="shared" si="892"/>
        <v>382567</v>
      </c>
      <c r="AF323" s="17">
        <f t="shared" si="892"/>
        <v>41239</v>
      </c>
      <c r="AG323" s="17">
        <f t="shared" si="892"/>
        <v>27633</v>
      </c>
      <c r="AH323" s="17">
        <f t="shared" si="892"/>
        <v>5573</v>
      </c>
      <c r="AI323" s="17">
        <f t="shared" si="892"/>
        <v>33143</v>
      </c>
      <c r="AJ323" s="17">
        <f t="shared" si="892"/>
        <v>38763</v>
      </c>
      <c r="AK323" s="17">
        <f t="shared" si="892"/>
        <v>0</v>
      </c>
      <c r="AL323" s="17">
        <f t="shared" si="892"/>
        <v>0</v>
      </c>
      <c r="AM323" s="17">
        <f t="shared" si="892"/>
        <v>0</v>
      </c>
      <c r="AN323" s="17">
        <f t="shared" si="892"/>
        <v>1746549</v>
      </c>
      <c r="AO323" s="17">
        <f t="shared" si="892"/>
        <v>1820302</v>
      </c>
      <c r="AP323" s="17">
        <f t="shared" si="892"/>
        <v>73753</v>
      </c>
      <c r="AQ323" s="17">
        <f t="shared" ref="AQ323:BU323" si="894">SUM(AQ12:AQ27,AQ29:AQ35,AQ37:AQ63,AQ65:AQ73,AQ75:AQ85,AQ87:AQ92,AQ94:AQ132,AQ134:AQ241,AQ243:AQ264,AQ267:AQ295,AQ298:AQ298,AQ300:AQ303,AQ305:AQ307,AQ309:AQ311,AQ313:AQ314,AQ317,AQ320)</f>
        <v>159470</v>
      </c>
      <c r="AR323" s="17">
        <f t="shared" si="894"/>
        <v>-99908</v>
      </c>
      <c r="AS323" s="17">
        <f t="shared" si="894"/>
        <v>111</v>
      </c>
      <c r="AT323" s="17">
        <f t="shared" si="894"/>
        <v>2875</v>
      </c>
      <c r="AU323" s="17">
        <f t="shared" si="894"/>
        <v>100</v>
      </c>
      <c r="AV323" s="17">
        <f t="shared" si="894"/>
        <v>1514</v>
      </c>
      <c r="AW323" s="17">
        <f t="shared" si="894"/>
        <v>5981</v>
      </c>
      <c r="AX323" s="17">
        <f t="shared" si="894"/>
        <v>3610</v>
      </c>
      <c r="AY323" s="17">
        <f t="shared" si="894"/>
        <v>0</v>
      </c>
      <c r="AZ323" s="17">
        <f t="shared" si="894"/>
        <v>0</v>
      </c>
      <c r="BA323" s="17">
        <f t="shared" si="894"/>
        <v>538</v>
      </c>
      <c r="BB323" s="17">
        <f t="shared" si="894"/>
        <v>569</v>
      </c>
      <c r="BC323" s="17">
        <f t="shared" si="894"/>
        <v>31</v>
      </c>
      <c r="BD323" s="17">
        <f t="shared" si="894"/>
        <v>31</v>
      </c>
      <c r="BE323" s="17">
        <f t="shared" si="894"/>
        <v>0</v>
      </c>
      <c r="BF323" s="17">
        <f t="shared" si="894"/>
        <v>0</v>
      </c>
      <c r="BG323" s="17">
        <f t="shared" si="894"/>
        <v>0</v>
      </c>
      <c r="BH323" s="17">
        <f t="shared" si="894"/>
        <v>0</v>
      </c>
      <c r="BI323" s="17">
        <f t="shared" si="894"/>
        <v>-1047228</v>
      </c>
      <c r="BJ323" s="17">
        <f t="shared" si="894"/>
        <v>-1259442</v>
      </c>
      <c r="BK323" s="17">
        <f t="shared" si="894"/>
        <v>-212214</v>
      </c>
      <c r="BL323" s="17">
        <f t="shared" si="894"/>
        <v>-11045</v>
      </c>
      <c r="BM323" s="17">
        <f t="shared" si="894"/>
        <v>-206523</v>
      </c>
      <c r="BN323" s="17">
        <f t="shared" si="894"/>
        <v>-18678</v>
      </c>
      <c r="BO323" s="17">
        <f t="shared" si="894"/>
        <v>45158</v>
      </c>
      <c r="BP323" s="17">
        <f t="shared" si="894"/>
        <v>-7681</v>
      </c>
      <c r="BQ323" s="17">
        <f t="shared" si="894"/>
        <v>20825</v>
      </c>
      <c r="BR323" s="17">
        <f t="shared" si="894"/>
        <v>-1738</v>
      </c>
      <c r="BS323" s="17">
        <f t="shared" si="894"/>
        <v>-336</v>
      </c>
      <c r="BT323" s="17">
        <f t="shared" si="894"/>
        <v>-32196</v>
      </c>
      <c r="BU323" s="17">
        <f t="shared" si="894"/>
        <v>0</v>
      </c>
      <c r="BV323" s="18"/>
      <c r="BW323" s="198"/>
    </row>
    <row r="324" spans="1:77" hidden="1" outlineLevel="1" x14ac:dyDescent="0.2">
      <c r="B324" s="16" t="s">
        <v>23</v>
      </c>
      <c r="C324" s="16"/>
      <c r="D324" s="17">
        <f t="shared" ref="D324:AP324" si="895">D11+D28+D36+D64+D74+D86+D93+D133+D242+D266+D296+D316+D319</f>
        <v>108920690</v>
      </c>
      <c r="E324" s="17">
        <f t="shared" si="895"/>
        <v>113601602</v>
      </c>
      <c r="F324" s="17">
        <f t="shared" si="895"/>
        <v>97062923</v>
      </c>
      <c r="G324" s="17">
        <f t="shared" si="895"/>
        <v>101323079</v>
      </c>
      <c r="H324" s="17">
        <f t="shared" si="895"/>
        <v>4260156</v>
      </c>
      <c r="I324" s="17">
        <f t="shared" si="895"/>
        <v>92564</v>
      </c>
      <c r="J324" s="17">
        <f t="shared" si="895"/>
        <v>0</v>
      </c>
      <c r="K324" s="17">
        <f t="shared" si="895"/>
        <v>6070235</v>
      </c>
      <c r="L324" s="17">
        <f t="shared" si="895"/>
        <v>662596</v>
      </c>
      <c r="M324" s="17">
        <f t="shared" si="895"/>
        <v>556643</v>
      </c>
      <c r="N324" s="17">
        <f t="shared" si="895"/>
        <v>0</v>
      </c>
      <c r="O324" s="17">
        <f t="shared" si="895"/>
        <v>0</v>
      </c>
      <c r="P324" s="17">
        <f t="shared" si="895"/>
        <v>0</v>
      </c>
      <c r="Q324" s="17">
        <f t="shared" si="895"/>
        <v>-498467</v>
      </c>
      <c r="R324" s="17">
        <f t="shared" si="895"/>
        <v>0</v>
      </c>
      <c r="S324" s="17">
        <f t="shared" si="895"/>
        <v>-5928507</v>
      </c>
      <c r="T324" s="17"/>
      <c r="U324" s="17">
        <f t="shared" si="895"/>
        <v>3528386</v>
      </c>
      <c r="V324" s="17"/>
      <c r="W324" s="17">
        <f t="shared" si="895"/>
        <v>-220417</v>
      </c>
      <c r="X324" s="17">
        <f t="shared" ref="X324" si="896">X11+X28+X36+X64+X74+X86+X93+X133+X242+X266+X296+X316+X319</f>
        <v>0</v>
      </c>
      <c r="Y324" s="17">
        <f t="shared" si="895"/>
        <v>-2877</v>
      </c>
      <c r="Z324" s="17">
        <f t="shared" si="895"/>
        <v>0</v>
      </c>
      <c r="AA324" s="17">
        <f t="shared" si="895"/>
        <v>11157908</v>
      </c>
      <c r="AB324" s="17">
        <f t="shared" si="895"/>
        <v>11717094</v>
      </c>
      <c r="AC324" s="17">
        <f t="shared" si="895"/>
        <v>559186</v>
      </c>
      <c r="AD324" s="17">
        <f t="shared" si="895"/>
        <v>30268</v>
      </c>
      <c r="AE324" s="17">
        <f t="shared" si="895"/>
        <v>382567</v>
      </c>
      <c r="AF324" s="17">
        <f t="shared" si="895"/>
        <v>41239</v>
      </c>
      <c r="AG324" s="17">
        <f t="shared" si="895"/>
        <v>27633</v>
      </c>
      <c r="AH324" s="17">
        <f t="shared" si="895"/>
        <v>5573</v>
      </c>
      <c r="AI324" s="17">
        <f t="shared" si="895"/>
        <v>33143</v>
      </c>
      <c r="AJ324" s="17">
        <f t="shared" si="895"/>
        <v>38763</v>
      </c>
      <c r="AK324" s="17">
        <f t="shared" si="895"/>
        <v>0</v>
      </c>
      <c r="AL324" s="17">
        <f t="shared" si="895"/>
        <v>0</v>
      </c>
      <c r="AM324" s="17">
        <f t="shared" si="895"/>
        <v>0</v>
      </c>
      <c r="AN324" s="17">
        <f t="shared" si="895"/>
        <v>1746549</v>
      </c>
      <c r="AO324" s="17">
        <f t="shared" si="895"/>
        <v>1820302</v>
      </c>
      <c r="AP324" s="17">
        <f t="shared" si="895"/>
        <v>73753</v>
      </c>
      <c r="AQ324" s="17">
        <f t="shared" ref="AQ324:BU324" si="897">AQ11+AQ28+AQ36+AQ64+AQ74+AQ86+AQ93+AQ133+AQ242+AQ266+AQ296+AQ316+AQ319</f>
        <v>159470</v>
      </c>
      <c r="AR324" s="17">
        <f t="shared" si="897"/>
        <v>-99908</v>
      </c>
      <c r="AS324" s="17">
        <f t="shared" si="897"/>
        <v>111</v>
      </c>
      <c r="AT324" s="17">
        <f t="shared" si="897"/>
        <v>2875</v>
      </c>
      <c r="AU324" s="17">
        <f t="shared" si="897"/>
        <v>100</v>
      </c>
      <c r="AV324" s="17">
        <f t="shared" si="897"/>
        <v>1514</v>
      </c>
      <c r="AW324" s="17">
        <f t="shared" si="897"/>
        <v>5981</v>
      </c>
      <c r="AX324" s="17">
        <f t="shared" si="897"/>
        <v>3610</v>
      </c>
      <c r="AY324" s="17">
        <f t="shared" si="897"/>
        <v>0</v>
      </c>
      <c r="AZ324" s="17">
        <f t="shared" si="897"/>
        <v>0</v>
      </c>
      <c r="BA324" s="17">
        <f t="shared" si="897"/>
        <v>538</v>
      </c>
      <c r="BB324" s="17">
        <f t="shared" si="897"/>
        <v>569</v>
      </c>
      <c r="BC324" s="17">
        <f t="shared" si="897"/>
        <v>31</v>
      </c>
      <c r="BD324" s="17">
        <f t="shared" si="897"/>
        <v>31</v>
      </c>
      <c r="BE324" s="17">
        <f t="shared" si="897"/>
        <v>0</v>
      </c>
      <c r="BF324" s="17">
        <f t="shared" si="897"/>
        <v>0</v>
      </c>
      <c r="BG324" s="17">
        <f t="shared" si="897"/>
        <v>0</v>
      </c>
      <c r="BH324" s="17">
        <f t="shared" si="897"/>
        <v>0</v>
      </c>
      <c r="BI324" s="17">
        <f t="shared" si="897"/>
        <v>-1047228</v>
      </c>
      <c r="BJ324" s="17">
        <f t="shared" si="897"/>
        <v>-1259442</v>
      </c>
      <c r="BK324" s="17">
        <f t="shared" si="897"/>
        <v>-212214</v>
      </c>
      <c r="BL324" s="17">
        <f t="shared" si="897"/>
        <v>-11045</v>
      </c>
      <c r="BM324" s="17">
        <f t="shared" si="897"/>
        <v>-206523</v>
      </c>
      <c r="BN324" s="17">
        <f t="shared" si="897"/>
        <v>-18678</v>
      </c>
      <c r="BO324" s="17">
        <f t="shared" si="897"/>
        <v>45158</v>
      </c>
      <c r="BP324" s="17">
        <f t="shared" si="897"/>
        <v>-7681</v>
      </c>
      <c r="BQ324" s="17">
        <f t="shared" si="897"/>
        <v>20825</v>
      </c>
      <c r="BR324" s="17">
        <f t="shared" si="897"/>
        <v>-1738</v>
      </c>
      <c r="BS324" s="17">
        <f t="shared" si="897"/>
        <v>-336</v>
      </c>
      <c r="BT324" s="17">
        <f t="shared" si="897"/>
        <v>-32196</v>
      </c>
      <c r="BU324" s="17">
        <f t="shared" si="897"/>
        <v>0</v>
      </c>
      <c r="BV324" s="18"/>
      <c r="BW324" s="198"/>
    </row>
    <row r="325" spans="1:77" hidden="1" outlineLevel="1" x14ac:dyDescent="0.2">
      <c r="B325" s="16" t="s">
        <v>24</v>
      </c>
      <c r="C325" s="16"/>
      <c r="D325" s="19" t="str">
        <f t="shared" ref="D325:BV325" si="898">IF(D322=D323=D324,"PROBLEM","")</f>
        <v/>
      </c>
      <c r="E325" s="19"/>
      <c r="F325" s="19" t="str">
        <f t="shared" si="898"/>
        <v/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 t="str">
        <f t="shared" si="898"/>
        <v/>
      </c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 t="str">
        <f t="shared" si="898"/>
        <v/>
      </c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 t="str">
        <f t="shared" si="898"/>
        <v/>
      </c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20" t="str">
        <f t="shared" si="898"/>
        <v/>
      </c>
      <c r="BW325" s="198"/>
    </row>
    <row r="326" spans="1:77" hidden="1" outlineLevel="1" x14ac:dyDescent="0.2">
      <c r="B326" s="13"/>
      <c r="C326" s="13"/>
      <c r="F326" s="198"/>
      <c r="AA326" s="198"/>
      <c r="BA326" s="198"/>
      <c r="BI326" s="198"/>
      <c r="BW326" s="198"/>
    </row>
    <row r="327" spans="1:77" s="22" customFormat="1" hidden="1" outlineLevel="1" x14ac:dyDescent="0.2">
      <c r="B327" s="21"/>
      <c r="C327" s="21" t="s">
        <v>274</v>
      </c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  <c r="AD327" s="127"/>
      <c r="AE327" s="127"/>
      <c r="AF327" s="127"/>
      <c r="AG327" s="127"/>
      <c r="AH327" s="127"/>
      <c r="AI327" s="23"/>
      <c r="AJ327" s="23"/>
      <c r="AK327" s="23"/>
      <c r="AL327" s="23"/>
      <c r="AM327" s="23"/>
      <c r="AN327" s="23"/>
      <c r="AO327" s="127"/>
      <c r="AP327" s="127"/>
      <c r="AQ327" s="127"/>
      <c r="AR327" s="127"/>
      <c r="AS327" s="127"/>
      <c r="AT327" s="127"/>
      <c r="AU327" s="127"/>
      <c r="AV327" s="127"/>
      <c r="AW327" s="127"/>
      <c r="AX327" s="127"/>
      <c r="AY327" s="127"/>
      <c r="AZ327" s="127"/>
      <c r="BA327" s="127"/>
      <c r="BB327" s="127"/>
      <c r="BC327" s="127"/>
      <c r="BD327" s="127"/>
      <c r="BE327" s="127"/>
      <c r="BF327" s="127"/>
      <c r="BG327" s="127"/>
      <c r="BH327" s="127"/>
      <c r="BI327" s="127"/>
      <c r="BJ327" s="127"/>
      <c r="BK327" s="127"/>
      <c r="BL327" s="127"/>
      <c r="BM327" s="127"/>
      <c r="BN327" s="127"/>
      <c r="BO327" s="127"/>
      <c r="BP327" s="127"/>
      <c r="BQ327" s="127"/>
      <c r="BR327" s="127"/>
      <c r="BS327" s="127"/>
      <c r="BT327" s="127"/>
      <c r="BU327" s="127"/>
      <c r="BV327" s="380"/>
      <c r="BW327" s="3"/>
      <c r="BX327" s="3"/>
      <c r="BY327" s="3"/>
    </row>
    <row r="328" spans="1:77" hidden="1" outlineLevel="1" x14ac:dyDescent="0.2">
      <c r="B328" s="13"/>
      <c r="C328" s="13"/>
      <c r="D328" s="127">
        <f>Ienemumi!AH160-E322</f>
        <v>0</v>
      </c>
      <c r="E328" s="127"/>
      <c r="F328" s="198"/>
      <c r="AA328" s="198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W328" s="198"/>
      <c r="BX328" s="198"/>
      <c r="BY328" s="198"/>
    </row>
    <row r="329" spans="1:77" ht="12.75" collapsed="1" thickTop="1" x14ac:dyDescent="0.2">
      <c r="B329" s="13"/>
      <c r="C329" s="13"/>
      <c r="D329" s="127"/>
      <c r="E329" s="127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63"/>
      <c r="AG329" s="263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  <c r="AS329" s="263"/>
      <c r="AT329" s="263"/>
      <c r="AU329" s="263"/>
      <c r="AV329" s="263"/>
      <c r="AW329" s="263"/>
      <c r="AX329" s="263"/>
      <c r="AY329" s="263"/>
      <c r="AZ329" s="263"/>
      <c r="BA329" s="263"/>
      <c r="BB329" s="263"/>
      <c r="BC329" s="263"/>
      <c r="BD329" s="263"/>
      <c r="BE329" s="263"/>
      <c r="BF329" s="263"/>
      <c r="BG329" s="263"/>
      <c r="BH329" s="263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W329" s="198"/>
      <c r="BX329" s="198"/>
      <c r="BY329" s="198"/>
    </row>
    <row r="330" spans="1:77" x14ac:dyDescent="0.2">
      <c r="B330" s="13"/>
      <c r="C330" s="13"/>
      <c r="D330" s="127"/>
      <c r="E330" s="127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4"/>
      <c r="W330" s="264"/>
      <c r="X330" s="264"/>
      <c r="Y330" s="264"/>
      <c r="Z330" s="264"/>
      <c r="AA330" s="264"/>
      <c r="AB330" s="264"/>
      <c r="AC330" s="264"/>
      <c r="AD330" s="264"/>
      <c r="AE330" s="264"/>
      <c r="AF330" s="264"/>
      <c r="AG330" s="264"/>
      <c r="AH330" s="264"/>
      <c r="AI330" s="264"/>
      <c r="AJ330" s="264"/>
      <c r="AK330" s="264"/>
      <c r="AL330" s="264"/>
      <c r="AM330" s="264"/>
      <c r="AN330" s="264"/>
      <c r="AO330" s="264"/>
      <c r="AP330" s="264"/>
      <c r="AQ330" s="264"/>
      <c r="AR330" s="264"/>
      <c r="AS330" s="264"/>
      <c r="AT330" s="264"/>
      <c r="AU330" s="264"/>
      <c r="AV330" s="264"/>
      <c r="AW330" s="264"/>
      <c r="AX330" s="264"/>
      <c r="AY330" s="264"/>
      <c r="AZ330" s="264"/>
      <c r="BA330" s="264"/>
      <c r="BB330" s="264"/>
      <c r="BC330" s="264"/>
      <c r="BD330" s="264"/>
      <c r="BE330" s="264"/>
      <c r="BF330" s="264"/>
      <c r="BG330" s="264"/>
      <c r="BH330" s="264"/>
      <c r="BI330" s="198"/>
      <c r="BW330" s="198"/>
      <c r="BX330" s="198"/>
      <c r="BY330" s="198"/>
    </row>
    <row r="331" spans="1:77" x14ac:dyDescent="0.2">
      <c r="B331" s="13"/>
      <c r="C331" s="13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4"/>
      <c r="W331" s="264"/>
      <c r="X331" s="264"/>
      <c r="Y331" s="264"/>
      <c r="Z331" s="264"/>
      <c r="AA331" s="264"/>
      <c r="AB331" s="264"/>
      <c r="AC331" s="264"/>
      <c r="AD331" s="264"/>
      <c r="AE331" s="264"/>
      <c r="AF331" s="264"/>
      <c r="AG331" s="264"/>
      <c r="AH331" s="264"/>
      <c r="AI331" s="264"/>
      <c r="AJ331" s="264"/>
      <c r="AK331" s="264"/>
      <c r="AL331" s="264"/>
      <c r="AM331" s="264"/>
      <c r="AN331" s="264"/>
      <c r="AO331" s="264"/>
      <c r="AP331" s="264"/>
      <c r="AQ331" s="264"/>
      <c r="AR331" s="264"/>
      <c r="AS331" s="264"/>
      <c r="AT331" s="264"/>
      <c r="AU331" s="264"/>
      <c r="AV331" s="264"/>
      <c r="AW331" s="264"/>
      <c r="AX331" s="264"/>
      <c r="AY331" s="264"/>
      <c r="AZ331" s="264"/>
      <c r="BA331" s="198"/>
      <c r="BI331" s="198"/>
      <c r="BW331" s="198"/>
      <c r="BX331" s="198"/>
      <c r="BY331" s="198"/>
    </row>
    <row r="332" spans="1:77" x14ac:dyDescent="0.2">
      <c r="B332" s="13"/>
      <c r="C332" s="13"/>
      <c r="BA332" s="198"/>
      <c r="BI332" s="198"/>
      <c r="BW332" s="198"/>
      <c r="BX332" s="198"/>
      <c r="BY332" s="198"/>
    </row>
    <row r="333" spans="1:77" x14ac:dyDescent="0.2">
      <c r="B333" s="13"/>
      <c r="C333" s="13"/>
      <c r="BA333" s="198"/>
      <c r="BI333" s="198"/>
      <c r="BW333" s="198"/>
      <c r="BX333" s="198"/>
      <c r="BY333" s="198"/>
    </row>
    <row r="334" spans="1:77" x14ac:dyDescent="0.2">
      <c r="B334" s="13"/>
      <c r="C334" s="13"/>
      <c r="BA334" s="198"/>
      <c r="BI334" s="198"/>
      <c r="BW334" s="198"/>
      <c r="BX334" s="198"/>
      <c r="BY334" s="198"/>
    </row>
    <row r="335" spans="1:77" x14ac:dyDescent="0.2">
      <c r="B335" s="13"/>
      <c r="C335" s="13"/>
      <c r="BA335" s="198"/>
      <c r="BI335" s="198"/>
      <c r="BW335" s="198"/>
      <c r="BX335" s="198"/>
      <c r="BY335" s="198"/>
    </row>
    <row r="336" spans="1:77" x14ac:dyDescent="0.2">
      <c r="B336" s="13"/>
      <c r="C336" s="13"/>
      <c r="BA336" s="198"/>
      <c r="BI336" s="198"/>
      <c r="BW336" s="198"/>
      <c r="BX336" s="198"/>
      <c r="BY336" s="198"/>
    </row>
    <row r="337" spans="2:77" x14ac:dyDescent="0.2">
      <c r="B337" s="13"/>
      <c r="C337" s="13"/>
      <c r="BA337" s="198"/>
      <c r="BI337" s="198"/>
      <c r="BW337" s="198"/>
      <c r="BX337" s="198"/>
      <c r="BY337" s="198"/>
    </row>
    <row r="338" spans="2:77" x14ac:dyDescent="0.2">
      <c r="B338" s="13"/>
      <c r="C338" s="13"/>
      <c r="BA338" s="198"/>
      <c r="BI338" s="198"/>
      <c r="BW338" s="198"/>
      <c r="BX338" s="198"/>
      <c r="BY338" s="198"/>
    </row>
    <row r="339" spans="2:77" x14ac:dyDescent="0.2">
      <c r="B339" s="13"/>
      <c r="C339" s="13"/>
      <c r="BA339" s="198"/>
      <c r="BI339" s="198"/>
      <c r="BW339" s="198"/>
      <c r="BX339" s="198"/>
      <c r="BY339" s="198"/>
    </row>
    <row r="340" spans="2:77" x14ac:dyDescent="0.2">
      <c r="B340" s="13"/>
      <c r="C340" s="13"/>
      <c r="BA340" s="198"/>
      <c r="BI340" s="198"/>
      <c r="BW340" s="198"/>
      <c r="BX340" s="198"/>
      <c r="BY340" s="198"/>
    </row>
    <row r="341" spans="2:77" x14ac:dyDescent="0.2">
      <c r="B341" s="13"/>
      <c r="C341" s="13"/>
      <c r="BA341" s="198"/>
      <c r="BI341" s="198"/>
      <c r="BW341" s="198"/>
      <c r="BX341" s="198"/>
      <c r="BY341" s="198"/>
    </row>
    <row r="342" spans="2:77" x14ac:dyDescent="0.2">
      <c r="B342" s="13"/>
      <c r="C342" s="13"/>
      <c r="BA342" s="198"/>
      <c r="BI342" s="198"/>
      <c r="BW342" s="198"/>
      <c r="BX342" s="198"/>
      <c r="BY342" s="198"/>
    </row>
    <row r="343" spans="2:77" x14ac:dyDescent="0.2">
      <c r="B343" s="13"/>
      <c r="C343" s="13"/>
      <c r="BA343" s="198"/>
      <c r="BI343" s="198"/>
      <c r="BW343" s="198"/>
      <c r="BX343" s="198"/>
      <c r="BY343" s="198"/>
    </row>
    <row r="344" spans="2:77" x14ac:dyDescent="0.2">
      <c r="B344" s="13"/>
      <c r="C344" s="13"/>
      <c r="BA344" s="198"/>
      <c r="BI344" s="198"/>
      <c r="BW344" s="198"/>
      <c r="BX344" s="198"/>
      <c r="BY344" s="198"/>
    </row>
    <row r="345" spans="2:77" x14ac:dyDescent="0.2">
      <c r="B345" s="13"/>
      <c r="C345" s="13"/>
      <c r="BA345" s="198"/>
      <c r="BI345" s="198"/>
      <c r="BW345" s="198"/>
      <c r="BX345" s="198"/>
      <c r="BY345" s="198"/>
    </row>
    <row r="346" spans="2:77" x14ac:dyDescent="0.2">
      <c r="B346" s="13"/>
      <c r="C346" s="13"/>
      <c r="BA346" s="198"/>
      <c r="BI346" s="198"/>
      <c r="BW346" s="198"/>
      <c r="BX346" s="198"/>
      <c r="BY346" s="198"/>
    </row>
    <row r="347" spans="2:77" x14ac:dyDescent="0.2">
      <c r="B347" s="13"/>
      <c r="C347" s="13"/>
      <c r="BA347" s="198"/>
      <c r="BI347" s="198"/>
      <c r="BW347" s="198"/>
      <c r="BX347" s="198"/>
      <c r="BY347" s="198"/>
    </row>
    <row r="348" spans="2:77" x14ac:dyDescent="0.2">
      <c r="B348" s="13"/>
      <c r="C348" s="13"/>
      <c r="BA348" s="198"/>
      <c r="BI348" s="198"/>
      <c r="BW348" s="198"/>
      <c r="BX348" s="198"/>
      <c r="BY348" s="198"/>
    </row>
    <row r="349" spans="2:77" x14ac:dyDescent="0.2">
      <c r="B349" s="13"/>
      <c r="C349" s="13"/>
      <c r="BA349" s="198"/>
      <c r="BI349" s="198"/>
      <c r="BW349" s="198"/>
      <c r="BX349" s="198"/>
      <c r="BY349" s="198"/>
    </row>
    <row r="350" spans="2:77" x14ac:dyDescent="0.2">
      <c r="B350" s="13"/>
      <c r="C350" s="13"/>
      <c r="BA350" s="198"/>
      <c r="BI350" s="198"/>
      <c r="BW350" s="198"/>
      <c r="BX350" s="198"/>
      <c r="BY350" s="198"/>
    </row>
    <row r="351" spans="2:77" x14ac:dyDescent="0.2">
      <c r="B351" s="13"/>
      <c r="C351" s="13"/>
    </row>
    <row r="352" spans="2:77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  <row r="1434" spans="2:3" x14ac:dyDescent="0.2">
      <c r="B1434" s="13"/>
      <c r="C1434" s="13"/>
    </row>
    <row r="1435" spans="2:3" x14ac:dyDescent="0.2">
      <c r="B1435" s="13"/>
      <c r="C1435" s="13"/>
    </row>
    <row r="1436" spans="2:3" x14ac:dyDescent="0.2">
      <c r="B1436" s="13"/>
      <c r="C1436" s="13"/>
    </row>
    <row r="1437" spans="2:3" x14ac:dyDescent="0.2">
      <c r="B1437" s="13"/>
      <c r="C1437" s="13"/>
    </row>
    <row r="1438" spans="2:3" x14ac:dyDescent="0.2">
      <c r="B1438" s="13"/>
      <c r="C1438" s="13"/>
    </row>
    <row r="1439" spans="2:3" x14ac:dyDescent="0.2">
      <c r="B1439" s="13"/>
      <c r="C1439" s="13"/>
    </row>
    <row r="1440" spans="2:3" x14ac:dyDescent="0.2">
      <c r="B1440" s="13"/>
      <c r="C1440" s="13"/>
    </row>
    <row r="1441" spans="2:3" x14ac:dyDescent="0.2">
      <c r="B1441" s="13"/>
      <c r="C1441" s="13"/>
    </row>
    <row r="1442" spans="2:3" x14ac:dyDescent="0.2">
      <c r="B1442" s="13"/>
      <c r="C1442" s="13"/>
    </row>
    <row r="1443" spans="2:3" x14ac:dyDescent="0.2">
      <c r="B1443" s="13"/>
      <c r="C1443" s="13"/>
    </row>
    <row r="1444" spans="2:3" x14ac:dyDescent="0.2">
      <c r="B1444" s="13"/>
      <c r="C1444" s="13"/>
    </row>
    <row r="1445" spans="2:3" x14ac:dyDescent="0.2">
      <c r="B1445" s="13"/>
      <c r="C1445" s="13"/>
    </row>
    <row r="1446" spans="2:3" x14ac:dyDescent="0.2">
      <c r="B1446" s="13"/>
      <c r="C1446" s="13"/>
    </row>
    <row r="1447" spans="2:3" x14ac:dyDescent="0.2">
      <c r="B1447" s="13"/>
      <c r="C1447" s="13"/>
    </row>
  </sheetData>
  <sheetProtection algorithmName="SHA-512" hashValue="nXGN9Z2SeX7tqVWbdYBK2bs0Z5VtgDFSwkihGJtdKHUP2vvBWRfsXTfQ+OZL+ftT4h/gm6ebn8QpUqbld3AsLg==" saltValue="RkqfPTqQpUXyD9UBBv8OEw==" spinCount="100000" sheet="1" objects="1" scenarios="1" formatCells="0" formatColumns="0" formatRows="0" insertHyperlinks="0"/>
  <autoFilter ref="A9:BW325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5">
    <mergeCell ref="B318:C318"/>
    <mergeCell ref="B320:C320"/>
    <mergeCell ref="B267:C267"/>
    <mergeCell ref="C6:C8"/>
    <mergeCell ref="B310:C310"/>
    <mergeCell ref="B311:C311"/>
    <mergeCell ref="B306:C306"/>
    <mergeCell ref="B294:C294"/>
    <mergeCell ref="B277:C277"/>
    <mergeCell ref="B278:C278"/>
    <mergeCell ref="B281:C281"/>
    <mergeCell ref="B286:C286"/>
    <mergeCell ref="B283:C283"/>
    <mergeCell ref="B284:C284"/>
    <mergeCell ref="B317:C317"/>
    <mergeCell ref="B298:C298"/>
    <mergeCell ref="B314:C314"/>
    <mergeCell ref="A4:BW4"/>
    <mergeCell ref="B268:C268"/>
    <mergeCell ref="B273:C273"/>
    <mergeCell ref="B274:C274"/>
    <mergeCell ref="B275:C275"/>
    <mergeCell ref="A6:A8"/>
    <mergeCell ref="AA7:AA8"/>
    <mergeCell ref="F7:F8"/>
    <mergeCell ref="BW6:BW8"/>
    <mergeCell ref="BV6:BV8"/>
    <mergeCell ref="BA7:BA8"/>
    <mergeCell ref="BI7:BI8"/>
    <mergeCell ref="H7:H8"/>
    <mergeCell ref="G7:G8"/>
    <mergeCell ref="D6:BJ6"/>
    <mergeCell ref="B265:C265"/>
    <mergeCell ref="I7:Z7"/>
    <mergeCell ref="AB7:AB8"/>
    <mergeCell ref="B309:C309"/>
    <mergeCell ref="B300:C300"/>
    <mergeCell ref="B301:C301"/>
    <mergeCell ref="B302:C302"/>
    <mergeCell ref="B303:C303"/>
    <mergeCell ref="B272:C272"/>
    <mergeCell ref="B279:C279"/>
    <mergeCell ref="B280:C280"/>
    <mergeCell ref="BK7:BK8"/>
    <mergeCell ref="BD7:BH7"/>
    <mergeCell ref="B313:C313"/>
    <mergeCell ref="B288:C288"/>
    <mergeCell ref="AC7:AC8"/>
    <mergeCell ref="AD7:AM7"/>
    <mergeCell ref="B305:C305"/>
    <mergeCell ref="B307:C307"/>
    <mergeCell ref="B293:C293"/>
    <mergeCell ref="B287:C287"/>
    <mergeCell ref="B289:C289"/>
    <mergeCell ref="B290:C290"/>
    <mergeCell ref="B291:C291"/>
    <mergeCell ref="B276:C276"/>
    <mergeCell ref="B282:C282"/>
    <mergeCell ref="E7:E8"/>
    <mergeCell ref="BL7:BU7"/>
    <mergeCell ref="B295:C295"/>
    <mergeCell ref="AO7:AO8"/>
    <mergeCell ref="AP7:AP8"/>
    <mergeCell ref="AQ7:AZ7"/>
    <mergeCell ref="BB7:BB8"/>
    <mergeCell ref="BC7:BC8"/>
    <mergeCell ref="B269:C269"/>
    <mergeCell ref="B285:C285"/>
    <mergeCell ref="B292:C292"/>
    <mergeCell ref="AN7:AN8"/>
    <mergeCell ref="D7:D8"/>
    <mergeCell ref="B6:B8"/>
    <mergeCell ref="B270:C270"/>
    <mergeCell ref="B271:C271"/>
    <mergeCell ref="BJ7:BJ8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26.septembra saistošajiem noteikumiem Nr. 39
(protokols Nr.13, 23.punkts)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I167"/>
  <sheetViews>
    <sheetView tabSelected="1" view="pageLayout" zoomScaleNormal="100" workbookViewId="0">
      <selection activeCell="Q74" sqref="Q74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7109375" style="70" customWidth="1" collapsed="1"/>
    <col min="7" max="7" width="9.140625" style="70" hidden="1" customWidth="1" outlineLevel="1"/>
    <col min="8" max="8" width="7.5703125" style="70" hidden="1" customWidth="1" outlineLevel="1"/>
    <col min="9" max="9" width="9" style="70" hidden="1" customWidth="1" outlineLevel="1"/>
    <col min="10" max="10" width="8" style="70" hidden="1" customWidth="1" outlineLevel="1"/>
    <col min="11" max="11" width="7.85546875" style="70" hidden="1" customWidth="1" outlineLevel="1"/>
    <col min="12" max="12" width="7.5703125" style="70" hidden="1" customWidth="1" outlineLevel="1"/>
    <col min="13" max="13" width="7.7109375" style="70" hidden="1" customWidth="1" outlineLevel="1"/>
    <col min="14" max="14" width="9.28515625" style="70" hidden="1" customWidth="1" outlineLevel="1"/>
    <col min="15" max="19" width="9" style="70" hidden="1" customWidth="1" outlineLevel="1"/>
    <col min="20" max="20" width="10" style="70" hidden="1" customWidth="1" outlineLevel="1"/>
    <col min="21" max="21" width="10" style="70" customWidth="1" collapsed="1"/>
    <col min="22" max="22" width="8.7109375" style="70" hidden="1" customWidth="1" outlineLevel="1"/>
    <col min="23" max="23" width="7" style="70" hidden="1" customWidth="1" outlineLevel="1"/>
    <col min="24" max="24" width="9" style="70" hidden="1" customWidth="1" outlineLevel="1"/>
    <col min="25" max="26" width="7.42578125" style="70" hidden="1" customWidth="1" outlineLevel="1"/>
    <col min="27" max="32" width="8.42578125" style="70" hidden="1" customWidth="1" outlineLevel="1"/>
    <col min="33" max="33" width="11" style="70" hidden="1" customWidth="1" outlineLevel="1"/>
    <col min="34" max="34" width="9.85546875" style="25" customWidth="1" collapsed="1"/>
    <col min="35" max="16384" width="9.140625" style="25"/>
  </cols>
  <sheetData>
    <row r="1" spans="1:34" x14ac:dyDescent="0.2">
      <c r="AH1" s="336" t="s">
        <v>741</v>
      </c>
    </row>
    <row r="2" spans="1:34" x14ac:dyDescent="0.2">
      <c r="AH2" s="336" t="s">
        <v>739</v>
      </c>
    </row>
    <row r="3" spans="1:34" x14ac:dyDescent="0.2">
      <c r="AH3" s="336" t="s">
        <v>740</v>
      </c>
    </row>
    <row r="4" spans="1:34" ht="18" customHeight="1" x14ac:dyDescent="0.35">
      <c r="A4" s="475" t="s">
        <v>575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</row>
    <row r="5" spans="1:34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4" ht="43.5" customHeight="1" x14ac:dyDescent="0.2">
      <c r="A6" s="463" t="s">
        <v>25</v>
      </c>
      <c r="B6" s="464"/>
      <c r="C6" s="464"/>
      <c r="D6" s="112" t="s">
        <v>26</v>
      </c>
      <c r="E6" s="120" t="s">
        <v>712</v>
      </c>
      <c r="F6" s="142" t="s">
        <v>711</v>
      </c>
      <c r="G6" s="142" t="s">
        <v>713</v>
      </c>
      <c r="H6" s="142" t="s">
        <v>747</v>
      </c>
      <c r="I6" s="142" t="s">
        <v>782</v>
      </c>
      <c r="J6" s="142" t="s">
        <v>797</v>
      </c>
      <c r="K6" s="142" t="s">
        <v>808</v>
      </c>
      <c r="L6" s="142" t="s">
        <v>809</v>
      </c>
      <c r="M6" s="142" t="s">
        <v>814</v>
      </c>
      <c r="N6" s="142" t="s">
        <v>823</v>
      </c>
      <c r="O6" s="142" t="s">
        <v>833</v>
      </c>
      <c r="P6" s="142" t="s">
        <v>839</v>
      </c>
      <c r="Q6" s="333" t="s">
        <v>731</v>
      </c>
      <c r="R6" s="142"/>
      <c r="S6" s="142"/>
      <c r="T6" s="142" t="s">
        <v>714</v>
      </c>
      <c r="U6" s="142" t="s">
        <v>462</v>
      </c>
      <c r="V6" s="142" t="s">
        <v>715</v>
      </c>
      <c r="W6" s="142" t="s">
        <v>747</v>
      </c>
      <c r="X6" s="142" t="s">
        <v>782</v>
      </c>
      <c r="Y6" s="142" t="s">
        <v>797</v>
      </c>
      <c r="Z6" s="142" t="s">
        <v>808</v>
      </c>
      <c r="AA6" s="142" t="s">
        <v>814</v>
      </c>
      <c r="AB6" s="142" t="s">
        <v>823</v>
      </c>
      <c r="AC6" s="142" t="s">
        <v>833</v>
      </c>
      <c r="AD6" s="333" t="s">
        <v>731</v>
      </c>
      <c r="AE6" s="142"/>
      <c r="AF6" s="142"/>
      <c r="AG6" s="290" t="s">
        <v>840</v>
      </c>
      <c r="AH6" s="290" t="s">
        <v>742</v>
      </c>
    </row>
    <row r="7" spans="1:34" ht="10.5" customHeight="1" thickBot="1" x14ac:dyDescent="0.25">
      <c r="A7" s="465">
        <v>1</v>
      </c>
      <c r="B7" s="466"/>
      <c r="C7" s="467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>
        <v>8</v>
      </c>
      <c r="U7" s="119">
        <v>4</v>
      </c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76">
        <v>9</v>
      </c>
      <c r="AH7" s="76">
        <v>5</v>
      </c>
    </row>
    <row r="8" spans="1:34" s="113" customFormat="1" ht="14.25" customHeight="1" thickTop="1" x14ac:dyDescent="0.2">
      <c r="A8" s="468" t="s">
        <v>114</v>
      </c>
      <c r="B8" s="469"/>
      <c r="C8" s="469"/>
      <c r="D8" s="470"/>
      <c r="E8" s="26">
        <f>SUM(E93,E125,E95)</f>
        <v>109730956</v>
      </c>
      <c r="F8" s="26">
        <f>SUM(F93,F125,F95)</f>
        <v>114860475</v>
      </c>
      <c r="G8" s="26">
        <f t="shared" ref="G8:S8" si="0">SUM(G93,G125,G95)</f>
        <v>5129519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-5899360</v>
      </c>
      <c r="O8" s="26">
        <f t="shared" si="0"/>
        <v>3533959</v>
      </c>
      <c r="P8" s="26">
        <f t="shared" si="0"/>
        <v>-181293</v>
      </c>
      <c r="Q8" s="26">
        <f t="shared" ref="Q8:R8" si="1">SUM(Q93,Q125,Q95)</f>
        <v>39496</v>
      </c>
      <c r="R8" s="26">
        <f t="shared" si="1"/>
        <v>0</v>
      </c>
      <c r="S8" s="26">
        <f t="shared" si="0"/>
        <v>0</v>
      </c>
      <c r="T8" s="26">
        <f>SUM(T93,T125,T95)</f>
        <v>-1047228</v>
      </c>
      <c r="U8" s="26">
        <f>SUM(U93,U125,U95)</f>
        <v>-1259442</v>
      </c>
      <c r="V8" s="26">
        <f t="shared" ref="V8:AF8" si="2">SUM(V93,V125,V95)</f>
        <v>-212214</v>
      </c>
      <c r="W8" s="26">
        <f t="shared" si="2"/>
        <v>-11045</v>
      </c>
      <c r="X8" s="26">
        <f t="shared" si="2"/>
        <v>-206523</v>
      </c>
      <c r="Y8" s="26">
        <f t="shared" si="2"/>
        <v>-18678</v>
      </c>
      <c r="Z8" s="26">
        <f t="shared" si="2"/>
        <v>45158</v>
      </c>
      <c r="AA8" s="26">
        <f t="shared" si="2"/>
        <v>-7681</v>
      </c>
      <c r="AB8" s="26">
        <f t="shared" si="2"/>
        <v>20825</v>
      </c>
      <c r="AC8" s="26">
        <f t="shared" si="2"/>
        <v>-1738</v>
      </c>
      <c r="AD8" s="26">
        <f t="shared" si="2"/>
        <v>-32532</v>
      </c>
      <c r="AE8" s="26">
        <f t="shared" si="2"/>
        <v>0</v>
      </c>
      <c r="AF8" s="26">
        <f t="shared" si="2"/>
        <v>0</v>
      </c>
      <c r="AG8" s="26">
        <f>SUM(AG93,AG125,AG95)</f>
        <v>108920152</v>
      </c>
      <c r="AH8" s="26">
        <f t="shared" ref="AH8" si="3">SUM(AH93,AH125,AH95)</f>
        <v>113601033</v>
      </c>
    </row>
    <row r="9" spans="1:34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s="114" customFormat="1" x14ac:dyDescent="0.2">
      <c r="A10" s="451" t="s">
        <v>27</v>
      </c>
      <c r="B10" s="452"/>
      <c r="C10" s="452"/>
      <c r="D10" s="32" t="s">
        <v>28</v>
      </c>
      <c r="E10" s="33">
        <f t="shared" ref="E10:AG11" si="4">E11</f>
        <v>50828804</v>
      </c>
      <c r="F10" s="33">
        <f t="shared" si="4"/>
        <v>51716764</v>
      </c>
      <c r="G10" s="33">
        <f t="shared" si="4"/>
        <v>887960</v>
      </c>
      <c r="H10" s="33">
        <f t="shared" si="4"/>
        <v>0</v>
      </c>
      <c r="I10" s="33">
        <f t="shared" si="4"/>
        <v>228732</v>
      </c>
      <c r="J10" s="33">
        <f t="shared" si="4"/>
        <v>0</v>
      </c>
      <c r="K10" s="33">
        <f t="shared" si="4"/>
        <v>659228</v>
      </c>
      <c r="L10" s="33">
        <f t="shared" si="4"/>
        <v>0</v>
      </c>
      <c r="M10" s="33">
        <f t="shared" si="4"/>
        <v>0</v>
      </c>
      <c r="N10" s="33">
        <f t="shared" si="4"/>
        <v>0</v>
      </c>
      <c r="O10" s="33">
        <f t="shared" si="4"/>
        <v>0</v>
      </c>
      <c r="P10" s="33">
        <f t="shared" si="4"/>
        <v>0</v>
      </c>
      <c r="Q10" s="33">
        <f t="shared" si="4"/>
        <v>0</v>
      </c>
      <c r="R10" s="33">
        <f t="shared" si="4"/>
        <v>0</v>
      </c>
      <c r="S10" s="33">
        <f t="shared" si="4"/>
        <v>0</v>
      </c>
      <c r="T10" s="33">
        <f t="shared" si="4"/>
        <v>0</v>
      </c>
      <c r="U10" s="33">
        <f>U11</f>
        <v>0</v>
      </c>
      <c r="V10" s="33">
        <f t="shared" ref="U10:AH11" si="5">V11</f>
        <v>0</v>
      </c>
      <c r="W10" s="33">
        <f t="shared" si="5"/>
        <v>0</v>
      </c>
      <c r="X10" s="33">
        <f t="shared" si="5"/>
        <v>0</v>
      </c>
      <c r="Y10" s="33">
        <f t="shared" si="5"/>
        <v>0</v>
      </c>
      <c r="Z10" s="33">
        <f t="shared" si="5"/>
        <v>0</v>
      </c>
      <c r="AA10" s="33">
        <f t="shared" si="5"/>
        <v>0</v>
      </c>
      <c r="AB10" s="33">
        <f t="shared" si="5"/>
        <v>0</v>
      </c>
      <c r="AC10" s="33">
        <f t="shared" si="5"/>
        <v>0</v>
      </c>
      <c r="AD10" s="33">
        <f t="shared" si="5"/>
        <v>0</v>
      </c>
      <c r="AE10" s="33">
        <f t="shared" si="5"/>
        <v>0</v>
      </c>
      <c r="AF10" s="33">
        <f t="shared" si="5"/>
        <v>0</v>
      </c>
      <c r="AG10" s="33">
        <f t="shared" si="4"/>
        <v>50828804</v>
      </c>
      <c r="AH10" s="33">
        <f t="shared" si="5"/>
        <v>51716764</v>
      </c>
    </row>
    <row r="11" spans="1:34" s="113" customFormat="1" x14ac:dyDescent="0.2">
      <c r="A11" s="34"/>
      <c r="B11" s="446" t="s">
        <v>29</v>
      </c>
      <c r="C11" s="446"/>
      <c r="D11" s="35" t="s">
        <v>30</v>
      </c>
      <c r="E11" s="180">
        <f t="shared" si="4"/>
        <v>50828804</v>
      </c>
      <c r="F11" s="180">
        <f t="shared" si="4"/>
        <v>51716764</v>
      </c>
      <c r="G11" s="180">
        <f t="shared" si="4"/>
        <v>887960</v>
      </c>
      <c r="H11" s="180">
        <f t="shared" si="4"/>
        <v>0</v>
      </c>
      <c r="I11" s="180">
        <f t="shared" si="4"/>
        <v>228732</v>
      </c>
      <c r="J11" s="180">
        <f t="shared" si="4"/>
        <v>0</v>
      </c>
      <c r="K11" s="180">
        <f t="shared" si="4"/>
        <v>659228</v>
      </c>
      <c r="L11" s="180">
        <f t="shared" si="4"/>
        <v>0</v>
      </c>
      <c r="M11" s="180">
        <f t="shared" si="4"/>
        <v>0</v>
      </c>
      <c r="N11" s="180">
        <f t="shared" si="4"/>
        <v>0</v>
      </c>
      <c r="O11" s="180">
        <f t="shared" si="4"/>
        <v>0</v>
      </c>
      <c r="P11" s="180">
        <f t="shared" si="4"/>
        <v>0</v>
      </c>
      <c r="Q11" s="180">
        <f t="shared" si="4"/>
        <v>0</v>
      </c>
      <c r="R11" s="180">
        <f t="shared" si="4"/>
        <v>0</v>
      </c>
      <c r="S11" s="180">
        <f t="shared" si="4"/>
        <v>0</v>
      </c>
      <c r="T11" s="180">
        <f t="shared" si="4"/>
        <v>0</v>
      </c>
      <c r="U11" s="180">
        <f t="shared" si="5"/>
        <v>0</v>
      </c>
      <c r="V11" s="180">
        <f t="shared" si="5"/>
        <v>0</v>
      </c>
      <c r="W11" s="180">
        <f t="shared" si="5"/>
        <v>0</v>
      </c>
      <c r="X11" s="180">
        <f t="shared" si="5"/>
        <v>0</v>
      </c>
      <c r="Y11" s="180">
        <f t="shared" si="5"/>
        <v>0</v>
      </c>
      <c r="Z11" s="180">
        <f t="shared" si="5"/>
        <v>0</v>
      </c>
      <c r="AA11" s="180">
        <f t="shared" si="5"/>
        <v>0</v>
      </c>
      <c r="AB11" s="180">
        <f t="shared" si="5"/>
        <v>0</v>
      </c>
      <c r="AC11" s="180">
        <f t="shared" si="5"/>
        <v>0</v>
      </c>
      <c r="AD11" s="180">
        <f t="shared" si="5"/>
        <v>0</v>
      </c>
      <c r="AE11" s="180">
        <f t="shared" si="5"/>
        <v>0</v>
      </c>
      <c r="AF11" s="180">
        <f t="shared" si="5"/>
        <v>0</v>
      </c>
      <c r="AG11" s="180">
        <f t="shared" si="4"/>
        <v>50828804</v>
      </c>
      <c r="AH11" s="180">
        <f t="shared" si="5"/>
        <v>51716764</v>
      </c>
    </row>
    <row r="12" spans="1:34" x14ac:dyDescent="0.2">
      <c r="A12" s="36"/>
      <c r="B12" s="455" t="s">
        <v>31</v>
      </c>
      <c r="C12" s="455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H12" si="6">SUM(G13:G14)</f>
        <v>887960</v>
      </c>
      <c r="H12" s="181">
        <f t="shared" si="6"/>
        <v>0</v>
      </c>
      <c r="I12" s="181">
        <f t="shared" si="6"/>
        <v>228732</v>
      </c>
      <c r="J12" s="181">
        <f t="shared" si="6"/>
        <v>0</v>
      </c>
      <c r="K12" s="181">
        <f t="shared" si="6"/>
        <v>659228</v>
      </c>
      <c r="L12" s="181">
        <f t="shared" si="6"/>
        <v>0</v>
      </c>
      <c r="M12" s="181">
        <f t="shared" si="6"/>
        <v>0</v>
      </c>
      <c r="N12" s="181">
        <f t="shared" si="6"/>
        <v>0</v>
      </c>
      <c r="O12" s="181">
        <f t="shared" si="6"/>
        <v>0</v>
      </c>
      <c r="P12" s="181">
        <f t="shared" si="6"/>
        <v>0</v>
      </c>
      <c r="Q12" s="181">
        <f t="shared" ref="Q12:R12" si="7">SUM(Q13:Q14)</f>
        <v>0</v>
      </c>
      <c r="R12" s="181">
        <f t="shared" si="7"/>
        <v>0</v>
      </c>
      <c r="S12" s="181">
        <f t="shared" si="6"/>
        <v>0</v>
      </c>
      <c r="T12" s="181">
        <f t="shared" si="6"/>
        <v>0</v>
      </c>
      <c r="U12" s="181">
        <f t="shared" si="6"/>
        <v>0</v>
      </c>
      <c r="V12" s="181">
        <f t="shared" si="6"/>
        <v>0</v>
      </c>
      <c r="W12" s="181">
        <f t="shared" si="6"/>
        <v>0</v>
      </c>
      <c r="X12" s="181">
        <f t="shared" si="6"/>
        <v>0</v>
      </c>
      <c r="Y12" s="181">
        <f t="shared" si="6"/>
        <v>0</v>
      </c>
      <c r="Z12" s="181">
        <f t="shared" si="6"/>
        <v>0</v>
      </c>
      <c r="AA12" s="181">
        <f t="shared" si="6"/>
        <v>0</v>
      </c>
      <c r="AB12" s="181">
        <f t="shared" si="6"/>
        <v>0</v>
      </c>
      <c r="AC12" s="181">
        <f t="shared" si="6"/>
        <v>0</v>
      </c>
      <c r="AD12" s="181">
        <f t="shared" si="6"/>
        <v>0</v>
      </c>
      <c r="AE12" s="181">
        <f t="shared" si="6"/>
        <v>0</v>
      </c>
      <c r="AF12" s="181">
        <f t="shared" si="6"/>
        <v>0</v>
      </c>
      <c r="AG12" s="181">
        <f t="shared" si="6"/>
        <v>50828804</v>
      </c>
      <c r="AH12" s="181">
        <f t="shared" si="6"/>
        <v>51716764</v>
      </c>
    </row>
    <row r="13" spans="1:34" ht="36" x14ac:dyDescent="0.2">
      <c r="A13" s="38"/>
      <c r="B13" s="471" t="s">
        <v>33</v>
      </c>
      <c r="C13" s="471"/>
      <c r="D13" s="272" t="s">
        <v>138</v>
      </c>
      <c r="E13" s="182">
        <v>50828804</v>
      </c>
      <c r="F13" s="182">
        <f>E13+G13</f>
        <v>228732</v>
      </c>
      <c r="G13" s="182">
        <f>SUBTOTAL(9,H13:S13)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>
        <f>T13+V13</f>
        <v>0</v>
      </c>
      <c r="V13" s="182">
        <f>SUBTOTAL(9,W13:AF13)</f>
        <v>0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>
        <f>E13+T13</f>
        <v>50828804</v>
      </c>
      <c r="AH13" s="182">
        <f>U13+F13</f>
        <v>228732</v>
      </c>
    </row>
    <row r="14" spans="1:34" ht="24" x14ac:dyDescent="0.2">
      <c r="A14" s="46"/>
      <c r="B14" s="472" t="s">
        <v>754</v>
      </c>
      <c r="C14" s="472"/>
      <c r="D14" s="40" t="s">
        <v>755</v>
      </c>
      <c r="E14" s="184"/>
      <c r="F14" s="184">
        <f>E14+G14</f>
        <v>51488032</v>
      </c>
      <c r="G14" s="184">
        <f>SUBTOTAL(9,H14:S14)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>
        <f>T14+V14</f>
        <v>0</v>
      </c>
      <c r="V14" s="184">
        <f>SUBTOTAL(9,W14:AF14)</f>
        <v>0</v>
      </c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>
        <f>E14+T14</f>
        <v>0</v>
      </c>
      <c r="AH14" s="184">
        <f>U14+F14</f>
        <v>51488032</v>
      </c>
    </row>
    <row r="15" spans="1:34" s="114" customFormat="1" x14ac:dyDescent="0.2">
      <c r="A15" s="451" t="s">
        <v>34</v>
      </c>
      <c r="B15" s="452"/>
      <c r="C15" s="452"/>
      <c r="D15" s="32" t="s">
        <v>35</v>
      </c>
      <c r="E15" s="41">
        <f t="shared" ref="E15:T15" si="8">SUM(E16)</f>
        <v>8782613</v>
      </c>
      <c r="F15" s="41">
        <f t="shared" si="8"/>
        <v>9129613</v>
      </c>
      <c r="G15" s="41">
        <f t="shared" si="8"/>
        <v>347000</v>
      </c>
      <c r="H15" s="41">
        <f t="shared" si="8"/>
        <v>0</v>
      </c>
      <c r="I15" s="41">
        <f t="shared" si="8"/>
        <v>0</v>
      </c>
      <c r="J15" s="41">
        <f t="shared" si="8"/>
        <v>0</v>
      </c>
      <c r="K15" s="41">
        <f t="shared" si="8"/>
        <v>0</v>
      </c>
      <c r="L15" s="41">
        <f t="shared" si="8"/>
        <v>0</v>
      </c>
      <c r="M15" s="41">
        <f t="shared" si="8"/>
        <v>0</v>
      </c>
      <c r="N15" s="41">
        <f t="shared" si="8"/>
        <v>347000</v>
      </c>
      <c r="O15" s="41">
        <f t="shared" si="8"/>
        <v>0</v>
      </c>
      <c r="P15" s="41">
        <f t="shared" si="8"/>
        <v>0</v>
      </c>
      <c r="Q15" s="41">
        <f t="shared" si="8"/>
        <v>0</v>
      </c>
      <c r="R15" s="41">
        <f t="shared" si="8"/>
        <v>0</v>
      </c>
      <c r="S15" s="41">
        <f t="shared" si="8"/>
        <v>0</v>
      </c>
      <c r="T15" s="41">
        <f t="shared" si="8"/>
        <v>0</v>
      </c>
      <c r="U15" s="41">
        <f t="shared" ref="U15:AH15" si="9">SUM(U16)</f>
        <v>0</v>
      </c>
      <c r="V15" s="41">
        <f t="shared" si="9"/>
        <v>0</v>
      </c>
      <c r="W15" s="41">
        <f t="shared" si="9"/>
        <v>0</v>
      </c>
      <c r="X15" s="41">
        <f t="shared" si="9"/>
        <v>0</v>
      </c>
      <c r="Y15" s="41">
        <f t="shared" si="9"/>
        <v>0</v>
      </c>
      <c r="Z15" s="41">
        <f t="shared" si="9"/>
        <v>0</v>
      </c>
      <c r="AA15" s="41">
        <f t="shared" si="9"/>
        <v>0</v>
      </c>
      <c r="AB15" s="41">
        <f t="shared" si="9"/>
        <v>0</v>
      </c>
      <c r="AC15" s="41">
        <f t="shared" si="9"/>
        <v>0</v>
      </c>
      <c r="AD15" s="41">
        <f t="shared" si="9"/>
        <v>0</v>
      </c>
      <c r="AE15" s="41">
        <f t="shared" si="9"/>
        <v>0</v>
      </c>
      <c r="AF15" s="41">
        <f t="shared" si="9"/>
        <v>0</v>
      </c>
      <c r="AG15" s="41">
        <f t="shared" si="9"/>
        <v>8782613</v>
      </c>
      <c r="AH15" s="41">
        <f t="shared" si="9"/>
        <v>9129613</v>
      </c>
    </row>
    <row r="16" spans="1:34" s="113" customFormat="1" x14ac:dyDescent="0.2">
      <c r="A16" s="34"/>
      <c r="B16" s="446" t="s">
        <v>36</v>
      </c>
      <c r="C16" s="446"/>
      <c r="D16" s="35" t="s">
        <v>37</v>
      </c>
      <c r="E16" s="185">
        <f t="shared" ref="E16:T16" si="10">SUM(E17,E20,E23)</f>
        <v>8782613</v>
      </c>
      <c r="F16" s="185">
        <f t="shared" ref="F16:S16" si="11">SUM(F17,F20,F23)</f>
        <v>9129613</v>
      </c>
      <c r="G16" s="185">
        <f t="shared" si="11"/>
        <v>347000</v>
      </c>
      <c r="H16" s="185">
        <f t="shared" si="11"/>
        <v>0</v>
      </c>
      <c r="I16" s="185">
        <f t="shared" si="11"/>
        <v>0</v>
      </c>
      <c r="J16" s="185">
        <f t="shared" si="11"/>
        <v>0</v>
      </c>
      <c r="K16" s="185">
        <f t="shared" si="11"/>
        <v>0</v>
      </c>
      <c r="L16" s="185">
        <f t="shared" si="11"/>
        <v>0</v>
      </c>
      <c r="M16" s="185">
        <f t="shared" si="11"/>
        <v>0</v>
      </c>
      <c r="N16" s="185">
        <f t="shared" si="11"/>
        <v>347000</v>
      </c>
      <c r="O16" s="185">
        <f t="shared" si="11"/>
        <v>0</v>
      </c>
      <c r="P16" s="185">
        <f t="shared" si="11"/>
        <v>0</v>
      </c>
      <c r="Q16" s="185">
        <f t="shared" ref="Q16:R16" si="12">SUM(Q17,Q20,Q23)</f>
        <v>0</v>
      </c>
      <c r="R16" s="185">
        <f t="shared" si="12"/>
        <v>0</v>
      </c>
      <c r="S16" s="185">
        <f t="shared" si="11"/>
        <v>0</v>
      </c>
      <c r="T16" s="185">
        <f t="shared" si="10"/>
        <v>0</v>
      </c>
      <c r="U16" s="185">
        <f t="shared" ref="U16:AF16" si="13">SUM(U17,U20,U23)</f>
        <v>0</v>
      </c>
      <c r="V16" s="185">
        <f t="shared" si="13"/>
        <v>0</v>
      </c>
      <c r="W16" s="185">
        <f t="shared" si="13"/>
        <v>0</v>
      </c>
      <c r="X16" s="185">
        <f t="shared" si="13"/>
        <v>0</v>
      </c>
      <c r="Y16" s="185">
        <f t="shared" si="13"/>
        <v>0</v>
      </c>
      <c r="Z16" s="185">
        <f t="shared" si="13"/>
        <v>0</v>
      </c>
      <c r="AA16" s="185">
        <f t="shared" si="13"/>
        <v>0</v>
      </c>
      <c r="AB16" s="185">
        <f t="shared" si="13"/>
        <v>0</v>
      </c>
      <c r="AC16" s="185">
        <f t="shared" si="13"/>
        <v>0</v>
      </c>
      <c r="AD16" s="185">
        <f t="shared" si="13"/>
        <v>0</v>
      </c>
      <c r="AE16" s="185">
        <f t="shared" si="13"/>
        <v>0</v>
      </c>
      <c r="AF16" s="185">
        <f t="shared" si="13"/>
        <v>0</v>
      </c>
      <c r="AG16" s="185">
        <f>SUM(AG17,AG20,AG23)</f>
        <v>8782613</v>
      </c>
      <c r="AH16" s="185">
        <f t="shared" ref="AH16" si="14">SUM(AH17,AH20,AH23)</f>
        <v>9129613</v>
      </c>
    </row>
    <row r="17" spans="1:34" x14ac:dyDescent="0.2">
      <c r="A17" s="42"/>
      <c r="B17" s="450" t="s">
        <v>171</v>
      </c>
      <c r="C17" s="450"/>
      <c r="D17" s="43" t="s">
        <v>170</v>
      </c>
      <c r="E17" s="44">
        <f>SUM(E18:E19)</f>
        <v>3921267</v>
      </c>
      <c r="F17" s="44">
        <f>SUM(F18:F19)</f>
        <v>4108267</v>
      </c>
      <c r="G17" s="44">
        <f t="shared" ref="G17:S17" si="15">SUM(G18:G19)</f>
        <v>187000</v>
      </c>
      <c r="H17" s="44">
        <f t="shared" si="15"/>
        <v>0</v>
      </c>
      <c r="I17" s="44">
        <f t="shared" si="15"/>
        <v>0</v>
      </c>
      <c r="J17" s="44">
        <f t="shared" si="15"/>
        <v>0</v>
      </c>
      <c r="K17" s="44">
        <f t="shared" si="15"/>
        <v>0</v>
      </c>
      <c r="L17" s="44">
        <f t="shared" si="15"/>
        <v>0</v>
      </c>
      <c r="M17" s="44">
        <f t="shared" si="15"/>
        <v>0</v>
      </c>
      <c r="N17" s="44">
        <f t="shared" si="15"/>
        <v>187000</v>
      </c>
      <c r="O17" s="44">
        <f t="shared" si="15"/>
        <v>0</v>
      </c>
      <c r="P17" s="44">
        <f t="shared" si="15"/>
        <v>0</v>
      </c>
      <c r="Q17" s="44">
        <f t="shared" ref="Q17:R17" si="16">SUM(Q18:Q19)</f>
        <v>0</v>
      </c>
      <c r="R17" s="44">
        <f t="shared" si="16"/>
        <v>0</v>
      </c>
      <c r="S17" s="44">
        <f t="shared" si="15"/>
        <v>0</v>
      </c>
      <c r="T17" s="44">
        <f>SUM(T18:T19)</f>
        <v>0</v>
      </c>
      <c r="U17" s="44">
        <f>SUM(U18:U19)</f>
        <v>0</v>
      </c>
      <c r="V17" s="44">
        <f t="shared" ref="V17" si="17">SUM(V18:V19)</f>
        <v>0</v>
      </c>
      <c r="W17" s="44">
        <f t="shared" ref="W17" si="18">SUM(W18:W19)</f>
        <v>0</v>
      </c>
      <c r="X17" s="44">
        <f t="shared" ref="X17" si="19">SUM(X18:X19)</f>
        <v>0</v>
      </c>
      <c r="Y17" s="44">
        <f t="shared" ref="Y17" si="20">SUM(Y18:Y19)</f>
        <v>0</v>
      </c>
      <c r="Z17" s="44">
        <f t="shared" ref="Z17" si="21">SUM(Z18:Z19)</f>
        <v>0</v>
      </c>
      <c r="AA17" s="44">
        <f t="shared" ref="AA17" si="22">SUM(AA18:AA19)</f>
        <v>0</v>
      </c>
      <c r="AB17" s="44">
        <f t="shared" ref="AB17" si="23">SUM(AB18:AB19)</f>
        <v>0</v>
      </c>
      <c r="AC17" s="44">
        <f t="shared" ref="AC17" si="24">SUM(AC18:AC19)</f>
        <v>0</v>
      </c>
      <c r="AD17" s="44">
        <f t="shared" ref="AD17" si="25">SUM(AD18:AD19)</f>
        <v>0</v>
      </c>
      <c r="AE17" s="44">
        <f t="shared" ref="AE17" si="26">SUM(AE18:AE19)</f>
        <v>0</v>
      </c>
      <c r="AF17" s="44">
        <f t="shared" ref="AF17:AH17" si="27">SUM(AF18:AF19)</f>
        <v>0</v>
      </c>
      <c r="AG17" s="44">
        <f>SUM(AG18:AG19)</f>
        <v>3921267</v>
      </c>
      <c r="AH17" s="44">
        <f t="shared" si="27"/>
        <v>4108267</v>
      </c>
    </row>
    <row r="18" spans="1:34" ht="24" x14ac:dyDescent="0.2">
      <c r="A18" s="38"/>
      <c r="B18" s="471" t="s">
        <v>38</v>
      </c>
      <c r="C18" s="471"/>
      <c r="D18" s="272" t="s">
        <v>39</v>
      </c>
      <c r="E18" s="182">
        <v>3445367</v>
      </c>
      <c r="F18" s="182">
        <f t="shared" ref="F18:F19" si="28">E18+G18</f>
        <v>3632367</v>
      </c>
      <c r="G18" s="182">
        <f t="shared" ref="G18:G19" si="29">SUBTOTAL(9,H18:S18)</f>
        <v>187000</v>
      </c>
      <c r="H18" s="182"/>
      <c r="I18" s="182"/>
      <c r="J18" s="182"/>
      <c r="K18" s="182"/>
      <c r="L18" s="182"/>
      <c r="M18" s="182"/>
      <c r="N18" s="182">
        <v>187000</v>
      </c>
      <c r="O18" s="182"/>
      <c r="P18" s="182"/>
      <c r="Q18" s="182"/>
      <c r="R18" s="182"/>
      <c r="S18" s="182"/>
      <c r="T18" s="182"/>
      <c r="U18" s="182">
        <f t="shared" ref="U18:U19" si="30">T18+V18</f>
        <v>0</v>
      </c>
      <c r="V18" s="182">
        <f t="shared" ref="V18:V19" si="31">SUBTOTAL(9,W18:AF18)</f>
        <v>0</v>
      </c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>
        <f>E18+T18</f>
        <v>3445367</v>
      </c>
      <c r="AH18" s="182">
        <f>U18+F18</f>
        <v>3632367</v>
      </c>
    </row>
    <row r="19" spans="1:34" ht="24" x14ac:dyDescent="0.2">
      <c r="A19" s="39"/>
      <c r="B19" s="456" t="s">
        <v>40</v>
      </c>
      <c r="C19" s="456"/>
      <c r="D19" s="40" t="s">
        <v>41</v>
      </c>
      <c r="E19" s="183">
        <v>475900</v>
      </c>
      <c r="F19" s="184">
        <f t="shared" si="28"/>
        <v>475900</v>
      </c>
      <c r="G19" s="184">
        <f t="shared" si="29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>
        <f t="shared" si="30"/>
        <v>0</v>
      </c>
      <c r="V19" s="184">
        <f t="shared" si="31"/>
        <v>0</v>
      </c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>
        <f>E19+T19</f>
        <v>475900</v>
      </c>
      <c r="AH19" s="184">
        <f>U19+F19</f>
        <v>475900</v>
      </c>
    </row>
    <row r="20" spans="1:34" x14ac:dyDescent="0.2">
      <c r="A20" s="42"/>
      <c r="B20" s="450" t="s">
        <v>42</v>
      </c>
      <c r="C20" s="450"/>
      <c r="D20" s="43" t="s">
        <v>139</v>
      </c>
      <c r="E20" s="44">
        <f>SUM(E21:E22)</f>
        <v>3161300</v>
      </c>
      <c r="F20" s="44">
        <f>SUM(F21:F22)</f>
        <v>3261300</v>
      </c>
      <c r="G20" s="44">
        <f t="shared" ref="G20:S20" si="32">SUM(G21:G22)</f>
        <v>100000</v>
      </c>
      <c r="H20" s="44">
        <f t="shared" si="32"/>
        <v>0</v>
      </c>
      <c r="I20" s="44">
        <f t="shared" si="32"/>
        <v>0</v>
      </c>
      <c r="J20" s="44">
        <f t="shared" si="32"/>
        <v>0</v>
      </c>
      <c r="K20" s="44">
        <f t="shared" si="32"/>
        <v>0</v>
      </c>
      <c r="L20" s="44">
        <f t="shared" si="32"/>
        <v>0</v>
      </c>
      <c r="M20" s="44">
        <f t="shared" si="32"/>
        <v>0</v>
      </c>
      <c r="N20" s="44">
        <f t="shared" si="32"/>
        <v>100000</v>
      </c>
      <c r="O20" s="44">
        <f t="shared" si="32"/>
        <v>0</v>
      </c>
      <c r="P20" s="44">
        <f t="shared" si="32"/>
        <v>0</v>
      </c>
      <c r="Q20" s="44">
        <f t="shared" ref="Q20:R20" si="33">SUM(Q21:Q22)</f>
        <v>0</v>
      </c>
      <c r="R20" s="44">
        <f t="shared" si="33"/>
        <v>0</v>
      </c>
      <c r="S20" s="44">
        <f t="shared" si="32"/>
        <v>0</v>
      </c>
      <c r="T20" s="44">
        <f>SUM(T21:T22)</f>
        <v>0</v>
      </c>
      <c r="U20" s="44">
        <f>SUM(U21:U22)</f>
        <v>0</v>
      </c>
      <c r="V20" s="44">
        <f t="shared" ref="V20" si="34">SUM(V21:V22)</f>
        <v>0</v>
      </c>
      <c r="W20" s="44">
        <f t="shared" ref="W20" si="35">SUM(W21:W22)</f>
        <v>0</v>
      </c>
      <c r="X20" s="44">
        <f t="shared" ref="X20" si="36">SUM(X21:X22)</f>
        <v>0</v>
      </c>
      <c r="Y20" s="44">
        <f t="shared" ref="Y20" si="37">SUM(Y21:Y22)</f>
        <v>0</v>
      </c>
      <c r="Z20" s="44">
        <f t="shared" ref="Z20" si="38">SUM(Z21:Z22)</f>
        <v>0</v>
      </c>
      <c r="AA20" s="44">
        <f t="shared" ref="AA20" si="39">SUM(AA21:AA22)</f>
        <v>0</v>
      </c>
      <c r="AB20" s="44">
        <f t="shared" ref="AB20" si="40">SUM(AB21:AB22)</f>
        <v>0</v>
      </c>
      <c r="AC20" s="44">
        <f t="shared" ref="AC20" si="41">SUM(AC21:AC22)</f>
        <v>0</v>
      </c>
      <c r="AD20" s="44">
        <f t="shared" ref="AD20" si="42">SUM(AD21:AD22)</f>
        <v>0</v>
      </c>
      <c r="AE20" s="44">
        <f t="shared" ref="AE20" si="43">SUM(AE21:AE22)</f>
        <v>0</v>
      </c>
      <c r="AF20" s="44">
        <f t="shared" ref="AF20:AH20" si="44">SUM(AF21:AF22)</f>
        <v>0</v>
      </c>
      <c r="AG20" s="44">
        <f>SUM(AG21:AG22)</f>
        <v>3161300</v>
      </c>
      <c r="AH20" s="44">
        <f t="shared" si="44"/>
        <v>3261300</v>
      </c>
    </row>
    <row r="21" spans="1:34" ht="24" x14ac:dyDescent="0.2">
      <c r="A21" s="38"/>
      <c r="B21" s="457" t="s">
        <v>43</v>
      </c>
      <c r="C21" s="457"/>
      <c r="D21" s="272" t="s">
        <v>148</v>
      </c>
      <c r="E21" s="182">
        <v>2731300</v>
      </c>
      <c r="F21" s="182">
        <f t="shared" ref="F21:F22" si="45">E21+G21</f>
        <v>2831300</v>
      </c>
      <c r="G21" s="182">
        <f t="shared" ref="G21:G22" si="46">SUBTOTAL(9,H21:S21)</f>
        <v>100000</v>
      </c>
      <c r="H21" s="182"/>
      <c r="I21" s="182"/>
      <c r="J21" s="182"/>
      <c r="K21" s="182"/>
      <c r="L21" s="182"/>
      <c r="M21" s="182"/>
      <c r="N21" s="182">
        <v>100000</v>
      </c>
      <c r="O21" s="182"/>
      <c r="P21" s="182"/>
      <c r="Q21" s="182"/>
      <c r="R21" s="182"/>
      <c r="S21" s="182"/>
      <c r="T21" s="182"/>
      <c r="U21" s="182">
        <f t="shared" ref="U21:U22" si="47">T21+V21</f>
        <v>0</v>
      </c>
      <c r="V21" s="182">
        <f t="shared" ref="V21:V22" si="48">SUBTOTAL(9,W21:AF21)</f>
        <v>0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>
        <f>E21+T21</f>
        <v>2731300</v>
      </c>
      <c r="AH21" s="182">
        <f>U21+F21</f>
        <v>2831300</v>
      </c>
    </row>
    <row r="22" spans="1:34" ht="24" x14ac:dyDescent="0.2">
      <c r="A22" s="39"/>
      <c r="B22" s="456" t="s">
        <v>44</v>
      </c>
      <c r="C22" s="456"/>
      <c r="D22" s="40" t="s">
        <v>149</v>
      </c>
      <c r="E22" s="183">
        <v>430000</v>
      </c>
      <c r="F22" s="184">
        <f t="shared" si="45"/>
        <v>430000</v>
      </c>
      <c r="G22" s="184">
        <f t="shared" si="46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>
        <f t="shared" si="47"/>
        <v>0</v>
      </c>
      <c r="V22" s="184">
        <f t="shared" si="48"/>
        <v>0</v>
      </c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273">
        <f>E22+T22</f>
        <v>430000</v>
      </c>
      <c r="AH22" s="184">
        <f>U22+F22</f>
        <v>430000</v>
      </c>
    </row>
    <row r="23" spans="1:34" x14ac:dyDescent="0.2">
      <c r="A23" s="46"/>
      <c r="B23" s="450" t="s">
        <v>292</v>
      </c>
      <c r="C23" s="450"/>
      <c r="D23" s="43" t="s">
        <v>295</v>
      </c>
      <c r="E23" s="44">
        <f>SUM(E24:E25)</f>
        <v>1700046</v>
      </c>
      <c r="F23" s="44">
        <f>SUM(F24:F25)</f>
        <v>1760046</v>
      </c>
      <c r="G23" s="44">
        <f t="shared" ref="G23:S23" si="49">SUM(G24:G25)</f>
        <v>60000</v>
      </c>
      <c r="H23" s="44">
        <f t="shared" si="49"/>
        <v>0</v>
      </c>
      <c r="I23" s="44">
        <f t="shared" si="49"/>
        <v>0</v>
      </c>
      <c r="J23" s="44">
        <f t="shared" si="49"/>
        <v>0</v>
      </c>
      <c r="K23" s="44">
        <f t="shared" si="49"/>
        <v>0</v>
      </c>
      <c r="L23" s="44">
        <f t="shared" si="49"/>
        <v>0</v>
      </c>
      <c r="M23" s="44">
        <f t="shared" si="49"/>
        <v>0</v>
      </c>
      <c r="N23" s="44">
        <f t="shared" si="49"/>
        <v>60000</v>
      </c>
      <c r="O23" s="44">
        <f t="shared" si="49"/>
        <v>0</v>
      </c>
      <c r="P23" s="44">
        <f t="shared" si="49"/>
        <v>0</v>
      </c>
      <c r="Q23" s="44">
        <f t="shared" ref="Q23:R23" si="50">SUM(Q24:Q25)</f>
        <v>0</v>
      </c>
      <c r="R23" s="44">
        <f t="shared" si="50"/>
        <v>0</v>
      </c>
      <c r="S23" s="44">
        <f t="shared" si="49"/>
        <v>0</v>
      </c>
      <c r="T23" s="44">
        <f>SUM(T24:T25)</f>
        <v>0</v>
      </c>
      <c r="U23" s="44">
        <f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" si="59">SUM(AD24:AD25)</f>
        <v>0</v>
      </c>
      <c r="AE23" s="44">
        <f t="shared" ref="AE23" si="60">SUM(AE24:AE25)</f>
        <v>0</v>
      </c>
      <c r="AF23" s="44">
        <f t="shared" ref="AF23:AH23" si="61">SUM(AF24:AF25)</f>
        <v>0</v>
      </c>
      <c r="AG23" s="181">
        <f>SUM(AG24:AG25)</f>
        <v>1700046</v>
      </c>
      <c r="AH23" s="44">
        <f t="shared" si="61"/>
        <v>1760046</v>
      </c>
    </row>
    <row r="24" spans="1:34" ht="24" x14ac:dyDescent="0.2">
      <c r="A24" s="46"/>
      <c r="B24" s="457" t="s">
        <v>293</v>
      </c>
      <c r="C24" s="457"/>
      <c r="D24" s="272" t="s">
        <v>296</v>
      </c>
      <c r="E24" s="274">
        <v>1552346</v>
      </c>
      <c r="F24" s="274">
        <f t="shared" ref="F24:F25" si="62">E24+G24</f>
        <v>1612346</v>
      </c>
      <c r="G24" s="274">
        <f t="shared" ref="G24:G25" si="63">SUBTOTAL(9,H24:S24)</f>
        <v>60000</v>
      </c>
      <c r="H24" s="274"/>
      <c r="I24" s="274"/>
      <c r="J24" s="274"/>
      <c r="K24" s="274"/>
      <c r="L24" s="274"/>
      <c r="M24" s="274"/>
      <c r="N24" s="274">
        <v>60000</v>
      </c>
      <c r="O24" s="274"/>
      <c r="P24" s="274"/>
      <c r="Q24" s="274"/>
      <c r="R24" s="274"/>
      <c r="S24" s="274"/>
      <c r="T24" s="274"/>
      <c r="U24" s="274">
        <f t="shared" ref="U24:U25" si="64">T24+V24</f>
        <v>0</v>
      </c>
      <c r="V24" s="274">
        <f t="shared" ref="V24:V25" si="65">SUBTOTAL(9,W24:AF24)</f>
        <v>0</v>
      </c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>
        <f>E24+T24</f>
        <v>1552346</v>
      </c>
      <c r="AH24" s="274">
        <f>U24+F24</f>
        <v>1612346</v>
      </c>
    </row>
    <row r="25" spans="1:34" ht="24" x14ac:dyDescent="0.2">
      <c r="A25" s="46"/>
      <c r="B25" s="456" t="s">
        <v>294</v>
      </c>
      <c r="C25" s="456"/>
      <c r="D25" s="40" t="s">
        <v>297</v>
      </c>
      <c r="E25" s="184">
        <v>147700</v>
      </c>
      <c r="F25" s="184">
        <f t="shared" si="62"/>
        <v>147700</v>
      </c>
      <c r="G25" s="184">
        <f t="shared" si="63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>
        <f t="shared" si="64"/>
        <v>0</v>
      </c>
      <c r="V25" s="184">
        <f t="shared" si="65"/>
        <v>0</v>
      </c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>
        <f>E25+T25</f>
        <v>147700</v>
      </c>
      <c r="AH25" s="184">
        <f>U25+F25</f>
        <v>147700</v>
      </c>
    </row>
    <row r="26" spans="1:34" s="114" customFormat="1" ht="24" x14ac:dyDescent="0.2">
      <c r="A26" s="451" t="s">
        <v>45</v>
      </c>
      <c r="B26" s="452"/>
      <c r="C26" s="452"/>
      <c r="D26" s="32" t="s">
        <v>46</v>
      </c>
      <c r="E26" s="41">
        <f t="shared" ref="E26:F26" si="66">SUM(E27,E29)</f>
        <v>328000</v>
      </c>
      <c r="F26" s="41">
        <f t="shared" si="66"/>
        <v>365692</v>
      </c>
      <c r="G26" s="41">
        <f t="shared" ref="G26:S26" si="67">SUM(G27,G29)</f>
        <v>37692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30000</v>
      </c>
      <c r="O26" s="41">
        <f t="shared" si="67"/>
        <v>0</v>
      </c>
      <c r="P26" s="41">
        <f t="shared" si="67"/>
        <v>0</v>
      </c>
      <c r="Q26" s="41">
        <f t="shared" ref="Q26:R26" si="68">SUM(Q27,Q29)</f>
        <v>0</v>
      </c>
      <c r="R26" s="41">
        <f t="shared" si="68"/>
        <v>0</v>
      </c>
      <c r="S26" s="41">
        <f t="shared" si="67"/>
        <v>0</v>
      </c>
      <c r="T26" s="41">
        <f t="shared" ref="T26" si="69">SUM(T27,T29)</f>
        <v>0</v>
      </c>
      <c r="U26" s="41">
        <f t="shared" ref="U26:AF26" si="70">SUM(U27,U29)</f>
        <v>0</v>
      </c>
      <c r="V26" s="41">
        <f t="shared" si="70"/>
        <v>0</v>
      </c>
      <c r="W26" s="41">
        <f t="shared" si="70"/>
        <v>0</v>
      </c>
      <c r="X26" s="41">
        <f t="shared" si="70"/>
        <v>0</v>
      </c>
      <c r="Y26" s="41">
        <f t="shared" si="70"/>
        <v>0</v>
      </c>
      <c r="Z26" s="41">
        <f t="shared" si="70"/>
        <v>0</v>
      </c>
      <c r="AA26" s="41">
        <f t="shared" si="70"/>
        <v>0</v>
      </c>
      <c r="AB26" s="41">
        <f t="shared" si="70"/>
        <v>0</v>
      </c>
      <c r="AC26" s="41">
        <f t="shared" si="70"/>
        <v>0</v>
      </c>
      <c r="AD26" s="41">
        <f t="shared" si="70"/>
        <v>0</v>
      </c>
      <c r="AE26" s="41">
        <f t="shared" si="70"/>
        <v>0</v>
      </c>
      <c r="AF26" s="41">
        <f t="shared" si="70"/>
        <v>0</v>
      </c>
      <c r="AG26" s="41">
        <f t="shared" ref="AG26" si="71">SUM(AG27,AG29)</f>
        <v>328000</v>
      </c>
      <c r="AH26" s="41">
        <f>SUM(AH27,AH29)</f>
        <v>365692</v>
      </c>
    </row>
    <row r="27" spans="1:34" s="113" customFormat="1" ht="24" customHeight="1" x14ac:dyDescent="0.2">
      <c r="A27" s="34"/>
      <c r="B27" s="446" t="s">
        <v>47</v>
      </c>
      <c r="C27" s="446"/>
      <c r="D27" s="45" t="s">
        <v>48</v>
      </c>
      <c r="E27" s="185">
        <f t="shared" ref="E27:AG27" si="72">E28</f>
        <v>220000</v>
      </c>
      <c r="F27" s="185">
        <f t="shared" si="72"/>
        <v>250000</v>
      </c>
      <c r="G27" s="185">
        <f t="shared" si="72"/>
        <v>30000</v>
      </c>
      <c r="H27" s="185">
        <f t="shared" si="72"/>
        <v>0</v>
      </c>
      <c r="I27" s="185">
        <f t="shared" si="72"/>
        <v>0</v>
      </c>
      <c r="J27" s="185">
        <f t="shared" si="72"/>
        <v>0</v>
      </c>
      <c r="K27" s="185">
        <f t="shared" si="72"/>
        <v>0</v>
      </c>
      <c r="L27" s="185">
        <f t="shared" si="72"/>
        <v>0</v>
      </c>
      <c r="M27" s="185">
        <f t="shared" si="72"/>
        <v>0</v>
      </c>
      <c r="N27" s="185">
        <f t="shared" si="72"/>
        <v>30000</v>
      </c>
      <c r="O27" s="185">
        <f t="shared" si="72"/>
        <v>0</v>
      </c>
      <c r="P27" s="185">
        <f t="shared" si="72"/>
        <v>0</v>
      </c>
      <c r="Q27" s="185">
        <f t="shared" si="72"/>
        <v>0</v>
      </c>
      <c r="R27" s="185">
        <f t="shared" si="72"/>
        <v>0</v>
      </c>
      <c r="S27" s="185">
        <f t="shared" si="72"/>
        <v>0</v>
      </c>
      <c r="T27" s="185">
        <f t="shared" si="72"/>
        <v>0</v>
      </c>
      <c r="U27" s="185">
        <f t="shared" ref="U27:AF27" si="73">U28</f>
        <v>0</v>
      </c>
      <c r="V27" s="185">
        <f t="shared" si="73"/>
        <v>0</v>
      </c>
      <c r="W27" s="185">
        <f t="shared" si="73"/>
        <v>0</v>
      </c>
      <c r="X27" s="185">
        <f t="shared" si="73"/>
        <v>0</v>
      </c>
      <c r="Y27" s="185">
        <f t="shared" si="73"/>
        <v>0</v>
      </c>
      <c r="Z27" s="185">
        <f t="shared" si="73"/>
        <v>0</v>
      </c>
      <c r="AA27" s="185">
        <f t="shared" si="73"/>
        <v>0</v>
      </c>
      <c r="AB27" s="185">
        <f t="shared" si="73"/>
        <v>0</v>
      </c>
      <c r="AC27" s="185">
        <f t="shared" si="73"/>
        <v>0</v>
      </c>
      <c r="AD27" s="185">
        <f t="shared" si="73"/>
        <v>0</v>
      </c>
      <c r="AE27" s="185">
        <f t="shared" si="73"/>
        <v>0</v>
      </c>
      <c r="AF27" s="185">
        <f t="shared" si="73"/>
        <v>0</v>
      </c>
      <c r="AG27" s="185">
        <f t="shared" si="72"/>
        <v>220000</v>
      </c>
      <c r="AH27" s="185">
        <f>AH28</f>
        <v>250000</v>
      </c>
    </row>
    <row r="28" spans="1:34" x14ac:dyDescent="0.2">
      <c r="A28" s="46"/>
      <c r="B28" s="458" t="s">
        <v>49</v>
      </c>
      <c r="C28" s="458"/>
      <c r="D28" s="47" t="s">
        <v>50</v>
      </c>
      <c r="E28" s="184">
        <v>220000</v>
      </c>
      <c r="F28" s="184">
        <f>E28+G28</f>
        <v>250000</v>
      </c>
      <c r="G28" s="184">
        <f>SUBTOTAL(9,H28:S28)</f>
        <v>30000</v>
      </c>
      <c r="H28" s="184"/>
      <c r="I28" s="184"/>
      <c r="J28" s="184"/>
      <c r="K28" s="184"/>
      <c r="L28" s="184"/>
      <c r="M28" s="184"/>
      <c r="N28" s="184">
        <v>30000</v>
      </c>
      <c r="O28" s="184"/>
      <c r="P28" s="184"/>
      <c r="Q28" s="184"/>
      <c r="R28" s="184"/>
      <c r="S28" s="184"/>
      <c r="T28" s="184"/>
      <c r="U28" s="184">
        <f>T28+V28</f>
        <v>0</v>
      </c>
      <c r="V28" s="184">
        <f>SUBTOTAL(9,W28:AF28)</f>
        <v>0</v>
      </c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>
        <f>E28+T28</f>
        <v>220000</v>
      </c>
      <c r="AH28" s="184">
        <f>U28+F28</f>
        <v>250000</v>
      </c>
    </row>
    <row r="29" spans="1:34" s="113" customFormat="1" ht="24" x14ac:dyDescent="0.2">
      <c r="A29" s="34"/>
      <c r="B29" s="459" t="s">
        <v>51</v>
      </c>
      <c r="C29" s="460"/>
      <c r="D29" s="48" t="s">
        <v>52</v>
      </c>
      <c r="E29" s="185">
        <f t="shared" ref="E29:AG30" si="74">SUM(E30)</f>
        <v>108000</v>
      </c>
      <c r="F29" s="185">
        <f t="shared" si="74"/>
        <v>115692</v>
      </c>
      <c r="G29" s="185">
        <f t="shared" si="74"/>
        <v>7692</v>
      </c>
      <c r="H29" s="185">
        <f t="shared" si="74"/>
        <v>0</v>
      </c>
      <c r="I29" s="185">
        <f t="shared" si="74"/>
        <v>7692</v>
      </c>
      <c r="J29" s="185">
        <f t="shared" si="74"/>
        <v>0</v>
      </c>
      <c r="K29" s="185">
        <f t="shared" si="74"/>
        <v>0</v>
      </c>
      <c r="L29" s="185">
        <f t="shared" si="74"/>
        <v>0</v>
      </c>
      <c r="M29" s="185">
        <f t="shared" si="74"/>
        <v>0</v>
      </c>
      <c r="N29" s="185">
        <f t="shared" si="74"/>
        <v>0</v>
      </c>
      <c r="O29" s="185">
        <f t="shared" si="74"/>
        <v>0</v>
      </c>
      <c r="P29" s="185">
        <f t="shared" si="74"/>
        <v>0</v>
      </c>
      <c r="Q29" s="185">
        <f t="shared" si="74"/>
        <v>0</v>
      </c>
      <c r="R29" s="185">
        <f t="shared" si="74"/>
        <v>0</v>
      </c>
      <c r="S29" s="185">
        <f t="shared" si="74"/>
        <v>0</v>
      </c>
      <c r="T29" s="185">
        <f t="shared" si="74"/>
        <v>0</v>
      </c>
      <c r="U29" s="185">
        <f>SUM(U30)</f>
        <v>0</v>
      </c>
      <c r="V29" s="185">
        <f t="shared" ref="U29:AH30" si="75">SUM(V30)</f>
        <v>0</v>
      </c>
      <c r="W29" s="185">
        <f t="shared" si="75"/>
        <v>0</v>
      </c>
      <c r="X29" s="185">
        <f t="shared" si="75"/>
        <v>0</v>
      </c>
      <c r="Y29" s="185">
        <f t="shared" si="75"/>
        <v>0</v>
      </c>
      <c r="Z29" s="185">
        <f t="shared" si="75"/>
        <v>0</v>
      </c>
      <c r="AA29" s="185">
        <f t="shared" si="75"/>
        <v>0</v>
      </c>
      <c r="AB29" s="185">
        <f t="shared" si="75"/>
        <v>0</v>
      </c>
      <c r="AC29" s="185">
        <f t="shared" si="75"/>
        <v>0</v>
      </c>
      <c r="AD29" s="185">
        <f t="shared" si="75"/>
        <v>0</v>
      </c>
      <c r="AE29" s="185">
        <f t="shared" si="75"/>
        <v>0</v>
      </c>
      <c r="AF29" s="185">
        <f t="shared" si="75"/>
        <v>0</v>
      </c>
      <c r="AG29" s="185">
        <f t="shared" si="74"/>
        <v>108000</v>
      </c>
      <c r="AH29" s="185">
        <f t="shared" si="75"/>
        <v>115692</v>
      </c>
    </row>
    <row r="30" spans="1:34" x14ac:dyDescent="0.2">
      <c r="A30" s="46"/>
      <c r="B30" s="461" t="s">
        <v>53</v>
      </c>
      <c r="C30" s="462"/>
      <c r="D30" s="50" t="s">
        <v>54</v>
      </c>
      <c r="E30" s="44">
        <f t="shared" si="74"/>
        <v>108000</v>
      </c>
      <c r="F30" s="44">
        <f t="shared" si="74"/>
        <v>115692</v>
      </c>
      <c r="G30" s="44">
        <f t="shared" si="74"/>
        <v>7692</v>
      </c>
      <c r="H30" s="44">
        <f>SUM(H31)</f>
        <v>0</v>
      </c>
      <c r="I30" s="44">
        <f>SUM(I31)</f>
        <v>7692</v>
      </c>
      <c r="J30" s="44">
        <f t="shared" si="74"/>
        <v>0</v>
      </c>
      <c r="K30" s="44">
        <f t="shared" si="74"/>
        <v>0</v>
      </c>
      <c r="L30" s="44">
        <f t="shared" si="74"/>
        <v>0</v>
      </c>
      <c r="M30" s="44">
        <f t="shared" si="74"/>
        <v>0</v>
      </c>
      <c r="N30" s="44">
        <f t="shared" si="74"/>
        <v>0</v>
      </c>
      <c r="O30" s="44">
        <f t="shared" si="74"/>
        <v>0</v>
      </c>
      <c r="P30" s="44">
        <f t="shared" si="74"/>
        <v>0</v>
      </c>
      <c r="Q30" s="44">
        <f t="shared" si="74"/>
        <v>0</v>
      </c>
      <c r="R30" s="44">
        <f t="shared" si="74"/>
        <v>0</v>
      </c>
      <c r="S30" s="44">
        <f t="shared" si="74"/>
        <v>0</v>
      </c>
      <c r="T30" s="44">
        <f t="shared" si="74"/>
        <v>0</v>
      </c>
      <c r="U30" s="44">
        <f t="shared" si="75"/>
        <v>0</v>
      </c>
      <c r="V30" s="44">
        <f t="shared" si="75"/>
        <v>0</v>
      </c>
      <c r="W30" s="44">
        <f t="shared" si="75"/>
        <v>0</v>
      </c>
      <c r="X30" s="44">
        <f t="shared" si="75"/>
        <v>0</v>
      </c>
      <c r="Y30" s="44">
        <f t="shared" si="75"/>
        <v>0</v>
      </c>
      <c r="Z30" s="44">
        <f t="shared" si="75"/>
        <v>0</v>
      </c>
      <c r="AA30" s="44">
        <f t="shared" si="75"/>
        <v>0</v>
      </c>
      <c r="AB30" s="44">
        <f t="shared" si="75"/>
        <v>0</v>
      </c>
      <c r="AC30" s="44">
        <f t="shared" si="75"/>
        <v>0</v>
      </c>
      <c r="AD30" s="44">
        <f t="shared" si="75"/>
        <v>0</v>
      </c>
      <c r="AE30" s="44">
        <f t="shared" si="75"/>
        <v>0</v>
      </c>
      <c r="AF30" s="44">
        <f t="shared" si="75"/>
        <v>0</v>
      </c>
      <c r="AG30" s="44">
        <f t="shared" si="74"/>
        <v>108000</v>
      </c>
      <c r="AH30" s="44">
        <f>SUM(AH31)</f>
        <v>115692</v>
      </c>
    </row>
    <row r="31" spans="1:34" ht="24" x14ac:dyDescent="0.2">
      <c r="A31" s="46"/>
      <c r="B31" s="267"/>
      <c r="C31" s="275" t="s">
        <v>249</v>
      </c>
      <c r="D31" s="99" t="s">
        <v>250</v>
      </c>
      <c r="E31" s="184">
        <v>108000</v>
      </c>
      <c r="F31" s="184">
        <f>E31+G31</f>
        <v>115692</v>
      </c>
      <c r="G31" s="184">
        <f>SUBTOTAL(9,H31:S31)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>
        <f>T31+V31</f>
        <v>0</v>
      </c>
      <c r="V31" s="184">
        <f>SUBTOTAL(9,W31:AF31)</f>
        <v>0</v>
      </c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>
        <f>E31+T31</f>
        <v>108000</v>
      </c>
      <c r="AH31" s="184">
        <f>U31+F31</f>
        <v>115692</v>
      </c>
    </row>
    <row r="32" spans="1:34" s="114" customFormat="1" ht="26.25" customHeight="1" x14ac:dyDescent="0.2">
      <c r="A32" s="451" t="s">
        <v>55</v>
      </c>
      <c r="B32" s="452"/>
      <c r="C32" s="452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6">SUM(G33)</f>
        <v>0</v>
      </c>
      <c r="H32" s="41">
        <f t="shared" ref="H32" si="77">SUM(H33)</f>
        <v>0</v>
      </c>
      <c r="I32" s="41">
        <f t="shared" ref="I32" si="78">SUM(I33)</f>
        <v>0</v>
      </c>
      <c r="J32" s="41">
        <f t="shared" ref="J32" si="79">SUM(J33)</f>
        <v>0</v>
      </c>
      <c r="K32" s="41">
        <f t="shared" ref="K32" si="80">SUM(K33)</f>
        <v>0</v>
      </c>
      <c r="L32" s="41">
        <f t="shared" ref="L32" si="81">SUM(L33)</f>
        <v>0</v>
      </c>
      <c r="M32" s="41">
        <f t="shared" ref="M32" si="82">SUM(M33)</f>
        <v>0</v>
      </c>
      <c r="N32" s="41">
        <f t="shared" ref="N32" si="83">SUM(N33)</f>
        <v>0</v>
      </c>
      <c r="O32" s="41">
        <f t="shared" ref="O32" si="84">SUM(O33)</f>
        <v>0</v>
      </c>
      <c r="P32" s="41">
        <f t="shared" ref="P32" si="85">SUM(P33)</f>
        <v>0</v>
      </c>
      <c r="Q32" s="41">
        <f t="shared" ref="Q32:S32" si="86">SUM(Q33)</f>
        <v>0</v>
      </c>
      <c r="R32" s="41">
        <f t="shared" si="86"/>
        <v>0</v>
      </c>
      <c r="S32" s="41">
        <f t="shared" si="86"/>
        <v>0</v>
      </c>
      <c r="T32" s="41">
        <f t="shared" ref="T32:AG32" si="87">SUM(T33)</f>
        <v>0</v>
      </c>
      <c r="U32" s="41">
        <f t="shared" ref="U32" si="88">SUM(U33)</f>
        <v>0</v>
      </c>
      <c r="V32" s="41">
        <f t="shared" ref="V32" si="89">SUM(V33)</f>
        <v>0</v>
      </c>
      <c r="W32" s="41">
        <f t="shared" ref="W32" si="90">SUM(W33)</f>
        <v>0</v>
      </c>
      <c r="X32" s="41">
        <f t="shared" ref="X32" si="91">SUM(X33)</f>
        <v>0</v>
      </c>
      <c r="Y32" s="41">
        <f t="shared" ref="Y32" si="92">SUM(Y33)</f>
        <v>0</v>
      </c>
      <c r="Z32" s="41">
        <f t="shared" ref="Z32" si="93">SUM(Z33)</f>
        <v>0</v>
      </c>
      <c r="AA32" s="41">
        <f t="shared" ref="AA32" si="94">SUM(AA33)</f>
        <v>0</v>
      </c>
      <c r="AB32" s="41">
        <f t="shared" ref="AB32" si="95">SUM(AB33)</f>
        <v>0</v>
      </c>
      <c r="AC32" s="41">
        <f t="shared" ref="AC32" si="96">SUM(AC33)</f>
        <v>0</v>
      </c>
      <c r="AD32" s="41">
        <f t="shared" ref="AD32" si="97">SUM(AD33)</f>
        <v>0</v>
      </c>
      <c r="AE32" s="41">
        <f t="shared" ref="AE32" si="98">SUM(AE33)</f>
        <v>0</v>
      </c>
      <c r="AF32" s="41">
        <f t="shared" ref="AF32:AH32" si="99">SUM(AF33)</f>
        <v>0</v>
      </c>
      <c r="AG32" s="41">
        <f t="shared" si="87"/>
        <v>2000</v>
      </c>
      <c r="AH32" s="41">
        <f t="shared" si="99"/>
        <v>2000</v>
      </c>
    </row>
    <row r="33" spans="1:34" s="113" customFormat="1" ht="36" x14ac:dyDescent="0.2">
      <c r="A33" s="34"/>
      <c r="B33" s="446" t="s">
        <v>56</v>
      </c>
      <c r="C33" s="446"/>
      <c r="D33" s="35" t="s">
        <v>287</v>
      </c>
      <c r="E33" s="185">
        <f>SUM(E34)</f>
        <v>2000</v>
      </c>
      <c r="F33" s="185">
        <f t="shared" ref="F33:AG33" si="100">SUM(F34)</f>
        <v>2000</v>
      </c>
      <c r="G33" s="185">
        <f t="shared" si="100"/>
        <v>0</v>
      </c>
      <c r="H33" s="185">
        <f>SUM(H34)</f>
        <v>0</v>
      </c>
      <c r="I33" s="185">
        <f t="shared" si="100"/>
        <v>0</v>
      </c>
      <c r="J33" s="185">
        <f t="shared" si="100"/>
        <v>0</v>
      </c>
      <c r="K33" s="185">
        <f t="shared" si="100"/>
        <v>0</v>
      </c>
      <c r="L33" s="185">
        <f t="shared" si="100"/>
        <v>0</v>
      </c>
      <c r="M33" s="185">
        <f t="shared" si="100"/>
        <v>0</v>
      </c>
      <c r="N33" s="185">
        <f t="shared" si="100"/>
        <v>0</v>
      </c>
      <c r="O33" s="185">
        <f t="shared" si="100"/>
        <v>0</v>
      </c>
      <c r="P33" s="185">
        <f t="shared" si="100"/>
        <v>0</v>
      </c>
      <c r="Q33" s="185">
        <f t="shared" si="100"/>
        <v>0</v>
      </c>
      <c r="R33" s="185">
        <f t="shared" si="100"/>
        <v>0</v>
      </c>
      <c r="S33" s="185">
        <f t="shared" si="100"/>
        <v>0</v>
      </c>
      <c r="T33" s="185">
        <f t="shared" si="100"/>
        <v>0</v>
      </c>
      <c r="U33" s="185">
        <f t="shared" ref="U33:AF33" si="101">SUM(U34)</f>
        <v>0</v>
      </c>
      <c r="V33" s="185">
        <f t="shared" si="101"/>
        <v>0</v>
      </c>
      <c r="W33" s="185">
        <f t="shared" si="101"/>
        <v>0</v>
      </c>
      <c r="X33" s="185">
        <f t="shared" si="101"/>
        <v>0</v>
      </c>
      <c r="Y33" s="185">
        <f t="shared" si="101"/>
        <v>0</v>
      </c>
      <c r="Z33" s="185">
        <f t="shared" si="101"/>
        <v>0</v>
      </c>
      <c r="AA33" s="185">
        <f t="shared" si="101"/>
        <v>0</v>
      </c>
      <c r="AB33" s="185">
        <f t="shared" si="101"/>
        <v>0</v>
      </c>
      <c r="AC33" s="185">
        <f t="shared" si="101"/>
        <v>0</v>
      </c>
      <c r="AD33" s="185">
        <f t="shared" si="101"/>
        <v>0</v>
      </c>
      <c r="AE33" s="185">
        <f t="shared" si="101"/>
        <v>0</v>
      </c>
      <c r="AF33" s="185">
        <f t="shared" si="101"/>
        <v>0</v>
      </c>
      <c r="AG33" s="185">
        <f t="shared" si="100"/>
        <v>2000</v>
      </c>
      <c r="AH33" s="185">
        <f>SUM(AH34)</f>
        <v>2000</v>
      </c>
    </row>
    <row r="34" spans="1:34" ht="24" x14ac:dyDescent="0.2">
      <c r="A34" s="42"/>
      <c r="B34" s="450" t="s">
        <v>489</v>
      </c>
      <c r="C34" s="450"/>
      <c r="D34" s="43" t="s">
        <v>525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>
        <f>T34+V34</f>
        <v>0</v>
      </c>
      <c r="V34" s="44">
        <f>SUBTOTAL(9,W34:AF34)</f>
        <v>0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>
        <f>E34+T34</f>
        <v>2000</v>
      </c>
      <c r="AH34" s="44">
        <f>U34+F34</f>
        <v>2000</v>
      </c>
    </row>
    <row r="35" spans="1:34" s="114" customFormat="1" ht="24" x14ac:dyDescent="0.2">
      <c r="A35" s="451" t="s">
        <v>57</v>
      </c>
      <c r="B35" s="452"/>
      <c r="C35" s="452"/>
      <c r="D35" s="51" t="s">
        <v>58</v>
      </c>
      <c r="E35" s="41">
        <f>SUM(E36,E39)</f>
        <v>3084715</v>
      </c>
      <c r="F35" s="41">
        <f>SUM(F36,F39)</f>
        <v>3094715</v>
      </c>
      <c r="G35" s="41">
        <f t="shared" ref="G35:S35" si="102">SUM(G36,G39)</f>
        <v>10000</v>
      </c>
      <c r="H35" s="41">
        <f t="shared" si="102"/>
        <v>0</v>
      </c>
      <c r="I35" s="41">
        <f t="shared" si="102"/>
        <v>0</v>
      </c>
      <c r="J35" s="41">
        <f t="shared" si="102"/>
        <v>0</v>
      </c>
      <c r="K35" s="41">
        <f t="shared" si="102"/>
        <v>0</v>
      </c>
      <c r="L35" s="41">
        <f t="shared" si="102"/>
        <v>0</v>
      </c>
      <c r="M35" s="41">
        <f t="shared" si="102"/>
        <v>0</v>
      </c>
      <c r="N35" s="41">
        <f t="shared" si="102"/>
        <v>10000</v>
      </c>
      <c r="O35" s="41">
        <f t="shared" si="102"/>
        <v>0</v>
      </c>
      <c r="P35" s="41">
        <f t="shared" si="102"/>
        <v>0</v>
      </c>
      <c r="Q35" s="41">
        <f t="shared" ref="Q35:R35" si="103">SUM(Q36,Q39)</f>
        <v>0</v>
      </c>
      <c r="R35" s="41">
        <f t="shared" si="103"/>
        <v>0</v>
      </c>
      <c r="S35" s="41">
        <f t="shared" si="102"/>
        <v>0</v>
      </c>
      <c r="T35" s="41">
        <f>SUM(T36,T39)</f>
        <v>0</v>
      </c>
      <c r="U35" s="41">
        <f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" si="112">SUM(AD36,AD39)</f>
        <v>0</v>
      </c>
      <c r="AE35" s="41">
        <f t="shared" ref="AE35" si="113">SUM(AE36,AE39)</f>
        <v>0</v>
      </c>
      <c r="AF35" s="41">
        <f t="shared" ref="AF35:AH35" si="114">SUM(AF36,AF39)</f>
        <v>0</v>
      </c>
      <c r="AG35" s="41">
        <f>SUM(AG36,AG39)</f>
        <v>3084715</v>
      </c>
      <c r="AH35" s="41">
        <f t="shared" si="114"/>
        <v>3094715</v>
      </c>
    </row>
    <row r="36" spans="1:34" s="113" customFormat="1" ht="24" x14ac:dyDescent="0.2">
      <c r="A36" s="34"/>
      <c r="B36" s="446" t="s">
        <v>59</v>
      </c>
      <c r="C36" s="446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S36" si="115">SUM(G37:G38)</f>
        <v>0</v>
      </c>
      <c r="H36" s="185">
        <f t="shared" si="115"/>
        <v>0</v>
      </c>
      <c r="I36" s="185">
        <f t="shared" si="115"/>
        <v>0</v>
      </c>
      <c r="J36" s="185">
        <f t="shared" si="115"/>
        <v>0</v>
      </c>
      <c r="K36" s="185">
        <f t="shared" si="115"/>
        <v>0</v>
      </c>
      <c r="L36" s="185">
        <f t="shared" si="115"/>
        <v>0</v>
      </c>
      <c r="M36" s="185">
        <f t="shared" si="115"/>
        <v>0</v>
      </c>
      <c r="N36" s="185">
        <f t="shared" si="115"/>
        <v>0</v>
      </c>
      <c r="O36" s="185">
        <f t="shared" si="115"/>
        <v>0</v>
      </c>
      <c r="P36" s="185">
        <f t="shared" si="115"/>
        <v>0</v>
      </c>
      <c r="Q36" s="185">
        <f t="shared" ref="Q36:R36" si="116">SUM(Q37:Q38)</f>
        <v>0</v>
      </c>
      <c r="R36" s="185">
        <f t="shared" si="116"/>
        <v>0</v>
      </c>
      <c r="S36" s="185">
        <f t="shared" si="115"/>
        <v>0</v>
      </c>
      <c r="T36" s="185">
        <f>SUM(T37:T38)</f>
        <v>0</v>
      </c>
      <c r="U36" s="185">
        <f>SUM(U37:U38)</f>
        <v>0</v>
      </c>
      <c r="V36" s="185">
        <f t="shared" ref="V36" si="117">SUM(V37:V38)</f>
        <v>0</v>
      </c>
      <c r="W36" s="185">
        <f t="shared" ref="W36" si="118">SUM(W37:W38)</f>
        <v>0</v>
      </c>
      <c r="X36" s="185">
        <f t="shared" ref="X36" si="119">SUM(X37:X38)</f>
        <v>0</v>
      </c>
      <c r="Y36" s="185">
        <f t="shared" ref="Y36" si="120">SUM(Y37:Y38)</f>
        <v>0</v>
      </c>
      <c r="Z36" s="185">
        <f t="shared" ref="Z36" si="121">SUM(Z37:Z38)</f>
        <v>0</v>
      </c>
      <c r="AA36" s="185">
        <f t="shared" ref="AA36" si="122">SUM(AA37:AA38)</f>
        <v>0</v>
      </c>
      <c r="AB36" s="185">
        <f t="shared" ref="AB36" si="123">SUM(AB37:AB38)</f>
        <v>0</v>
      </c>
      <c r="AC36" s="185">
        <f t="shared" ref="AC36" si="124">SUM(AC37:AC38)</f>
        <v>0</v>
      </c>
      <c r="AD36" s="185">
        <f t="shared" ref="AD36" si="125">SUM(AD37:AD38)</f>
        <v>0</v>
      </c>
      <c r="AE36" s="185">
        <f t="shared" ref="AE36" si="126">SUM(AE37:AE38)</f>
        <v>0</v>
      </c>
      <c r="AF36" s="185">
        <f t="shared" ref="AF36:AH36" si="127">SUM(AF37:AF38)</f>
        <v>0</v>
      </c>
      <c r="AG36" s="185">
        <f>SUM(AG37:AG38)</f>
        <v>11715</v>
      </c>
      <c r="AH36" s="185">
        <f t="shared" si="127"/>
        <v>11715</v>
      </c>
    </row>
    <row r="37" spans="1:34" ht="48" x14ac:dyDescent="0.2">
      <c r="A37" s="42"/>
      <c r="B37" s="450" t="s">
        <v>61</v>
      </c>
      <c r="C37" s="450"/>
      <c r="D37" s="43" t="s">
        <v>526</v>
      </c>
      <c r="E37" s="44">
        <v>7815</v>
      </c>
      <c r="F37" s="181">
        <f t="shared" ref="F37:F38" si="128">E37+G37</f>
        <v>7815</v>
      </c>
      <c r="G37" s="181">
        <f t="shared" ref="G37:G38" si="129">SUBTOTAL(9,H37:S37)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>
        <f t="shared" ref="U37:U38" si="130">T37+V37</f>
        <v>0</v>
      </c>
      <c r="V37" s="181">
        <f t="shared" ref="V37:V38" si="131">SUBTOTAL(9,W37:AF37)</f>
        <v>0</v>
      </c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>
        <f>E37+T37</f>
        <v>7815</v>
      </c>
      <c r="AH37" s="181">
        <f>U37+F37</f>
        <v>7815</v>
      </c>
    </row>
    <row r="38" spans="1:34" ht="24.75" customHeight="1" x14ac:dyDescent="0.2">
      <c r="A38" s="52"/>
      <c r="B38" s="480" t="s">
        <v>62</v>
      </c>
      <c r="C38" s="480"/>
      <c r="D38" s="53" t="s">
        <v>193</v>
      </c>
      <c r="E38" s="54">
        <v>3900</v>
      </c>
      <c r="F38" s="54">
        <f t="shared" si="128"/>
        <v>3900</v>
      </c>
      <c r="G38" s="54">
        <f t="shared" si="129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4"/>
      <c r="U38" s="54">
        <f t="shared" si="130"/>
        <v>0</v>
      </c>
      <c r="V38" s="54">
        <f t="shared" si="131"/>
        <v>0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44">
        <f>E38+T38</f>
        <v>3900</v>
      </c>
      <c r="AH38" s="54">
        <f>U38+F38</f>
        <v>3900</v>
      </c>
    </row>
    <row r="39" spans="1:34" s="113" customFormat="1" x14ac:dyDescent="0.2">
      <c r="A39" s="34"/>
      <c r="B39" s="446" t="s">
        <v>63</v>
      </c>
      <c r="C39" s="446"/>
      <c r="D39" s="35" t="s">
        <v>64</v>
      </c>
      <c r="E39" s="185">
        <f>SUM(E40:E43)</f>
        <v>3073000</v>
      </c>
      <c r="F39" s="185">
        <f>SUM(F40:F43)</f>
        <v>3083000</v>
      </c>
      <c r="G39" s="185">
        <f t="shared" ref="G39:S39" si="132">SUM(G40:G43)</f>
        <v>10000</v>
      </c>
      <c r="H39" s="185">
        <f t="shared" si="132"/>
        <v>0</v>
      </c>
      <c r="I39" s="185">
        <f t="shared" si="132"/>
        <v>0</v>
      </c>
      <c r="J39" s="185">
        <f t="shared" si="132"/>
        <v>0</v>
      </c>
      <c r="K39" s="185">
        <f t="shared" si="132"/>
        <v>0</v>
      </c>
      <c r="L39" s="185">
        <f t="shared" si="132"/>
        <v>0</v>
      </c>
      <c r="M39" s="185">
        <f t="shared" si="132"/>
        <v>0</v>
      </c>
      <c r="N39" s="185">
        <f t="shared" si="132"/>
        <v>10000</v>
      </c>
      <c r="O39" s="185">
        <f t="shared" si="132"/>
        <v>0</v>
      </c>
      <c r="P39" s="185">
        <f t="shared" si="132"/>
        <v>0</v>
      </c>
      <c r="Q39" s="185">
        <f t="shared" ref="Q39:R39" si="133">SUM(Q40:Q43)</f>
        <v>0</v>
      </c>
      <c r="R39" s="185">
        <f t="shared" si="133"/>
        <v>0</v>
      </c>
      <c r="S39" s="185">
        <f t="shared" si="132"/>
        <v>0</v>
      </c>
      <c r="T39" s="185">
        <f>SUM(T40:T43)</f>
        <v>0</v>
      </c>
      <c r="U39" s="185">
        <f>SUM(U40:U43)</f>
        <v>0</v>
      </c>
      <c r="V39" s="185">
        <f t="shared" ref="V39" si="134">SUM(V40:V43)</f>
        <v>0</v>
      </c>
      <c r="W39" s="185">
        <f t="shared" ref="W39" si="135">SUM(W40:W43)</f>
        <v>0</v>
      </c>
      <c r="X39" s="185">
        <f t="shared" ref="X39" si="136">SUM(X40:X43)</f>
        <v>0</v>
      </c>
      <c r="Y39" s="185">
        <f t="shared" ref="Y39" si="137">SUM(Y40:Y43)</f>
        <v>0</v>
      </c>
      <c r="Z39" s="185">
        <f t="shared" ref="Z39" si="138">SUM(Z40:Z43)</f>
        <v>0</v>
      </c>
      <c r="AA39" s="185">
        <f t="shared" ref="AA39" si="139">SUM(AA40:AA43)</f>
        <v>0</v>
      </c>
      <c r="AB39" s="185">
        <f t="shared" ref="AB39" si="140">SUM(AB40:AB43)</f>
        <v>0</v>
      </c>
      <c r="AC39" s="185">
        <f t="shared" ref="AC39" si="141">SUM(AC40:AC43)</f>
        <v>0</v>
      </c>
      <c r="AD39" s="185">
        <f t="shared" ref="AD39" si="142">SUM(AD40:AD43)</f>
        <v>0</v>
      </c>
      <c r="AE39" s="185">
        <f t="shared" ref="AE39" si="143">SUM(AE40:AE43)</f>
        <v>0</v>
      </c>
      <c r="AF39" s="185">
        <f t="shared" ref="AF39:AH39" si="144">SUM(AF40:AF43)</f>
        <v>0</v>
      </c>
      <c r="AG39" s="189">
        <f>SUM(AG40:AG43)</f>
        <v>3073000</v>
      </c>
      <c r="AH39" s="185">
        <f t="shared" si="144"/>
        <v>3083000</v>
      </c>
    </row>
    <row r="40" spans="1:34" x14ac:dyDescent="0.2">
      <c r="A40" s="55"/>
      <c r="B40" s="447" t="s">
        <v>65</v>
      </c>
      <c r="C40" s="447"/>
      <c r="D40" s="56" t="s">
        <v>140</v>
      </c>
      <c r="E40" s="186">
        <v>41000</v>
      </c>
      <c r="F40" s="186">
        <f t="shared" ref="F40:F43" si="145">E40+G40</f>
        <v>41000</v>
      </c>
      <c r="G40" s="186">
        <f t="shared" ref="G40:G43" si="146">SUBTOTAL(9,H40:S40)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>
        <f t="shared" ref="U40:U43" si="147">T40+V40</f>
        <v>0</v>
      </c>
      <c r="V40" s="186">
        <f t="shared" ref="V40:V43" si="148">SUBTOTAL(9,W40:AF40)</f>
        <v>0</v>
      </c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>
        <f>E40+T40</f>
        <v>41000</v>
      </c>
      <c r="AH40" s="186">
        <f>U40+F40</f>
        <v>41000</v>
      </c>
    </row>
    <row r="41" spans="1:34" ht="24" x14ac:dyDescent="0.2">
      <c r="A41" s="55"/>
      <c r="B41" s="447" t="s">
        <v>66</v>
      </c>
      <c r="C41" s="447"/>
      <c r="D41" s="56" t="s">
        <v>141</v>
      </c>
      <c r="E41" s="186">
        <v>2900000</v>
      </c>
      <c r="F41" s="186">
        <f t="shared" si="145"/>
        <v>2900000</v>
      </c>
      <c r="G41" s="186">
        <f t="shared" si="146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>
        <f t="shared" si="147"/>
        <v>0</v>
      </c>
      <c r="V41" s="186">
        <f t="shared" si="148"/>
        <v>0</v>
      </c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>
        <f>E41+T41</f>
        <v>2900000</v>
      </c>
      <c r="AH41" s="186">
        <f>U41+F41</f>
        <v>2900000</v>
      </c>
    </row>
    <row r="42" spans="1:34" ht="24" x14ac:dyDescent="0.2">
      <c r="A42" s="55"/>
      <c r="B42" s="447" t="s">
        <v>67</v>
      </c>
      <c r="C42" s="447"/>
      <c r="D42" s="56" t="s">
        <v>142</v>
      </c>
      <c r="E42" s="186">
        <v>52000</v>
      </c>
      <c r="F42" s="186">
        <f t="shared" si="145"/>
        <v>52000</v>
      </c>
      <c r="G42" s="186">
        <f t="shared" si="146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>
        <f t="shared" si="147"/>
        <v>0</v>
      </c>
      <c r="V42" s="186">
        <f t="shared" si="148"/>
        <v>0</v>
      </c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>
        <f>E42+T42</f>
        <v>52000</v>
      </c>
      <c r="AH42" s="186">
        <f>U42+F42</f>
        <v>52000</v>
      </c>
    </row>
    <row r="43" spans="1:34" ht="24" x14ac:dyDescent="0.2">
      <c r="A43" s="39"/>
      <c r="B43" s="456" t="s">
        <v>130</v>
      </c>
      <c r="C43" s="456"/>
      <c r="D43" s="40" t="s">
        <v>527</v>
      </c>
      <c r="E43" s="183">
        <v>80000</v>
      </c>
      <c r="F43" s="184">
        <f t="shared" si="145"/>
        <v>90000</v>
      </c>
      <c r="G43" s="184">
        <f t="shared" si="146"/>
        <v>10000</v>
      </c>
      <c r="H43" s="184"/>
      <c r="I43" s="184"/>
      <c r="J43" s="184"/>
      <c r="K43" s="184"/>
      <c r="L43" s="184"/>
      <c r="M43" s="184"/>
      <c r="N43" s="184">
        <v>10000</v>
      </c>
      <c r="O43" s="184"/>
      <c r="P43" s="184"/>
      <c r="Q43" s="184"/>
      <c r="R43" s="184"/>
      <c r="S43" s="184"/>
      <c r="T43" s="184"/>
      <c r="U43" s="184">
        <f t="shared" si="147"/>
        <v>0</v>
      </c>
      <c r="V43" s="184">
        <f t="shared" si="148"/>
        <v>0</v>
      </c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>
        <f>E43+T43</f>
        <v>80000</v>
      </c>
      <c r="AH43" s="184">
        <f>U43+F43</f>
        <v>90000</v>
      </c>
    </row>
    <row r="44" spans="1:34" s="114" customFormat="1" x14ac:dyDescent="0.2">
      <c r="A44" s="451" t="s">
        <v>68</v>
      </c>
      <c r="B44" s="452"/>
      <c r="C44" s="452"/>
      <c r="D44" s="51" t="s">
        <v>69</v>
      </c>
      <c r="E44" s="41">
        <f t="shared" ref="E44:AG44" si="149">SUM(E45)</f>
        <v>821100</v>
      </c>
      <c r="F44" s="41">
        <f t="shared" si="149"/>
        <v>961100</v>
      </c>
      <c r="G44" s="41">
        <f t="shared" si="149"/>
        <v>140000</v>
      </c>
      <c r="H44" s="41">
        <f t="shared" si="149"/>
        <v>0</v>
      </c>
      <c r="I44" s="41">
        <f t="shared" si="149"/>
        <v>0</v>
      </c>
      <c r="J44" s="41">
        <f t="shared" si="149"/>
        <v>0</v>
      </c>
      <c r="K44" s="41">
        <f t="shared" si="149"/>
        <v>0</v>
      </c>
      <c r="L44" s="41">
        <f t="shared" si="149"/>
        <v>0</v>
      </c>
      <c r="M44" s="41">
        <f t="shared" si="149"/>
        <v>0</v>
      </c>
      <c r="N44" s="41">
        <f t="shared" si="149"/>
        <v>140000</v>
      </c>
      <c r="O44" s="41">
        <f t="shared" si="149"/>
        <v>0</v>
      </c>
      <c r="P44" s="41">
        <f t="shared" si="149"/>
        <v>0</v>
      </c>
      <c r="Q44" s="41">
        <f t="shared" si="149"/>
        <v>0</v>
      </c>
      <c r="R44" s="41">
        <f t="shared" si="149"/>
        <v>0</v>
      </c>
      <c r="S44" s="41">
        <f t="shared" si="149"/>
        <v>0</v>
      </c>
      <c r="T44" s="41">
        <f t="shared" si="149"/>
        <v>0</v>
      </c>
      <c r="U44" s="41">
        <f t="shared" ref="U44:AF44" si="150">SUM(U45)</f>
        <v>0</v>
      </c>
      <c r="V44" s="41">
        <f t="shared" si="150"/>
        <v>0</v>
      </c>
      <c r="W44" s="41">
        <f t="shared" si="150"/>
        <v>0</v>
      </c>
      <c r="X44" s="41">
        <f t="shared" si="150"/>
        <v>0</v>
      </c>
      <c r="Y44" s="41">
        <f t="shared" si="150"/>
        <v>0</v>
      </c>
      <c r="Z44" s="41">
        <f t="shared" si="150"/>
        <v>0</v>
      </c>
      <c r="AA44" s="41">
        <f t="shared" si="150"/>
        <v>0</v>
      </c>
      <c r="AB44" s="41">
        <f t="shared" si="150"/>
        <v>0</v>
      </c>
      <c r="AC44" s="41">
        <f t="shared" si="150"/>
        <v>0</v>
      </c>
      <c r="AD44" s="41">
        <f t="shared" si="150"/>
        <v>0</v>
      </c>
      <c r="AE44" s="41">
        <f t="shared" si="150"/>
        <v>0</v>
      </c>
      <c r="AF44" s="41">
        <f t="shared" si="150"/>
        <v>0</v>
      </c>
      <c r="AG44" s="41">
        <f t="shared" si="149"/>
        <v>821100</v>
      </c>
      <c r="AH44" s="41">
        <f>SUM(AH45)</f>
        <v>961100</v>
      </c>
    </row>
    <row r="45" spans="1:34" s="113" customFormat="1" x14ac:dyDescent="0.2">
      <c r="A45" s="34"/>
      <c r="B45" s="446" t="s">
        <v>70</v>
      </c>
      <c r="C45" s="446"/>
      <c r="D45" s="35" t="s">
        <v>71</v>
      </c>
      <c r="E45" s="185">
        <f t="shared" ref="E45:AG45" si="151">E46</f>
        <v>821100</v>
      </c>
      <c r="F45" s="185">
        <f t="shared" si="151"/>
        <v>961100</v>
      </c>
      <c r="G45" s="185">
        <f t="shared" si="151"/>
        <v>140000</v>
      </c>
      <c r="H45" s="185">
        <f t="shared" si="151"/>
        <v>0</v>
      </c>
      <c r="I45" s="185">
        <f t="shared" si="151"/>
        <v>0</v>
      </c>
      <c r="J45" s="185">
        <f t="shared" si="151"/>
        <v>0</v>
      </c>
      <c r="K45" s="185">
        <f t="shared" si="151"/>
        <v>0</v>
      </c>
      <c r="L45" s="185">
        <f t="shared" si="151"/>
        <v>0</v>
      </c>
      <c r="M45" s="185">
        <f t="shared" si="151"/>
        <v>0</v>
      </c>
      <c r="N45" s="185">
        <f t="shared" si="151"/>
        <v>140000</v>
      </c>
      <c r="O45" s="185">
        <f t="shared" si="151"/>
        <v>0</v>
      </c>
      <c r="P45" s="185">
        <f t="shared" si="151"/>
        <v>0</v>
      </c>
      <c r="Q45" s="185">
        <f t="shared" si="151"/>
        <v>0</v>
      </c>
      <c r="R45" s="185">
        <f t="shared" si="151"/>
        <v>0</v>
      </c>
      <c r="S45" s="185">
        <f t="shared" si="151"/>
        <v>0</v>
      </c>
      <c r="T45" s="185">
        <f t="shared" si="151"/>
        <v>0</v>
      </c>
      <c r="U45" s="185">
        <f t="shared" ref="U45:AF45" si="152">U46</f>
        <v>0</v>
      </c>
      <c r="V45" s="185">
        <f t="shared" si="152"/>
        <v>0</v>
      </c>
      <c r="W45" s="185">
        <f t="shared" si="152"/>
        <v>0</v>
      </c>
      <c r="X45" s="185">
        <f t="shared" si="152"/>
        <v>0</v>
      </c>
      <c r="Y45" s="185">
        <f t="shared" si="152"/>
        <v>0</v>
      </c>
      <c r="Z45" s="185">
        <f t="shared" si="152"/>
        <v>0</v>
      </c>
      <c r="AA45" s="185">
        <f t="shared" si="152"/>
        <v>0</v>
      </c>
      <c r="AB45" s="185">
        <f t="shared" si="152"/>
        <v>0</v>
      </c>
      <c r="AC45" s="185">
        <f t="shared" si="152"/>
        <v>0</v>
      </c>
      <c r="AD45" s="185">
        <f t="shared" si="152"/>
        <v>0</v>
      </c>
      <c r="AE45" s="185">
        <f t="shared" si="152"/>
        <v>0</v>
      </c>
      <c r="AF45" s="185">
        <f t="shared" si="152"/>
        <v>0</v>
      </c>
      <c r="AG45" s="185">
        <f t="shared" si="151"/>
        <v>821100</v>
      </c>
      <c r="AH45" s="185">
        <f>AH46</f>
        <v>961100</v>
      </c>
    </row>
    <row r="46" spans="1:34" x14ac:dyDescent="0.2">
      <c r="A46" s="116"/>
      <c r="B46" s="454" t="s">
        <v>72</v>
      </c>
      <c r="C46" s="454"/>
      <c r="D46" s="276" t="s">
        <v>73</v>
      </c>
      <c r="E46" s="274">
        <f>48000+100000+673100</f>
        <v>821100</v>
      </c>
      <c r="F46" s="54">
        <f>E46+G46</f>
        <v>961100</v>
      </c>
      <c r="G46" s="54">
        <f>SUBTOTAL(9,H46:S46)</f>
        <v>140000</v>
      </c>
      <c r="H46" s="54"/>
      <c r="I46" s="54"/>
      <c r="J46" s="54"/>
      <c r="K46" s="54"/>
      <c r="L46" s="54"/>
      <c r="M46" s="54"/>
      <c r="N46" s="54">
        <v>140000</v>
      </c>
      <c r="O46" s="54"/>
      <c r="P46" s="54"/>
      <c r="Q46" s="54"/>
      <c r="R46" s="54"/>
      <c r="S46" s="54"/>
      <c r="T46" s="44"/>
      <c r="U46" s="54">
        <f>T46+V46</f>
        <v>0</v>
      </c>
      <c r="V46" s="54">
        <f>SUBTOTAL(9,W46:AF46)</f>
        <v>0</v>
      </c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44">
        <f>E46+T46</f>
        <v>821100</v>
      </c>
      <c r="AH46" s="54">
        <f>U46+F46</f>
        <v>961100</v>
      </c>
    </row>
    <row r="47" spans="1:34" s="114" customFormat="1" x14ac:dyDescent="0.2">
      <c r="A47" s="451" t="s">
        <v>74</v>
      </c>
      <c r="B47" s="452"/>
      <c r="C47" s="452"/>
      <c r="D47" s="51" t="s">
        <v>75</v>
      </c>
      <c r="E47" s="41">
        <f t="shared" ref="E47:F47" si="153">SUM(E48,E50)</f>
        <v>288124</v>
      </c>
      <c r="F47" s="41">
        <f t="shared" si="153"/>
        <v>328199</v>
      </c>
      <c r="G47" s="41">
        <f t="shared" ref="G47:S47" si="154">SUM(G48,G50)</f>
        <v>40075</v>
      </c>
      <c r="H47" s="41">
        <f t="shared" si="154"/>
        <v>0</v>
      </c>
      <c r="I47" s="41">
        <f t="shared" si="154"/>
        <v>40075</v>
      </c>
      <c r="J47" s="41">
        <f t="shared" si="154"/>
        <v>0</v>
      </c>
      <c r="K47" s="41">
        <f t="shared" si="154"/>
        <v>0</v>
      </c>
      <c r="L47" s="41">
        <f t="shared" si="154"/>
        <v>0</v>
      </c>
      <c r="M47" s="41">
        <f t="shared" si="154"/>
        <v>0</v>
      </c>
      <c r="N47" s="41">
        <f t="shared" si="154"/>
        <v>0</v>
      </c>
      <c r="O47" s="41">
        <f t="shared" si="154"/>
        <v>0</v>
      </c>
      <c r="P47" s="41">
        <f t="shared" si="154"/>
        <v>0</v>
      </c>
      <c r="Q47" s="41">
        <f t="shared" ref="Q47:R47" si="155">SUM(Q48,Q50)</f>
        <v>0</v>
      </c>
      <c r="R47" s="41">
        <f t="shared" si="155"/>
        <v>0</v>
      </c>
      <c r="S47" s="41">
        <f t="shared" si="154"/>
        <v>0</v>
      </c>
      <c r="T47" s="41">
        <f t="shared" ref="T47" si="156">SUM(T48,T50)</f>
        <v>0</v>
      </c>
      <c r="U47" s="41">
        <f t="shared" ref="U47:AF47" si="157">SUM(U48,U50)</f>
        <v>0</v>
      </c>
      <c r="V47" s="41">
        <f t="shared" si="157"/>
        <v>0</v>
      </c>
      <c r="W47" s="41">
        <f t="shared" si="157"/>
        <v>0</v>
      </c>
      <c r="X47" s="41">
        <f t="shared" si="157"/>
        <v>0</v>
      </c>
      <c r="Y47" s="41">
        <f t="shared" si="157"/>
        <v>0</v>
      </c>
      <c r="Z47" s="41">
        <f t="shared" si="157"/>
        <v>0</v>
      </c>
      <c r="AA47" s="41">
        <f t="shared" si="157"/>
        <v>0</v>
      </c>
      <c r="AB47" s="41">
        <f t="shared" si="157"/>
        <v>0</v>
      </c>
      <c r="AC47" s="41">
        <f t="shared" si="157"/>
        <v>0</v>
      </c>
      <c r="AD47" s="41">
        <f t="shared" si="157"/>
        <v>0</v>
      </c>
      <c r="AE47" s="41">
        <f t="shared" si="157"/>
        <v>0</v>
      </c>
      <c r="AF47" s="41">
        <f t="shared" si="157"/>
        <v>0</v>
      </c>
      <c r="AG47" s="41">
        <f t="shared" ref="AG47" si="158">SUM(AG48,AG50)</f>
        <v>524548</v>
      </c>
      <c r="AH47" s="41">
        <f>SUM(AH48,AH50)</f>
        <v>328199</v>
      </c>
    </row>
    <row r="48" spans="1:34" s="113" customFormat="1" ht="24" x14ac:dyDescent="0.2">
      <c r="A48" s="34"/>
      <c r="B48" s="476" t="s">
        <v>76</v>
      </c>
      <c r="C48" s="477"/>
      <c r="D48" s="57" t="s">
        <v>77</v>
      </c>
      <c r="E48" s="185">
        <f t="shared" ref="E48:AG48" si="159">SUM(E49)</f>
        <v>51700</v>
      </c>
      <c r="F48" s="185">
        <f t="shared" si="159"/>
        <v>51700</v>
      </c>
      <c r="G48" s="185">
        <f t="shared" si="159"/>
        <v>0</v>
      </c>
      <c r="H48" s="185">
        <f t="shared" si="159"/>
        <v>0</v>
      </c>
      <c r="I48" s="185">
        <f t="shared" si="159"/>
        <v>0</v>
      </c>
      <c r="J48" s="185">
        <f t="shared" si="159"/>
        <v>0</v>
      </c>
      <c r="K48" s="185">
        <f t="shared" si="159"/>
        <v>0</v>
      </c>
      <c r="L48" s="185">
        <f t="shared" si="159"/>
        <v>0</v>
      </c>
      <c r="M48" s="185">
        <f t="shared" si="159"/>
        <v>0</v>
      </c>
      <c r="N48" s="185">
        <f t="shared" si="159"/>
        <v>0</v>
      </c>
      <c r="O48" s="185">
        <f t="shared" si="159"/>
        <v>0</v>
      </c>
      <c r="P48" s="185">
        <f t="shared" si="159"/>
        <v>0</v>
      </c>
      <c r="Q48" s="185">
        <f t="shared" si="159"/>
        <v>0</v>
      </c>
      <c r="R48" s="185">
        <f t="shared" si="159"/>
        <v>0</v>
      </c>
      <c r="S48" s="185">
        <f t="shared" si="159"/>
        <v>0</v>
      </c>
      <c r="T48" s="185">
        <f t="shared" si="159"/>
        <v>0</v>
      </c>
      <c r="U48" s="185">
        <f t="shared" ref="U48:AF48" si="160">SUM(U49)</f>
        <v>0</v>
      </c>
      <c r="V48" s="185">
        <f t="shared" si="160"/>
        <v>0</v>
      </c>
      <c r="W48" s="185">
        <f t="shared" si="160"/>
        <v>0</v>
      </c>
      <c r="X48" s="185">
        <f t="shared" si="160"/>
        <v>0</v>
      </c>
      <c r="Y48" s="185">
        <f t="shared" si="160"/>
        <v>0</v>
      </c>
      <c r="Z48" s="185">
        <f t="shared" si="160"/>
        <v>0</v>
      </c>
      <c r="AA48" s="185">
        <f t="shared" si="160"/>
        <v>0</v>
      </c>
      <c r="AB48" s="185">
        <f t="shared" si="160"/>
        <v>0</v>
      </c>
      <c r="AC48" s="185">
        <f t="shared" si="160"/>
        <v>0</v>
      </c>
      <c r="AD48" s="185">
        <f t="shared" si="160"/>
        <v>0</v>
      </c>
      <c r="AE48" s="185">
        <f t="shared" si="160"/>
        <v>0</v>
      </c>
      <c r="AF48" s="185">
        <f t="shared" si="160"/>
        <v>0</v>
      </c>
      <c r="AG48" s="189">
        <f t="shared" si="159"/>
        <v>51700</v>
      </c>
      <c r="AH48" s="185">
        <f>SUM(AH49)</f>
        <v>51700</v>
      </c>
    </row>
    <row r="49" spans="1:34" ht="24" x14ac:dyDescent="0.2">
      <c r="A49" s="36"/>
      <c r="B49" s="478" t="s">
        <v>78</v>
      </c>
      <c r="C49" s="479"/>
      <c r="D49" s="277" t="s">
        <v>79</v>
      </c>
      <c r="E49" s="181">
        <v>51700</v>
      </c>
      <c r="F49" s="181">
        <f>E49+G49</f>
        <v>51700</v>
      </c>
      <c r="G49" s="181">
        <f>SUBTOTAL(9,H49:S49)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>
        <f>T49+V49</f>
        <v>0</v>
      </c>
      <c r="V49" s="181">
        <f>SUBTOTAL(9,W49:AF49)</f>
        <v>0</v>
      </c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>
        <f>E49+T49</f>
        <v>51700</v>
      </c>
      <c r="AH49" s="181">
        <f>U49+F49</f>
        <v>51700</v>
      </c>
    </row>
    <row r="50" spans="1:34" s="113" customFormat="1" x14ac:dyDescent="0.2">
      <c r="A50" s="34"/>
      <c r="B50" s="446" t="s">
        <v>80</v>
      </c>
      <c r="C50" s="446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S50" si="161">SUM(G51+G53)</f>
        <v>40075</v>
      </c>
      <c r="H50" s="185">
        <f t="shared" si="161"/>
        <v>0</v>
      </c>
      <c r="I50" s="185">
        <f t="shared" si="161"/>
        <v>40075</v>
      </c>
      <c r="J50" s="185">
        <f t="shared" si="161"/>
        <v>0</v>
      </c>
      <c r="K50" s="185">
        <f t="shared" si="161"/>
        <v>0</v>
      </c>
      <c r="L50" s="185">
        <f t="shared" si="161"/>
        <v>0</v>
      </c>
      <c r="M50" s="185">
        <f t="shared" si="161"/>
        <v>0</v>
      </c>
      <c r="N50" s="185">
        <f t="shared" si="161"/>
        <v>0</v>
      </c>
      <c r="O50" s="185">
        <f t="shared" si="161"/>
        <v>0</v>
      </c>
      <c r="P50" s="185">
        <f t="shared" si="161"/>
        <v>0</v>
      </c>
      <c r="Q50" s="185">
        <f t="shared" ref="Q50:R50" si="162">SUM(Q51+Q53)</f>
        <v>0</v>
      </c>
      <c r="R50" s="185">
        <f t="shared" si="162"/>
        <v>0</v>
      </c>
      <c r="S50" s="185">
        <f t="shared" si="161"/>
        <v>0</v>
      </c>
      <c r="T50" s="185">
        <f>SUM(T51+T53)</f>
        <v>0</v>
      </c>
      <c r="U50" s="185">
        <f>SUM(U51+U53)</f>
        <v>0</v>
      </c>
      <c r="V50" s="185">
        <f t="shared" ref="V50" si="163">SUM(V51+V53)</f>
        <v>0</v>
      </c>
      <c r="W50" s="185">
        <f t="shared" ref="W50" si="164">SUM(W51+W53)</f>
        <v>0</v>
      </c>
      <c r="X50" s="185">
        <f t="shared" ref="X50" si="165">SUM(X51+X53)</f>
        <v>0</v>
      </c>
      <c r="Y50" s="185">
        <f t="shared" ref="Y50" si="166">SUM(Y51+Y53)</f>
        <v>0</v>
      </c>
      <c r="Z50" s="185">
        <f t="shared" ref="Z50" si="167">SUM(Z51+Z53)</f>
        <v>0</v>
      </c>
      <c r="AA50" s="185">
        <f t="shared" ref="AA50" si="168">SUM(AA51+AA53)</f>
        <v>0</v>
      </c>
      <c r="AB50" s="185">
        <f t="shared" ref="AB50" si="169">SUM(AB51+AB53)</f>
        <v>0</v>
      </c>
      <c r="AC50" s="185">
        <f t="shared" ref="AC50" si="170">SUM(AC51+AC53)</f>
        <v>0</v>
      </c>
      <c r="AD50" s="185">
        <f t="shared" ref="AD50" si="171">SUM(AD51+AD53)</f>
        <v>0</v>
      </c>
      <c r="AE50" s="185">
        <f t="shared" ref="AE50" si="172">SUM(AE51+AE53)</f>
        <v>0</v>
      </c>
      <c r="AF50" s="185">
        <f t="shared" ref="AF50:AH50" si="173">SUM(AF51+AF53)</f>
        <v>0</v>
      </c>
      <c r="AG50" s="185">
        <f>SUM(AG51+AG53)</f>
        <v>472848</v>
      </c>
      <c r="AH50" s="185">
        <f t="shared" si="173"/>
        <v>276499</v>
      </c>
    </row>
    <row r="51" spans="1:34" s="113" customFormat="1" x14ac:dyDescent="0.2">
      <c r="A51" s="128"/>
      <c r="B51" s="450" t="s">
        <v>275</v>
      </c>
      <c r="C51" s="453"/>
      <c r="D51" s="37" t="s">
        <v>621</v>
      </c>
      <c r="E51" s="181">
        <f>SUM(E52:E52)</f>
        <v>0</v>
      </c>
      <c r="F51" s="181">
        <f>SUM(F52:F52)</f>
        <v>0</v>
      </c>
      <c r="G51" s="181">
        <f t="shared" ref="G51:S51" si="174">SUM(G52:G52)</f>
        <v>0</v>
      </c>
      <c r="H51" s="181">
        <f t="shared" si="174"/>
        <v>0</v>
      </c>
      <c r="I51" s="181">
        <f t="shared" si="174"/>
        <v>0</v>
      </c>
      <c r="J51" s="181">
        <f t="shared" si="174"/>
        <v>0</v>
      </c>
      <c r="K51" s="181">
        <f t="shared" si="174"/>
        <v>0</v>
      </c>
      <c r="L51" s="181">
        <f t="shared" si="174"/>
        <v>0</v>
      </c>
      <c r="M51" s="181">
        <f t="shared" si="174"/>
        <v>0</v>
      </c>
      <c r="N51" s="181">
        <f t="shared" si="174"/>
        <v>0</v>
      </c>
      <c r="O51" s="181">
        <f t="shared" si="174"/>
        <v>0</v>
      </c>
      <c r="P51" s="181">
        <f t="shared" si="174"/>
        <v>0</v>
      </c>
      <c r="Q51" s="181">
        <f t="shared" si="174"/>
        <v>0</v>
      </c>
      <c r="R51" s="181">
        <f t="shared" si="174"/>
        <v>0</v>
      </c>
      <c r="S51" s="181">
        <f t="shared" si="174"/>
        <v>0</v>
      </c>
      <c r="T51" s="181">
        <f>SUM(T52:T52)</f>
        <v>0</v>
      </c>
      <c r="U51" s="181">
        <f>SUM(U52:U52)</f>
        <v>0</v>
      </c>
      <c r="V51" s="181">
        <f t="shared" ref="V51" si="175">SUM(V52:V52)</f>
        <v>0</v>
      </c>
      <c r="W51" s="181">
        <f t="shared" ref="W51" si="176">SUM(W52:W52)</f>
        <v>0</v>
      </c>
      <c r="X51" s="181">
        <f t="shared" ref="X51" si="177">SUM(X52:X52)</f>
        <v>0</v>
      </c>
      <c r="Y51" s="181">
        <f t="shared" ref="Y51" si="178">SUM(Y52:Y52)</f>
        <v>0</v>
      </c>
      <c r="Z51" s="181">
        <f t="shared" ref="Z51" si="179">SUM(Z52:Z52)</f>
        <v>0</v>
      </c>
      <c r="AA51" s="181">
        <f t="shared" ref="AA51" si="180">SUM(AA52:AA52)</f>
        <v>0</v>
      </c>
      <c r="AB51" s="181">
        <f t="shared" ref="AB51" si="181">SUM(AB52:AB52)</f>
        <v>0</v>
      </c>
      <c r="AC51" s="181">
        <f t="shared" ref="AC51" si="182">SUM(AC52:AC52)</f>
        <v>0</v>
      </c>
      <c r="AD51" s="181">
        <f t="shared" ref="AD51" si="183">SUM(AD52:AD52)</f>
        <v>0</v>
      </c>
      <c r="AE51" s="181">
        <f t="shared" ref="AE51" si="184">SUM(AE52:AE52)</f>
        <v>0</v>
      </c>
      <c r="AF51" s="181">
        <f t="shared" ref="AF51" si="185">SUM(AF52:AF52)</f>
        <v>0</v>
      </c>
      <c r="AG51" s="181">
        <f>SUM(AG52:AG52)</f>
        <v>236424</v>
      </c>
      <c r="AH51" s="181">
        <f>SUM(AH52:AH52)</f>
        <v>0</v>
      </c>
    </row>
    <row r="52" spans="1:34" s="113" customFormat="1" x14ac:dyDescent="0.2">
      <c r="A52" s="128"/>
      <c r="B52" s="275"/>
      <c r="C52" s="335" t="s">
        <v>619</v>
      </c>
      <c r="D52" s="37" t="s">
        <v>620</v>
      </c>
      <c r="E52" s="181"/>
      <c r="F52" s="181">
        <f>E52+G52</f>
        <v>0</v>
      </c>
      <c r="G52" s="181">
        <f>SUBTOTAL(9,H52:S52)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>
        <f>T52+V52</f>
        <v>0</v>
      </c>
      <c r="V52" s="181">
        <f>SUBTOTAL(9,W52:AF52)</f>
        <v>0</v>
      </c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>
        <f>SUM(AG53:AG53)</f>
        <v>236424</v>
      </c>
      <c r="AH52" s="273">
        <f>U52+F52</f>
        <v>0</v>
      </c>
    </row>
    <row r="53" spans="1:34" x14ac:dyDescent="0.2">
      <c r="A53" s="36"/>
      <c r="B53" s="455" t="s">
        <v>117</v>
      </c>
      <c r="C53" s="455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S53" si="186">SUM(G54:G54)</f>
        <v>40075</v>
      </c>
      <c r="H53" s="181">
        <f t="shared" si="186"/>
        <v>0</v>
      </c>
      <c r="I53" s="181">
        <f t="shared" si="186"/>
        <v>40075</v>
      </c>
      <c r="J53" s="181">
        <f t="shared" si="186"/>
        <v>0</v>
      </c>
      <c r="K53" s="181">
        <f t="shared" si="186"/>
        <v>0</v>
      </c>
      <c r="L53" s="181">
        <f t="shared" si="186"/>
        <v>0</v>
      </c>
      <c r="M53" s="181">
        <f t="shared" si="186"/>
        <v>0</v>
      </c>
      <c r="N53" s="181">
        <f t="shared" si="186"/>
        <v>0</v>
      </c>
      <c r="O53" s="181">
        <f t="shared" si="186"/>
        <v>0</v>
      </c>
      <c r="P53" s="181">
        <f t="shared" si="186"/>
        <v>0</v>
      </c>
      <c r="Q53" s="181">
        <f t="shared" si="186"/>
        <v>0</v>
      </c>
      <c r="R53" s="181">
        <f t="shared" si="186"/>
        <v>0</v>
      </c>
      <c r="S53" s="181">
        <f t="shared" si="186"/>
        <v>0</v>
      </c>
      <c r="T53" s="181">
        <f>SUM(T54:T54)</f>
        <v>0</v>
      </c>
      <c r="U53" s="181">
        <f>SUM(U54:U54)</f>
        <v>0</v>
      </c>
      <c r="V53" s="181">
        <f t="shared" ref="V53" si="187">SUM(V54:V54)</f>
        <v>0</v>
      </c>
      <c r="W53" s="181">
        <f t="shared" ref="W53" si="188">SUM(W54:W54)</f>
        <v>0</v>
      </c>
      <c r="X53" s="181">
        <f t="shared" ref="X53" si="189">SUM(X54:X54)</f>
        <v>0</v>
      </c>
      <c r="Y53" s="181">
        <f t="shared" ref="Y53" si="190">SUM(Y54:Y54)</f>
        <v>0</v>
      </c>
      <c r="Z53" s="181">
        <f t="shared" ref="Z53" si="191">SUM(Z54:Z54)</f>
        <v>0</v>
      </c>
      <c r="AA53" s="181">
        <f t="shared" ref="AA53" si="192">SUM(AA54:AA54)</f>
        <v>0</v>
      </c>
      <c r="AB53" s="181">
        <f t="shared" ref="AB53" si="193">SUM(AB54:AB54)</f>
        <v>0</v>
      </c>
      <c r="AC53" s="181">
        <f t="shared" ref="AC53" si="194">SUM(AC54:AC54)</f>
        <v>0</v>
      </c>
      <c r="AD53" s="181">
        <f t="shared" ref="AD53" si="195">SUM(AD54:AD54)</f>
        <v>0</v>
      </c>
      <c r="AE53" s="181">
        <f t="shared" ref="AE53" si="196">SUM(AE54:AE54)</f>
        <v>0</v>
      </c>
      <c r="AF53" s="181">
        <f t="shared" ref="AF53" si="197">SUM(AF54:AF54)</f>
        <v>0</v>
      </c>
      <c r="AG53" s="181">
        <f>SUM(AG54:AG54)</f>
        <v>236424</v>
      </c>
      <c r="AH53" s="181">
        <f>SUM(AH54:AH54)</f>
        <v>276499</v>
      </c>
    </row>
    <row r="54" spans="1:34" ht="24" x14ac:dyDescent="0.2">
      <c r="A54" s="115"/>
      <c r="B54" s="448" t="s">
        <v>118</v>
      </c>
      <c r="C54" s="449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SUBTOTAL(9,H54:S54)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>
        <f>T54+V54</f>
        <v>0</v>
      </c>
      <c r="V54" s="273">
        <f>SUBTOTAL(9,W54:AF54)</f>
        <v>0</v>
      </c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>
        <f>E54+T54</f>
        <v>236424</v>
      </c>
      <c r="AH54" s="273">
        <f>U54+F54</f>
        <v>276499</v>
      </c>
    </row>
    <row r="55" spans="1:34" s="114" customFormat="1" ht="51.75" customHeight="1" x14ac:dyDescent="0.2">
      <c r="A55" s="451" t="s">
        <v>82</v>
      </c>
      <c r="B55" s="452"/>
      <c r="C55" s="452"/>
      <c r="D55" s="51" t="s">
        <v>150</v>
      </c>
      <c r="E55" s="41">
        <f>SUM(E58,E56,)</f>
        <v>2380304</v>
      </c>
      <c r="F55" s="41">
        <f t="shared" ref="F55" si="198">SUM(F58,F56,)</f>
        <v>2380304</v>
      </c>
      <c r="G55" s="41">
        <f t="shared" ref="G55" si="199">SUM(G58,G56,)</f>
        <v>0</v>
      </c>
      <c r="H55" s="41">
        <f t="shared" ref="H55" si="200">SUM(H58,H56,)</f>
        <v>0</v>
      </c>
      <c r="I55" s="41">
        <f t="shared" ref="I55" si="201">SUM(I58,I56,)</f>
        <v>0</v>
      </c>
      <c r="J55" s="41">
        <f t="shared" ref="J55" si="202">SUM(J58,J56,)</f>
        <v>0</v>
      </c>
      <c r="K55" s="41">
        <f t="shared" ref="K55" si="203">SUM(K58,K56,)</f>
        <v>0</v>
      </c>
      <c r="L55" s="41">
        <f t="shared" ref="L55" si="204">SUM(L58,L56,)</f>
        <v>0</v>
      </c>
      <c r="M55" s="41">
        <f t="shared" ref="M55" si="205">SUM(M58,M56,)</f>
        <v>0</v>
      </c>
      <c r="N55" s="41">
        <f t="shared" ref="N55" si="206">SUM(N58,N56,)</f>
        <v>0</v>
      </c>
      <c r="O55" s="41">
        <f t="shared" ref="O55" si="207">SUM(O58,O56,)</f>
        <v>0</v>
      </c>
      <c r="P55" s="41">
        <f t="shared" ref="P55" si="208">SUM(P58,P56,)</f>
        <v>0</v>
      </c>
      <c r="Q55" s="41">
        <f t="shared" ref="Q55:S55" si="209">SUM(Q58,Q56,)</f>
        <v>0</v>
      </c>
      <c r="R55" s="41">
        <f t="shared" ref="R55" si="210">SUM(R58,R56,)</f>
        <v>0</v>
      </c>
      <c r="S55" s="41">
        <f t="shared" si="209"/>
        <v>0</v>
      </c>
      <c r="T55" s="41">
        <f t="shared" ref="T55:AG55" si="211">SUM(T58,T56,)</f>
        <v>0</v>
      </c>
      <c r="U55" s="41">
        <f t="shared" ref="U55" si="212">SUM(U58,U56,)</f>
        <v>0</v>
      </c>
      <c r="V55" s="41">
        <f t="shared" ref="V55" si="213">SUM(V58,V56,)</f>
        <v>0</v>
      </c>
      <c r="W55" s="41">
        <f t="shared" ref="W55" si="214">SUM(W58,W56,)</f>
        <v>0</v>
      </c>
      <c r="X55" s="41">
        <f t="shared" ref="X55" si="215">SUM(X58,X56,)</f>
        <v>0</v>
      </c>
      <c r="Y55" s="41">
        <f t="shared" ref="Y55" si="216">SUM(Y58,Y56,)</f>
        <v>0</v>
      </c>
      <c r="Z55" s="41">
        <f t="shared" ref="Z55" si="217">SUM(Z58,Z56,)</f>
        <v>0</v>
      </c>
      <c r="AA55" s="41">
        <f t="shared" ref="AA55" si="218">SUM(AA58,AA56,)</f>
        <v>0</v>
      </c>
      <c r="AB55" s="41">
        <f t="shared" ref="AB55" si="219">SUM(AB58,AB56,)</f>
        <v>0</v>
      </c>
      <c r="AC55" s="41">
        <f t="shared" ref="AC55" si="220">SUM(AC58,AC56,)</f>
        <v>0</v>
      </c>
      <c r="AD55" s="41">
        <f t="shared" ref="AD55" si="221">SUM(AD58,AD56,)</f>
        <v>0</v>
      </c>
      <c r="AE55" s="41">
        <f t="shared" ref="AE55" si="222">SUM(AE58,AE56,)</f>
        <v>0</v>
      </c>
      <c r="AF55" s="41">
        <f t="shared" ref="AF55:AH55" si="223">SUM(AF58,AF56,)</f>
        <v>0</v>
      </c>
      <c r="AG55" s="41">
        <f t="shared" si="211"/>
        <v>2380304</v>
      </c>
      <c r="AH55" s="41">
        <f t="shared" si="223"/>
        <v>2380304</v>
      </c>
    </row>
    <row r="56" spans="1:34" s="113" customFormat="1" x14ac:dyDescent="0.2">
      <c r="A56" s="34"/>
      <c r="B56" s="446" t="s">
        <v>213</v>
      </c>
      <c r="C56" s="446"/>
      <c r="D56" s="35" t="s">
        <v>214</v>
      </c>
      <c r="E56" s="185">
        <f t="shared" ref="E56:AG56" si="224">SUM(E57:E57)</f>
        <v>2000000</v>
      </c>
      <c r="F56" s="185">
        <f t="shared" si="224"/>
        <v>2000000</v>
      </c>
      <c r="G56" s="185">
        <f t="shared" si="224"/>
        <v>0</v>
      </c>
      <c r="H56" s="185">
        <f t="shared" si="224"/>
        <v>0</v>
      </c>
      <c r="I56" s="185">
        <f t="shared" si="224"/>
        <v>0</v>
      </c>
      <c r="J56" s="185">
        <f t="shared" si="224"/>
        <v>0</v>
      </c>
      <c r="K56" s="185">
        <f t="shared" si="224"/>
        <v>0</v>
      </c>
      <c r="L56" s="185">
        <f t="shared" si="224"/>
        <v>0</v>
      </c>
      <c r="M56" s="185">
        <f t="shared" si="224"/>
        <v>0</v>
      </c>
      <c r="N56" s="185">
        <f t="shared" si="224"/>
        <v>0</v>
      </c>
      <c r="O56" s="185">
        <f t="shared" si="224"/>
        <v>0</v>
      </c>
      <c r="P56" s="185">
        <f t="shared" si="224"/>
        <v>0</v>
      </c>
      <c r="Q56" s="185">
        <f t="shared" si="224"/>
        <v>0</v>
      </c>
      <c r="R56" s="185">
        <f t="shared" si="224"/>
        <v>0</v>
      </c>
      <c r="S56" s="185">
        <f t="shared" si="224"/>
        <v>0</v>
      </c>
      <c r="T56" s="185">
        <f t="shared" si="224"/>
        <v>0</v>
      </c>
      <c r="U56" s="185">
        <f t="shared" ref="U56:AF56" si="225">SUM(U57:U57)</f>
        <v>0</v>
      </c>
      <c r="V56" s="185">
        <f t="shared" si="225"/>
        <v>0</v>
      </c>
      <c r="W56" s="185">
        <f t="shared" si="225"/>
        <v>0</v>
      </c>
      <c r="X56" s="185">
        <f t="shared" si="225"/>
        <v>0</v>
      </c>
      <c r="Y56" s="185">
        <f t="shared" si="225"/>
        <v>0</v>
      </c>
      <c r="Z56" s="185">
        <f t="shared" si="225"/>
        <v>0</v>
      </c>
      <c r="AA56" s="185">
        <f t="shared" si="225"/>
        <v>0</v>
      </c>
      <c r="AB56" s="185">
        <f t="shared" si="225"/>
        <v>0</v>
      </c>
      <c r="AC56" s="185">
        <f t="shared" si="225"/>
        <v>0</v>
      </c>
      <c r="AD56" s="185">
        <f t="shared" si="225"/>
        <v>0</v>
      </c>
      <c r="AE56" s="185">
        <f t="shared" si="225"/>
        <v>0</v>
      </c>
      <c r="AF56" s="185">
        <f t="shared" si="225"/>
        <v>0</v>
      </c>
      <c r="AG56" s="185">
        <f t="shared" si="224"/>
        <v>2000000</v>
      </c>
      <c r="AH56" s="185">
        <f>SUM(AH57:AH57)</f>
        <v>2000000</v>
      </c>
    </row>
    <row r="57" spans="1:34" s="113" customFormat="1" x14ac:dyDescent="0.2">
      <c r="A57" s="34"/>
      <c r="B57" s="455" t="s">
        <v>131</v>
      </c>
      <c r="C57" s="455"/>
      <c r="D57" s="43" t="s">
        <v>132</v>
      </c>
      <c r="E57" s="44">
        <v>2000000</v>
      </c>
      <c r="F57" s="44">
        <f>E57+G57</f>
        <v>2000000</v>
      </c>
      <c r="G57" s="44">
        <f>SUBTOTAL(9,H57:S57)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>
        <f>T57+V57</f>
        <v>0</v>
      </c>
      <c r="V57" s="44">
        <f>SUBTOTAL(9,W57:AF57)</f>
        <v>0</v>
      </c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>
        <f>E57+T57</f>
        <v>2000000</v>
      </c>
      <c r="AH57" s="44">
        <f>U57+F57</f>
        <v>2000000</v>
      </c>
    </row>
    <row r="58" spans="1:34" s="113" customFormat="1" ht="24" x14ac:dyDescent="0.2">
      <c r="A58" s="34"/>
      <c r="B58" s="446" t="s">
        <v>133</v>
      </c>
      <c r="C58" s="446"/>
      <c r="D58" s="35" t="s">
        <v>110</v>
      </c>
      <c r="E58" s="185">
        <f t="shared" ref="E58:T58" si="226">SUM(E59:E61)</f>
        <v>380304</v>
      </c>
      <c r="F58" s="185">
        <f t="shared" ref="F58:S58" si="227">SUM(F59:F61)</f>
        <v>380304</v>
      </c>
      <c r="G58" s="185">
        <f t="shared" si="227"/>
        <v>0</v>
      </c>
      <c r="H58" s="185">
        <f t="shared" si="227"/>
        <v>0</v>
      </c>
      <c r="I58" s="185">
        <f t="shared" si="227"/>
        <v>0</v>
      </c>
      <c r="J58" s="185">
        <f t="shared" si="227"/>
        <v>0</v>
      </c>
      <c r="K58" s="185">
        <f t="shared" si="227"/>
        <v>0</v>
      </c>
      <c r="L58" s="185">
        <f t="shared" si="227"/>
        <v>0</v>
      </c>
      <c r="M58" s="185">
        <f t="shared" si="227"/>
        <v>0</v>
      </c>
      <c r="N58" s="185">
        <f t="shared" si="227"/>
        <v>0</v>
      </c>
      <c r="O58" s="185">
        <f t="shared" si="227"/>
        <v>0</v>
      </c>
      <c r="P58" s="185">
        <f t="shared" si="227"/>
        <v>0</v>
      </c>
      <c r="Q58" s="185">
        <f t="shared" ref="Q58:R58" si="228">SUM(Q59:Q61)</f>
        <v>0</v>
      </c>
      <c r="R58" s="185">
        <f t="shared" si="228"/>
        <v>0</v>
      </c>
      <c r="S58" s="185">
        <f t="shared" si="227"/>
        <v>0</v>
      </c>
      <c r="T58" s="185">
        <f t="shared" si="226"/>
        <v>0</v>
      </c>
      <c r="U58" s="185">
        <f t="shared" ref="U58:AF58" si="229">SUM(U59:U61)</f>
        <v>0</v>
      </c>
      <c r="V58" s="185">
        <f t="shared" si="229"/>
        <v>0</v>
      </c>
      <c r="W58" s="185">
        <f t="shared" si="229"/>
        <v>0</v>
      </c>
      <c r="X58" s="185">
        <f t="shared" si="229"/>
        <v>0</v>
      </c>
      <c r="Y58" s="185">
        <f t="shared" si="229"/>
        <v>0</v>
      </c>
      <c r="Z58" s="185">
        <f t="shared" si="229"/>
        <v>0</v>
      </c>
      <c r="AA58" s="185">
        <f t="shared" si="229"/>
        <v>0</v>
      </c>
      <c r="AB58" s="185">
        <f t="shared" si="229"/>
        <v>0</v>
      </c>
      <c r="AC58" s="185">
        <f t="shared" si="229"/>
        <v>0</v>
      </c>
      <c r="AD58" s="185">
        <f t="shared" si="229"/>
        <v>0</v>
      </c>
      <c r="AE58" s="185">
        <f t="shared" si="229"/>
        <v>0</v>
      </c>
      <c r="AF58" s="185">
        <f t="shared" si="229"/>
        <v>0</v>
      </c>
      <c r="AG58" s="185">
        <f t="shared" ref="AG58" si="230">SUM(AG59:AG61)</f>
        <v>380304</v>
      </c>
      <c r="AH58" s="185">
        <f>SUM(AH59:AH61)</f>
        <v>380304</v>
      </c>
    </row>
    <row r="59" spans="1:34" x14ac:dyDescent="0.2">
      <c r="A59" s="36"/>
      <c r="B59" s="455" t="s">
        <v>134</v>
      </c>
      <c r="C59" s="455"/>
      <c r="D59" s="37" t="s">
        <v>111</v>
      </c>
      <c r="E59" s="181">
        <f>176717-16751</f>
        <v>159966</v>
      </c>
      <c r="F59" s="181">
        <f t="shared" ref="F59:F61" si="231">E59+G59</f>
        <v>159966</v>
      </c>
      <c r="G59" s="181">
        <f t="shared" ref="G59:G61" si="232">SUBTOTAL(9,H59:S59)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>
        <f t="shared" ref="U59:U61" si="233">T59+V59</f>
        <v>0</v>
      </c>
      <c r="V59" s="181">
        <f t="shared" ref="V59:V61" si="234">SUBTOTAL(9,W59:AF59)</f>
        <v>0</v>
      </c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>
        <f>E59+T59</f>
        <v>159966</v>
      </c>
      <c r="AH59" s="181">
        <f>U59+F59</f>
        <v>159966</v>
      </c>
    </row>
    <row r="60" spans="1:34" x14ac:dyDescent="0.2">
      <c r="A60" s="42"/>
      <c r="B60" s="450" t="s">
        <v>135</v>
      </c>
      <c r="C60" s="450"/>
      <c r="D60" s="43" t="s">
        <v>112</v>
      </c>
      <c r="E60" s="44">
        <v>33764</v>
      </c>
      <c r="F60" s="44">
        <f t="shared" si="231"/>
        <v>33764</v>
      </c>
      <c r="G60" s="44">
        <f t="shared" si="232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>
        <f t="shared" si="233"/>
        <v>0</v>
      </c>
      <c r="V60" s="44">
        <f t="shared" si="234"/>
        <v>0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>
        <f>E60+T60</f>
        <v>33764</v>
      </c>
      <c r="AH60" s="44">
        <f>U60+F60</f>
        <v>33764</v>
      </c>
    </row>
    <row r="61" spans="1:34" x14ac:dyDescent="0.2">
      <c r="A61" s="42"/>
      <c r="B61" s="450" t="s">
        <v>136</v>
      </c>
      <c r="C61" s="450"/>
      <c r="D61" s="43" t="s">
        <v>113</v>
      </c>
      <c r="E61" s="44">
        <v>186574</v>
      </c>
      <c r="F61" s="44">
        <f t="shared" si="231"/>
        <v>186574</v>
      </c>
      <c r="G61" s="44">
        <f t="shared" si="232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>
        <f t="shared" si="233"/>
        <v>0</v>
      </c>
      <c r="V61" s="44">
        <f t="shared" si="234"/>
        <v>0</v>
      </c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>
        <f>E61+T61</f>
        <v>186574</v>
      </c>
      <c r="AH61" s="44">
        <f>U61+F61</f>
        <v>186574</v>
      </c>
    </row>
    <row r="62" spans="1:34" ht="51.75" customHeight="1" x14ac:dyDescent="0.2">
      <c r="A62" s="451" t="s">
        <v>531</v>
      </c>
      <c r="B62" s="452"/>
      <c r="C62" s="452"/>
      <c r="D62" s="51" t="s">
        <v>532</v>
      </c>
      <c r="E62" s="188">
        <f t="shared" ref="E62:AG62" si="235">SUM(E63)</f>
        <v>212000</v>
      </c>
      <c r="F62" s="188">
        <f>SUM(F63)</f>
        <v>100469</v>
      </c>
      <c r="G62" s="188">
        <f t="shared" ref="G62:S62" si="236">SUM(G63)</f>
        <v>-111531</v>
      </c>
      <c r="H62" s="188">
        <f t="shared" si="236"/>
        <v>0</v>
      </c>
      <c r="I62" s="188">
        <f t="shared" si="236"/>
        <v>0</v>
      </c>
      <c r="J62" s="188">
        <f t="shared" si="236"/>
        <v>0</v>
      </c>
      <c r="K62" s="188">
        <f t="shared" si="236"/>
        <v>0</v>
      </c>
      <c r="L62" s="188">
        <f t="shared" si="236"/>
        <v>0</v>
      </c>
      <c r="M62" s="188">
        <f t="shared" si="236"/>
        <v>0</v>
      </c>
      <c r="N62" s="188">
        <f t="shared" si="236"/>
        <v>0</v>
      </c>
      <c r="O62" s="188">
        <f t="shared" si="236"/>
        <v>0</v>
      </c>
      <c r="P62" s="188">
        <f t="shared" si="236"/>
        <v>-111531</v>
      </c>
      <c r="Q62" s="188">
        <f t="shared" si="236"/>
        <v>0</v>
      </c>
      <c r="R62" s="188">
        <f t="shared" si="236"/>
        <v>0</v>
      </c>
      <c r="S62" s="188">
        <f t="shared" si="236"/>
        <v>0</v>
      </c>
      <c r="T62" s="188">
        <f>SUM(T63)</f>
        <v>0</v>
      </c>
      <c r="U62" s="188">
        <f>SUM(U63)</f>
        <v>0</v>
      </c>
      <c r="V62" s="188">
        <f t="shared" ref="V62" si="237">SUM(V63)</f>
        <v>0</v>
      </c>
      <c r="W62" s="188">
        <f t="shared" ref="W62" si="238">SUM(W63)</f>
        <v>0</v>
      </c>
      <c r="X62" s="188">
        <f t="shared" ref="X62" si="239">SUM(X63)</f>
        <v>0</v>
      </c>
      <c r="Y62" s="188">
        <f t="shared" ref="Y62" si="240">SUM(Y63)</f>
        <v>0</v>
      </c>
      <c r="Z62" s="188">
        <f t="shared" ref="Z62" si="241">SUM(Z63)</f>
        <v>0</v>
      </c>
      <c r="AA62" s="188">
        <f t="shared" ref="AA62" si="242">SUM(AA63)</f>
        <v>0</v>
      </c>
      <c r="AB62" s="188">
        <f t="shared" ref="AB62" si="243">SUM(AB63)</f>
        <v>0</v>
      </c>
      <c r="AC62" s="188">
        <f t="shared" ref="AC62" si="244">SUM(AC63)</f>
        <v>0</v>
      </c>
      <c r="AD62" s="188">
        <f t="shared" ref="AD62" si="245">SUM(AD63)</f>
        <v>0</v>
      </c>
      <c r="AE62" s="188">
        <f t="shared" ref="AE62" si="246">SUM(AE63)</f>
        <v>0</v>
      </c>
      <c r="AF62" s="188">
        <f t="shared" ref="AF62:AH62" si="247">SUM(AF63)</f>
        <v>0</v>
      </c>
      <c r="AG62" s="188">
        <f t="shared" si="235"/>
        <v>212000</v>
      </c>
      <c r="AH62" s="188">
        <f t="shared" si="247"/>
        <v>100469</v>
      </c>
    </row>
    <row r="63" spans="1:34" ht="39" customHeight="1" x14ac:dyDescent="0.2">
      <c r="A63" s="42"/>
      <c r="B63" s="176" t="s">
        <v>533</v>
      </c>
      <c r="C63" s="270"/>
      <c r="D63" s="35" t="s">
        <v>534</v>
      </c>
      <c r="E63" s="279">
        <v>212000</v>
      </c>
      <c r="F63" s="279">
        <f>E63+G63</f>
        <v>100469</v>
      </c>
      <c r="G63" s="279">
        <f>SUBTOTAL(9,H63:S63)</f>
        <v>-111531</v>
      </c>
      <c r="H63" s="279"/>
      <c r="I63" s="279"/>
      <c r="J63" s="279"/>
      <c r="K63" s="279"/>
      <c r="L63" s="279"/>
      <c r="M63" s="279"/>
      <c r="N63" s="279"/>
      <c r="O63" s="279"/>
      <c r="P63" s="279">
        <v>-111531</v>
      </c>
      <c r="Q63" s="279"/>
      <c r="R63" s="279"/>
      <c r="S63" s="279"/>
      <c r="T63" s="279"/>
      <c r="U63" s="279">
        <f>T63+V63</f>
        <v>0</v>
      </c>
      <c r="V63" s="279">
        <f>SUBTOTAL(9,W63:AF63)</f>
        <v>0</v>
      </c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>
        <f>E63+T63</f>
        <v>212000</v>
      </c>
      <c r="AH63" s="279">
        <f>U63+F63</f>
        <v>100469</v>
      </c>
    </row>
    <row r="64" spans="1:34" s="114" customFormat="1" x14ac:dyDescent="0.2">
      <c r="A64" s="451" t="s">
        <v>83</v>
      </c>
      <c r="B64" s="452"/>
      <c r="C64" s="452"/>
      <c r="D64" s="51" t="s">
        <v>84</v>
      </c>
      <c r="E64" s="41">
        <f>SUM(E65)</f>
        <v>19354111</v>
      </c>
      <c r="F64" s="41">
        <f t="shared" ref="F64:S64" si="248">SUM(F65)</f>
        <v>21783816</v>
      </c>
      <c r="G64" s="41">
        <f t="shared" si="248"/>
        <v>2429705</v>
      </c>
      <c r="H64" s="41">
        <f t="shared" si="248"/>
        <v>95940</v>
      </c>
      <c r="I64" s="41">
        <f t="shared" si="248"/>
        <v>1769937</v>
      </c>
      <c r="J64" s="41">
        <f t="shared" si="248"/>
        <v>524855</v>
      </c>
      <c r="K64" s="41">
        <f t="shared" si="248"/>
        <v>-120072</v>
      </c>
      <c r="L64" s="41">
        <f t="shared" si="248"/>
        <v>0</v>
      </c>
      <c r="M64" s="41">
        <f t="shared" si="248"/>
        <v>-94855</v>
      </c>
      <c r="N64" s="41">
        <f t="shared" si="248"/>
        <v>-1134463</v>
      </c>
      <c r="O64" s="41">
        <f t="shared" si="248"/>
        <v>1675226</v>
      </c>
      <c r="P64" s="41">
        <f t="shared" si="248"/>
        <v>-279737</v>
      </c>
      <c r="Q64" s="41">
        <f t="shared" si="248"/>
        <v>-7126</v>
      </c>
      <c r="R64" s="41">
        <f t="shared" si="248"/>
        <v>0</v>
      </c>
      <c r="S64" s="41">
        <f t="shared" si="248"/>
        <v>0</v>
      </c>
      <c r="T64" s="41">
        <f t="shared" ref="T64:AG64" si="249">SUM(T65)</f>
        <v>0</v>
      </c>
      <c r="U64" s="41">
        <f t="shared" ref="U64:AF64" si="250">SUM(U65)</f>
        <v>0</v>
      </c>
      <c r="V64" s="41">
        <f t="shared" si="250"/>
        <v>0</v>
      </c>
      <c r="W64" s="41">
        <f t="shared" si="250"/>
        <v>0</v>
      </c>
      <c r="X64" s="41">
        <f t="shared" si="250"/>
        <v>0</v>
      </c>
      <c r="Y64" s="41">
        <f t="shared" si="250"/>
        <v>0</v>
      </c>
      <c r="Z64" s="41">
        <f t="shared" si="250"/>
        <v>0</v>
      </c>
      <c r="AA64" s="41">
        <f t="shared" si="250"/>
        <v>0</v>
      </c>
      <c r="AB64" s="41">
        <f t="shared" si="250"/>
        <v>0</v>
      </c>
      <c r="AC64" s="41">
        <f t="shared" si="250"/>
        <v>0</v>
      </c>
      <c r="AD64" s="41">
        <f t="shared" si="250"/>
        <v>0</v>
      </c>
      <c r="AE64" s="41">
        <f t="shared" si="250"/>
        <v>0</v>
      </c>
      <c r="AF64" s="41">
        <f t="shared" si="250"/>
        <v>0</v>
      </c>
      <c r="AG64" s="41">
        <f t="shared" si="249"/>
        <v>19354111</v>
      </c>
      <c r="AH64" s="41">
        <f>SUM(AH65)</f>
        <v>21783816</v>
      </c>
    </row>
    <row r="65" spans="1:34" s="113" customFormat="1" ht="15.75" customHeight="1" x14ac:dyDescent="0.2">
      <c r="A65" s="34"/>
      <c r="B65" s="446" t="s">
        <v>85</v>
      </c>
      <c r="C65" s="446"/>
      <c r="D65" s="35" t="s">
        <v>231</v>
      </c>
      <c r="E65" s="185">
        <f>SUM(E66:E67)</f>
        <v>19354111</v>
      </c>
      <c r="F65" s="185">
        <f t="shared" ref="F65" si="251">SUM(F66:F67)</f>
        <v>21783816</v>
      </c>
      <c r="G65" s="185">
        <f t="shared" ref="G65" si="252">SUM(G66:G67)</f>
        <v>2429705</v>
      </c>
      <c r="H65" s="185">
        <f t="shared" ref="H65" si="253">SUM(H66:H67)</f>
        <v>95940</v>
      </c>
      <c r="I65" s="185">
        <f t="shared" ref="I65" si="254">SUM(I66:I67)</f>
        <v>1769937</v>
      </c>
      <c r="J65" s="185">
        <f t="shared" ref="J65" si="255">SUM(J66:J67)</f>
        <v>524855</v>
      </c>
      <c r="K65" s="185">
        <f t="shared" ref="K65" si="256">SUM(K66:K67)</f>
        <v>-120072</v>
      </c>
      <c r="L65" s="185">
        <f t="shared" ref="L65" si="257">SUM(L66:L67)</f>
        <v>0</v>
      </c>
      <c r="M65" s="185">
        <f t="shared" ref="M65" si="258">SUM(M66:M67)</f>
        <v>-94855</v>
      </c>
      <c r="N65" s="185">
        <f t="shared" ref="N65" si="259">SUM(N66:N67)</f>
        <v>-1134463</v>
      </c>
      <c r="O65" s="185">
        <f t="shared" ref="O65" si="260">SUM(O66:O67)</f>
        <v>1675226</v>
      </c>
      <c r="P65" s="185">
        <f t="shared" ref="P65" si="261">SUM(P66:P67)</f>
        <v>-279737</v>
      </c>
      <c r="Q65" s="185">
        <f t="shared" ref="Q65:S65" si="262">SUM(Q66:Q67)</f>
        <v>-7126</v>
      </c>
      <c r="R65" s="185">
        <f t="shared" ref="R65" si="263">SUM(R66:R67)</f>
        <v>0</v>
      </c>
      <c r="S65" s="185">
        <f t="shared" si="262"/>
        <v>0</v>
      </c>
      <c r="T65" s="185">
        <f t="shared" ref="T65:AG65" si="264">SUM(T66:T67)</f>
        <v>0</v>
      </c>
      <c r="U65" s="185">
        <f t="shared" ref="U65" si="265">SUM(U66:U67)</f>
        <v>0</v>
      </c>
      <c r="V65" s="185">
        <f t="shared" ref="V65" si="266">SUM(V66:V67)</f>
        <v>0</v>
      </c>
      <c r="W65" s="185">
        <f t="shared" ref="W65" si="267">SUM(W66:W67)</f>
        <v>0</v>
      </c>
      <c r="X65" s="185">
        <f t="shared" ref="X65" si="268">SUM(X66:X67)</f>
        <v>0</v>
      </c>
      <c r="Y65" s="185">
        <f t="shared" ref="Y65" si="269">SUM(Y66:Y67)</f>
        <v>0</v>
      </c>
      <c r="Z65" s="185">
        <f t="shared" ref="Z65" si="270">SUM(Z66:Z67)</f>
        <v>0</v>
      </c>
      <c r="AA65" s="185">
        <f t="shared" ref="AA65" si="271">SUM(AA66:AA67)</f>
        <v>0</v>
      </c>
      <c r="AB65" s="185">
        <f t="shared" ref="AB65" si="272">SUM(AB66:AB67)</f>
        <v>0</v>
      </c>
      <c r="AC65" s="185">
        <f t="shared" ref="AC65" si="273">SUM(AC66:AC67)</f>
        <v>0</v>
      </c>
      <c r="AD65" s="185">
        <f t="shared" ref="AD65" si="274">SUM(AD66:AD67)</f>
        <v>0</v>
      </c>
      <c r="AE65" s="185">
        <f t="shared" ref="AE65" si="275">SUM(AE66:AE67)</f>
        <v>0</v>
      </c>
      <c r="AF65" s="185">
        <f t="shared" ref="AF65:AH65" si="276">SUM(AF66:AF67)</f>
        <v>0</v>
      </c>
      <c r="AG65" s="185">
        <f t="shared" si="264"/>
        <v>19354111</v>
      </c>
      <c r="AH65" s="185">
        <f t="shared" si="276"/>
        <v>21783816</v>
      </c>
    </row>
    <row r="66" spans="1:34" x14ac:dyDescent="0.2">
      <c r="A66" s="42"/>
      <c r="B66" s="450" t="s">
        <v>86</v>
      </c>
      <c r="C66" s="450"/>
      <c r="D66" s="43" t="s">
        <v>643</v>
      </c>
      <c r="E66" s="44">
        <v>12681718</v>
      </c>
      <c r="F66" s="181">
        <f t="shared" ref="F66:F67" si="277">E66+G66</f>
        <v>12417781</v>
      </c>
      <c r="G66" s="181">
        <f t="shared" ref="G66:G67" si="278">SUBTOTAL(9,H66:S66)</f>
        <v>-263937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>
        <f>2390+642+1202+600+23399</f>
        <v>28233</v>
      </c>
      <c r="O66" s="181">
        <f>3688+3150-8</f>
        <v>6830</v>
      </c>
      <c r="P66" s="181">
        <f>19689+950-11-1886</f>
        <v>18742</v>
      </c>
      <c r="Q66" s="181">
        <f>6356+30268+2135</f>
        <v>38759</v>
      </c>
      <c r="R66" s="181"/>
      <c r="S66" s="181"/>
      <c r="T66" s="181"/>
      <c r="U66" s="181">
        <f t="shared" ref="U66:U67" si="279">T66+V66</f>
        <v>0</v>
      </c>
      <c r="V66" s="181">
        <f t="shared" ref="V66:V67" si="280">SUBTOTAL(9,W66:AF66)</f>
        <v>0</v>
      </c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>
        <f>E66+T66</f>
        <v>12681718</v>
      </c>
      <c r="AH66" s="181">
        <f>U66+F66</f>
        <v>12417781</v>
      </c>
    </row>
    <row r="67" spans="1:34" ht="48" x14ac:dyDescent="0.2">
      <c r="A67" s="42"/>
      <c r="B67" s="450" t="s">
        <v>120</v>
      </c>
      <c r="C67" s="450"/>
      <c r="D67" s="43" t="s">
        <v>229</v>
      </c>
      <c r="E67" s="44">
        <v>6672393</v>
      </c>
      <c r="F67" s="181">
        <f t="shared" si="277"/>
        <v>9366035</v>
      </c>
      <c r="G67" s="181">
        <f t="shared" si="278"/>
        <v>2693642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>
        <f>91436-128396-1298783+173047</f>
        <v>-1162696</v>
      </c>
      <c r="O67" s="181">
        <f>30291-205+1639816-1506</f>
        <v>1668396</v>
      </c>
      <c r="P67" s="181">
        <f>-263882-37496+1+7157-4259</f>
        <v>-298479</v>
      </c>
      <c r="Q67" s="181">
        <f>22736-68621</f>
        <v>-45885</v>
      </c>
      <c r="R67" s="181"/>
      <c r="S67" s="181"/>
      <c r="T67" s="281"/>
      <c r="U67" s="181">
        <f t="shared" si="279"/>
        <v>0</v>
      </c>
      <c r="V67" s="181">
        <f t="shared" si="280"/>
        <v>0</v>
      </c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>
        <f>E67+T67</f>
        <v>6672393</v>
      </c>
      <c r="AH67" s="181">
        <f>U67+F67</f>
        <v>9366035</v>
      </c>
    </row>
    <row r="68" spans="1:34" s="114" customFormat="1" x14ac:dyDescent="0.2">
      <c r="A68" s="451" t="s">
        <v>87</v>
      </c>
      <c r="B68" s="452"/>
      <c r="C68" s="452"/>
      <c r="D68" s="51" t="s">
        <v>88</v>
      </c>
      <c r="E68" s="41">
        <f>SUM(E69:E70)</f>
        <v>1782576</v>
      </c>
      <c r="F68" s="41">
        <f t="shared" ref="F68" si="281">SUM(F69:F70)</f>
        <v>1984381</v>
      </c>
      <c r="G68" s="41">
        <f t="shared" ref="G68" si="282">SUM(G69:G70)</f>
        <v>201805</v>
      </c>
      <c r="H68" s="41">
        <f t="shared" ref="H68" si="283">SUM(H69:H70)</f>
        <v>11045</v>
      </c>
      <c r="I68" s="41">
        <f t="shared" ref="I68" si="284">SUM(I69:I70)</f>
        <v>183198</v>
      </c>
      <c r="J68" s="41">
        <f t="shared" ref="J68" si="285">SUM(J69:J70)</f>
        <v>17640</v>
      </c>
      <c r="K68" s="41">
        <f t="shared" ref="K68" si="286">SUM(K69:K70)</f>
        <v>-45269</v>
      </c>
      <c r="L68" s="41">
        <f t="shared" ref="L68" si="287">SUM(L69:L70)</f>
        <v>0</v>
      </c>
      <c r="M68" s="41">
        <f t="shared" ref="M68" si="288">SUM(M69:M70)</f>
        <v>7681</v>
      </c>
      <c r="N68" s="41">
        <f t="shared" ref="N68" si="289">SUM(N69:N70)</f>
        <v>-20825</v>
      </c>
      <c r="O68" s="41">
        <f t="shared" ref="O68" si="290">SUM(O69:O70)</f>
        <v>1738</v>
      </c>
      <c r="P68" s="41">
        <f t="shared" ref="P68" si="291">SUM(P69:P70)</f>
        <v>14401</v>
      </c>
      <c r="Q68" s="41">
        <f t="shared" ref="Q68:S68" si="292">SUM(Q69:Q70)</f>
        <v>32196</v>
      </c>
      <c r="R68" s="41">
        <f t="shared" ref="R68" si="293">SUM(R69:R70)</f>
        <v>0</v>
      </c>
      <c r="S68" s="41">
        <f t="shared" si="292"/>
        <v>0</v>
      </c>
      <c r="T68" s="41">
        <f t="shared" ref="T68:AG68" si="294">SUM(T69:T70)</f>
        <v>-1041776</v>
      </c>
      <c r="U68" s="41">
        <f t="shared" ref="U68" si="295">SUM(U69:U70)</f>
        <v>-1229180</v>
      </c>
      <c r="V68" s="41">
        <f t="shared" ref="V68" si="296">SUM(V69:V70)</f>
        <v>-187404</v>
      </c>
      <c r="W68" s="41">
        <f t="shared" ref="W68" si="297">SUM(W69:W70)</f>
        <v>-11045</v>
      </c>
      <c r="X68" s="41">
        <f t="shared" ref="X68" si="298">SUM(X69:X70)</f>
        <v>-183198</v>
      </c>
      <c r="Y68" s="41">
        <f t="shared" ref="Y68" si="299">SUM(Y69:Y70)</f>
        <v>-17640</v>
      </c>
      <c r="Z68" s="41">
        <f t="shared" ref="Z68" si="300">SUM(Z69:Z70)</f>
        <v>45269</v>
      </c>
      <c r="AA68" s="41">
        <f t="shared" ref="AA68" si="301">SUM(AA69:AA70)</f>
        <v>-7681</v>
      </c>
      <c r="AB68" s="41">
        <f t="shared" ref="AB68" si="302">SUM(AB69:AB70)</f>
        <v>20825</v>
      </c>
      <c r="AC68" s="41">
        <f t="shared" ref="AC68" si="303">SUM(AC69:AC70)</f>
        <v>-1738</v>
      </c>
      <c r="AD68" s="41">
        <f t="shared" ref="AD68" si="304">SUM(AD69:AD70)</f>
        <v>-32196</v>
      </c>
      <c r="AE68" s="41">
        <f t="shared" ref="AE68" si="305">SUM(AE69:AE70)</f>
        <v>0</v>
      </c>
      <c r="AF68" s="41">
        <f t="shared" ref="AF68:AH68" si="306">SUM(AF69:AF70)</f>
        <v>0</v>
      </c>
      <c r="AG68" s="41">
        <f t="shared" si="294"/>
        <v>740800</v>
      </c>
      <c r="AH68" s="41">
        <f t="shared" si="306"/>
        <v>755201</v>
      </c>
    </row>
    <row r="69" spans="1:34" s="113" customFormat="1" ht="25.5" customHeight="1" x14ac:dyDescent="0.2">
      <c r="A69" s="34"/>
      <c r="B69" s="446" t="s">
        <v>89</v>
      </c>
      <c r="C69" s="446"/>
      <c r="D69" s="35" t="s">
        <v>230</v>
      </c>
      <c r="E69" s="185">
        <v>740800</v>
      </c>
      <c r="F69" s="185">
        <f t="shared" ref="F69:F70" si="307">E69+G69</f>
        <v>755201</v>
      </c>
      <c r="G69" s="185">
        <f t="shared" ref="G69:G70" si="308">SUBTOTAL(9,H69:S69)</f>
        <v>14401</v>
      </c>
      <c r="H69" s="185"/>
      <c r="I69" s="185"/>
      <c r="J69" s="185"/>
      <c r="K69" s="185"/>
      <c r="L69" s="185"/>
      <c r="M69" s="185"/>
      <c r="N69" s="185"/>
      <c r="O69" s="185"/>
      <c r="P69" s="185">
        <v>14401</v>
      </c>
      <c r="Q69" s="185"/>
      <c r="R69" s="185"/>
      <c r="S69" s="185"/>
      <c r="T69" s="185"/>
      <c r="U69" s="185">
        <f>T69+V69</f>
        <v>0</v>
      </c>
      <c r="V69" s="185">
        <f>SUBTOTAL(9,W69:AF69)</f>
        <v>0</v>
      </c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>
        <f>E69+T69</f>
        <v>740800</v>
      </c>
      <c r="AH69" s="185">
        <f>U69+F69</f>
        <v>755201</v>
      </c>
    </row>
    <row r="70" spans="1:34" ht="16.5" customHeight="1" x14ac:dyDescent="0.2">
      <c r="A70" s="52"/>
      <c r="B70" s="270" t="s">
        <v>454</v>
      </c>
      <c r="C70" s="270"/>
      <c r="D70" s="282" t="s">
        <v>476</v>
      </c>
      <c r="E70" s="54">
        <v>1041776</v>
      </c>
      <c r="F70" s="54">
        <f t="shared" si="307"/>
        <v>1229180</v>
      </c>
      <c r="G70" s="54">
        <f t="shared" si="308"/>
        <v>187404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>
        <v>7681</v>
      </c>
      <c r="N70" s="54">
        <v>-20825</v>
      </c>
      <c r="O70" s="54">
        <f>22+486+895+4+64+138+210+1+5+19+45-151</f>
        <v>1738</v>
      </c>
      <c r="P70" s="54"/>
      <c r="Q70" s="54">
        <v>32196</v>
      </c>
      <c r="R70" s="54"/>
      <c r="S70" s="54"/>
      <c r="T70" s="54">
        <v>-1041776</v>
      </c>
      <c r="U70" s="181">
        <f t="shared" ref="U70" si="309">T70+V70</f>
        <v>-1229180</v>
      </c>
      <c r="V70" s="181">
        <f t="shared" ref="V70" si="310">SUBTOTAL(9,W70:AF70)</f>
        <v>-187404</v>
      </c>
      <c r="W70" s="54">
        <f>-750-2719-7576</f>
        <v>-11045</v>
      </c>
      <c r="X70" s="54">
        <f>1-1-101-6450-37949-1-25845-3777-4897-85145-19033</f>
        <v>-183198</v>
      </c>
      <c r="Y70" s="54">
        <v>-17640</v>
      </c>
      <c r="Z70" s="54">
        <f>7251-21968+59986</f>
        <v>45269</v>
      </c>
      <c r="AA70" s="54">
        <v>-7681</v>
      </c>
      <c r="AB70" s="54">
        <v>20825</v>
      </c>
      <c r="AC70" s="54">
        <f>-22-486-895-4-64-138-210-1-5-19-45+151</f>
        <v>-1738</v>
      </c>
      <c r="AD70" s="54">
        <v>-32196</v>
      </c>
      <c r="AE70" s="54"/>
      <c r="AF70" s="54"/>
      <c r="AG70" s="181">
        <f>E70+T70</f>
        <v>0</v>
      </c>
      <c r="AH70" s="54">
        <f>U70+F70</f>
        <v>0</v>
      </c>
    </row>
    <row r="71" spans="1:34" s="114" customFormat="1" x14ac:dyDescent="0.2">
      <c r="A71" s="451" t="s">
        <v>90</v>
      </c>
      <c r="B71" s="452"/>
      <c r="C71" s="474"/>
      <c r="D71" s="51" t="s">
        <v>288</v>
      </c>
      <c r="E71" s="41">
        <f>SUM(E72,E75,E88)</f>
        <v>1698441</v>
      </c>
      <c r="F71" s="41">
        <f>SUM(F72,F75,F88)</f>
        <v>1692837</v>
      </c>
      <c r="G71" s="41">
        <f t="shared" ref="G71:S71" si="311">SUM(G72,G75,G88)</f>
        <v>-5604</v>
      </c>
      <c r="H71" s="41">
        <f t="shared" si="311"/>
        <v>5000</v>
      </c>
      <c r="I71" s="41">
        <f t="shared" si="311"/>
        <v>49487</v>
      </c>
      <c r="J71" s="41">
        <f t="shared" si="311"/>
        <v>-98945</v>
      </c>
      <c r="K71" s="41">
        <f t="shared" si="311"/>
        <v>111</v>
      </c>
      <c r="L71" s="41">
        <f t="shared" si="311"/>
        <v>2875</v>
      </c>
      <c r="M71" s="41">
        <f t="shared" si="311"/>
        <v>99</v>
      </c>
      <c r="N71" s="41">
        <f t="shared" si="311"/>
        <v>15362</v>
      </c>
      <c r="O71" s="41">
        <f t="shared" si="311"/>
        <v>0</v>
      </c>
      <c r="P71" s="41">
        <f t="shared" si="311"/>
        <v>5981</v>
      </c>
      <c r="Q71" s="41">
        <f t="shared" ref="Q71:R71" si="312">SUM(Q72,Q75,Q88)</f>
        <v>14426</v>
      </c>
      <c r="R71" s="41">
        <f t="shared" si="312"/>
        <v>0</v>
      </c>
      <c r="S71" s="41">
        <f t="shared" si="311"/>
        <v>0</v>
      </c>
      <c r="T71" s="41">
        <f>SUM(T72,T75,T88)</f>
        <v>-5452</v>
      </c>
      <c r="U71" s="41">
        <f>SUM(U72,U75,U88)</f>
        <v>-30262</v>
      </c>
      <c r="V71" s="41">
        <f t="shared" ref="V71" si="313">SUM(V72,V75,V88)</f>
        <v>-24810</v>
      </c>
      <c r="W71" s="41">
        <f t="shared" ref="W71" si="314">SUM(W72,W75,W88)</f>
        <v>0</v>
      </c>
      <c r="X71" s="41">
        <f t="shared" ref="X71" si="315">SUM(X72,X75,X88)</f>
        <v>-23325</v>
      </c>
      <c r="Y71" s="41">
        <f t="shared" ref="Y71" si="316">SUM(Y72,Y75,Y88)</f>
        <v>-1038</v>
      </c>
      <c r="Z71" s="41">
        <f t="shared" ref="Z71" si="317">SUM(Z72,Z75,Z88)</f>
        <v>-111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" si="321">SUM(AD72,AD75,AD88)</f>
        <v>-336</v>
      </c>
      <c r="AE71" s="41">
        <f t="shared" ref="AE71" si="322">SUM(AE72,AE75,AE88)</f>
        <v>0</v>
      </c>
      <c r="AF71" s="41">
        <f t="shared" ref="AF71:AH71" si="323">SUM(AF72,AF75,AF88)</f>
        <v>0</v>
      </c>
      <c r="AG71" s="41">
        <f>SUM(AG72,AG75,AG88)</f>
        <v>1692989</v>
      </c>
      <c r="AH71" s="41">
        <f t="shared" si="323"/>
        <v>1662575</v>
      </c>
    </row>
    <row r="72" spans="1:34" s="113" customFormat="1" ht="24" x14ac:dyDescent="0.2">
      <c r="A72" s="58"/>
      <c r="B72" s="446" t="s">
        <v>91</v>
      </c>
      <c r="C72" s="473"/>
      <c r="D72" s="91" t="s">
        <v>289</v>
      </c>
      <c r="E72" s="185">
        <f t="shared" ref="E72:AG72" si="324">SUM(E73:E74)</f>
        <v>20512</v>
      </c>
      <c r="F72" s="185">
        <f t="shared" ref="F72:S72" si="325">SUM(F73:F74)</f>
        <v>50977</v>
      </c>
      <c r="G72" s="185">
        <f t="shared" si="325"/>
        <v>30465</v>
      </c>
      <c r="H72" s="185">
        <f t="shared" si="325"/>
        <v>5000</v>
      </c>
      <c r="I72" s="185">
        <f t="shared" si="325"/>
        <v>-161</v>
      </c>
      <c r="J72" s="185">
        <f t="shared" si="325"/>
        <v>963</v>
      </c>
      <c r="K72" s="185">
        <f t="shared" si="325"/>
        <v>0</v>
      </c>
      <c r="L72" s="185">
        <f t="shared" si="325"/>
        <v>0</v>
      </c>
      <c r="M72" s="185">
        <f t="shared" si="325"/>
        <v>-1</v>
      </c>
      <c r="N72" s="185">
        <f t="shared" si="325"/>
        <v>13848</v>
      </c>
      <c r="O72" s="185">
        <f t="shared" si="325"/>
        <v>0</v>
      </c>
      <c r="P72" s="185">
        <f t="shared" si="325"/>
        <v>0</v>
      </c>
      <c r="Q72" s="185">
        <f t="shared" ref="Q72:R72" si="326">SUM(Q73:Q74)</f>
        <v>10816</v>
      </c>
      <c r="R72" s="185">
        <f t="shared" si="326"/>
        <v>0</v>
      </c>
      <c r="S72" s="185">
        <f t="shared" si="325"/>
        <v>0</v>
      </c>
      <c r="T72" s="185">
        <f t="shared" si="324"/>
        <v>0</v>
      </c>
      <c r="U72" s="185">
        <f t="shared" ref="U72:AF72" si="327">SUM(U73:U74)</f>
        <v>0</v>
      </c>
      <c r="V72" s="185">
        <f t="shared" si="327"/>
        <v>0</v>
      </c>
      <c r="W72" s="185">
        <f t="shared" si="327"/>
        <v>0</v>
      </c>
      <c r="X72" s="185">
        <f t="shared" si="327"/>
        <v>0</v>
      </c>
      <c r="Y72" s="185">
        <f t="shared" si="327"/>
        <v>0</v>
      </c>
      <c r="Z72" s="185">
        <f t="shared" si="327"/>
        <v>0</v>
      </c>
      <c r="AA72" s="185">
        <f t="shared" si="327"/>
        <v>0</v>
      </c>
      <c r="AB72" s="185">
        <f t="shared" si="327"/>
        <v>0</v>
      </c>
      <c r="AC72" s="185">
        <f t="shared" si="327"/>
        <v>0</v>
      </c>
      <c r="AD72" s="185">
        <f t="shared" si="327"/>
        <v>0</v>
      </c>
      <c r="AE72" s="185">
        <f t="shared" si="327"/>
        <v>0</v>
      </c>
      <c r="AF72" s="185">
        <f t="shared" si="327"/>
        <v>0</v>
      </c>
      <c r="AG72" s="185">
        <f t="shared" si="324"/>
        <v>20512</v>
      </c>
      <c r="AH72" s="185">
        <f>SUM(AH73:AH74)</f>
        <v>50977</v>
      </c>
    </row>
    <row r="73" spans="1:34" ht="24" x14ac:dyDescent="0.2">
      <c r="A73" s="117"/>
      <c r="B73" s="448" t="s">
        <v>221</v>
      </c>
      <c r="C73" s="449"/>
      <c r="D73" s="278" t="s">
        <v>222</v>
      </c>
      <c r="E73" s="273">
        <v>3932</v>
      </c>
      <c r="F73" s="273">
        <f t="shared" ref="F73:F74" si="328">E73+G73</f>
        <v>22780</v>
      </c>
      <c r="G73" s="273">
        <f t="shared" ref="G73:G74" si="329">SUBTOTAL(9,H73:S73)</f>
        <v>18848</v>
      </c>
      <c r="H73" s="273">
        <v>5000</v>
      </c>
      <c r="I73" s="273"/>
      <c r="J73" s="273"/>
      <c r="K73" s="273"/>
      <c r="L73" s="273"/>
      <c r="M73" s="273"/>
      <c r="N73" s="273">
        <v>13848</v>
      </c>
      <c r="O73" s="273"/>
      <c r="P73" s="273"/>
      <c r="Q73" s="273"/>
      <c r="R73" s="273"/>
      <c r="S73" s="273"/>
      <c r="T73" s="273"/>
      <c r="U73" s="273">
        <f t="shared" ref="U73:U74" si="330">T73+V73</f>
        <v>0</v>
      </c>
      <c r="V73" s="273">
        <f t="shared" ref="V73:V74" si="331">SUBTOTAL(9,W73:AF73)</f>
        <v>0</v>
      </c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>
        <f>E73+T73</f>
        <v>3932</v>
      </c>
      <c r="AH73" s="273">
        <f>U73+F73</f>
        <v>22780</v>
      </c>
    </row>
    <row r="74" spans="1:34" ht="24" x14ac:dyDescent="0.2">
      <c r="A74" s="167"/>
      <c r="B74" s="448" t="s">
        <v>492</v>
      </c>
      <c r="C74" s="449"/>
      <c r="D74" s="278" t="s">
        <v>644</v>
      </c>
      <c r="E74" s="181">
        <v>16580</v>
      </c>
      <c r="F74" s="181">
        <f t="shared" si="328"/>
        <v>28197</v>
      </c>
      <c r="G74" s="181">
        <f t="shared" si="329"/>
        <v>11617</v>
      </c>
      <c r="H74" s="181"/>
      <c r="I74" s="181">
        <f>6-167</f>
        <v>-161</v>
      </c>
      <c r="J74" s="181">
        <v>963</v>
      </c>
      <c r="K74" s="181"/>
      <c r="L74" s="181"/>
      <c r="M74" s="181">
        <v>-1</v>
      </c>
      <c r="N74" s="181"/>
      <c r="O74" s="181"/>
      <c r="P74" s="181"/>
      <c r="Q74" s="181">
        <v>10816</v>
      </c>
      <c r="R74" s="181"/>
      <c r="S74" s="181"/>
      <c r="T74" s="181"/>
      <c r="U74" s="181">
        <f t="shared" si="330"/>
        <v>0</v>
      </c>
      <c r="V74" s="181">
        <f t="shared" si="331"/>
        <v>0</v>
      </c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>
        <f>E74+T74</f>
        <v>16580</v>
      </c>
      <c r="AH74" s="181">
        <f>U74+F74</f>
        <v>28197</v>
      </c>
    </row>
    <row r="75" spans="1:34" s="113" customFormat="1" ht="26.25" customHeight="1" x14ac:dyDescent="0.2">
      <c r="A75" s="34"/>
      <c r="B75" s="446" t="s">
        <v>92</v>
      </c>
      <c r="C75" s="473"/>
      <c r="D75" s="35" t="s">
        <v>290</v>
      </c>
      <c r="E75" s="185">
        <f>SUM(E76,E79,E81,E84)</f>
        <v>1644025</v>
      </c>
      <c r="F75" s="185">
        <f>SUM(F76,F79,F81,F84)</f>
        <v>1585401</v>
      </c>
      <c r="G75" s="185">
        <f t="shared" ref="G75:S75" si="332">SUM(G76,G79,G81,G84)</f>
        <v>-58624</v>
      </c>
      <c r="H75" s="185">
        <f t="shared" si="332"/>
        <v>0</v>
      </c>
      <c r="I75" s="185">
        <f t="shared" si="332"/>
        <v>30382</v>
      </c>
      <c r="J75" s="185">
        <f t="shared" si="332"/>
        <v>-101726</v>
      </c>
      <c r="K75" s="185">
        <f t="shared" si="332"/>
        <v>0</v>
      </c>
      <c r="L75" s="185">
        <f t="shared" si="332"/>
        <v>2875</v>
      </c>
      <c r="M75" s="185">
        <f t="shared" si="332"/>
        <v>0</v>
      </c>
      <c r="N75" s="185">
        <f t="shared" si="332"/>
        <v>793</v>
      </c>
      <c r="O75" s="185">
        <f t="shared" si="332"/>
        <v>0</v>
      </c>
      <c r="P75" s="185">
        <f t="shared" si="332"/>
        <v>5417</v>
      </c>
      <c r="Q75" s="185">
        <f t="shared" ref="Q75:R75" si="333">SUM(Q76,Q79,Q81,Q84)</f>
        <v>3635</v>
      </c>
      <c r="R75" s="185">
        <f t="shared" si="333"/>
        <v>0</v>
      </c>
      <c r="S75" s="185">
        <f t="shared" si="332"/>
        <v>0</v>
      </c>
      <c r="T75" s="185">
        <f>SUM(T76,T79,T81,T84)</f>
        <v>0</v>
      </c>
      <c r="U75" s="185">
        <f>SUM(U76,U79,U81,U84)</f>
        <v>-23199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-23199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" si="342">SUM(AD76,AD79,AD81,AD84)</f>
        <v>0</v>
      </c>
      <c r="AE75" s="185">
        <f t="shared" ref="AE75" si="343">SUM(AE76,AE79,AE81,AE84)</f>
        <v>0</v>
      </c>
      <c r="AF75" s="185">
        <f t="shared" ref="AF75:AH75" si="344">SUM(AF76,AF79,AF81,AF84)</f>
        <v>0</v>
      </c>
      <c r="AG75" s="185">
        <f>SUM(AG76,AG79,AG81,AG84)</f>
        <v>1644025</v>
      </c>
      <c r="AH75" s="185">
        <f t="shared" si="344"/>
        <v>1562202</v>
      </c>
    </row>
    <row r="76" spans="1:34" x14ac:dyDescent="0.2">
      <c r="A76" s="36"/>
      <c r="B76" s="450" t="s">
        <v>93</v>
      </c>
      <c r="C76" s="453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S76" si="345">SUM(G77:G78)</f>
        <v>0</v>
      </c>
      <c r="H76" s="181">
        <f t="shared" si="345"/>
        <v>0</v>
      </c>
      <c r="I76" s="181">
        <f t="shared" si="345"/>
        <v>0</v>
      </c>
      <c r="J76" s="181">
        <f t="shared" si="345"/>
        <v>0</v>
      </c>
      <c r="K76" s="181">
        <f t="shared" si="345"/>
        <v>0</v>
      </c>
      <c r="L76" s="181">
        <f t="shared" si="345"/>
        <v>0</v>
      </c>
      <c r="M76" s="181">
        <f t="shared" si="345"/>
        <v>0</v>
      </c>
      <c r="N76" s="181">
        <f t="shared" si="345"/>
        <v>0</v>
      </c>
      <c r="O76" s="181">
        <f t="shared" si="345"/>
        <v>0</v>
      </c>
      <c r="P76" s="181">
        <f t="shared" si="345"/>
        <v>0</v>
      </c>
      <c r="Q76" s="181">
        <f t="shared" ref="Q76:R76" si="346">SUM(Q77:Q78)</f>
        <v>0</v>
      </c>
      <c r="R76" s="181">
        <f t="shared" si="346"/>
        <v>0</v>
      </c>
      <c r="S76" s="181">
        <f t="shared" si="345"/>
        <v>0</v>
      </c>
      <c r="T76" s="181">
        <f>SUM(T77:T78)</f>
        <v>0</v>
      </c>
      <c r="U76" s="181">
        <f>SUM(U77:U78)</f>
        <v>0</v>
      </c>
      <c r="V76" s="181">
        <f t="shared" ref="V76" si="347">SUM(V77:V78)</f>
        <v>0</v>
      </c>
      <c r="W76" s="181">
        <f t="shared" ref="W76" si="348">SUM(W77:W78)</f>
        <v>0</v>
      </c>
      <c r="X76" s="181">
        <f t="shared" ref="X76" si="349">SUM(X77:X78)</f>
        <v>0</v>
      </c>
      <c r="Y76" s="181">
        <f t="shared" ref="Y76" si="350">SUM(Y77:Y78)</f>
        <v>0</v>
      </c>
      <c r="Z76" s="181">
        <f t="shared" ref="Z76" si="351">SUM(Z77:Z78)</f>
        <v>0</v>
      </c>
      <c r="AA76" s="181">
        <f t="shared" ref="AA76" si="352">SUM(AA77:AA78)</f>
        <v>0</v>
      </c>
      <c r="AB76" s="181">
        <f t="shared" ref="AB76" si="353">SUM(AB77:AB78)</f>
        <v>0</v>
      </c>
      <c r="AC76" s="181">
        <f t="shared" ref="AC76" si="354">SUM(AC77:AC78)</f>
        <v>0</v>
      </c>
      <c r="AD76" s="181">
        <f t="shared" ref="AD76" si="355">SUM(AD77:AD78)</f>
        <v>0</v>
      </c>
      <c r="AE76" s="181">
        <f t="shared" ref="AE76" si="356">SUM(AE77:AE78)</f>
        <v>0</v>
      </c>
      <c r="AF76" s="181">
        <f t="shared" ref="AF76:AH76" si="357">SUM(AF77:AF78)</f>
        <v>0</v>
      </c>
      <c r="AG76" s="181">
        <f>SUM(AG77:AG78)</f>
        <v>154353</v>
      </c>
      <c r="AH76" s="181">
        <f t="shared" si="357"/>
        <v>154353</v>
      </c>
    </row>
    <row r="77" spans="1:34" x14ac:dyDescent="0.2">
      <c r="A77" s="38"/>
      <c r="B77" s="481" t="s">
        <v>95</v>
      </c>
      <c r="C77" s="482"/>
      <c r="D77" s="40" t="s">
        <v>172</v>
      </c>
      <c r="E77" s="182">
        <v>13515</v>
      </c>
      <c r="F77" s="182">
        <f t="shared" ref="F77:F78" si="358">E77+G77</f>
        <v>13515</v>
      </c>
      <c r="G77" s="182">
        <f t="shared" ref="G77:G78" si="359">SUBTOTAL(9,H77:S77)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274"/>
      <c r="U77" s="182">
        <f t="shared" ref="U77:U78" si="360">T77+V77</f>
        <v>0</v>
      </c>
      <c r="V77" s="182">
        <f t="shared" ref="V77:V78" si="361">SUBTOTAL(9,W77:AF77)</f>
        <v>0</v>
      </c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274">
        <f>E77+T77</f>
        <v>13515</v>
      </c>
      <c r="AH77" s="182">
        <f>U77+F77</f>
        <v>13515</v>
      </c>
    </row>
    <row r="78" spans="1:34" x14ac:dyDescent="0.2">
      <c r="A78" s="39"/>
      <c r="B78" s="448" t="s">
        <v>96</v>
      </c>
      <c r="C78" s="449"/>
      <c r="D78" s="40" t="s">
        <v>173</v>
      </c>
      <c r="E78" s="182">
        <v>140838</v>
      </c>
      <c r="F78" s="184">
        <f t="shared" si="358"/>
        <v>140838</v>
      </c>
      <c r="G78" s="184">
        <f t="shared" si="359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>
        <f t="shared" si="360"/>
        <v>0</v>
      </c>
      <c r="V78" s="184">
        <f t="shared" si="361"/>
        <v>0</v>
      </c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>
        <f>E78+T78</f>
        <v>140838</v>
      </c>
      <c r="AH78" s="184">
        <f>U78+F78</f>
        <v>140838</v>
      </c>
    </row>
    <row r="79" spans="1:34" ht="24" x14ac:dyDescent="0.2">
      <c r="A79" s="42"/>
      <c r="B79" s="450" t="s">
        <v>97</v>
      </c>
      <c r="C79" s="453"/>
      <c r="D79" s="43" t="s">
        <v>98</v>
      </c>
      <c r="E79" s="44">
        <f t="shared" ref="E79:AG79" si="362">SUM(E80:E80)</f>
        <v>135117</v>
      </c>
      <c r="F79" s="44">
        <f t="shared" si="362"/>
        <v>135468</v>
      </c>
      <c r="G79" s="44">
        <f t="shared" si="362"/>
        <v>351</v>
      </c>
      <c r="H79" s="44">
        <f t="shared" si="362"/>
        <v>0</v>
      </c>
      <c r="I79" s="44">
        <f t="shared" si="362"/>
        <v>-4839</v>
      </c>
      <c r="J79" s="44">
        <f t="shared" si="362"/>
        <v>0</v>
      </c>
      <c r="K79" s="44">
        <f t="shared" si="362"/>
        <v>0</v>
      </c>
      <c r="L79" s="44">
        <f t="shared" si="362"/>
        <v>0</v>
      </c>
      <c r="M79" s="44">
        <f t="shared" si="362"/>
        <v>0</v>
      </c>
      <c r="N79" s="44">
        <f t="shared" si="362"/>
        <v>0</v>
      </c>
      <c r="O79" s="44">
        <f t="shared" si="362"/>
        <v>0</v>
      </c>
      <c r="P79" s="44">
        <f t="shared" si="362"/>
        <v>5190</v>
      </c>
      <c r="Q79" s="44">
        <f t="shared" si="362"/>
        <v>0</v>
      </c>
      <c r="R79" s="44">
        <f t="shared" si="362"/>
        <v>0</v>
      </c>
      <c r="S79" s="44">
        <f t="shared" si="362"/>
        <v>0</v>
      </c>
      <c r="T79" s="44">
        <f t="shared" si="362"/>
        <v>0</v>
      </c>
      <c r="U79" s="44">
        <f t="shared" ref="U79:AF79" si="363">SUM(U80:U80)</f>
        <v>0</v>
      </c>
      <c r="V79" s="44">
        <f t="shared" si="363"/>
        <v>0</v>
      </c>
      <c r="W79" s="44">
        <f t="shared" si="363"/>
        <v>0</v>
      </c>
      <c r="X79" s="44">
        <f t="shared" si="363"/>
        <v>0</v>
      </c>
      <c r="Y79" s="44">
        <f t="shared" si="363"/>
        <v>0</v>
      </c>
      <c r="Z79" s="44">
        <f t="shared" si="363"/>
        <v>0</v>
      </c>
      <c r="AA79" s="44">
        <f t="shared" si="363"/>
        <v>0</v>
      </c>
      <c r="AB79" s="44">
        <f t="shared" si="363"/>
        <v>0</v>
      </c>
      <c r="AC79" s="44">
        <f t="shared" si="363"/>
        <v>0</v>
      </c>
      <c r="AD79" s="44">
        <f t="shared" si="363"/>
        <v>0</v>
      </c>
      <c r="AE79" s="44">
        <f t="shared" si="363"/>
        <v>0</v>
      </c>
      <c r="AF79" s="44">
        <f t="shared" si="363"/>
        <v>0</v>
      </c>
      <c r="AG79" s="44">
        <f t="shared" si="362"/>
        <v>135117</v>
      </c>
      <c r="AH79" s="44">
        <f>SUM(AH80:AH80)</f>
        <v>135468</v>
      </c>
    </row>
    <row r="80" spans="1:34" ht="24" x14ac:dyDescent="0.2">
      <c r="A80" s="46"/>
      <c r="B80" s="484" t="s">
        <v>99</v>
      </c>
      <c r="C80" s="485"/>
      <c r="D80" s="56" t="s">
        <v>174</v>
      </c>
      <c r="E80" s="182">
        <v>135117</v>
      </c>
      <c r="F80" s="184">
        <f>E80+G80</f>
        <v>135468</v>
      </c>
      <c r="G80" s="184">
        <f>SUBTOTAL(9,H80:S80)</f>
        <v>351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>
        <f>4225+965</f>
        <v>5190</v>
      </c>
      <c r="Q80" s="184"/>
      <c r="R80" s="184"/>
      <c r="S80" s="184"/>
      <c r="T80" s="184"/>
      <c r="U80" s="184">
        <f>T80+V80</f>
        <v>0</v>
      </c>
      <c r="V80" s="184">
        <f>SUBTOTAL(9,W80:AF80)</f>
        <v>0</v>
      </c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>
        <f>E80+T80</f>
        <v>135117</v>
      </c>
      <c r="AH80" s="184">
        <f>U80+F80</f>
        <v>135468</v>
      </c>
    </row>
    <row r="81" spans="1:34" x14ac:dyDescent="0.2">
      <c r="A81" s="42"/>
      <c r="B81" s="450" t="s">
        <v>100</v>
      </c>
      <c r="C81" s="453"/>
      <c r="D81" s="43" t="s">
        <v>176</v>
      </c>
      <c r="E81" s="44">
        <f t="shared" ref="E81:AG81" si="364">SUM(E82:E83)</f>
        <v>291693</v>
      </c>
      <c r="F81" s="44">
        <f t="shared" ref="F81:S81" si="365">SUM(F82:F83)</f>
        <v>300819</v>
      </c>
      <c r="G81" s="44">
        <f t="shared" si="365"/>
        <v>9126</v>
      </c>
      <c r="H81" s="44">
        <f t="shared" si="365"/>
        <v>0</v>
      </c>
      <c r="I81" s="44">
        <f t="shared" si="365"/>
        <v>-632</v>
      </c>
      <c r="J81" s="44">
        <f t="shared" si="365"/>
        <v>0</v>
      </c>
      <c r="K81" s="44">
        <f t="shared" si="365"/>
        <v>0</v>
      </c>
      <c r="L81" s="44">
        <f t="shared" si="365"/>
        <v>0</v>
      </c>
      <c r="M81" s="44">
        <f t="shared" si="365"/>
        <v>0</v>
      </c>
      <c r="N81" s="44">
        <f t="shared" si="365"/>
        <v>0</v>
      </c>
      <c r="O81" s="44">
        <f t="shared" si="365"/>
        <v>0</v>
      </c>
      <c r="P81" s="44">
        <f t="shared" si="365"/>
        <v>6029</v>
      </c>
      <c r="Q81" s="44">
        <f t="shared" ref="Q81:R81" si="366">SUM(Q82:Q83)</f>
        <v>3729</v>
      </c>
      <c r="R81" s="44">
        <f t="shared" si="366"/>
        <v>0</v>
      </c>
      <c r="S81" s="44">
        <f t="shared" si="365"/>
        <v>0</v>
      </c>
      <c r="T81" s="44">
        <f t="shared" si="364"/>
        <v>0</v>
      </c>
      <c r="U81" s="44">
        <f t="shared" ref="U81:AF81" si="367">SUM(U82:U83)</f>
        <v>0</v>
      </c>
      <c r="V81" s="44">
        <f t="shared" si="367"/>
        <v>0</v>
      </c>
      <c r="W81" s="44">
        <f t="shared" si="367"/>
        <v>0</v>
      </c>
      <c r="X81" s="44">
        <f t="shared" si="367"/>
        <v>0</v>
      </c>
      <c r="Y81" s="44">
        <f t="shared" si="367"/>
        <v>0</v>
      </c>
      <c r="Z81" s="44">
        <f t="shared" si="367"/>
        <v>0</v>
      </c>
      <c r="AA81" s="44">
        <f t="shared" si="367"/>
        <v>0</v>
      </c>
      <c r="AB81" s="44">
        <f t="shared" si="367"/>
        <v>0</v>
      </c>
      <c r="AC81" s="44">
        <f t="shared" si="367"/>
        <v>0</v>
      </c>
      <c r="AD81" s="44">
        <f t="shared" si="367"/>
        <v>0</v>
      </c>
      <c r="AE81" s="44">
        <f t="shared" si="367"/>
        <v>0</v>
      </c>
      <c r="AF81" s="44">
        <f t="shared" si="367"/>
        <v>0</v>
      </c>
      <c r="AG81" s="44">
        <f t="shared" si="364"/>
        <v>291693</v>
      </c>
      <c r="AH81" s="44">
        <f>SUM(AH82:AH83)</f>
        <v>300819</v>
      </c>
    </row>
    <row r="82" spans="1:34" x14ac:dyDescent="0.2">
      <c r="A82" s="38"/>
      <c r="B82" s="481" t="s">
        <v>101</v>
      </c>
      <c r="C82" s="482"/>
      <c r="D82" s="272" t="s">
        <v>144</v>
      </c>
      <c r="E82" s="182">
        <v>288692</v>
      </c>
      <c r="F82" s="182">
        <f t="shared" ref="F82:F83" si="368">E82+G82</f>
        <v>297818</v>
      </c>
      <c r="G82" s="182">
        <f t="shared" ref="G82:G83" si="369">SUBTOTAL(9,H82:S82)</f>
        <v>9126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>
        <f>29+6000</f>
        <v>6029</v>
      </c>
      <c r="Q82" s="182">
        <f>-2040+4388+4168-2787</f>
        <v>3729</v>
      </c>
      <c r="R82" s="182"/>
      <c r="S82" s="182"/>
      <c r="T82" s="182"/>
      <c r="U82" s="182">
        <f t="shared" ref="U82:U83" si="370">T82+V82</f>
        <v>0</v>
      </c>
      <c r="V82" s="182">
        <f t="shared" ref="V82:V83" si="371">SUBTOTAL(9,W82:AF82)</f>
        <v>0</v>
      </c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>
        <f>E82+T82</f>
        <v>288692</v>
      </c>
      <c r="AH82" s="182">
        <f>U82+F82</f>
        <v>297818</v>
      </c>
    </row>
    <row r="83" spans="1:34" x14ac:dyDescent="0.2">
      <c r="A83" s="55"/>
      <c r="B83" s="447" t="s">
        <v>102</v>
      </c>
      <c r="C83" s="483"/>
      <c r="D83" s="56" t="s">
        <v>175</v>
      </c>
      <c r="E83" s="182">
        <v>3001</v>
      </c>
      <c r="F83" s="182">
        <f t="shared" si="368"/>
        <v>3001</v>
      </c>
      <c r="G83" s="182">
        <f t="shared" si="369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>
        <f t="shared" si="370"/>
        <v>0</v>
      </c>
      <c r="V83" s="182">
        <f t="shared" si="371"/>
        <v>0</v>
      </c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>
        <f>E83+T83</f>
        <v>3001</v>
      </c>
      <c r="AH83" s="182">
        <f>U83+F83</f>
        <v>3001</v>
      </c>
    </row>
    <row r="84" spans="1:34" ht="24" x14ac:dyDescent="0.2">
      <c r="A84" s="42"/>
      <c r="B84" s="450" t="s">
        <v>103</v>
      </c>
      <c r="C84" s="453"/>
      <c r="D84" s="43" t="s">
        <v>528</v>
      </c>
      <c r="E84" s="44">
        <f t="shared" ref="E84:AG84" si="372">SUM(E85:E87)</f>
        <v>1062862</v>
      </c>
      <c r="F84" s="44">
        <f t="shared" ref="F84:S84" si="373">SUM(F85:F87)</f>
        <v>994761</v>
      </c>
      <c r="G84" s="44">
        <f t="shared" si="373"/>
        <v>-68101</v>
      </c>
      <c r="H84" s="44">
        <f t="shared" si="373"/>
        <v>0</v>
      </c>
      <c r="I84" s="44">
        <f t="shared" si="373"/>
        <v>35853</v>
      </c>
      <c r="J84" s="44">
        <f t="shared" si="373"/>
        <v>-101726</v>
      </c>
      <c r="K84" s="44">
        <f t="shared" si="373"/>
        <v>0</v>
      </c>
      <c r="L84" s="44">
        <f t="shared" si="373"/>
        <v>2875</v>
      </c>
      <c r="M84" s="44">
        <f t="shared" si="373"/>
        <v>0</v>
      </c>
      <c r="N84" s="44">
        <f t="shared" si="373"/>
        <v>793</v>
      </c>
      <c r="O84" s="44">
        <f t="shared" si="373"/>
        <v>0</v>
      </c>
      <c r="P84" s="44">
        <f t="shared" si="373"/>
        <v>-5802</v>
      </c>
      <c r="Q84" s="44">
        <f t="shared" ref="Q84:R84" si="374">SUM(Q85:Q87)</f>
        <v>-94</v>
      </c>
      <c r="R84" s="44">
        <f t="shared" si="374"/>
        <v>0</v>
      </c>
      <c r="S84" s="44">
        <f t="shared" si="373"/>
        <v>0</v>
      </c>
      <c r="T84" s="44">
        <f t="shared" si="372"/>
        <v>0</v>
      </c>
      <c r="U84" s="44">
        <f t="shared" ref="U84:AF84" si="375">SUM(U85:U87)</f>
        <v>-23199</v>
      </c>
      <c r="V84" s="44">
        <f t="shared" si="375"/>
        <v>-23199</v>
      </c>
      <c r="W84" s="44">
        <f t="shared" si="375"/>
        <v>0</v>
      </c>
      <c r="X84" s="44">
        <f t="shared" si="375"/>
        <v>-23199</v>
      </c>
      <c r="Y84" s="44">
        <f t="shared" si="375"/>
        <v>0</v>
      </c>
      <c r="Z84" s="44">
        <f t="shared" si="375"/>
        <v>0</v>
      </c>
      <c r="AA84" s="44">
        <f t="shared" si="375"/>
        <v>0</v>
      </c>
      <c r="AB84" s="44">
        <f t="shared" si="375"/>
        <v>0</v>
      </c>
      <c r="AC84" s="44">
        <f t="shared" si="375"/>
        <v>0</v>
      </c>
      <c r="AD84" s="44">
        <f t="shared" si="375"/>
        <v>0</v>
      </c>
      <c r="AE84" s="44">
        <f t="shared" si="375"/>
        <v>0</v>
      </c>
      <c r="AF84" s="44">
        <f t="shared" si="375"/>
        <v>0</v>
      </c>
      <c r="AG84" s="44">
        <f t="shared" si="372"/>
        <v>1062862</v>
      </c>
      <c r="AH84" s="44">
        <f>SUM(AH85:AH87)</f>
        <v>971562</v>
      </c>
    </row>
    <row r="85" spans="1:34" ht="22.5" customHeight="1" x14ac:dyDescent="0.2">
      <c r="A85" s="38"/>
      <c r="B85" s="481" t="s">
        <v>104</v>
      </c>
      <c r="C85" s="482"/>
      <c r="D85" s="40" t="s">
        <v>177</v>
      </c>
      <c r="E85" s="182">
        <v>502190</v>
      </c>
      <c r="F85" s="182">
        <f t="shared" ref="F85:F87" si="376">E85+G85</f>
        <v>493713</v>
      </c>
      <c r="G85" s="182">
        <f t="shared" ref="G85:G87" si="377">SUBTOTAL(9,H85:S85)</f>
        <v>-8477</v>
      </c>
      <c r="H85" s="182"/>
      <c r="I85" s="182"/>
      <c r="J85" s="182"/>
      <c r="K85" s="182"/>
      <c r="L85" s="182"/>
      <c r="M85" s="182"/>
      <c r="N85" s="182"/>
      <c r="O85" s="182"/>
      <c r="P85" s="182">
        <f>-8477</f>
        <v>-8477</v>
      </c>
      <c r="Q85" s="182"/>
      <c r="R85" s="182"/>
      <c r="S85" s="182"/>
      <c r="T85" s="182"/>
      <c r="U85" s="182">
        <f t="shared" ref="U85:U87" si="378">T85+V85</f>
        <v>0</v>
      </c>
      <c r="V85" s="182">
        <f t="shared" ref="V85:V87" si="379">SUBTOTAL(9,W85:AF85)</f>
        <v>0</v>
      </c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>
        <f>E85+T85</f>
        <v>502190</v>
      </c>
      <c r="AH85" s="182">
        <f>U85+F85</f>
        <v>493713</v>
      </c>
    </row>
    <row r="86" spans="1:34" x14ac:dyDescent="0.2">
      <c r="A86" s="55"/>
      <c r="B86" s="447" t="s">
        <v>105</v>
      </c>
      <c r="C86" s="483"/>
      <c r="D86" s="40" t="s">
        <v>194</v>
      </c>
      <c r="E86" s="182">
        <v>23285</v>
      </c>
      <c r="F86" s="182">
        <f t="shared" si="376"/>
        <v>23816</v>
      </c>
      <c r="G86" s="182">
        <f t="shared" si="377"/>
        <v>531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>
        <v>531</v>
      </c>
      <c r="R86" s="182"/>
      <c r="S86" s="182"/>
      <c r="T86" s="182"/>
      <c r="U86" s="182">
        <f t="shared" si="378"/>
        <v>0</v>
      </c>
      <c r="V86" s="182">
        <f t="shared" si="379"/>
        <v>0</v>
      </c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>
        <f>E86+T86</f>
        <v>23285</v>
      </c>
      <c r="AH86" s="182">
        <f>U86+F86</f>
        <v>23816</v>
      </c>
    </row>
    <row r="87" spans="1:34" x14ac:dyDescent="0.2">
      <c r="A87" s="39"/>
      <c r="B87" s="448" t="s">
        <v>106</v>
      </c>
      <c r="C87" s="449"/>
      <c r="D87" s="40" t="s">
        <v>178</v>
      </c>
      <c r="E87" s="182">
        <v>537387</v>
      </c>
      <c r="F87" s="273">
        <f t="shared" si="376"/>
        <v>477232</v>
      </c>
      <c r="G87" s="273">
        <f t="shared" si="377"/>
        <v>-60155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>
        <v>793</v>
      </c>
      <c r="O87" s="273"/>
      <c r="P87" s="273">
        <f>-162+894+1495+448</f>
        <v>2675</v>
      </c>
      <c r="Q87" s="273">
        <f>-7972+2500+3750-3502+4599</f>
        <v>-625</v>
      </c>
      <c r="R87" s="273"/>
      <c r="S87" s="273"/>
      <c r="T87" s="273"/>
      <c r="U87" s="273">
        <f t="shared" si="378"/>
        <v>-23199</v>
      </c>
      <c r="V87" s="273">
        <f t="shared" si="379"/>
        <v>-23199</v>
      </c>
      <c r="W87" s="273"/>
      <c r="X87" s="273">
        <v>-23199</v>
      </c>
      <c r="Y87" s="273"/>
      <c r="Z87" s="273"/>
      <c r="AA87" s="273"/>
      <c r="AB87" s="273"/>
      <c r="AC87" s="273"/>
      <c r="AD87" s="273"/>
      <c r="AE87" s="273"/>
      <c r="AF87" s="273"/>
      <c r="AG87" s="273">
        <f>E87+T87</f>
        <v>537387</v>
      </c>
      <c r="AH87" s="273">
        <f>U87+F87</f>
        <v>454033</v>
      </c>
    </row>
    <row r="88" spans="1:34" ht="39.75" customHeight="1" x14ac:dyDescent="0.2">
      <c r="A88" s="42"/>
      <c r="B88" s="446" t="s">
        <v>235</v>
      </c>
      <c r="C88" s="473"/>
      <c r="D88" s="284" t="s">
        <v>291</v>
      </c>
      <c r="E88" s="185">
        <f t="shared" ref="E88" si="380">SUM(E89,E91)</f>
        <v>33904</v>
      </c>
      <c r="F88" s="280">
        <f>SUM(F89,F91)</f>
        <v>56459</v>
      </c>
      <c r="G88" s="280">
        <f t="shared" ref="G88:S88" si="381">SUM(G89,G91)</f>
        <v>22555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100</v>
      </c>
      <c r="N88" s="280">
        <f t="shared" si="381"/>
        <v>721</v>
      </c>
      <c r="O88" s="280">
        <f t="shared" si="381"/>
        <v>0</v>
      </c>
      <c r="P88" s="280">
        <f t="shared" si="381"/>
        <v>564</v>
      </c>
      <c r="Q88" s="280">
        <f t="shared" ref="Q88:R88" si="382">SUM(Q89,Q91)</f>
        <v>-25</v>
      </c>
      <c r="R88" s="280">
        <f t="shared" si="382"/>
        <v>0</v>
      </c>
      <c r="S88" s="280">
        <f t="shared" si="381"/>
        <v>0</v>
      </c>
      <c r="T88" s="280">
        <f>SUM(T89,T91)</f>
        <v>-5452</v>
      </c>
      <c r="U88" s="280">
        <f>SUM(U89,U91)</f>
        <v>-7063</v>
      </c>
      <c r="V88" s="280">
        <f t="shared" ref="V88" si="383">SUM(V89,V91)</f>
        <v>-1611</v>
      </c>
      <c r="W88" s="280">
        <f t="shared" ref="W88" si="384">SUM(W89,W91)</f>
        <v>0</v>
      </c>
      <c r="X88" s="280">
        <f t="shared" ref="X88" si="385">SUM(X89,X91)</f>
        <v>-126</v>
      </c>
      <c r="Y88" s="280">
        <f t="shared" ref="Y88" si="386">SUM(Y89,Y91)</f>
        <v>-1038</v>
      </c>
      <c r="Z88" s="280">
        <f t="shared" ref="Z88" si="387">SUM(Z89,Z91)</f>
        <v>-111</v>
      </c>
      <c r="AA88" s="280">
        <f t="shared" ref="AA88" si="388">SUM(AA89,AA91)</f>
        <v>0</v>
      </c>
      <c r="AB88" s="280">
        <f t="shared" ref="AB88" si="389">SUM(AB89,AB91)</f>
        <v>0</v>
      </c>
      <c r="AC88" s="280">
        <f t="shared" ref="AC88" si="390">SUM(AC89,AC91)</f>
        <v>0</v>
      </c>
      <c r="AD88" s="280">
        <f t="shared" ref="AD88" si="391">SUM(AD89,AD91)</f>
        <v>-336</v>
      </c>
      <c r="AE88" s="280">
        <f t="shared" ref="AE88" si="392">SUM(AE89,AE91)</f>
        <v>0</v>
      </c>
      <c r="AF88" s="280">
        <f t="shared" ref="AF88:AH88" si="393">SUM(AF89,AF91)</f>
        <v>0</v>
      </c>
      <c r="AG88" s="280">
        <f>SUM(AG89,AG91)</f>
        <v>28452</v>
      </c>
      <c r="AH88" s="280">
        <f t="shared" si="393"/>
        <v>49396</v>
      </c>
    </row>
    <row r="89" spans="1:34" s="113" customFormat="1" ht="24" x14ac:dyDescent="0.2">
      <c r="A89" s="34"/>
      <c r="B89" s="450" t="s">
        <v>107</v>
      </c>
      <c r="C89" s="453"/>
      <c r="D89" s="43" t="s">
        <v>529</v>
      </c>
      <c r="E89" s="187">
        <f t="shared" ref="E89:T89" si="394">SUM(E90:E90)</f>
        <v>800</v>
      </c>
      <c r="F89" s="187">
        <f t="shared" si="394"/>
        <v>19833</v>
      </c>
      <c r="G89" s="187">
        <f t="shared" si="394"/>
        <v>19033</v>
      </c>
      <c r="H89" s="187">
        <f t="shared" si="394"/>
        <v>0</v>
      </c>
      <c r="I89" s="187">
        <f t="shared" si="394"/>
        <v>19033</v>
      </c>
      <c r="J89" s="187">
        <f t="shared" si="394"/>
        <v>0</v>
      </c>
      <c r="K89" s="187">
        <f t="shared" si="394"/>
        <v>0</v>
      </c>
      <c r="L89" s="187">
        <f t="shared" si="394"/>
        <v>0</v>
      </c>
      <c r="M89" s="187">
        <f t="shared" si="394"/>
        <v>0</v>
      </c>
      <c r="N89" s="187">
        <f t="shared" si="394"/>
        <v>0</v>
      </c>
      <c r="O89" s="187">
        <f t="shared" si="394"/>
        <v>0</v>
      </c>
      <c r="P89" s="187">
        <f t="shared" si="394"/>
        <v>0</v>
      </c>
      <c r="Q89" s="187">
        <f t="shared" si="394"/>
        <v>0</v>
      </c>
      <c r="R89" s="187">
        <f t="shared" si="394"/>
        <v>0</v>
      </c>
      <c r="S89" s="187">
        <f t="shared" si="394"/>
        <v>0</v>
      </c>
      <c r="T89" s="187">
        <f t="shared" si="394"/>
        <v>0</v>
      </c>
      <c r="U89" s="187">
        <f t="shared" ref="U89:AH89" si="395">SUM(U90:U90)</f>
        <v>0</v>
      </c>
      <c r="V89" s="187">
        <f t="shared" si="395"/>
        <v>0</v>
      </c>
      <c r="W89" s="187">
        <f t="shared" si="395"/>
        <v>0</v>
      </c>
      <c r="X89" s="187">
        <f t="shared" si="395"/>
        <v>0</v>
      </c>
      <c r="Y89" s="187">
        <f t="shared" si="395"/>
        <v>0</v>
      </c>
      <c r="Z89" s="187">
        <f t="shared" si="395"/>
        <v>0</v>
      </c>
      <c r="AA89" s="187">
        <f t="shared" si="395"/>
        <v>0</v>
      </c>
      <c r="AB89" s="187">
        <f t="shared" si="395"/>
        <v>0</v>
      </c>
      <c r="AC89" s="187">
        <f t="shared" si="395"/>
        <v>0</v>
      </c>
      <c r="AD89" s="187">
        <f t="shared" si="395"/>
        <v>0</v>
      </c>
      <c r="AE89" s="187">
        <f t="shared" si="395"/>
        <v>0</v>
      </c>
      <c r="AF89" s="187">
        <f t="shared" si="395"/>
        <v>0</v>
      </c>
      <c r="AG89" s="187">
        <f t="shared" si="395"/>
        <v>800</v>
      </c>
      <c r="AH89" s="187">
        <f t="shared" si="395"/>
        <v>19833</v>
      </c>
    </row>
    <row r="90" spans="1:34" ht="24" x14ac:dyDescent="0.2">
      <c r="A90" s="39"/>
      <c r="B90" s="456" t="s">
        <v>202</v>
      </c>
      <c r="C90" s="504"/>
      <c r="D90" s="40" t="s">
        <v>530</v>
      </c>
      <c r="E90" s="183">
        <v>800</v>
      </c>
      <c r="F90" s="184">
        <f t="shared" ref="F90:F91" si="396">E90+G90</f>
        <v>19833</v>
      </c>
      <c r="G90" s="184">
        <f t="shared" ref="G90:G91" si="397">SUBTOTAL(9,H90:S90)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>
        <f>T90+V90</f>
        <v>0</v>
      </c>
      <c r="V90" s="44">
        <f>SUBTOTAL(9,W90:AF90)</f>
        <v>0</v>
      </c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>
        <f>E90+T90</f>
        <v>800</v>
      </c>
      <c r="AH90" s="184">
        <f>U90+F90</f>
        <v>19833</v>
      </c>
    </row>
    <row r="91" spans="1:34" s="113" customFormat="1" x14ac:dyDescent="0.2">
      <c r="A91" s="59"/>
      <c r="B91" s="461" t="s">
        <v>233</v>
      </c>
      <c r="C91" s="462"/>
      <c r="D91" s="43" t="s">
        <v>234</v>
      </c>
      <c r="E91" s="187">
        <v>33104</v>
      </c>
      <c r="F91" s="187">
        <f t="shared" si="396"/>
        <v>36626</v>
      </c>
      <c r="G91" s="187">
        <f t="shared" si="397"/>
        <v>3522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>
        <v>100</v>
      </c>
      <c r="N91" s="187">
        <f>507+214</f>
        <v>721</v>
      </c>
      <c r="O91" s="187"/>
      <c r="P91" s="187">
        <f>272+50+50+54+14+64+60</f>
        <v>564</v>
      </c>
      <c r="Q91" s="187">
        <v>-25</v>
      </c>
      <c r="R91" s="187"/>
      <c r="S91" s="187"/>
      <c r="T91" s="187">
        <v>-5452</v>
      </c>
      <c r="U91" s="44">
        <f>T91+V91</f>
        <v>-7063</v>
      </c>
      <c r="V91" s="44">
        <f>SUBTOTAL(9,W91:AF91)</f>
        <v>-1611</v>
      </c>
      <c r="W91" s="187"/>
      <c r="X91" s="187">
        <f>-13-113</f>
        <v>-126</v>
      </c>
      <c r="Y91" s="187">
        <v>-1038</v>
      </c>
      <c r="Z91" s="187">
        <v>-111</v>
      </c>
      <c r="AA91" s="187"/>
      <c r="AB91" s="187"/>
      <c r="AC91" s="187"/>
      <c r="AD91" s="187">
        <f>-272-50-14</f>
        <v>-336</v>
      </c>
      <c r="AE91" s="187"/>
      <c r="AF91" s="187"/>
      <c r="AG91" s="187">
        <f>E91+T91</f>
        <v>27652</v>
      </c>
      <c r="AH91" s="187">
        <f>U91+F91</f>
        <v>29563</v>
      </c>
    </row>
    <row r="92" spans="1:34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:34" s="118" customFormat="1" ht="26.25" customHeight="1" x14ac:dyDescent="0.2">
      <c r="A93" s="499" t="s">
        <v>122</v>
      </c>
      <c r="B93" s="500"/>
      <c r="C93" s="500"/>
      <c r="D93" s="501"/>
      <c r="E93" s="190">
        <f t="shared" ref="E93:AH93" si="398">SUM(E10,E15,E26,E32,E35,E44,E55,E47,E62,E64,E68,E71,)</f>
        <v>89562788</v>
      </c>
      <c r="F93" s="190">
        <f t="shared" si="398"/>
        <v>93539890</v>
      </c>
      <c r="G93" s="190">
        <f t="shared" si="398"/>
        <v>3977102</v>
      </c>
      <c r="H93" s="190">
        <f t="shared" si="398"/>
        <v>111985</v>
      </c>
      <c r="I93" s="190">
        <f t="shared" si="398"/>
        <v>2279121</v>
      </c>
      <c r="J93" s="190">
        <f t="shared" si="398"/>
        <v>443550</v>
      </c>
      <c r="K93" s="190">
        <f t="shared" si="398"/>
        <v>493998</v>
      </c>
      <c r="L93" s="190">
        <f t="shared" si="398"/>
        <v>2875</v>
      </c>
      <c r="M93" s="190">
        <f t="shared" si="398"/>
        <v>-87075</v>
      </c>
      <c r="N93" s="190">
        <f t="shared" si="398"/>
        <v>-612926</v>
      </c>
      <c r="O93" s="190">
        <f t="shared" si="398"/>
        <v>1676964</v>
      </c>
      <c r="P93" s="190">
        <f t="shared" si="398"/>
        <v>-370886</v>
      </c>
      <c r="Q93" s="190">
        <f t="shared" ref="Q93:R93" si="399">SUM(Q10,Q15,Q26,Q32,Q35,Q44,Q55,Q47,Q62,Q64,Q68,Q71,)</f>
        <v>39496</v>
      </c>
      <c r="R93" s="190">
        <f t="shared" si="399"/>
        <v>0</v>
      </c>
      <c r="S93" s="190">
        <f t="shared" si="398"/>
        <v>0</v>
      </c>
      <c r="T93" s="190">
        <f t="shared" si="398"/>
        <v>-1047228</v>
      </c>
      <c r="U93" s="190">
        <f t="shared" si="398"/>
        <v>-1259442</v>
      </c>
      <c r="V93" s="190">
        <f t="shared" si="398"/>
        <v>-212214</v>
      </c>
      <c r="W93" s="190">
        <f t="shared" si="398"/>
        <v>-11045</v>
      </c>
      <c r="X93" s="190">
        <f t="shared" si="398"/>
        <v>-206523</v>
      </c>
      <c r="Y93" s="190">
        <f t="shared" si="398"/>
        <v>-18678</v>
      </c>
      <c r="Z93" s="190">
        <f t="shared" si="398"/>
        <v>45158</v>
      </c>
      <c r="AA93" s="190">
        <f t="shared" si="398"/>
        <v>-7681</v>
      </c>
      <c r="AB93" s="190">
        <f t="shared" si="398"/>
        <v>20825</v>
      </c>
      <c r="AC93" s="190">
        <f t="shared" si="398"/>
        <v>-1738</v>
      </c>
      <c r="AD93" s="190">
        <f t="shared" si="398"/>
        <v>-32532</v>
      </c>
      <c r="AE93" s="190">
        <f t="shared" si="398"/>
        <v>0</v>
      </c>
      <c r="AF93" s="190">
        <f t="shared" si="398"/>
        <v>0</v>
      </c>
      <c r="AG93" s="190">
        <f t="shared" si="398"/>
        <v>88751984</v>
      </c>
      <c r="AH93" s="190">
        <f t="shared" si="398"/>
        <v>92280448</v>
      </c>
    </row>
    <row r="94" spans="1:34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</row>
    <row r="95" spans="1:34" x14ac:dyDescent="0.2">
      <c r="A95" s="59"/>
      <c r="B95" s="505" t="s">
        <v>576</v>
      </c>
      <c r="C95" s="506"/>
      <c r="D95" s="35" t="s">
        <v>179</v>
      </c>
      <c r="E95" s="185">
        <f>SUM(E96:E124)</f>
        <v>10618037</v>
      </c>
      <c r="F95" s="185">
        <f t="shared" ref="F95:AH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ref="Q95:R95" si="401">SUM(Q96:Q124)</f>
        <v>0</v>
      </c>
      <c r="R95" s="185">
        <f t="shared" si="401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0</v>
      </c>
      <c r="AF95" s="185">
        <f t="shared" si="400"/>
        <v>0</v>
      </c>
      <c r="AG95" s="185">
        <f t="shared" si="400"/>
        <v>10618037</v>
      </c>
      <c r="AH95" s="185">
        <f t="shared" si="400"/>
        <v>13029650</v>
      </c>
    </row>
    <row r="96" spans="1:34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2">E96+G96</f>
        <v>11324126</v>
      </c>
      <c r="G96" s="44">
        <f t="shared" ref="G96:G120" si="403">SUBTOTAL(9,H96:S96)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>
        <f t="shared" ref="U96:U120" si="404">T96+V96</f>
        <v>0</v>
      </c>
      <c r="V96" s="44">
        <f t="shared" ref="V96:V120" si="405">SUBTOTAL(9,W96:AF96)</f>
        <v>0</v>
      </c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>
        <f t="shared" ref="AG96:AG123" si="406">E96+T96</f>
        <v>9634354</v>
      </c>
      <c r="AH96" s="44">
        <f t="shared" ref="AH96:AH123" si="407">U96+F96</f>
        <v>11324126</v>
      </c>
    </row>
    <row r="97" spans="1:34" hidden="1" outlineLevel="1" x14ac:dyDescent="0.2">
      <c r="A97" s="49"/>
      <c r="B97" s="63"/>
      <c r="C97" s="64"/>
      <c r="D97" s="43" t="s">
        <v>580</v>
      </c>
      <c r="E97" s="44">
        <v>22972</v>
      </c>
      <c r="F97" s="44">
        <f t="shared" si="402"/>
        <v>90087</v>
      </c>
      <c r="G97" s="44">
        <f t="shared" si="403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>
        <f t="shared" si="404"/>
        <v>0</v>
      </c>
      <c r="V97" s="44">
        <f t="shared" si="405"/>
        <v>0</v>
      </c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>
        <f t="shared" si="406"/>
        <v>22972</v>
      </c>
      <c r="AH97" s="44">
        <f t="shared" si="407"/>
        <v>90087</v>
      </c>
    </row>
    <row r="98" spans="1:34" hidden="1" outlineLevel="1" x14ac:dyDescent="0.2">
      <c r="A98" s="49"/>
      <c r="B98" s="63"/>
      <c r="C98" s="64"/>
      <c r="D98" s="253" t="s">
        <v>612</v>
      </c>
      <c r="E98" s="44">
        <v>51900</v>
      </c>
      <c r="F98" s="44">
        <f t="shared" si="402"/>
        <v>137059</v>
      </c>
      <c r="G98" s="44">
        <f t="shared" si="403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>
        <f t="shared" si="404"/>
        <v>0</v>
      </c>
      <c r="V98" s="44">
        <f t="shared" si="405"/>
        <v>0</v>
      </c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>
        <f t="shared" si="406"/>
        <v>51900</v>
      </c>
      <c r="AH98" s="44">
        <f t="shared" si="407"/>
        <v>137059</v>
      </c>
    </row>
    <row r="99" spans="1:34" hidden="1" outlineLevel="1" x14ac:dyDescent="0.2">
      <c r="A99" s="49"/>
      <c r="B99" s="63"/>
      <c r="C99" s="64"/>
      <c r="D99" s="40" t="s">
        <v>613</v>
      </c>
      <c r="E99" s="44">
        <v>318154</v>
      </c>
      <c r="F99" s="44">
        <f t="shared" si="402"/>
        <v>535664</v>
      </c>
      <c r="G99" s="44">
        <f t="shared" si="403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>
        <f t="shared" si="404"/>
        <v>0</v>
      </c>
      <c r="V99" s="44">
        <f t="shared" si="405"/>
        <v>0</v>
      </c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>
        <f t="shared" si="406"/>
        <v>318154</v>
      </c>
      <c r="AH99" s="44">
        <f t="shared" si="407"/>
        <v>535664</v>
      </c>
    </row>
    <row r="100" spans="1:34" hidden="1" outlineLevel="1" x14ac:dyDescent="0.2">
      <c r="A100" s="49"/>
      <c r="B100" s="63"/>
      <c r="C100" s="64"/>
      <c r="D100" s="253" t="s">
        <v>614</v>
      </c>
      <c r="E100" s="44">
        <v>56982</v>
      </c>
      <c r="F100" s="44">
        <f t="shared" si="402"/>
        <v>110793</v>
      </c>
      <c r="G100" s="44">
        <f t="shared" si="403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>
        <f t="shared" si="404"/>
        <v>0</v>
      </c>
      <c r="V100" s="44">
        <f t="shared" si="405"/>
        <v>0</v>
      </c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>
        <f t="shared" si="406"/>
        <v>56982</v>
      </c>
      <c r="AH100" s="44">
        <f t="shared" si="407"/>
        <v>110793</v>
      </c>
    </row>
    <row r="101" spans="1:34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2"/>
        <v>5559</v>
      </c>
      <c r="G101" s="44">
        <f t="shared" si="403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>
        <f t="shared" si="404"/>
        <v>0</v>
      </c>
      <c r="V101" s="44">
        <f t="shared" si="405"/>
        <v>0</v>
      </c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>
        <f t="shared" si="406"/>
        <v>5559</v>
      </c>
      <c r="AH101" s="44">
        <f t="shared" si="407"/>
        <v>5559</v>
      </c>
    </row>
    <row r="102" spans="1:34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2"/>
        <v>125966</v>
      </c>
      <c r="G102" s="44">
        <f t="shared" si="403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>
        <f t="shared" si="404"/>
        <v>0</v>
      </c>
      <c r="V102" s="44">
        <f t="shared" si="405"/>
        <v>0</v>
      </c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>
        <f t="shared" si="406"/>
        <v>41531</v>
      </c>
      <c r="AH102" s="44">
        <f t="shared" si="407"/>
        <v>125966</v>
      </c>
    </row>
    <row r="103" spans="1:34" hidden="1" outlineLevel="1" x14ac:dyDescent="0.2">
      <c r="A103" s="49"/>
      <c r="B103" s="63"/>
      <c r="C103" s="64"/>
      <c r="D103" s="253" t="s">
        <v>570</v>
      </c>
      <c r="E103" s="44">
        <v>20343</v>
      </c>
      <c r="F103" s="44">
        <f t="shared" si="402"/>
        <v>52436</v>
      </c>
      <c r="G103" s="44">
        <f t="shared" si="403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>
        <f t="shared" si="404"/>
        <v>0</v>
      </c>
      <c r="V103" s="44">
        <f t="shared" si="405"/>
        <v>0</v>
      </c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>
        <f t="shared" si="406"/>
        <v>20343</v>
      </c>
      <c r="AH103" s="44">
        <f t="shared" si="407"/>
        <v>52436</v>
      </c>
    </row>
    <row r="104" spans="1:34" ht="36" hidden="1" outlineLevel="1" x14ac:dyDescent="0.2">
      <c r="A104" s="49"/>
      <c r="B104" s="63"/>
      <c r="C104" s="64"/>
      <c r="D104" s="253" t="s">
        <v>615</v>
      </c>
      <c r="E104" s="44"/>
      <c r="F104" s="44">
        <f t="shared" si="402"/>
        <v>2973</v>
      </c>
      <c r="G104" s="44">
        <f t="shared" si="403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>
        <f t="shared" si="404"/>
        <v>0</v>
      </c>
      <c r="V104" s="44">
        <f t="shared" si="405"/>
        <v>0</v>
      </c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>
        <f t="shared" si="406"/>
        <v>0</v>
      </c>
      <c r="AH104" s="44">
        <f t="shared" si="407"/>
        <v>2973</v>
      </c>
    </row>
    <row r="105" spans="1:34" ht="36" hidden="1" outlineLevel="1" x14ac:dyDescent="0.2">
      <c r="A105" s="49"/>
      <c r="B105" s="63"/>
      <c r="C105" s="64"/>
      <c r="D105" s="253" t="s">
        <v>616</v>
      </c>
      <c r="E105" s="44"/>
      <c r="F105" s="44">
        <f t="shared" si="402"/>
        <v>0</v>
      </c>
      <c r="G105" s="44">
        <f t="shared" si="403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>
        <f t="shared" si="404"/>
        <v>0</v>
      </c>
      <c r="V105" s="44">
        <f t="shared" si="405"/>
        <v>0</v>
      </c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>
        <f t="shared" si="406"/>
        <v>0</v>
      </c>
      <c r="AH105" s="44">
        <f t="shared" si="407"/>
        <v>0</v>
      </c>
    </row>
    <row r="106" spans="1:34" ht="24" hidden="1" outlineLevel="1" x14ac:dyDescent="0.2">
      <c r="A106" s="49"/>
      <c r="B106" s="63"/>
      <c r="C106" s="64"/>
      <c r="D106" s="253" t="s">
        <v>571</v>
      </c>
      <c r="E106" s="44">
        <v>662</v>
      </c>
      <c r="F106" s="44">
        <f t="shared" si="402"/>
        <v>17241</v>
      </c>
      <c r="G106" s="44">
        <f t="shared" si="403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>
        <f t="shared" si="404"/>
        <v>0</v>
      </c>
      <c r="V106" s="44">
        <f t="shared" si="405"/>
        <v>0</v>
      </c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>
        <f t="shared" si="406"/>
        <v>662</v>
      </c>
      <c r="AH106" s="44">
        <f t="shared" si="407"/>
        <v>17241</v>
      </c>
    </row>
    <row r="107" spans="1:34" hidden="1" outlineLevel="1" x14ac:dyDescent="0.2">
      <c r="A107" s="49"/>
      <c r="B107" s="63"/>
      <c r="C107" s="64"/>
      <c r="D107" s="253" t="s">
        <v>535</v>
      </c>
      <c r="E107" s="44"/>
      <c r="F107" s="44">
        <f t="shared" si="402"/>
        <v>565</v>
      </c>
      <c r="G107" s="44">
        <f t="shared" si="403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>
        <f t="shared" si="404"/>
        <v>0</v>
      </c>
      <c r="V107" s="44">
        <f t="shared" si="405"/>
        <v>0</v>
      </c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>
        <f t="shared" si="406"/>
        <v>0</v>
      </c>
      <c r="AH107" s="44">
        <f t="shared" si="407"/>
        <v>565</v>
      </c>
    </row>
    <row r="108" spans="1:34" hidden="1" outlineLevel="1" x14ac:dyDescent="0.2">
      <c r="A108" s="49"/>
      <c r="B108" s="63"/>
      <c r="C108" s="64"/>
      <c r="D108" s="253" t="s">
        <v>700</v>
      </c>
      <c r="E108" s="44">
        <v>0</v>
      </c>
      <c r="F108" s="44">
        <f t="shared" si="402"/>
        <v>1321</v>
      </c>
      <c r="G108" s="44">
        <f t="shared" si="403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>
        <f t="shared" si="404"/>
        <v>0</v>
      </c>
      <c r="V108" s="44">
        <f t="shared" si="405"/>
        <v>0</v>
      </c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>
        <f t="shared" si="406"/>
        <v>0</v>
      </c>
      <c r="AH108" s="44">
        <f t="shared" si="407"/>
        <v>1321</v>
      </c>
    </row>
    <row r="109" spans="1:34" hidden="1" outlineLevel="1" x14ac:dyDescent="0.2">
      <c r="A109" s="49"/>
      <c r="B109" s="63"/>
      <c r="C109" s="64"/>
      <c r="D109" s="253" t="s">
        <v>760</v>
      </c>
      <c r="E109" s="44"/>
      <c r="F109" s="44">
        <f t="shared" ref="F109" si="408">E109+G109</f>
        <v>44</v>
      </c>
      <c r="G109" s="44">
        <f t="shared" ref="G109" si="409">SUBTOTAL(9,H109:S109)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>
        <f t="shared" ref="U109" si="410">T109+V109</f>
        <v>0</v>
      </c>
      <c r="V109" s="44">
        <f t="shared" ref="V109" si="411">SUBTOTAL(9,W109:AF109)</f>
        <v>0</v>
      </c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>
        <f t="shared" si="406"/>
        <v>0</v>
      </c>
      <c r="AH109" s="44">
        <f t="shared" si="407"/>
        <v>44</v>
      </c>
    </row>
    <row r="110" spans="1:34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2"/>
        <v>62722</v>
      </c>
      <c r="G110" s="44">
        <f t="shared" si="403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>
        <f t="shared" si="404"/>
        <v>0</v>
      </c>
      <c r="V110" s="44">
        <f t="shared" si="405"/>
        <v>0</v>
      </c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>
        <f t="shared" si="406"/>
        <v>0</v>
      </c>
      <c r="AH110" s="44">
        <f t="shared" si="407"/>
        <v>62722</v>
      </c>
    </row>
    <row r="111" spans="1:34" hidden="1" outlineLevel="1" x14ac:dyDescent="0.2">
      <c r="A111" s="49"/>
      <c r="B111" s="63"/>
      <c r="C111" s="64"/>
      <c r="D111" s="253" t="s">
        <v>617</v>
      </c>
      <c r="E111" s="44">
        <v>0</v>
      </c>
      <c r="F111" s="44">
        <f t="shared" si="402"/>
        <v>160</v>
      </c>
      <c r="G111" s="44">
        <f t="shared" si="403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>
        <f t="shared" si="404"/>
        <v>0</v>
      </c>
      <c r="V111" s="44">
        <f t="shared" si="405"/>
        <v>0</v>
      </c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>
        <f t="shared" si="406"/>
        <v>0</v>
      </c>
      <c r="AH111" s="44">
        <f t="shared" si="407"/>
        <v>160</v>
      </c>
    </row>
    <row r="112" spans="1:34" ht="24" hidden="1" outlineLevel="1" x14ac:dyDescent="0.2">
      <c r="A112" s="49"/>
      <c r="B112" s="63"/>
      <c r="C112" s="64"/>
      <c r="D112" s="253" t="s">
        <v>285</v>
      </c>
      <c r="E112" s="44">
        <v>0</v>
      </c>
      <c r="F112" s="44">
        <f t="shared" si="402"/>
        <v>4882</v>
      </c>
      <c r="G112" s="44">
        <f t="shared" si="403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>
        <f t="shared" si="404"/>
        <v>0</v>
      </c>
      <c r="V112" s="44">
        <f t="shared" si="405"/>
        <v>0</v>
      </c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>
        <f t="shared" si="406"/>
        <v>0</v>
      </c>
      <c r="AH112" s="44">
        <f t="shared" si="407"/>
        <v>4882</v>
      </c>
    </row>
    <row r="113" spans="1:34" hidden="1" outlineLevel="1" x14ac:dyDescent="0.2">
      <c r="A113" s="49"/>
      <c r="B113" s="63"/>
      <c r="C113" s="64"/>
      <c r="D113" s="253" t="s">
        <v>618</v>
      </c>
      <c r="E113" s="44">
        <v>0</v>
      </c>
      <c r="F113" s="44">
        <f t="shared" si="402"/>
        <v>5685</v>
      </c>
      <c r="G113" s="44">
        <f t="shared" si="403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>
        <f t="shared" si="404"/>
        <v>0</v>
      </c>
      <c r="V113" s="44">
        <f t="shared" si="405"/>
        <v>0</v>
      </c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>
        <f t="shared" si="406"/>
        <v>0</v>
      </c>
      <c r="AH113" s="44">
        <f t="shared" si="407"/>
        <v>5685</v>
      </c>
    </row>
    <row r="114" spans="1:34" ht="24" hidden="1" outlineLevel="1" x14ac:dyDescent="0.2">
      <c r="A114" s="49"/>
      <c r="B114" s="63"/>
      <c r="C114" s="64"/>
      <c r="D114" s="253" t="s">
        <v>652</v>
      </c>
      <c r="E114" s="44">
        <v>2205</v>
      </c>
      <c r="F114" s="44">
        <f t="shared" si="402"/>
        <v>5401</v>
      </c>
      <c r="G114" s="44">
        <f t="shared" si="403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>
        <f t="shared" si="404"/>
        <v>0</v>
      </c>
      <c r="V114" s="44">
        <f t="shared" si="405"/>
        <v>0</v>
      </c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>
        <f t="shared" si="406"/>
        <v>2205</v>
      </c>
      <c r="AH114" s="44">
        <f t="shared" si="407"/>
        <v>5401</v>
      </c>
    </row>
    <row r="115" spans="1:34" hidden="1" outlineLevel="1" x14ac:dyDescent="0.2">
      <c r="A115" s="49"/>
      <c r="B115" s="63"/>
      <c r="C115" s="64"/>
      <c r="D115" s="253" t="s">
        <v>759</v>
      </c>
      <c r="E115" s="44"/>
      <c r="F115" s="44">
        <f t="shared" ref="F115" si="412">E115+G115</f>
        <v>36</v>
      </c>
      <c r="G115" s="44">
        <f t="shared" ref="G115" si="413">SUBTOTAL(9,H115:S115)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>
        <f t="shared" ref="U115" si="414">T115+V115</f>
        <v>0</v>
      </c>
      <c r="V115" s="44">
        <f t="shared" ref="V115" si="415">SUBTOTAL(9,W115:AF115)</f>
        <v>0</v>
      </c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>
        <f t="shared" si="406"/>
        <v>0</v>
      </c>
      <c r="AH115" s="44">
        <f t="shared" si="407"/>
        <v>36</v>
      </c>
    </row>
    <row r="116" spans="1:34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2"/>
        <v>779</v>
      </c>
      <c r="G116" s="44">
        <f t="shared" si="403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>
        <f t="shared" si="404"/>
        <v>0</v>
      </c>
      <c r="V116" s="44">
        <f t="shared" si="405"/>
        <v>0</v>
      </c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>
        <f t="shared" si="406"/>
        <v>779</v>
      </c>
      <c r="AH116" s="44">
        <f t="shared" si="407"/>
        <v>779</v>
      </c>
    </row>
    <row r="117" spans="1:34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2"/>
        <v>160830</v>
      </c>
      <c r="G117" s="44">
        <f t="shared" si="403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>
        <f t="shared" si="404"/>
        <v>0</v>
      </c>
      <c r="V117" s="44">
        <f t="shared" si="405"/>
        <v>0</v>
      </c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>
        <f t="shared" si="406"/>
        <v>153972</v>
      </c>
      <c r="AH117" s="44">
        <f t="shared" si="407"/>
        <v>160830</v>
      </c>
    </row>
    <row r="118" spans="1:34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2"/>
        <v>14599</v>
      </c>
      <c r="G118" s="44">
        <f t="shared" si="403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>
        <f t="shared" si="404"/>
        <v>0</v>
      </c>
      <c r="V118" s="44">
        <f t="shared" si="405"/>
        <v>0</v>
      </c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>
        <f t="shared" si="406"/>
        <v>12930</v>
      </c>
      <c r="AH118" s="44">
        <f t="shared" si="407"/>
        <v>14599</v>
      </c>
    </row>
    <row r="119" spans="1:34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2"/>
        <v>328771</v>
      </c>
      <c r="G119" s="44">
        <f t="shared" si="403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>
        <f t="shared" si="404"/>
        <v>0</v>
      </c>
      <c r="V119" s="44">
        <f t="shared" si="405"/>
        <v>0</v>
      </c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>
        <f t="shared" si="406"/>
        <v>295694</v>
      </c>
      <c r="AH119" s="44">
        <f t="shared" si="407"/>
        <v>328771</v>
      </c>
    </row>
    <row r="120" spans="1:34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2"/>
        <v>0</v>
      </c>
      <c r="G120" s="44">
        <f t="shared" si="403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>
        <f t="shared" si="404"/>
        <v>0</v>
      </c>
      <c r="V120" s="44">
        <f t="shared" si="405"/>
        <v>0</v>
      </c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>
        <f t="shared" si="406"/>
        <v>0</v>
      </c>
      <c r="AH120" s="44">
        <f t="shared" si="407"/>
        <v>0</v>
      </c>
    </row>
    <row r="121" spans="1:34" hidden="1" outlineLevel="1" x14ac:dyDescent="0.2">
      <c r="A121" s="49"/>
      <c r="B121" s="63"/>
      <c r="C121" s="64"/>
      <c r="D121" s="50" t="s">
        <v>749</v>
      </c>
      <c r="E121" s="44"/>
      <c r="F121" s="44">
        <f t="shared" ref="F121" si="416">E121+G121</f>
        <v>4000</v>
      </c>
      <c r="G121" s="44">
        <f t="shared" ref="G121" si="417">SUBTOTAL(9,H121:S121)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>
        <f t="shared" ref="U121" si="418">T121+V121</f>
        <v>0</v>
      </c>
      <c r="V121" s="44">
        <f t="shared" ref="V121" si="419">SUBTOTAL(9,W121:AF121)</f>
        <v>0</v>
      </c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>
        <f t="shared" si="406"/>
        <v>0</v>
      </c>
      <c r="AH121" s="44">
        <f t="shared" si="407"/>
        <v>4000</v>
      </c>
    </row>
    <row r="122" spans="1:34" ht="24" hidden="1" outlineLevel="1" x14ac:dyDescent="0.2">
      <c r="A122" s="42"/>
      <c r="B122" s="61"/>
      <c r="C122" s="62"/>
      <c r="D122" s="43" t="s">
        <v>737</v>
      </c>
      <c r="E122" s="44"/>
      <c r="F122" s="44">
        <f t="shared" ref="F122" si="420">E122+G122</f>
        <v>1</v>
      </c>
      <c r="G122" s="44">
        <f t="shared" ref="G122" si="421">SUBTOTAL(9,H122:S122)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>
        <f t="shared" ref="U122" si="422">T122+V122</f>
        <v>0</v>
      </c>
      <c r="V122" s="44">
        <f t="shared" ref="V122" si="423">SUBTOTAL(9,W122:AF122)</f>
        <v>0</v>
      </c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>
        <f t="shared" si="406"/>
        <v>0</v>
      </c>
      <c r="AH122" s="44">
        <f t="shared" si="407"/>
        <v>1</v>
      </c>
    </row>
    <row r="123" spans="1:34" hidden="1" outlineLevel="1" x14ac:dyDescent="0.2">
      <c r="A123" s="42"/>
      <c r="B123" s="61"/>
      <c r="C123" s="62"/>
      <c r="D123" s="43" t="s">
        <v>756</v>
      </c>
      <c r="E123" s="44"/>
      <c r="F123" s="44">
        <f t="shared" ref="F123" si="424">E123+G123</f>
        <v>37950</v>
      </c>
      <c r="G123" s="44">
        <f t="shared" ref="G123" si="425">SUBTOTAL(9,H123:S123)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>
        <f t="shared" ref="U123" si="426">T123+V123</f>
        <v>0</v>
      </c>
      <c r="V123" s="44">
        <f t="shared" ref="V123" si="427">SUBTOTAL(9,W123:AF123)</f>
        <v>0</v>
      </c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>
        <f t="shared" si="406"/>
        <v>0</v>
      </c>
      <c r="AH123" s="44">
        <f t="shared" si="407"/>
        <v>37950</v>
      </c>
    </row>
    <row r="124" spans="1:34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</row>
    <row r="125" spans="1:34" s="113" customFormat="1" x14ac:dyDescent="0.2">
      <c r="A125" s="34"/>
      <c r="B125" s="502" t="s">
        <v>286</v>
      </c>
      <c r="C125" s="503"/>
      <c r="D125" s="35" t="s">
        <v>129</v>
      </c>
      <c r="E125" s="185">
        <f>SUM(E126)</f>
        <v>9550131</v>
      </c>
      <c r="F125" s="185">
        <f t="shared" ref="F125:G125" si="428">SUM(F126)</f>
        <v>8290935</v>
      </c>
      <c r="G125" s="185">
        <f t="shared" si="428"/>
        <v>-1259196</v>
      </c>
      <c r="H125" s="185">
        <f t="shared" ref="H125" si="429">SUM(H126)</f>
        <v>0</v>
      </c>
      <c r="I125" s="185">
        <f t="shared" ref="I125" si="430">SUM(I126)</f>
        <v>2168809</v>
      </c>
      <c r="J125" s="185">
        <f t="shared" ref="J125" si="431">SUM(J126)</f>
        <v>119138</v>
      </c>
      <c r="K125" s="185">
        <f t="shared" ref="K125" si="432">SUM(K126)</f>
        <v>103995</v>
      </c>
      <c r="L125" s="185">
        <f t="shared" ref="L125" si="433">SUM(L126)</f>
        <v>0</v>
      </c>
      <c r="M125" s="185">
        <f t="shared" ref="M125" si="434">SUM(M126)</f>
        <v>-411292</v>
      </c>
      <c r="N125" s="185">
        <f t="shared" ref="N125" si="435">SUM(N126)</f>
        <v>-5286434</v>
      </c>
      <c r="O125" s="185">
        <f t="shared" ref="O125" si="436">SUM(O126)</f>
        <v>1856995</v>
      </c>
      <c r="P125" s="185">
        <f t="shared" ref="P125" si="437">SUM(P126)</f>
        <v>189593</v>
      </c>
      <c r="Q125" s="185">
        <f t="shared" ref="Q125:S125" si="438">SUM(Q126)</f>
        <v>0</v>
      </c>
      <c r="R125" s="185">
        <f t="shared" si="438"/>
        <v>0</v>
      </c>
      <c r="S125" s="185">
        <f t="shared" si="438"/>
        <v>0</v>
      </c>
      <c r="T125" s="185">
        <f t="shared" ref="T125" si="439">SUM(T126)</f>
        <v>0</v>
      </c>
      <c r="U125" s="185">
        <f t="shared" ref="U125" si="440">SUM(U126)</f>
        <v>0</v>
      </c>
      <c r="V125" s="185">
        <f t="shared" ref="V125" si="441">SUM(V126)</f>
        <v>0</v>
      </c>
      <c r="W125" s="185">
        <f t="shared" ref="W125" si="442">SUM(W126)</f>
        <v>0</v>
      </c>
      <c r="X125" s="185">
        <f t="shared" ref="X125" si="443">SUM(X126)</f>
        <v>0</v>
      </c>
      <c r="Y125" s="185">
        <f t="shared" ref="Y125" si="444">SUM(Y126)</f>
        <v>0</v>
      </c>
      <c r="Z125" s="185">
        <f t="shared" ref="Z125" si="445">SUM(Z126)</f>
        <v>0</v>
      </c>
      <c r="AA125" s="185">
        <f t="shared" ref="AA125" si="446">SUM(AA126)</f>
        <v>0</v>
      </c>
      <c r="AB125" s="185">
        <f t="shared" ref="AB125" si="447">SUM(AB126)</f>
        <v>0</v>
      </c>
      <c r="AC125" s="185">
        <f t="shared" ref="AC125" si="448">SUM(AC126)</f>
        <v>0</v>
      </c>
      <c r="AD125" s="185">
        <f t="shared" ref="AD125" si="449">SUM(AD126)</f>
        <v>0</v>
      </c>
      <c r="AE125" s="185">
        <f t="shared" ref="AE125" si="450">SUM(AE126)</f>
        <v>0</v>
      </c>
      <c r="AF125" s="185">
        <f t="shared" ref="AF125" si="451">SUM(AF126)</f>
        <v>0</v>
      </c>
      <c r="AG125" s="185">
        <f t="shared" ref="AG125" si="452">SUM(AG126)</f>
        <v>9550131</v>
      </c>
      <c r="AH125" s="185">
        <f t="shared" ref="AH125" si="453">SUM(AH126)</f>
        <v>8290935</v>
      </c>
    </row>
    <row r="126" spans="1:34" s="113" customFormat="1" x14ac:dyDescent="0.2">
      <c r="A126" s="34"/>
      <c r="B126" s="111"/>
      <c r="C126" s="111"/>
      <c r="D126" s="35" t="s">
        <v>232</v>
      </c>
      <c r="E126" s="185">
        <f>SUM(E127,E137)</f>
        <v>9550131</v>
      </c>
      <c r="F126" s="185">
        <f t="shared" ref="F126:AH126" si="454">SUM(F127,F137)</f>
        <v>8290935</v>
      </c>
      <c r="G126" s="185">
        <f t="shared" si="454"/>
        <v>-1259196</v>
      </c>
      <c r="H126" s="185">
        <f t="shared" si="454"/>
        <v>0</v>
      </c>
      <c r="I126" s="185">
        <f t="shared" si="454"/>
        <v>2168809</v>
      </c>
      <c r="J126" s="185">
        <f t="shared" si="454"/>
        <v>119138</v>
      </c>
      <c r="K126" s="185">
        <f t="shared" si="454"/>
        <v>103995</v>
      </c>
      <c r="L126" s="185">
        <f t="shared" si="454"/>
        <v>0</v>
      </c>
      <c r="M126" s="185">
        <f t="shared" si="454"/>
        <v>-411292</v>
      </c>
      <c r="N126" s="185">
        <f t="shared" si="454"/>
        <v>-5286434</v>
      </c>
      <c r="O126" s="185">
        <f t="shared" si="454"/>
        <v>1856995</v>
      </c>
      <c r="P126" s="185">
        <f t="shared" si="454"/>
        <v>189593</v>
      </c>
      <c r="Q126" s="185">
        <f t="shared" ref="Q126:R126" si="455">SUM(Q127,Q137)</f>
        <v>0</v>
      </c>
      <c r="R126" s="185">
        <f t="shared" si="455"/>
        <v>0</v>
      </c>
      <c r="S126" s="185">
        <f t="shared" si="454"/>
        <v>0</v>
      </c>
      <c r="T126" s="185">
        <f t="shared" si="454"/>
        <v>0</v>
      </c>
      <c r="U126" s="185">
        <f t="shared" si="454"/>
        <v>0</v>
      </c>
      <c r="V126" s="185">
        <f t="shared" si="454"/>
        <v>0</v>
      </c>
      <c r="W126" s="185">
        <f t="shared" si="454"/>
        <v>0</v>
      </c>
      <c r="X126" s="185">
        <f t="shared" si="454"/>
        <v>0</v>
      </c>
      <c r="Y126" s="185">
        <f t="shared" si="454"/>
        <v>0</v>
      </c>
      <c r="Z126" s="185">
        <f t="shared" si="454"/>
        <v>0</v>
      </c>
      <c r="AA126" s="185">
        <f t="shared" si="454"/>
        <v>0</v>
      </c>
      <c r="AB126" s="185">
        <f t="shared" si="454"/>
        <v>0</v>
      </c>
      <c r="AC126" s="185">
        <f t="shared" si="454"/>
        <v>0</v>
      </c>
      <c r="AD126" s="185">
        <f t="shared" si="454"/>
        <v>0</v>
      </c>
      <c r="AE126" s="185">
        <f t="shared" si="454"/>
        <v>0</v>
      </c>
      <c r="AF126" s="185">
        <f t="shared" si="454"/>
        <v>0</v>
      </c>
      <c r="AG126" s="185">
        <f t="shared" si="454"/>
        <v>9550131</v>
      </c>
      <c r="AH126" s="185">
        <f t="shared" si="454"/>
        <v>8290935</v>
      </c>
    </row>
    <row r="127" spans="1:34" s="113" customFormat="1" x14ac:dyDescent="0.2">
      <c r="A127" s="34"/>
      <c r="B127" s="362"/>
      <c r="C127" s="362" t="s">
        <v>795</v>
      </c>
      <c r="D127" s="35" t="s">
        <v>796</v>
      </c>
      <c r="E127" s="185">
        <f>SUM(E128:E136)</f>
        <v>1764442</v>
      </c>
      <c r="F127" s="185">
        <f t="shared" ref="F127:AH127" si="456">SUM(F128:F136)</f>
        <v>2016194</v>
      </c>
      <c r="G127" s="185">
        <f t="shared" si="456"/>
        <v>251752</v>
      </c>
      <c r="H127" s="185">
        <f t="shared" si="456"/>
        <v>0</v>
      </c>
      <c r="I127" s="185">
        <f t="shared" si="456"/>
        <v>693397</v>
      </c>
      <c r="J127" s="185">
        <f t="shared" si="456"/>
        <v>119138</v>
      </c>
      <c r="K127" s="185">
        <f t="shared" si="456"/>
        <v>103995</v>
      </c>
      <c r="L127" s="185">
        <f t="shared" si="456"/>
        <v>0</v>
      </c>
      <c r="M127" s="185">
        <f t="shared" si="456"/>
        <v>-243384</v>
      </c>
      <c r="N127" s="185">
        <f t="shared" si="456"/>
        <v>-872103</v>
      </c>
      <c r="O127" s="185">
        <f t="shared" si="456"/>
        <v>261116</v>
      </c>
      <c r="P127" s="185">
        <f t="shared" si="456"/>
        <v>189593</v>
      </c>
      <c r="Q127" s="185">
        <f t="shared" ref="Q127:R127" si="457">SUM(Q128:Q136)</f>
        <v>0</v>
      </c>
      <c r="R127" s="185">
        <f t="shared" si="457"/>
        <v>0</v>
      </c>
      <c r="S127" s="185">
        <f t="shared" si="456"/>
        <v>0</v>
      </c>
      <c r="T127" s="185">
        <f t="shared" si="456"/>
        <v>0</v>
      </c>
      <c r="U127" s="185">
        <f t="shared" si="456"/>
        <v>0</v>
      </c>
      <c r="V127" s="185">
        <f t="shared" si="456"/>
        <v>0</v>
      </c>
      <c r="W127" s="185">
        <f t="shared" si="456"/>
        <v>0</v>
      </c>
      <c r="X127" s="185">
        <f t="shared" si="456"/>
        <v>0</v>
      </c>
      <c r="Y127" s="185">
        <f t="shared" si="456"/>
        <v>0</v>
      </c>
      <c r="Z127" s="185">
        <f t="shared" si="456"/>
        <v>0</v>
      </c>
      <c r="AA127" s="185">
        <f t="shared" si="456"/>
        <v>0</v>
      </c>
      <c r="AB127" s="185">
        <f t="shared" si="456"/>
        <v>0</v>
      </c>
      <c r="AC127" s="185">
        <f t="shared" si="456"/>
        <v>0</v>
      </c>
      <c r="AD127" s="185">
        <f t="shared" si="456"/>
        <v>0</v>
      </c>
      <c r="AE127" s="185">
        <f t="shared" si="456"/>
        <v>0</v>
      </c>
      <c r="AF127" s="185">
        <f t="shared" si="456"/>
        <v>0</v>
      </c>
      <c r="AG127" s="185">
        <f t="shared" si="456"/>
        <v>1764442</v>
      </c>
      <c r="AH127" s="185">
        <f t="shared" si="456"/>
        <v>2016194</v>
      </c>
    </row>
    <row r="128" spans="1:34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</row>
    <row r="129" spans="1:34" ht="28.5" customHeight="1" x14ac:dyDescent="0.2">
      <c r="A129" s="55"/>
      <c r="B129" s="447"/>
      <c r="C129" s="483"/>
      <c r="D129" s="40" t="s">
        <v>807</v>
      </c>
      <c r="E129" s="186">
        <v>780270</v>
      </c>
      <c r="F129" s="186">
        <f>E129+G129</f>
        <v>332555</v>
      </c>
      <c r="G129" s="186">
        <f>SUBTOTAL(9,H129:S129)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/>
      <c r="T129" s="186"/>
      <c r="U129" s="186">
        <f>T129+V129</f>
        <v>0</v>
      </c>
      <c r="V129" s="186">
        <f>SUBTOTAL(9,W129:AF129)</f>
        <v>0</v>
      </c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>
        <f t="shared" ref="AG129:AG135" si="458">E129+T129</f>
        <v>780270</v>
      </c>
      <c r="AH129" s="186">
        <f t="shared" ref="AH129:AH135" si="459">U129+F129</f>
        <v>332555</v>
      </c>
    </row>
    <row r="130" spans="1:34" ht="36" x14ac:dyDescent="0.2">
      <c r="A130" s="55"/>
      <c r="B130" s="381"/>
      <c r="C130" s="382"/>
      <c r="D130" s="40" t="s">
        <v>806</v>
      </c>
      <c r="E130" s="186"/>
      <c r="F130" s="186">
        <f>E130+G130</f>
        <v>0</v>
      </c>
      <c r="G130" s="186">
        <f>SUBTOTAL(9,H130:S130)</f>
        <v>0</v>
      </c>
      <c r="H130" s="186"/>
      <c r="I130" s="186"/>
      <c r="J130" s="186"/>
      <c r="K130" s="186">
        <v>282993</v>
      </c>
      <c r="L130" s="186"/>
      <c r="M130" s="186"/>
      <c r="N130" s="186">
        <v>-282993</v>
      </c>
      <c r="O130" s="186"/>
      <c r="P130" s="186"/>
      <c r="Q130" s="186"/>
      <c r="R130" s="186"/>
      <c r="S130" s="186"/>
      <c r="T130" s="186"/>
      <c r="U130" s="186">
        <f>T130+V130</f>
        <v>0</v>
      </c>
      <c r="V130" s="186">
        <f>SUBTOTAL(9,W130:AF130)</f>
        <v>0</v>
      </c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>
        <f t="shared" si="458"/>
        <v>0</v>
      </c>
      <c r="AH130" s="186">
        <f t="shared" si="459"/>
        <v>0</v>
      </c>
    </row>
    <row r="131" spans="1:34" ht="27" customHeight="1" x14ac:dyDescent="0.2">
      <c r="A131" s="55"/>
      <c r="B131" s="447"/>
      <c r="C131" s="483"/>
      <c r="D131" s="40" t="s">
        <v>648</v>
      </c>
      <c r="E131" s="186">
        <v>450058</v>
      </c>
      <c r="F131" s="186">
        <f>E131+G131</f>
        <v>450058</v>
      </c>
      <c r="G131" s="186">
        <f>SUBTOTAL(9,H131:S131)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>
        <f>T131+V131</f>
        <v>0</v>
      </c>
      <c r="V131" s="186">
        <f>SUBTOTAL(9,W131:AF131)</f>
        <v>0</v>
      </c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>
        <f t="shared" si="458"/>
        <v>450058</v>
      </c>
      <c r="AH131" s="186">
        <f t="shared" si="459"/>
        <v>450058</v>
      </c>
    </row>
    <row r="132" spans="1:34" ht="41.25" customHeight="1" x14ac:dyDescent="0.2">
      <c r="A132" s="55"/>
      <c r="B132" s="165"/>
      <c r="C132" s="166"/>
      <c r="D132" s="254" t="s">
        <v>649</v>
      </c>
      <c r="E132" s="186">
        <v>534114</v>
      </c>
      <c r="F132" s="186">
        <f>E132+G132</f>
        <v>598403</v>
      </c>
      <c r="G132" s="186">
        <f>SUBTOTAL(9,H132:S132)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>
        <v>-261116</v>
      </c>
      <c r="O132" s="186">
        <v>261116</v>
      </c>
      <c r="P132" s="186"/>
      <c r="Q132" s="186"/>
      <c r="R132" s="186"/>
      <c r="S132" s="186"/>
      <c r="T132" s="186"/>
      <c r="U132" s="186">
        <f>T132+V132</f>
        <v>0</v>
      </c>
      <c r="V132" s="186">
        <f>SUBTOTAL(9,W132:AF132)</f>
        <v>0</v>
      </c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>
        <f t="shared" si="458"/>
        <v>534114</v>
      </c>
      <c r="AH132" s="186">
        <f t="shared" si="459"/>
        <v>598403</v>
      </c>
    </row>
    <row r="133" spans="1:34" ht="37.5" customHeight="1" x14ac:dyDescent="0.2">
      <c r="A133" s="55"/>
      <c r="B133" s="342"/>
      <c r="C133" s="343"/>
      <c r="D133" s="254" t="s">
        <v>765</v>
      </c>
      <c r="E133" s="186"/>
      <c r="F133" s="186">
        <f>E133+G133</f>
        <v>179607</v>
      </c>
      <c r="G133" s="186">
        <f>SUBTOTAL(9,H133:S133)</f>
        <v>179607</v>
      </c>
      <c r="H133" s="186"/>
      <c r="I133" s="186">
        <v>693397</v>
      </c>
      <c r="J133" s="186"/>
      <c r="K133" s="186"/>
      <c r="L133" s="186"/>
      <c r="M133" s="186">
        <v>-247812</v>
      </c>
      <c r="N133" s="186"/>
      <c r="O133" s="186"/>
      <c r="P133" s="186">
        <v>-265978</v>
      </c>
      <c r="Q133" s="186"/>
      <c r="R133" s="186"/>
      <c r="S133" s="186"/>
      <c r="T133" s="186"/>
      <c r="U133" s="186">
        <f t="shared" ref="U133" si="460">T133+V133</f>
        <v>0</v>
      </c>
      <c r="V133" s="186">
        <f t="shared" ref="V133" si="461">SUBTOTAL(9,W133:AF133)</f>
        <v>0</v>
      </c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>
        <f t="shared" si="458"/>
        <v>0</v>
      </c>
      <c r="AH133" s="186">
        <f t="shared" si="459"/>
        <v>179607</v>
      </c>
    </row>
    <row r="134" spans="1:34" ht="31.5" customHeight="1" x14ac:dyDescent="0.2">
      <c r="A134" s="55"/>
      <c r="B134" s="360"/>
      <c r="C134" s="361"/>
      <c r="D134" s="56" t="s">
        <v>794</v>
      </c>
      <c r="E134" s="186"/>
      <c r="F134" s="186">
        <f t="shared" ref="F134:F135" si="462">E134+G134</f>
        <v>0</v>
      </c>
      <c r="G134" s="186">
        <f t="shared" ref="G134:G135" si="463">SUBTOTAL(9,H134:S134)</f>
        <v>0</v>
      </c>
      <c r="H134" s="186"/>
      <c r="I134" s="186"/>
      <c r="J134" s="186">
        <v>119138</v>
      </c>
      <c r="K134" s="186">
        <v>204428</v>
      </c>
      <c r="L134" s="186"/>
      <c r="M134" s="186">
        <v>4428</v>
      </c>
      <c r="N134" s="186">
        <v>-327994</v>
      </c>
      <c r="O134" s="186"/>
      <c r="P134" s="186"/>
      <c r="Q134" s="186"/>
      <c r="R134" s="186"/>
      <c r="S134" s="186"/>
      <c r="T134" s="186"/>
      <c r="U134" s="186">
        <f t="shared" ref="U134" si="464">T134+V134</f>
        <v>0</v>
      </c>
      <c r="V134" s="186">
        <f t="shared" ref="V134" si="465">SUBTOTAL(9,W134:AF134)</f>
        <v>0</v>
      </c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>
        <f t="shared" si="458"/>
        <v>0</v>
      </c>
      <c r="AH134" s="186">
        <f t="shared" si="459"/>
        <v>0</v>
      </c>
    </row>
    <row r="135" spans="1:34" ht="31.5" customHeight="1" x14ac:dyDescent="0.2">
      <c r="A135" s="55"/>
      <c r="B135" s="397"/>
      <c r="C135" s="398"/>
      <c r="D135" s="399" t="s">
        <v>836</v>
      </c>
      <c r="E135" s="186"/>
      <c r="F135" s="186">
        <f t="shared" si="462"/>
        <v>455571</v>
      </c>
      <c r="G135" s="186">
        <f t="shared" si="463"/>
        <v>455571</v>
      </c>
      <c r="H135" s="186"/>
      <c r="I135" s="186"/>
      <c r="J135" s="186"/>
      <c r="K135" s="186"/>
      <c r="L135" s="186"/>
      <c r="M135" s="186"/>
      <c r="N135" s="186"/>
      <c r="O135" s="186"/>
      <c r="P135" s="186">
        <f>91083+364488</f>
        <v>455571</v>
      </c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4"/>
      <c r="AE135" s="184"/>
      <c r="AF135" s="184"/>
      <c r="AG135" s="186">
        <f t="shared" si="458"/>
        <v>0</v>
      </c>
      <c r="AH135" s="186">
        <f t="shared" si="459"/>
        <v>455571</v>
      </c>
    </row>
    <row r="136" spans="1:34" ht="12.75" customHeight="1" x14ac:dyDescent="0.2">
      <c r="A136" s="46"/>
      <c r="B136" s="366"/>
      <c r="C136" s="366"/>
      <c r="D136" s="367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</row>
    <row r="137" spans="1:34" s="113" customFormat="1" x14ac:dyDescent="0.2">
      <c r="A137" s="59"/>
      <c r="B137" s="65"/>
      <c r="C137" s="283" t="s">
        <v>284</v>
      </c>
      <c r="D137" s="60" t="s">
        <v>236</v>
      </c>
      <c r="E137" s="185">
        <f>SUM(E138:E146)</f>
        <v>7785689</v>
      </c>
      <c r="F137" s="185">
        <f t="shared" ref="F137:AH137" si="466">SUM(F138:F146)</f>
        <v>6274741</v>
      </c>
      <c r="G137" s="185">
        <f t="shared" si="466"/>
        <v>-1510948</v>
      </c>
      <c r="H137" s="185">
        <f t="shared" si="466"/>
        <v>0</v>
      </c>
      <c r="I137" s="185">
        <f t="shared" si="466"/>
        <v>1475412</v>
      </c>
      <c r="J137" s="185">
        <f t="shared" si="466"/>
        <v>0</v>
      </c>
      <c r="K137" s="185">
        <f t="shared" si="466"/>
        <v>0</v>
      </c>
      <c r="L137" s="185">
        <f t="shared" si="466"/>
        <v>0</v>
      </c>
      <c r="M137" s="185">
        <f t="shared" si="466"/>
        <v>-167908</v>
      </c>
      <c r="N137" s="185">
        <f t="shared" si="466"/>
        <v>-4414331</v>
      </c>
      <c r="O137" s="185">
        <f>SUM(O138:O146)</f>
        <v>1595879</v>
      </c>
      <c r="P137" s="185">
        <f t="shared" si="466"/>
        <v>0</v>
      </c>
      <c r="Q137" s="185">
        <f t="shared" ref="Q137:R137" si="467">SUM(Q138:Q146)</f>
        <v>0</v>
      </c>
      <c r="R137" s="185">
        <f t="shared" si="467"/>
        <v>0</v>
      </c>
      <c r="S137" s="185">
        <f t="shared" si="466"/>
        <v>0</v>
      </c>
      <c r="T137" s="185">
        <f t="shared" si="466"/>
        <v>0</v>
      </c>
      <c r="U137" s="185">
        <f t="shared" si="466"/>
        <v>0</v>
      </c>
      <c r="V137" s="185">
        <f t="shared" si="466"/>
        <v>0</v>
      </c>
      <c r="W137" s="185">
        <f t="shared" si="466"/>
        <v>0</v>
      </c>
      <c r="X137" s="185">
        <f t="shared" si="466"/>
        <v>0</v>
      </c>
      <c r="Y137" s="185">
        <f t="shared" si="466"/>
        <v>0</v>
      </c>
      <c r="Z137" s="185">
        <f t="shared" si="466"/>
        <v>0</v>
      </c>
      <c r="AA137" s="185">
        <f t="shared" si="466"/>
        <v>0</v>
      </c>
      <c r="AB137" s="185">
        <f t="shared" si="466"/>
        <v>0</v>
      </c>
      <c r="AC137" s="185">
        <f t="shared" si="466"/>
        <v>0</v>
      </c>
      <c r="AD137" s="185">
        <f t="shared" si="466"/>
        <v>0</v>
      </c>
      <c r="AE137" s="185">
        <f t="shared" si="466"/>
        <v>0</v>
      </c>
      <c r="AF137" s="185">
        <f t="shared" si="466"/>
        <v>0</v>
      </c>
      <c r="AG137" s="185">
        <f t="shared" si="466"/>
        <v>7785689</v>
      </c>
      <c r="AH137" s="185">
        <f t="shared" si="466"/>
        <v>6274741</v>
      </c>
    </row>
    <row r="138" spans="1:34" ht="11.25" customHeight="1" x14ac:dyDescent="0.2">
      <c r="A138" s="55"/>
      <c r="B138" s="447"/>
      <c r="C138" s="483"/>
      <c r="D138" s="40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</row>
    <row r="139" spans="1:34" ht="24" x14ac:dyDescent="0.2">
      <c r="A139" s="55"/>
      <c r="B139" s="268"/>
      <c r="C139" s="269"/>
      <c r="D139" s="40" t="s">
        <v>564</v>
      </c>
      <c r="E139" s="186">
        <v>762516</v>
      </c>
      <c r="F139" s="186">
        <f t="shared" ref="F139:F142" si="468">E139+G139</f>
        <v>777024</v>
      </c>
      <c r="G139" s="186">
        <f t="shared" ref="G139:G142" si="469">SUBTOTAL(9,H139:S139)</f>
        <v>14508</v>
      </c>
      <c r="H139" s="186"/>
      <c r="I139" s="186"/>
      <c r="J139" s="186"/>
      <c r="K139" s="186"/>
      <c r="L139" s="186"/>
      <c r="M139" s="186">
        <v>14508</v>
      </c>
      <c r="N139" s="186"/>
      <c r="O139" s="186"/>
      <c r="P139" s="186"/>
      <c r="Q139" s="186"/>
      <c r="R139" s="186"/>
      <c r="S139" s="186"/>
      <c r="T139" s="186"/>
      <c r="U139" s="186">
        <f t="shared" ref="U139:U142" si="470">T139+V139</f>
        <v>0</v>
      </c>
      <c r="V139" s="186">
        <f t="shared" ref="V139:V142" si="471">SUBTOTAL(9,W139:AF139)</f>
        <v>0</v>
      </c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>
        <f t="shared" ref="AG139:AG145" si="472">E139+T139</f>
        <v>762516</v>
      </c>
      <c r="AH139" s="186">
        <f t="shared" ref="AH139:AH145" si="473">U139+F139</f>
        <v>777024</v>
      </c>
    </row>
    <row r="140" spans="1:34" x14ac:dyDescent="0.2">
      <c r="A140" s="55"/>
      <c r="B140" s="268"/>
      <c r="C140" s="269"/>
      <c r="D140" s="40" t="s">
        <v>490</v>
      </c>
      <c r="E140" s="186">
        <v>4924140</v>
      </c>
      <c r="F140" s="186">
        <f t="shared" si="468"/>
        <v>3775324</v>
      </c>
      <c r="G140" s="186">
        <f t="shared" si="469"/>
        <v>-1148816</v>
      </c>
      <c r="H140" s="186"/>
      <c r="I140" s="186"/>
      <c r="J140" s="186"/>
      <c r="K140" s="186"/>
      <c r="L140" s="186"/>
      <c r="M140" s="186"/>
      <c r="N140" s="186">
        <f>-1215479+1215479-1148816</f>
        <v>-1148816</v>
      </c>
      <c r="O140" s="186"/>
      <c r="P140" s="186"/>
      <c r="Q140" s="186"/>
      <c r="R140" s="186"/>
      <c r="S140" s="186"/>
      <c r="T140" s="186"/>
      <c r="U140" s="186">
        <f t="shared" si="470"/>
        <v>0</v>
      </c>
      <c r="V140" s="186">
        <f t="shared" si="471"/>
        <v>0</v>
      </c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>
        <f t="shared" si="472"/>
        <v>4924140</v>
      </c>
      <c r="AH140" s="186">
        <f t="shared" si="473"/>
        <v>3775324</v>
      </c>
    </row>
    <row r="141" spans="1:34" x14ac:dyDescent="0.2">
      <c r="A141" s="55"/>
      <c r="B141" s="255"/>
      <c r="C141" s="256"/>
      <c r="D141" s="40" t="s">
        <v>510</v>
      </c>
      <c r="E141" s="186">
        <v>1596300</v>
      </c>
      <c r="F141" s="186">
        <f t="shared" si="468"/>
        <v>0</v>
      </c>
      <c r="G141" s="186">
        <f t="shared" si="469"/>
        <v>-1596300</v>
      </c>
      <c r="H141" s="186"/>
      <c r="I141" s="186"/>
      <c r="J141" s="186"/>
      <c r="K141" s="186"/>
      <c r="L141" s="186"/>
      <c r="M141" s="186"/>
      <c r="N141" s="186">
        <v>-1596300</v>
      </c>
      <c r="O141" s="186"/>
      <c r="P141" s="186"/>
      <c r="Q141" s="186"/>
      <c r="R141" s="186"/>
      <c r="S141" s="186"/>
      <c r="T141" s="186"/>
      <c r="U141" s="186">
        <f t="shared" si="470"/>
        <v>0</v>
      </c>
      <c r="V141" s="186">
        <f t="shared" si="471"/>
        <v>0</v>
      </c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>
        <f t="shared" si="472"/>
        <v>1596300</v>
      </c>
      <c r="AH141" s="186">
        <f t="shared" si="473"/>
        <v>0</v>
      </c>
    </row>
    <row r="142" spans="1:34" ht="36" x14ac:dyDescent="0.2">
      <c r="A142" s="55"/>
      <c r="B142" s="265"/>
      <c r="C142" s="266"/>
      <c r="D142" s="254" t="s">
        <v>704</v>
      </c>
      <c r="E142" s="186">
        <v>502733</v>
      </c>
      <c r="F142" s="186">
        <f t="shared" si="468"/>
        <v>0</v>
      </c>
      <c r="G142" s="186">
        <f t="shared" si="469"/>
        <v>-502733</v>
      </c>
      <c r="H142" s="186"/>
      <c r="I142" s="186"/>
      <c r="J142" s="186"/>
      <c r="K142" s="186"/>
      <c r="L142" s="186"/>
      <c r="M142" s="186"/>
      <c r="N142" s="186">
        <f>-10268-492465</f>
        <v>-502733</v>
      </c>
      <c r="O142" s="186"/>
      <c r="P142" s="186"/>
      <c r="Q142" s="186"/>
      <c r="R142" s="186"/>
      <c r="S142" s="186"/>
      <c r="T142" s="186"/>
      <c r="U142" s="186">
        <f t="shared" si="470"/>
        <v>0</v>
      </c>
      <c r="V142" s="186">
        <f t="shared" si="471"/>
        <v>0</v>
      </c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>
        <f t="shared" si="472"/>
        <v>502733</v>
      </c>
      <c r="AH142" s="186">
        <f t="shared" si="473"/>
        <v>0</v>
      </c>
    </row>
    <row r="143" spans="1:34" ht="24.75" customHeight="1" x14ac:dyDescent="0.2">
      <c r="A143" s="55"/>
      <c r="B143" s="350"/>
      <c r="C143" s="351"/>
      <c r="D143" s="254" t="s">
        <v>781</v>
      </c>
      <c r="E143" s="186"/>
      <c r="F143" s="186">
        <f t="shared" ref="F143" si="474">E143+G143</f>
        <v>158225</v>
      </c>
      <c r="G143" s="186">
        <f t="shared" ref="G143" si="475">SUBTOTAL(9,H143:S143)</f>
        <v>158225</v>
      </c>
      <c r="H143" s="186"/>
      <c r="I143" s="186">
        <v>83621</v>
      </c>
      <c r="J143" s="186"/>
      <c r="K143" s="186"/>
      <c r="L143" s="186"/>
      <c r="M143" s="186"/>
      <c r="N143" s="186">
        <f>74604-31711</f>
        <v>42893</v>
      </c>
      <c r="O143" s="186">
        <v>31711</v>
      </c>
      <c r="P143" s="186"/>
      <c r="Q143" s="186"/>
      <c r="R143" s="186"/>
      <c r="S143" s="186"/>
      <c r="T143" s="186"/>
      <c r="U143" s="186">
        <f t="shared" ref="U143" si="476">T143+V143</f>
        <v>0</v>
      </c>
      <c r="V143" s="186">
        <f t="shared" ref="V143" si="477">SUBTOTAL(9,W143:AF143)</f>
        <v>0</v>
      </c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>
        <f t="shared" si="472"/>
        <v>0</v>
      </c>
      <c r="AH143" s="186">
        <f t="shared" si="473"/>
        <v>158225</v>
      </c>
    </row>
    <row r="144" spans="1:34" ht="29.25" customHeight="1" x14ac:dyDescent="0.2">
      <c r="A144" s="55"/>
      <c r="B144" s="447"/>
      <c r="C144" s="483"/>
      <c r="D144" s="40" t="s">
        <v>777</v>
      </c>
      <c r="E144" s="186"/>
      <c r="F144" s="186">
        <f t="shared" ref="F144:F145" si="478">E144+G144</f>
        <v>1209375</v>
      </c>
      <c r="G144" s="186">
        <f t="shared" ref="G144:G145" si="479">SUBTOTAL(9,H144:S144)</f>
        <v>1209375</v>
      </c>
      <c r="H144" s="186"/>
      <c r="I144" s="186">
        <v>1391791</v>
      </c>
      <c r="J144" s="186"/>
      <c r="K144" s="186"/>
      <c r="L144" s="186"/>
      <c r="M144" s="186">
        <v>-182416</v>
      </c>
      <c r="N144" s="186">
        <v>-1209375</v>
      </c>
      <c r="O144" s="186">
        <f>1209375</f>
        <v>1209375</v>
      </c>
      <c r="P144" s="186"/>
      <c r="Q144" s="186"/>
      <c r="R144" s="186"/>
      <c r="S144" s="186"/>
      <c r="T144" s="186"/>
      <c r="U144" s="186">
        <f t="shared" ref="U144:U145" si="480">T144+V144</f>
        <v>0</v>
      </c>
      <c r="V144" s="186">
        <f t="shared" ref="V144:V145" si="481">SUBTOTAL(9,W144:AF144)</f>
        <v>0</v>
      </c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>
        <f t="shared" si="472"/>
        <v>0</v>
      </c>
      <c r="AH144" s="186">
        <f t="shared" si="473"/>
        <v>1209375</v>
      </c>
    </row>
    <row r="145" spans="1:34" ht="18" customHeight="1" x14ac:dyDescent="0.2">
      <c r="A145" s="46"/>
      <c r="B145" s="366"/>
      <c r="C145" s="393"/>
      <c r="D145" s="47" t="s">
        <v>834</v>
      </c>
      <c r="E145" s="184"/>
      <c r="F145" s="186">
        <f t="shared" si="478"/>
        <v>354793</v>
      </c>
      <c r="G145" s="186">
        <f t="shared" si="479"/>
        <v>354793</v>
      </c>
      <c r="H145" s="184"/>
      <c r="I145" s="184"/>
      <c r="J145" s="184"/>
      <c r="K145" s="184"/>
      <c r="L145" s="184"/>
      <c r="M145" s="184"/>
      <c r="N145" s="184"/>
      <c r="O145" s="184">
        <v>354793</v>
      </c>
      <c r="P145" s="184"/>
      <c r="Q145" s="184"/>
      <c r="R145" s="184"/>
      <c r="S145" s="184"/>
      <c r="T145" s="184"/>
      <c r="U145" s="186">
        <f t="shared" si="480"/>
        <v>0</v>
      </c>
      <c r="V145" s="186">
        <f t="shared" si="481"/>
        <v>0</v>
      </c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6">
        <f t="shared" si="472"/>
        <v>0</v>
      </c>
      <c r="AH145" s="186">
        <f t="shared" si="473"/>
        <v>354793</v>
      </c>
    </row>
    <row r="146" spans="1:34" ht="11.25" customHeight="1" x14ac:dyDescent="0.2">
      <c r="A146" s="66"/>
      <c r="B146" s="67"/>
      <c r="C146" s="68"/>
      <c r="D146" s="50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1:34" x14ac:dyDescent="0.2">
      <c r="A147" s="496" t="s">
        <v>157</v>
      </c>
      <c r="B147" s="497"/>
      <c r="C147" s="497"/>
      <c r="D147" s="498"/>
      <c r="E147" s="145">
        <f t="shared" ref="E147:AH147" si="482">SUM(E149,E153)</f>
        <v>538</v>
      </c>
      <c r="F147" s="145">
        <f t="shared" si="482"/>
        <v>569</v>
      </c>
      <c r="G147" s="145">
        <f t="shared" si="482"/>
        <v>31</v>
      </c>
      <c r="H147" s="145">
        <f t="shared" si="482"/>
        <v>0</v>
      </c>
      <c r="I147" s="145">
        <f t="shared" si="482"/>
        <v>31</v>
      </c>
      <c r="J147" s="145">
        <f t="shared" si="482"/>
        <v>0</v>
      </c>
      <c r="K147" s="145">
        <f t="shared" si="482"/>
        <v>0</v>
      </c>
      <c r="L147" s="145">
        <f t="shared" si="482"/>
        <v>0</v>
      </c>
      <c r="M147" s="145">
        <f t="shared" si="482"/>
        <v>0</v>
      </c>
      <c r="N147" s="145">
        <f t="shared" si="482"/>
        <v>0</v>
      </c>
      <c r="O147" s="145">
        <f t="shared" si="482"/>
        <v>0</v>
      </c>
      <c r="P147" s="145">
        <f t="shared" si="482"/>
        <v>0</v>
      </c>
      <c r="Q147" s="145">
        <f t="shared" ref="Q147:R147" si="483">SUM(Q149,Q153)</f>
        <v>0</v>
      </c>
      <c r="R147" s="145">
        <f t="shared" si="483"/>
        <v>0</v>
      </c>
      <c r="S147" s="145">
        <f t="shared" si="482"/>
        <v>0</v>
      </c>
      <c r="T147" s="145">
        <f t="shared" si="482"/>
        <v>0</v>
      </c>
      <c r="U147" s="145">
        <f t="shared" si="482"/>
        <v>0</v>
      </c>
      <c r="V147" s="145">
        <f t="shared" si="482"/>
        <v>0</v>
      </c>
      <c r="W147" s="145">
        <f t="shared" si="482"/>
        <v>0</v>
      </c>
      <c r="X147" s="145">
        <f t="shared" si="482"/>
        <v>0</v>
      </c>
      <c r="Y147" s="145">
        <f t="shared" si="482"/>
        <v>0</v>
      </c>
      <c r="Z147" s="145">
        <f t="shared" si="482"/>
        <v>0</v>
      </c>
      <c r="AA147" s="145">
        <f t="shared" si="482"/>
        <v>0</v>
      </c>
      <c r="AB147" s="145">
        <f t="shared" si="482"/>
        <v>0</v>
      </c>
      <c r="AC147" s="145">
        <f t="shared" si="482"/>
        <v>0</v>
      </c>
      <c r="AD147" s="145">
        <f t="shared" si="482"/>
        <v>0</v>
      </c>
      <c r="AE147" s="145">
        <f t="shared" si="482"/>
        <v>0</v>
      </c>
      <c r="AF147" s="145">
        <f t="shared" si="482"/>
        <v>0</v>
      </c>
      <c r="AG147" s="145">
        <f t="shared" si="482"/>
        <v>538</v>
      </c>
      <c r="AH147" s="145">
        <f t="shared" si="482"/>
        <v>569</v>
      </c>
    </row>
    <row r="148" spans="1:34" ht="11.25" customHeight="1" x14ac:dyDescent="0.2">
      <c r="A148" s="66"/>
      <c r="B148" s="67"/>
      <c r="C148" s="68"/>
      <c r="D148" s="50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:34" x14ac:dyDescent="0.2">
      <c r="A149" s="487" t="s">
        <v>108</v>
      </c>
      <c r="B149" s="488"/>
      <c r="C149" s="489"/>
      <c r="D149" s="77" t="s">
        <v>158</v>
      </c>
      <c r="E149" s="78">
        <f>SUM(E150:E151)</f>
        <v>0</v>
      </c>
      <c r="F149" s="78">
        <f>SUM(F150:F151)</f>
        <v>0</v>
      </c>
      <c r="G149" s="78">
        <f t="shared" ref="G149:S149" si="484">SUM(G150:G151)</f>
        <v>0</v>
      </c>
      <c r="H149" s="78">
        <f t="shared" si="484"/>
        <v>0</v>
      </c>
      <c r="I149" s="78">
        <f t="shared" si="484"/>
        <v>0</v>
      </c>
      <c r="J149" s="78">
        <f t="shared" si="484"/>
        <v>0</v>
      </c>
      <c r="K149" s="78">
        <f t="shared" si="484"/>
        <v>0</v>
      </c>
      <c r="L149" s="78">
        <f t="shared" si="484"/>
        <v>0</v>
      </c>
      <c r="M149" s="78">
        <f t="shared" si="484"/>
        <v>0</v>
      </c>
      <c r="N149" s="78">
        <f t="shared" si="484"/>
        <v>0</v>
      </c>
      <c r="O149" s="78">
        <f t="shared" si="484"/>
        <v>0</v>
      </c>
      <c r="P149" s="78">
        <f t="shared" si="484"/>
        <v>0</v>
      </c>
      <c r="Q149" s="78">
        <f t="shared" ref="Q149:R149" si="485">SUM(Q150:Q151)</f>
        <v>0</v>
      </c>
      <c r="R149" s="78">
        <f t="shared" si="485"/>
        <v>0</v>
      </c>
      <c r="S149" s="78">
        <f t="shared" si="484"/>
        <v>0</v>
      </c>
      <c r="T149" s="78">
        <f>SUM(T150:T151)</f>
        <v>0</v>
      </c>
      <c r="U149" s="78">
        <f>SUM(U150:U151)</f>
        <v>0</v>
      </c>
      <c r="V149" s="78">
        <f t="shared" ref="V149" si="486">SUM(V150:V151)</f>
        <v>0</v>
      </c>
      <c r="W149" s="78">
        <f t="shared" ref="W149" si="487">SUM(W150:W151)</f>
        <v>0</v>
      </c>
      <c r="X149" s="78">
        <f t="shared" ref="X149" si="488">SUM(X150:X151)</f>
        <v>0</v>
      </c>
      <c r="Y149" s="78">
        <f t="shared" ref="Y149" si="489">SUM(Y150:Y151)</f>
        <v>0</v>
      </c>
      <c r="Z149" s="78">
        <f t="shared" ref="Z149" si="490">SUM(Z150:Z151)</f>
        <v>0</v>
      </c>
      <c r="AA149" s="78">
        <f t="shared" ref="AA149" si="491">SUM(AA150:AA151)</f>
        <v>0</v>
      </c>
      <c r="AB149" s="78">
        <f t="shared" ref="AB149" si="492">SUM(AB150:AB151)</f>
        <v>0</v>
      </c>
      <c r="AC149" s="78">
        <f t="shared" ref="AC149" si="493">SUM(AC150:AC151)</f>
        <v>0</v>
      </c>
      <c r="AD149" s="78">
        <f t="shared" ref="AD149" si="494">SUM(AD150:AD151)</f>
        <v>0</v>
      </c>
      <c r="AE149" s="78">
        <f t="shared" ref="AE149" si="495">SUM(AE150:AE151)</f>
        <v>0</v>
      </c>
      <c r="AF149" s="78">
        <f t="shared" ref="AF149:AH149" si="496">SUM(AF150:AF151)</f>
        <v>0</v>
      </c>
      <c r="AG149" s="78">
        <f>SUM(AG150:AG151)</f>
        <v>0</v>
      </c>
      <c r="AH149" s="78">
        <f t="shared" si="496"/>
        <v>0</v>
      </c>
    </row>
    <row r="150" spans="1:34" s="113" customFormat="1" x14ac:dyDescent="0.2">
      <c r="A150" s="59"/>
      <c r="B150" s="461" t="s">
        <v>145</v>
      </c>
      <c r="C150" s="462"/>
      <c r="D150" s="50" t="s">
        <v>146</v>
      </c>
      <c r="E150" s="44"/>
      <c r="F150" s="44">
        <f t="shared" ref="F150:F151" si="497">E150+G150</f>
        <v>0</v>
      </c>
      <c r="G150" s="44">
        <f t="shared" ref="G150:G151" si="498">SUBTOTAL(9,H150:S150)</f>
        <v>0</v>
      </c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>
        <f t="shared" ref="U150:U151" si="499">T150+V150</f>
        <v>0</v>
      </c>
      <c r="V150" s="44">
        <f t="shared" ref="V150:V151" si="500">SUBTOTAL(9,W150:AF150)</f>
        <v>0</v>
      </c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>
        <f>E150+T150</f>
        <v>0</v>
      </c>
      <c r="AH150" s="44">
        <f>U150+F150</f>
        <v>0</v>
      </c>
    </row>
    <row r="151" spans="1:34" s="113" customFormat="1" ht="24" x14ac:dyDescent="0.2">
      <c r="A151" s="59"/>
      <c r="B151" s="450" t="s">
        <v>109</v>
      </c>
      <c r="C151" s="453"/>
      <c r="D151" s="50" t="s">
        <v>163</v>
      </c>
      <c r="E151" s="44"/>
      <c r="F151" s="44">
        <f t="shared" si="497"/>
        <v>0</v>
      </c>
      <c r="G151" s="44">
        <f t="shared" si="498"/>
        <v>0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>
        <f t="shared" si="499"/>
        <v>0</v>
      </c>
      <c r="V151" s="44">
        <f t="shared" si="500"/>
        <v>0</v>
      </c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>
        <f>E151+T151</f>
        <v>0</v>
      </c>
      <c r="AH151" s="44">
        <f>U151+F151</f>
        <v>0</v>
      </c>
    </row>
    <row r="152" spans="1:34" ht="11.25" customHeight="1" x14ac:dyDescent="0.2">
      <c r="A152" s="66"/>
      <c r="B152" s="67"/>
      <c r="C152" s="64"/>
      <c r="D152" s="50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</row>
    <row r="153" spans="1:34" ht="24" x14ac:dyDescent="0.2">
      <c r="A153" s="66"/>
      <c r="B153" s="67"/>
      <c r="C153" s="195" t="s">
        <v>576</v>
      </c>
      <c r="D153" s="60" t="s">
        <v>159</v>
      </c>
      <c r="E153" s="191">
        <f t="shared" ref="E153:AG153" si="501">SUM(E154)</f>
        <v>538</v>
      </c>
      <c r="F153" s="191">
        <f t="shared" si="501"/>
        <v>569</v>
      </c>
      <c r="G153" s="191">
        <f t="shared" si="501"/>
        <v>31</v>
      </c>
      <c r="H153" s="191">
        <f t="shared" si="501"/>
        <v>0</v>
      </c>
      <c r="I153" s="191">
        <f t="shared" si="501"/>
        <v>31</v>
      </c>
      <c r="J153" s="191">
        <f t="shared" si="501"/>
        <v>0</v>
      </c>
      <c r="K153" s="191">
        <f t="shared" si="501"/>
        <v>0</v>
      </c>
      <c r="L153" s="191">
        <f t="shared" si="501"/>
        <v>0</v>
      </c>
      <c r="M153" s="191">
        <f t="shared" si="501"/>
        <v>0</v>
      </c>
      <c r="N153" s="191">
        <f t="shared" si="501"/>
        <v>0</v>
      </c>
      <c r="O153" s="191">
        <f t="shared" si="501"/>
        <v>0</v>
      </c>
      <c r="P153" s="191">
        <f t="shared" si="501"/>
        <v>0</v>
      </c>
      <c r="Q153" s="191">
        <f t="shared" si="501"/>
        <v>0</v>
      </c>
      <c r="R153" s="191">
        <f t="shared" si="501"/>
        <v>0</v>
      </c>
      <c r="S153" s="191">
        <f t="shared" si="501"/>
        <v>0</v>
      </c>
      <c r="T153" s="191">
        <f t="shared" si="501"/>
        <v>0</v>
      </c>
      <c r="U153" s="191">
        <f t="shared" ref="U153:AF153" si="502">SUM(U154)</f>
        <v>0</v>
      </c>
      <c r="V153" s="191">
        <f t="shared" si="502"/>
        <v>0</v>
      </c>
      <c r="W153" s="191">
        <f t="shared" si="502"/>
        <v>0</v>
      </c>
      <c r="X153" s="191">
        <f t="shared" si="502"/>
        <v>0</v>
      </c>
      <c r="Y153" s="191">
        <f t="shared" si="502"/>
        <v>0</v>
      </c>
      <c r="Z153" s="191">
        <f t="shared" si="502"/>
        <v>0</v>
      </c>
      <c r="AA153" s="191">
        <f t="shared" si="502"/>
        <v>0</v>
      </c>
      <c r="AB153" s="191">
        <f t="shared" si="502"/>
        <v>0</v>
      </c>
      <c r="AC153" s="191">
        <f t="shared" si="502"/>
        <v>0</v>
      </c>
      <c r="AD153" s="191">
        <f t="shared" si="502"/>
        <v>0</v>
      </c>
      <c r="AE153" s="191">
        <f t="shared" si="502"/>
        <v>0</v>
      </c>
      <c r="AF153" s="191">
        <f t="shared" si="502"/>
        <v>0</v>
      </c>
      <c r="AG153" s="191">
        <f t="shared" si="501"/>
        <v>538</v>
      </c>
      <c r="AH153" s="191">
        <f>SUM(AH154)</f>
        <v>569</v>
      </c>
    </row>
    <row r="154" spans="1:34" x14ac:dyDescent="0.2">
      <c r="A154" s="66"/>
      <c r="B154" s="67"/>
      <c r="C154" s="68"/>
      <c r="D154" s="50" t="s">
        <v>160</v>
      </c>
      <c r="E154" s="54">
        <f t="shared" ref="E154:F154" si="503">SUM(E155:E156)</f>
        <v>538</v>
      </c>
      <c r="F154" s="54">
        <f t="shared" si="503"/>
        <v>569</v>
      </c>
      <c r="G154" s="54">
        <f t="shared" ref="G154:S154" si="504">SUM(G155:G156)</f>
        <v>31</v>
      </c>
      <c r="H154" s="54">
        <f t="shared" si="504"/>
        <v>0</v>
      </c>
      <c r="I154" s="54">
        <f t="shared" si="504"/>
        <v>31</v>
      </c>
      <c r="J154" s="54">
        <f t="shared" si="504"/>
        <v>0</v>
      </c>
      <c r="K154" s="54">
        <f t="shared" si="504"/>
        <v>0</v>
      </c>
      <c r="L154" s="54">
        <f t="shared" si="504"/>
        <v>0</v>
      </c>
      <c r="M154" s="54">
        <f t="shared" si="504"/>
        <v>0</v>
      </c>
      <c r="N154" s="54">
        <f t="shared" si="504"/>
        <v>0</v>
      </c>
      <c r="O154" s="54">
        <f t="shared" si="504"/>
        <v>0</v>
      </c>
      <c r="P154" s="54">
        <f t="shared" si="504"/>
        <v>0</v>
      </c>
      <c r="Q154" s="54">
        <f t="shared" ref="Q154:R154" si="505">SUM(Q155:Q156)</f>
        <v>0</v>
      </c>
      <c r="R154" s="54">
        <f t="shared" si="505"/>
        <v>0</v>
      </c>
      <c r="S154" s="54">
        <f t="shared" si="504"/>
        <v>0</v>
      </c>
      <c r="T154" s="54">
        <f t="shared" ref="T154" si="506">SUM(T155:T156)</f>
        <v>0</v>
      </c>
      <c r="U154" s="54">
        <f t="shared" ref="U154:AF154" si="507">SUM(U155:U156)</f>
        <v>0</v>
      </c>
      <c r="V154" s="54">
        <f t="shared" si="507"/>
        <v>0</v>
      </c>
      <c r="W154" s="54">
        <f t="shared" si="507"/>
        <v>0</v>
      </c>
      <c r="X154" s="54">
        <f t="shared" si="507"/>
        <v>0</v>
      </c>
      <c r="Y154" s="54">
        <f t="shared" si="507"/>
        <v>0</v>
      </c>
      <c r="Z154" s="54">
        <f t="shared" si="507"/>
        <v>0</v>
      </c>
      <c r="AA154" s="54">
        <f t="shared" si="507"/>
        <v>0</v>
      </c>
      <c r="AB154" s="54">
        <f t="shared" si="507"/>
        <v>0</v>
      </c>
      <c r="AC154" s="54">
        <f t="shared" si="507"/>
        <v>0</v>
      </c>
      <c r="AD154" s="54">
        <f t="shared" si="507"/>
        <v>0</v>
      </c>
      <c r="AE154" s="54">
        <f t="shared" si="507"/>
        <v>0</v>
      </c>
      <c r="AF154" s="54">
        <f t="shared" si="507"/>
        <v>0</v>
      </c>
      <c r="AG154" s="54">
        <f t="shared" ref="AG154" si="508">SUM(AG155:AG156)</f>
        <v>538</v>
      </c>
      <c r="AH154" s="54">
        <f>SUM(AH155:AH156)</f>
        <v>569</v>
      </c>
    </row>
    <row r="155" spans="1:34" ht="24" x14ac:dyDescent="0.2">
      <c r="A155" s="49"/>
      <c r="B155" s="63"/>
      <c r="C155" s="64"/>
      <c r="D155" s="252" t="s">
        <v>161</v>
      </c>
      <c r="E155" s="44">
        <v>538</v>
      </c>
      <c r="F155" s="44">
        <f t="shared" ref="F155:F156" si="509">E155+G155</f>
        <v>538</v>
      </c>
      <c r="G155" s="44">
        <f t="shared" ref="G155:G156" si="510">SUBTOTAL(9,H155:S155)</f>
        <v>0</v>
      </c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>
        <f t="shared" ref="U155:U156" si="511">T155+V155</f>
        <v>0</v>
      </c>
      <c r="V155" s="44">
        <f t="shared" ref="V155:V156" si="512">SUBTOTAL(9,W155:AF155)</f>
        <v>0</v>
      </c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>
        <f>E155+T155</f>
        <v>538</v>
      </c>
      <c r="AH155" s="44">
        <f>U155+F155</f>
        <v>538</v>
      </c>
    </row>
    <row r="156" spans="1:34" ht="24" x14ac:dyDescent="0.2">
      <c r="A156" s="66"/>
      <c r="B156" s="67"/>
      <c r="C156" s="68"/>
      <c r="D156" s="252" t="s">
        <v>162</v>
      </c>
      <c r="E156" s="54"/>
      <c r="F156" s="54">
        <f t="shared" si="509"/>
        <v>31</v>
      </c>
      <c r="G156" s="54">
        <f t="shared" si="510"/>
        <v>31</v>
      </c>
      <c r="H156" s="54"/>
      <c r="I156" s="54">
        <f>30+1</f>
        <v>31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>
        <f t="shared" si="511"/>
        <v>0</v>
      </c>
      <c r="V156" s="54">
        <f t="shared" si="512"/>
        <v>0</v>
      </c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>
        <f>E156+T156</f>
        <v>0</v>
      </c>
      <c r="AH156" s="54">
        <f>U156+F156</f>
        <v>31</v>
      </c>
    </row>
    <row r="157" spans="1:34" hidden="1" x14ac:dyDescent="0.2">
      <c r="A157" s="66"/>
      <c r="B157" s="67"/>
      <c r="C157" s="68"/>
      <c r="D157" s="50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1:34" ht="15.75" customHeight="1" x14ac:dyDescent="0.2">
      <c r="A158" s="49"/>
      <c r="B158" s="63"/>
      <c r="C158" s="64"/>
      <c r="D158" s="50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1:34" s="113" customFormat="1" ht="24.75" customHeight="1" thickBot="1" x14ac:dyDescent="0.25">
      <c r="A159" s="490" t="s">
        <v>126</v>
      </c>
      <c r="B159" s="491"/>
      <c r="C159" s="491"/>
      <c r="D159" s="492"/>
      <c r="E159" s="69">
        <f t="shared" ref="E159:AH159" si="513">SUM(E149,E93)</f>
        <v>89562788</v>
      </c>
      <c r="F159" s="69">
        <f t="shared" si="513"/>
        <v>93539890</v>
      </c>
      <c r="G159" s="69">
        <f t="shared" si="513"/>
        <v>3977102</v>
      </c>
      <c r="H159" s="69">
        <f t="shared" si="513"/>
        <v>111985</v>
      </c>
      <c r="I159" s="69">
        <f t="shared" si="513"/>
        <v>2279121</v>
      </c>
      <c r="J159" s="69">
        <f t="shared" si="513"/>
        <v>443550</v>
      </c>
      <c r="K159" s="69">
        <f t="shared" si="513"/>
        <v>493998</v>
      </c>
      <c r="L159" s="69">
        <f t="shared" si="513"/>
        <v>2875</v>
      </c>
      <c r="M159" s="69">
        <f t="shared" si="513"/>
        <v>-87075</v>
      </c>
      <c r="N159" s="69">
        <f t="shared" si="513"/>
        <v>-612926</v>
      </c>
      <c r="O159" s="69">
        <f t="shared" si="513"/>
        <v>1676964</v>
      </c>
      <c r="P159" s="69">
        <f t="shared" si="513"/>
        <v>-370886</v>
      </c>
      <c r="Q159" s="69">
        <f t="shared" ref="Q159:R159" si="514">SUM(Q149,Q93)</f>
        <v>39496</v>
      </c>
      <c r="R159" s="69">
        <f t="shared" si="514"/>
        <v>0</v>
      </c>
      <c r="S159" s="69">
        <f t="shared" si="513"/>
        <v>0</v>
      </c>
      <c r="T159" s="69">
        <f t="shared" si="513"/>
        <v>-1047228</v>
      </c>
      <c r="U159" s="69">
        <f t="shared" si="513"/>
        <v>-1259442</v>
      </c>
      <c r="V159" s="69">
        <f t="shared" si="513"/>
        <v>-212214</v>
      </c>
      <c r="W159" s="69">
        <f t="shared" si="513"/>
        <v>-11045</v>
      </c>
      <c r="X159" s="69">
        <f t="shared" si="513"/>
        <v>-206523</v>
      </c>
      <c r="Y159" s="69">
        <f t="shared" si="513"/>
        <v>-18678</v>
      </c>
      <c r="Z159" s="69">
        <f t="shared" si="513"/>
        <v>45158</v>
      </c>
      <c r="AA159" s="69">
        <f t="shared" si="513"/>
        <v>-7681</v>
      </c>
      <c r="AB159" s="69">
        <f t="shared" si="513"/>
        <v>20825</v>
      </c>
      <c r="AC159" s="69">
        <f t="shared" si="513"/>
        <v>-1738</v>
      </c>
      <c r="AD159" s="69">
        <f t="shared" si="513"/>
        <v>-32532</v>
      </c>
      <c r="AE159" s="69">
        <f t="shared" si="513"/>
        <v>0</v>
      </c>
      <c r="AF159" s="69">
        <f t="shared" si="513"/>
        <v>0</v>
      </c>
      <c r="AG159" s="69">
        <f t="shared" si="513"/>
        <v>88751984</v>
      </c>
      <c r="AH159" s="69">
        <f t="shared" si="513"/>
        <v>92280448</v>
      </c>
    </row>
    <row r="160" spans="1:34" s="113" customFormat="1" ht="12.75" thickBot="1" x14ac:dyDescent="0.25">
      <c r="A160" s="493" t="s">
        <v>115</v>
      </c>
      <c r="B160" s="494"/>
      <c r="C160" s="494"/>
      <c r="D160" s="495"/>
      <c r="E160" s="69">
        <f t="shared" ref="E160:AH160" si="515">SUM(E8,E147)</f>
        <v>109731494</v>
      </c>
      <c r="F160" s="143">
        <f t="shared" si="515"/>
        <v>114861044</v>
      </c>
      <c r="G160" s="143">
        <f t="shared" si="515"/>
        <v>5129550</v>
      </c>
      <c r="H160" s="143">
        <f t="shared" si="515"/>
        <v>122832</v>
      </c>
      <c r="I160" s="143">
        <f t="shared" si="515"/>
        <v>6848727</v>
      </c>
      <c r="J160" s="143">
        <f t="shared" si="515"/>
        <v>562688</v>
      </c>
      <c r="K160" s="143">
        <f t="shared" si="515"/>
        <v>597993</v>
      </c>
      <c r="L160" s="143">
        <f t="shared" si="515"/>
        <v>2875</v>
      </c>
      <c r="M160" s="143">
        <f t="shared" si="515"/>
        <v>-498367</v>
      </c>
      <c r="N160" s="143">
        <f t="shared" si="515"/>
        <v>-5899360</v>
      </c>
      <c r="O160" s="143">
        <f t="shared" si="515"/>
        <v>3533959</v>
      </c>
      <c r="P160" s="143">
        <f t="shared" si="515"/>
        <v>-181293</v>
      </c>
      <c r="Q160" s="143">
        <f t="shared" ref="Q160:R160" si="516">SUM(Q8,Q147)</f>
        <v>39496</v>
      </c>
      <c r="R160" s="143">
        <f t="shared" si="516"/>
        <v>0</v>
      </c>
      <c r="S160" s="143">
        <f t="shared" si="515"/>
        <v>0</v>
      </c>
      <c r="T160" s="143">
        <f t="shared" si="515"/>
        <v>-1047228</v>
      </c>
      <c r="U160" s="143">
        <f t="shared" si="515"/>
        <v>-1259442</v>
      </c>
      <c r="V160" s="143">
        <f t="shared" si="515"/>
        <v>-212214</v>
      </c>
      <c r="W160" s="143">
        <f t="shared" si="515"/>
        <v>-11045</v>
      </c>
      <c r="X160" s="143">
        <f t="shared" si="515"/>
        <v>-206523</v>
      </c>
      <c r="Y160" s="143">
        <f t="shared" si="515"/>
        <v>-18678</v>
      </c>
      <c r="Z160" s="143">
        <f t="shared" si="515"/>
        <v>45158</v>
      </c>
      <c r="AA160" s="143">
        <f t="shared" si="515"/>
        <v>-7681</v>
      </c>
      <c r="AB160" s="143">
        <f t="shared" si="515"/>
        <v>20825</v>
      </c>
      <c r="AC160" s="143">
        <f t="shared" si="515"/>
        <v>-1738</v>
      </c>
      <c r="AD160" s="143">
        <f t="shared" si="515"/>
        <v>-32532</v>
      </c>
      <c r="AE160" s="143">
        <f t="shared" si="515"/>
        <v>0</v>
      </c>
      <c r="AF160" s="143">
        <f t="shared" si="515"/>
        <v>0</v>
      </c>
      <c r="AG160" s="143">
        <f t="shared" si="515"/>
        <v>108920690</v>
      </c>
      <c r="AH160" s="143">
        <f t="shared" si="515"/>
        <v>113601602</v>
      </c>
    </row>
    <row r="162" spans="1:35" hidden="1" x14ac:dyDescent="0.2">
      <c r="AG162" s="171">
        <f>E160-AG160</f>
        <v>810804</v>
      </c>
    </row>
    <row r="163" spans="1:35" hidden="1" x14ac:dyDescent="0.2">
      <c r="A163" s="486"/>
      <c r="B163" s="486"/>
      <c r="C163" s="486"/>
      <c r="D163" s="486"/>
      <c r="E163" s="486"/>
      <c r="F163" s="486"/>
      <c r="G163" s="486"/>
      <c r="H163" s="486"/>
      <c r="I163" s="486"/>
      <c r="J163" s="486"/>
      <c r="K163" s="486"/>
      <c r="L163" s="486"/>
      <c r="M163" s="486"/>
      <c r="N163" s="486"/>
      <c r="O163" s="486"/>
      <c r="P163" s="486"/>
      <c r="Q163" s="486"/>
      <c r="R163" s="486"/>
      <c r="S163" s="486"/>
      <c r="T163" s="486"/>
      <c r="U163" s="486"/>
      <c r="V163" s="486"/>
      <c r="W163" s="486"/>
      <c r="X163" s="486"/>
      <c r="Y163" s="486"/>
      <c r="Z163" s="486"/>
      <c r="AA163" s="486"/>
      <c r="AB163" s="486"/>
      <c r="AC163" s="486"/>
      <c r="AD163" s="486"/>
      <c r="AE163" s="486"/>
      <c r="AF163" s="486"/>
      <c r="AG163" s="486"/>
    </row>
    <row r="164" spans="1:35" hidden="1" x14ac:dyDescent="0.2">
      <c r="A164" s="486"/>
      <c r="B164" s="486"/>
      <c r="C164" s="486"/>
      <c r="D164" s="486"/>
      <c r="E164" s="486"/>
      <c r="F164" s="486"/>
      <c r="G164" s="486"/>
      <c r="H164" s="486"/>
      <c r="I164" s="486"/>
      <c r="J164" s="486"/>
      <c r="K164" s="486"/>
      <c r="L164" s="486"/>
      <c r="M164" s="486"/>
      <c r="N164" s="486"/>
      <c r="O164" s="486"/>
      <c r="P164" s="486"/>
      <c r="Q164" s="486"/>
      <c r="R164" s="486"/>
      <c r="S164" s="486"/>
      <c r="T164" s="486"/>
      <c r="U164" s="486"/>
      <c r="V164" s="486"/>
      <c r="W164" s="486"/>
      <c r="X164" s="486"/>
      <c r="Y164" s="486"/>
      <c r="Z164" s="486"/>
      <c r="AA164" s="486"/>
      <c r="AB164" s="486"/>
      <c r="AC164" s="486"/>
      <c r="AD164" s="486"/>
      <c r="AE164" s="486"/>
      <c r="AF164" s="486"/>
      <c r="AG164" s="486"/>
    </row>
    <row r="165" spans="1:35" hidden="1" x14ac:dyDescent="0.2"/>
    <row r="166" spans="1:35" x14ac:dyDescent="0.2">
      <c r="AG166" s="171"/>
      <c r="AI166" s="291"/>
    </row>
    <row r="167" spans="1:35" x14ac:dyDescent="0.2">
      <c r="AG167" s="171"/>
    </row>
  </sheetData>
  <sheetProtection algorithmName="SHA-512" hashValue="qOK5ODbOdSR2/8gi3wXwkHBsovxOYbyHviDLv6YU2SWdtnZOQwM4VRaQ6WHWtJXWvda+QjkzS+3Xv9ZS1WwLIw==" saltValue="tjsS/PEQH5/ZsKh35TM4Qw==" spinCount="100000" sheet="1" objects="1" scenarios="1" formatCells="0" formatColumns="0" formatRows="0" insertHyperlinks="0"/>
  <autoFilter ref="A7:AH160">
    <filterColumn colId="0" showButton="0"/>
    <filterColumn colId="1" showButton="0"/>
  </autoFilter>
  <mergeCells count="97">
    <mergeCell ref="B87:C87"/>
    <mergeCell ref="B131:C131"/>
    <mergeCell ref="B88:C88"/>
    <mergeCell ref="B89:C89"/>
    <mergeCell ref="B90:C90"/>
    <mergeCell ref="B95:C95"/>
    <mergeCell ref="B144:C144"/>
    <mergeCell ref="A147:D147"/>
    <mergeCell ref="B138:C138"/>
    <mergeCell ref="B129:C129"/>
    <mergeCell ref="B91:C91"/>
    <mergeCell ref="A93:D93"/>
    <mergeCell ref="B125:C125"/>
    <mergeCell ref="A164:AG164"/>
    <mergeCell ref="A149:C149"/>
    <mergeCell ref="B150:C150"/>
    <mergeCell ref="B151:C151"/>
    <mergeCell ref="A159:D159"/>
    <mergeCell ref="A160:D160"/>
    <mergeCell ref="A163:AG163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A4:AH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 
 2019.gada 26.septembra saistošajiem noteikumiem Nr. 39
(protokols Nr.13, 23.punkts)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507" t="s">
        <v>1</v>
      </c>
      <c r="C2" s="507"/>
      <c r="D2" s="508" t="s">
        <v>3</v>
      </c>
      <c r="E2" s="508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572</v>
      </c>
      <c r="B4" s="152">
        <f>Ienemumi!AH93</f>
        <v>92280448</v>
      </c>
      <c r="C4" s="153" t="s">
        <v>465</v>
      </c>
      <c r="D4" s="345">
        <f>Ienemumi!AG149</f>
        <v>0</v>
      </c>
      <c r="E4" s="346" t="s">
        <v>465</v>
      </c>
    </row>
    <row r="5" spans="1:5" ht="17.25" x14ac:dyDescent="0.3">
      <c r="A5" s="151" t="s">
        <v>573</v>
      </c>
      <c r="B5" s="157">
        <f>Izdevumi!E265-D5</f>
        <v>104637446</v>
      </c>
      <c r="C5" s="153" t="s">
        <v>465</v>
      </c>
      <c r="D5" s="152">
        <f>Izdevumi!BB322</f>
        <v>569</v>
      </c>
      <c r="E5" s="153" t="s">
        <v>465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463</v>
      </c>
      <c r="B7" s="152">
        <f>B4-B5</f>
        <v>-12356998</v>
      </c>
      <c r="C7" s="153" t="s">
        <v>465</v>
      </c>
      <c r="D7" s="152">
        <f>D4-D5</f>
        <v>-569</v>
      </c>
      <c r="E7" s="153" t="s">
        <v>465</v>
      </c>
    </row>
    <row r="8" spans="1:5" ht="17.25" x14ac:dyDescent="0.3">
      <c r="A8" s="151" t="s">
        <v>464</v>
      </c>
      <c r="B8" s="152">
        <f>B9-B10+B11-B12-B13</f>
        <v>12356998</v>
      </c>
      <c r="C8" s="153" t="s">
        <v>465</v>
      </c>
      <c r="D8" s="152">
        <f>D9-D10+D11-D12-D13</f>
        <v>569</v>
      </c>
      <c r="E8" s="153" t="s">
        <v>465</v>
      </c>
    </row>
    <row r="9" spans="1:5" x14ac:dyDescent="0.25">
      <c r="A9" s="148" t="s">
        <v>466</v>
      </c>
      <c r="B9" s="154">
        <f>Ienemumi!AH95</f>
        <v>13029650</v>
      </c>
      <c r="C9" s="155" t="s">
        <v>465</v>
      </c>
      <c r="D9" s="154">
        <f>Ienemumi!AH153</f>
        <v>569</v>
      </c>
      <c r="E9" s="155" t="s">
        <v>465</v>
      </c>
    </row>
    <row r="10" spans="1:5" x14ac:dyDescent="0.25">
      <c r="A10" s="148" t="s">
        <v>467</v>
      </c>
      <c r="B10" s="154">
        <f>Izdevumi!E266</f>
        <v>3117648</v>
      </c>
      <c r="C10" s="155" t="s">
        <v>465</v>
      </c>
      <c r="D10" s="174">
        <v>0</v>
      </c>
      <c r="E10" s="175" t="s">
        <v>465</v>
      </c>
    </row>
    <row r="11" spans="1:5" x14ac:dyDescent="0.25">
      <c r="A11" s="148" t="s">
        <v>468</v>
      </c>
      <c r="B11" s="154">
        <f>Ienemumi!AH125</f>
        <v>8290935</v>
      </c>
      <c r="C11" s="155" t="s">
        <v>465</v>
      </c>
      <c r="D11" s="154"/>
    </row>
    <row r="12" spans="1:5" x14ac:dyDescent="0.25">
      <c r="A12" s="148" t="s">
        <v>469</v>
      </c>
      <c r="B12" s="154">
        <f>Izdevumi!E296</f>
        <v>5283045</v>
      </c>
      <c r="C12" s="155" t="s">
        <v>465</v>
      </c>
      <c r="D12" s="154"/>
    </row>
    <row r="13" spans="1:5" x14ac:dyDescent="0.25">
      <c r="A13" s="148" t="s">
        <v>470</v>
      </c>
      <c r="B13" s="173">
        <f>Izdevumi!E316+Izdevumi!E319</f>
        <v>562894</v>
      </c>
      <c r="C13" s="155" t="s">
        <v>465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2019-09-30T09:13:23Z</cp:lastPrinted>
  <dcterms:created xsi:type="dcterms:W3CDTF">2006-10-31T12:58:11Z</dcterms:created>
  <dcterms:modified xsi:type="dcterms:W3CDTF">2019-10-01T11:35:52Z</dcterms:modified>
</cp:coreProperties>
</file>