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Ienemumi!$A$7:$AI$161</definedName>
    <definedName name="_xlnm._FilterDatabase" localSheetId="0" hidden="1">Izdevumi!$A$9:$BY$329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Ienemumi!$A$4:$AH$161</definedName>
    <definedName name="Z_C32C0FCD_AE7D_41A3_975E_D7367DDEA994_.wvu.PrintArea" localSheetId="0" hidden="1">Izdevumi!$B$4:$BY$326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Ienemumi!#REF!,Ienemumi!#REF!,Ienemumi!$150:$159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Z272" i="1" l="1"/>
  <c r="BL128" i="1"/>
  <c r="BK128" i="1" s="1"/>
  <c r="BD128" i="1"/>
  <c r="BC128" i="1" s="1"/>
  <c r="AQ128" i="1"/>
  <c r="AP128" i="1" s="1"/>
  <c r="AD128" i="1"/>
  <c r="AC128" i="1" s="1"/>
  <c r="H128" i="1"/>
  <c r="G128" i="1" s="1"/>
  <c r="D128" i="1"/>
  <c r="E128" i="1" l="1"/>
  <c r="R66" i="4" l="1"/>
  <c r="AL286" i="1" l="1"/>
  <c r="AL285" i="1"/>
  <c r="AF285" i="1" l="1"/>
  <c r="AL287" i="1" l="1"/>
  <c r="AL284" i="1" l="1"/>
  <c r="AL161" i="1"/>
  <c r="AL202" i="1" l="1"/>
  <c r="R67" i="4"/>
  <c r="AL227" i="1" l="1"/>
  <c r="Z273" i="1" l="1"/>
  <c r="AF71" i="4"/>
  <c r="R71" i="4"/>
  <c r="Z277" i="1"/>
  <c r="AL218" i="1" l="1"/>
  <c r="AL180" i="1"/>
  <c r="AL183" i="1" l="1"/>
  <c r="AL178" i="1"/>
  <c r="AL231" i="1" l="1"/>
  <c r="BV272" i="1" l="1"/>
  <c r="AZ273" i="1"/>
  <c r="AZ272" i="1"/>
  <c r="R92" i="4"/>
  <c r="R88" i="4"/>
  <c r="BV275" i="1" l="1"/>
  <c r="Z275" i="1"/>
  <c r="BL63" i="1"/>
  <c r="BK63" i="1" s="1"/>
  <c r="BD63" i="1"/>
  <c r="BC63" i="1" s="1"/>
  <c r="AQ63" i="1"/>
  <c r="AP63" i="1" s="1"/>
  <c r="AD63" i="1"/>
  <c r="AC63" i="1" s="1"/>
  <c r="H63" i="1"/>
  <c r="G63" i="1" s="1"/>
  <c r="D63" i="1"/>
  <c r="E63" i="1" l="1"/>
  <c r="AL176" i="1" l="1"/>
  <c r="Z98" i="1" l="1"/>
  <c r="Z278" i="1" l="1"/>
  <c r="BL133" i="1"/>
  <c r="BK133" i="1" s="1"/>
  <c r="BD133" i="1"/>
  <c r="BC133" i="1" s="1"/>
  <c r="AQ133" i="1"/>
  <c r="AP133" i="1" s="1"/>
  <c r="AD133" i="1"/>
  <c r="AC133" i="1" s="1"/>
  <c r="H133" i="1"/>
  <c r="G133" i="1" s="1"/>
  <c r="D133" i="1"/>
  <c r="E133" i="1" l="1"/>
  <c r="BV274" i="1" l="1"/>
  <c r="Z274" i="1"/>
  <c r="R68" i="4" l="1"/>
  <c r="G68" i="4" s="1"/>
  <c r="F68" i="4" s="1"/>
  <c r="V68" i="4"/>
  <c r="U68" i="4" s="1"/>
  <c r="AH68" i="4"/>
  <c r="T65" i="4"/>
  <c r="W65" i="4"/>
  <c r="X65" i="4"/>
  <c r="Y65" i="4"/>
  <c r="Z65" i="4"/>
  <c r="AA65" i="4"/>
  <c r="AB65" i="4"/>
  <c r="AC65" i="4"/>
  <c r="AD65" i="4"/>
  <c r="AE65" i="4"/>
  <c r="AF65" i="4"/>
  <c r="AG65" i="4"/>
  <c r="L65" i="4"/>
  <c r="R65" i="4"/>
  <c r="S65" i="4"/>
  <c r="E65" i="4"/>
  <c r="E62" i="4"/>
  <c r="AI68" i="4" l="1"/>
  <c r="AL237" i="1" l="1"/>
  <c r="AL234" i="1" l="1"/>
  <c r="AL164" i="1" l="1"/>
  <c r="R83" i="4" l="1"/>
  <c r="AL189" i="1"/>
  <c r="AL186" i="1" l="1"/>
  <c r="R79" i="4"/>
  <c r="BL215" i="1" l="1"/>
  <c r="BK215" i="1" s="1"/>
  <c r="BD215" i="1"/>
  <c r="BC215" i="1" s="1"/>
  <c r="AQ215" i="1"/>
  <c r="AP215" i="1" s="1"/>
  <c r="AD215" i="1"/>
  <c r="AC215" i="1" s="1"/>
  <c r="H215" i="1"/>
  <c r="G215" i="1" s="1"/>
  <c r="D215" i="1"/>
  <c r="E215" i="1" l="1"/>
  <c r="AL229" i="1" l="1"/>
  <c r="W272" i="1" l="1"/>
  <c r="Z327" i="1" l="1"/>
  <c r="Z323" i="1"/>
  <c r="Z320" i="1"/>
  <c r="Z316" i="1"/>
  <c r="Z312" i="1"/>
  <c r="Z308" i="1"/>
  <c r="Z303" i="1"/>
  <c r="Z301" i="1"/>
  <c r="Z270" i="1"/>
  <c r="Z246" i="1"/>
  <c r="Z136" i="1"/>
  <c r="Z94" i="1"/>
  <c r="Z87" i="1"/>
  <c r="Z75" i="1"/>
  <c r="Z65" i="1"/>
  <c r="Z36" i="1"/>
  <c r="Z28" i="1"/>
  <c r="Z11" i="1"/>
  <c r="BV327" i="1"/>
  <c r="BV323" i="1"/>
  <c r="BV320" i="1"/>
  <c r="BV316" i="1"/>
  <c r="BV312" i="1"/>
  <c r="BV308" i="1"/>
  <c r="BV303" i="1"/>
  <c r="BV301" i="1"/>
  <c r="BV270" i="1"/>
  <c r="BV246" i="1"/>
  <c r="BV136" i="1"/>
  <c r="BV94" i="1"/>
  <c r="BV87" i="1"/>
  <c r="BV75" i="1"/>
  <c r="BV65" i="1"/>
  <c r="BV36" i="1"/>
  <c r="BV28" i="1"/>
  <c r="BV11" i="1"/>
  <c r="AF155" i="4"/>
  <c r="AF154" i="4" s="1"/>
  <c r="AF150" i="4"/>
  <c r="AF138" i="4"/>
  <c r="AF128" i="4"/>
  <c r="AF96" i="4"/>
  <c r="AF90" i="4"/>
  <c r="AF89" i="4" s="1"/>
  <c r="AF85" i="4"/>
  <c r="AF82" i="4"/>
  <c r="AF80" i="4"/>
  <c r="AF77" i="4"/>
  <c r="AF73" i="4"/>
  <c r="AF69" i="4"/>
  <c r="AF64" i="4"/>
  <c r="AF62" i="4"/>
  <c r="AF58" i="4"/>
  <c r="AF56" i="4"/>
  <c r="AF53" i="4"/>
  <c r="AF51" i="4"/>
  <c r="AF48" i="4"/>
  <c r="AF45" i="4"/>
  <c r="AF44" i="4" s="1"/>
  <c r="AF39" i="4"/>
  <c r="AF36" i="4"/>
  <c r="AF33" i="4"/>
  <c r="AF32" i="4" s="1"/>
  <c r="AF30" i="4"/>
  <c r="AF29" i="4" s="1"/>
  <c r="AF27" i="4"/>
  <c r="AF23" i="4"/>
  <c r="AF20" i="4"/>
  <c r="AF17" i="4"/>
  <c r="AF12" i="4"/>
  <c r="AF11" i="4" s="1"/>
  <c r="AF10" i="4" s="1"/>
  <c r="AF127" i="4" l="1"/>
  <c r="AF126" i="4" s="1"/>
  <c r="AF148" i="4"/>
  <c r="AF35" i="4"/>
  <c r="AF50" i="4"/>
  <c r="AF47" i="4" s="1"/>
  <c r="Z300" i="1"/>
  <c r="Z328" i="1" s="1"/>
  <c r="BV300" i="1"/>
  <c r="BV328" i="1" s="1"/>
  <c r="AF55" i="4"/>
  <c r="AF16" i="4"/>
  <c r="AF15" i="4" s="1"/>
  <c r="AF26" i="4"/>
  <c r="AF76" i="4"/>
  <c r="AF72" i="4" s="1"/>
  <c r="Z269" i="1"/>
  <c r="BV269" i="1"/>
  <c r="BV326" i="1" s="1"/>
  <c r="Q66" i="4"/>
  <c r="Z326" i="1" l="1"/>
  <c r="AF94" i="4"/>
  <c r="AF8" i="4" s="1"/>
  <c r="AF161" i="4" s="1"/>
  <c r="AK284" i="1"/>
  <c r="AF160" i="4" l="1"/>
  <c r="BL292" i="1"/>
  <c r="BK292" i="1" s="1"/>
  <c r="BL284" i="1"/>
  <c r="BK284" i="1" s="1"/>
  <c r="BD292" i="1"/>
  <c r="BC292" i="1" s="1"/>
  <c r="BD283" i="1"/>
  <c r="BC283" i="1" s="1"/>
  <c r="BD284" i="1"/>
  <c r="BC284" i="1" s="1"/>
  <c r="AQ292" i="1"/>
  <c r="AP292" i="1" s="1"/>
  <c r="AD292" i="1"/>
  <c r="AC292" i="1" s="1"/>
  <c r="AQ283" i="1"/>
  <c r="AP283" i="1" s="1"/>
  <c r="AQ284" i="1"/>
  <c r="AP284" i="1" s="1"/>
  <c r="AD284" i="1"/>
  <c r="AC284" i="1" s="1"/>
  <c r="H284" i="1"/>
  <c r="G284" i="1" s="1"/>
  <c r="D284" i="1"/>
  <c r="E284" i="1" l="1"/>
  <c r="Y272" i="1" l="1"/>
  <c r="Q88" i="4"/>
  <c r="Q83" i="4" l="1"/>
  <c r="AK171" i="1"/>
  <c r="Y278" i="1"/>
  <c r="X272" i="1" l="1"/>
  <c r="X144" i="1"/>
  <c r="X23" i="1"/>
  <c r="X323" i="1"/>
  <c r="X320" i="1"/>
  <c r="X316" i="1"/>
  <c r="X312" i="1"/>
  <c r="X308" i="1"/>
  <c r="X303" i="1"/>
  <c r="X301" i="1"/>
  <c r="X270" i="1"/>
  <c r="X246" i="1"/>
  <c r="X136" i="1"/>
  <c r="X94" i="1"/>
  <c r="X87" i="1"/>
  <c r="X75" i="1"/>
  <c r="X65" i="1"/>
  <c r="X36" i="1"/>
  <c r="X28" i="1"/>
  <c r="X11" i="1"/>
  <c r="Y145" i="1"/>
  <c r="Y144" i="1"/>
  <c r="Y96" i="1"/>
  <c r="Y81" i="1"/>
  <c r="X327" i="1" l="1"/>
  <c r="X300" i="1"/>
  <c r="X328" i="1" s="1"/>
  <c r="X269" i="1"/>
  <c r="X326" i="1" l="1"/>
  <c r="Q67" i="4"/>
  <c r="Q65" i="4" s="1"/>
  <c r="BL175" i="1" l="1"/>
  <c r="BK175" i="1" s="1"/>
  <c r="BD175" i="1"/>
  <c r="BC175" i="1" s="1"/>
  <c r="AQ175" i="1"/>
  <c r="AP175" i="1" s="1"/>
  <c r="AD175" i="1"/>
  <c r="AC175" i="1" s="1"/>
  <c r="H175" i="1"/>
  <c r="G175" i="1" s="1"/>
  <c r="D175" i="1"/>
  <c r="E175" i="1" l="1"/>
  <c r="BL214" i="1" l="1"/>
  <c r="BK214" i="1" s="1"/>
  <c r="BD214" i="1"/>
  <c r="BC214" i="1" s="1"/>
  <c r="AQ214" i="1"/>
  <c r="AP214" i="1" s="1"/>
  <c r="AD214" i="1"/>
  <c r="AC214" i="1" s="1"/>
  <c r="H214" i="1"/>
  <c r="G214" i="1" s="1"/>
  <c r="D214" i="1"/>
  <c r="E214" i="1" l="1"/>
  <c r="BL223" i="1" l="1"/>
  <c r="BK223" i="1" s="1"/>
  <c r="BD223" i="1"/>
  <c r="BC223" i="1" s="1"/>
  <c r="AQ223" i="1"/>
  <c r="AP223" i="1" s="1"/>
  <c r="AD223" i="1"/>
  <c r="AC223" i="1" s="1"/>
  <c r="H223" i="1"/>
  <c r="G223" i="1" s="1"/>
  <c r="D223" i="1"/>
  <c r="E223" i="1" l="1"/>
  <c r="Y98" i="1" l="1"/>
  <c r="Y40" i="1"/>
  <c r="R155" i="4" l="1"/>
  <c r="R154" i="4" s="1"/>
  <c r="R150" i="4"/>
  <c r="R138" i="4"/>
  <c r="R128" i="4"/>
  <c r="R96" i="4"/>
  <c r="R90" i="4"/>
  <c r="R89" i="4" s="1"/>
  <c r="R85" i="4"/>
  <c r="R82" i="4"/>
  <c r="R80" i="4"/>
  <c r="R77" i="4"/>
  <c r="R73" i="4"/>
  <c r="R69" i="4"/>
  <c r="R64" i="4"/>
  <c r="R62" i="4"/>
  <c r="R58" i="4"/>
  <c r="R56" i="4"/>
  <c r="R53" i="4"/>
  <c r="R51" i="4"/>
  <c r="R48" i="4"/>
  <c r="R45" i="4"/>
  <c r="R44" i="4" s="1"/>
  <c r="R39" i="4"/>
  <c r="R36" i="4"/>
  <c r="R33" i="4"/>
  <c r="R32" i="4" s="1"/>
  <c r="R30" i="4"/>
  <c r="R29" i="4" s="1"/>
  <c r="R27" i="4"/>
  <c r="R23" i="4"/>
  <c r="R20" i="4"/>
  <c r="R17" i="4"/>
  <c r="R12" i="4"/>
  <c r="R11" i="4" s="1"/>
  <c r="R10" i="4" s="1"/>
  <c r="Q155" i="4"/>
  <c r="Q154" i="4" s="1"/>
  <c r="Q150" i="4"/>
  <c r="Q138" i="4"/>
  <c r="Q128" i="4"/>
  <c r="Q96" i="4"/>
  <c r="Q90" i="4"/>
  <c r="Q89" i="4" s="1"/>
  <c r="Q85" i="4"/>
  <c r="Q82" i="4"/>
  <c r="Q80" i="4"/>
  <c r="Q77" i="4"/>
  <c r="Q73" i="4"/>
  <c r="Q69" i="4"/>
  <c r="Q64" i="4"/>
  <c r="Q62" i="4"/>
  <c r="Q58" i="4"/>
  <c r="Q56" i="4"/>
  <c r="Q53" i="4"/>
  <c r="Q51" i="4"/>
  <c r="Q48" i="4"/>
  <c r="Q45" i="4"/>
  <c r="Q44" i="4" s="1"/>
  <c r="Q39" i="4"/>
  <c r="Q36" i="4"/>
  <c r="Q33" i="4"/>
  <c r="Q32" i="4" s="1"/>
  <c r="Q30" i="4"/>
  <c r="Q29" i="4" s="1"/>
  <c r="Q27" i="4"/>
  <c r="Q23" i="4"/>
  <c r="Q20" i="4"/>
  <c r="Q17" i="4"/>
  <c r="Q12" i="4"/>
  <c r="Q11" i="4" s="1"/>
  <c r="Q10" i="4" s="1"/>
  <c r="R55" i="4" l="1"/>
  <c r="R127" i="4"/>
  <c r="R126" i="4" s="1"/>
  <c r="R16" i="4"/>
  <c r="R15" i="4" s="1"/>
  <c r="Q26" i="4"/>
  <c r="R35" i="4"/>
  <c r="Q35" i="4"/>
  <c r="Q55" i="4"/>
  <c r="Q16" i="4"/>
  <c r="Q15" i="4" s="1"/>
  <c r="R148" i="4"/>
  <c r="R26" i="4"/>
  <c r="Q127" i="4"/>
  <c r="Q126" i="4" s="1"/>
  <c r="R50" i="4"/>
  <c r="R47" i="4" s="1"/>
  <c r="Q76" i="4"/>
  <c r="Q72" i="4" s="1"/>
  <c r="R76" i="4"/>
  <c r="R72" i="4" s="1"/>
  <c r="Q50" i="4"/>
  <c r="Q47" i="4" s="1"/>
  <c r="Q148" i="4"/>
  <c r="R94" i="4" l="1"/>
  <c r="R160" i="4" s="1"/>
  <c r="Q94" i="4"/>
  <c r="Q160" i="4" s="1"/>
  <c r="R8" i="4" l="1"/>
  <c r="R161" i="4" s="1"/>
  <c r="Q8" i="4"/>
  <c r="Q161" i="4" s="1"/>
  <c r="W33" i="1" l="1"/>
  <c r="F320" i="1" l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Y320" i="1"/>
  <c r="AA320" i="1"/>
  <c r="AB320" i="1"/>
  <c r="AE320" i="1"/>
  <c r="AF320" i="1"/>
  <c r="AG320" i="1"/>
  <c r="AH320" i="1"/>
  <c r="AI320" i="1"/>
  <c r="AJ320" i="1"/>
  <c r="AK320" i="1"/>
  <c r="AL320" i="1"/>
  <c r="AM320" i="1"/>
  <c r="AN320" i="1"/>
  <c r="AO320" i="1"/>
  <c r="AR320" i="1"/>
  <c r="AS320" i="1"/>
  <c r="AT320" i="1"/>
  <c r="AU320" i="1"/>
  <c r="AV320" i="1"/>
  <c r="AW320" i="1"/>
  <c r="AX320" i="1"/>
  <c r="AY320" i="1"/>
  <c r="AZ320" i="1"/>
  <c r="BA320" i="1"/>
  <c r="BB320" i="1"/>
  <c r="BE320" i="1"/>
  <c r="BF320" i="1"/>
  <c r="BG320" i="1"/>
  <c r="BH320" i="1"/>
  <c r="BI320" i="1"/>
  <c r="BJ320" i="1"/>
  <c r="BM320" i="1"/>
  <c r="BN320" i="1"/>
  <c r="BO320" i="1"/>
  <c r="BP320" i="1"/>
  <c r="BQ320" i="1"/>
  <c r="BR320" i="1"/>
  <c r="BS320" i="1"/>
  <c r="BT320" i="1"/>
  <c r="BU320" i="1"/>
  <c r="BW320" i="1"/>
  <c r="BL322" i="1"/>
  <c r="BK322" i="1" s="1"/>
  <c r="BD322" i="1"/>
  <c r="BC322" i="1" s="1"/>
  <c r="AQ322" i="1"/>
  <c r="AP322" i="1" s="1"/>
  <c r="AD322" i="1"/>
  <c r="AC322" i="1" s="1"/>
  <c r="H322" i="1"/>
  <c r="G322" i="1" s="1"/>
  <c r="D322" i="1"/>
  <c r="E322" i="1" l="1"/>
  <c r="W276" i="1" l="1"/>
  <c r="W42" i="1"/>
  <c r="AX39" i="1"/>
  <c r="P81" i="4"/>
  <c r="W39" i="1"/>
  <c r="W96" i="1" l="1"/>
  <c r="W78" i="1"/>
  <c r="W69" i="1"/>
  <c r="W277" i="1" l="1"/>
  <c r="W270" i="1" s="1"/>
  <c r="W91" i="1" l="1"/>
  <c r="P67" i="4" l="1"/>
  <c r="P136" i="4" l="1"/>
  <c r="W169" i="1" l="1"/>
  <c r="W117" i="1"/>
  <c r="V272" i="1" l="1"/>
  <c r="P88" i="4" l="1"/>
  <c r="AH136" i="4"/>
  <c r="G136" i="4"/>
  <c r="F136" i="4" s="1"/>
  <c r="AI136" i="4" s="1"/>
  <c r="P66" i="4" l="1"/>
  <c r="P65" i="4" s="1"/>
  <c r="H283" i="1" l="1"/>
  <c r="U272" i="1"/>
  <c r="AJ183" i="1" l="1"/>
  <c r="P92" i="4" l="1"/>
  <c r="AD92" i="4" l="1"/>
  <c r="P83" i="4" l="1"/>
  <c r="P86" i="4" l="1"/>
  <c r="O66" i="4" l="1"/>
  <c r="U145" i="1"/>
  <c r="U96" i="1" l="1"/>
  <c r="U277" i="1" l="1"/>
  <c r="BL160" i="1"/>
  <c r="BK160" i="1" s="1"/>
  <c r="BD160" i="1"/>
  <c r="BC160" i="1" s="1"/>
  <c r="AQ160" i="1"/>
  <c r="AP160" i="1" s="1"/>
  <c r="AD160" i="1"/>
  <c r="AC160" i="1" s="1"/>
  <c r="H160" i="1"/>
  <c r="G160" i="1" s="1"/>
  <c r="D160" i="1"/>
  <c r="E160" i="1" l="1"/>
  <c r="AC71" i="4" l="1"/>
  <c r="O71" i="4"/>
  <c r="U57" i="1"/>
  <c r="O67" i="4"/>
  <c r="O65" i="4" s="1"/>
  <c r="U42" i="1" l="1"/>
  <c r="AH146" i="4" l="1"/>
  <c r="V146" i="4"/>
  <c r="U146" i="4" s="1"/>
  <c r="G146" i="4"/>
  <c r="F146" i="4" s="1"/>
  <c r="AD109" i="1"/>
  <c r="AC109" i="1" s="1"/>
  <c r="AQ109" i="1"/>
  <c r="AP109" i="1" s="1"/>
  <c r="BD109" i="1"/>
  <c r="BC109" i="1" s="1"/>
  <c r="BL109" i="1"/>
  <c r="BK109" i="1" s="1"/>
  <c r="H109" i="1"/>
  <c r="G109" i="1" s="1"/>
  <c r="D109" i="1"/>
  <c r="AI146" i="4" l="1"/>
  <c r="E109" i="1"/>
  <c r="AI283" i="1" l="1"/>
  <c r="BS273" i="1"/>
  <c r="AI273" i="1"/>
  <c r="AI164" i="1"/>
  <c r="AI161" i="1"/>
  <c r="AI183" i="1"/>
  <c r="U278" i="1" l="1"/>
  <c r="BL222" i="1" l="1"/>
  <c r="BK222" i="1" s="1"/>
  <c r="BD222" i="1"/>
  <c r="BC222" i="1" s="1"/>
  <c r="AQ222" i="1"/>
  <c r="AP222" i="1" s="1"/>
  <c r="AD222" i="1"/>
  <c r="AC222" i="1" s="1"/>
  <c r="H222" i="1"/>
  <c r="G222" i="1" s="1"/>
  <c r="D222" i="1"/>
  <c r="E222" i="1" l="1"/>
  <c r="AI234" i="1" l="1"/>
  <c r="BL283" i="1" l="1"/>
  <c r="BK283" i="1" s="1"/>
  <c r="AD283" i="1"/>
  <c r="AC283" i="1" s="1"/>
  <c r="G283" i="1"/>
  <c r="D283" i="1"/>
  <c r="E283" i="1" l="1"/>
  <c r="O145" i="4" l="1"/>
  <c r="O138" i="4" s="1"/>
  <c r="S272" i="1" l="1"/>
  <c r="S145" i="1" l="1"/>
  <c r="N67" i="4" l="1"/>
  <c r="BL159" i="1"/>
  <c r="BK159" i="1" s="1"/>
  <c r="BD159" i="1"/>
  <c r="BC159" i="1" s="1"/>
  <c r="AQ159" i="1"/>
  <c r="AP159" i="1" s="1"/>
  <c r="AD159" i="1"/>
  <c r="AC159" i="1" s="1"/>
  <c r="H159" i="1"/>
  <c r="G159" i="1" s="1"/>
  <c r="D159" i="1"/>
  <c r="E159" i="1" l="1"/>
  <c r="S81" i="1" l="1"/>
  <c r="S44" i="1" l="1"/>
  <c r="N141" i="4" l="1"/>
  <c r="S57" i="1" l="1"/>
  <c r="AH295" i="1" l="1"/>
  <c r="AH44" i="1"/>
  <c r="S276" i="1" l="1"/>
  <c r="S277" i="1" l="1"/>
  <c r="N143" i="4"/>
  <c r="N144" i="4" l="1"/>
  <c r="BL276" i="1" l="1"/>
  <c r="BK276" i="1" s="1"/>
  <c r="BD276" i="1"/>
  <c r="BC276" i="1" s="1"/>
  <c r="AQ276" i="1"/>
  <c r="AP276" i="1" s="1"/>
  <c r="AD276" i="1"/>
  <c r="AC276" i="1" s="1"/>
  <c r="H276" i="1"/>
  <c r="G276" i="1" s="1"/>
  <c r="D276" i="1"/>
  <c r="E276" i="1" l="1"/>
  <c r="N66" i="4"/>
  <c r="N65" i="4" s="1"/>
  <c r="BL119" i="1"/>
  <c r="BK119" i="1" s="1"/>
  <c r="BD119" i="1"/>
  <c r="BC119" i="1" s="1"/>
  <c r="AQ119" i="1"/>
  <c r="AP119" i="1" s="1"/>
  <c r="AD119" i="1"/>
  <c r="AC119" i="1" s="1"/>
  <c r="H119" i="1"/>
  <c r="G119" i="1" s="1"/>
  <c r="D119" i="1"/>
  <c r="E119" i="1" l="1"/>
  <c r="N92" i="4" l="1"/>
  <c r="BL163" i="1" l="1"/>
  <c r="BK163" i="1" s="1"/>
  <c r="BD163" i="1"/>
  <c r="BC163" i="1" s="1"/>
  <c r="AQ163" i="1"/>
  <c r="AP163" i="1" s="1"/>
  <c r="AD163" i="1"/>
  <c r="AC163" i="1" s="1"/>
  <c r="H163" i="1"/>
  <c r="G163" i="1" s="1"/>
  <c r="D163" i="1"/>
  <c r="E163" i="1" l="1"/>
  <c r="L272" i="1" l="1"/>
  <c r="K292" i="1" l="1"/>
  <c r="H292" i="1" s="1"/>
  <c r="G292" i="1" s="1"/>
  <c r="E292" i="1" s="1"/>
  <c r="D292" i="1"/>
  <c r="K272" i="1" l="1"/>
  <c r="Q272" i="1"/>
  <c r="BM274" i="1" l="1"/>
  <c r="BP274" i="1"/>
  <c r="BN275" i="1"/>
  <c r="BN274" i="1"/>
  <c r="M272" i="1"/>
  <c r="M274" i="1"/>
  <c r="K278" i="1"/>
  <c r="K277" i="1"/>
  <c r="K275" i="1"/>
  <c r="K274" i="1"/>
  <c r="I277" i="1"/>
  <c r="I274" i="1"/>
  <c r="R272" i="1" l="1"/>
  <c r="U327" i="1" l="1"/>
  <c r="W327" i="1"/>
  <c r="Y327" i="1"/>
  <c r="U316" i="1"/>
  <c r="W316" i="1"/>
  <c r="Y316" i="1"/>
  <c r="U312" i="1"/>
  <c r="W312" i="1"/>
  <c r="Y312" i="1"/>
  <c r="U308" i="1"/>
  <c r="W308" i="1"/>
  <c r="Y308" i="1"/>
  <c r="U303" i="1"/>
  <c r="W303" i="1"/>
  <c r="Y303" i="1"/>
  <c r="U301" i="1"/>
  <c r="W301" i="1"/>
  <c r="Y301" i="1"/>
  <c r="U270" i="1"/>
  <c r="Y270" i="1"/>
  <c r="U246" i="1"/>
  <c r="W246" i="1"/>
  <c r="Y246" i="1"/>
  <c r="U136" i="1"/>
  <c r="W136" i="1"/>
  <c r="Y136" i="1"/>
  <c r="U87" i="1"/>
  <c r="W87" i="1"/>
  <c r="Y87" i="1"/>
  <c r="U94" i="1"/>
  <c r="W94" i="1"/>
  <c r="Y94" i="1"/>
  <c r="U75" i="1"/>
  <c r="W75" i="1"/>
  <c r="Y75" i="1"/>
  <c r="AA75" i="1"/>
  <c r="U65" i="1"/>
  <c r="W65" i="1"/>
  <c r="Y65" i="1"/>
  <c r="U36" i="1"/>
  <c r="W36" i="1"/>
  <c r="Y36" i="1"/>
  <c r="U28" i="1"/>
  <c r="W28" i="1"/>
  <c r="Y28" i="1"/>
  <c r="U11" i="1"/>
  <c r="W11" i="1"/>
  <c r="Y11" i="1"/>
  <c r="S327" i="1"/>
  <c r="S316" i="1"/>
  <c r="S312" i="1"/>
  <c r="S308" i="1"/>
  <c r="S303" i="1"/>
  <c r="S301" i="1"/>
  <c r="S270" i="1"/>
  <c r="S246" i="1"/>
  <c r="S136" i="1"/>
  <c r="S94" i="1"/>
  <c r="S87" i="1"/>
  <c r="S75" i="1"/>
  <c r="S65" i="1"/>
  <c r="S36" i="1"/>
  <c r="S28" i="1"/>
  <c r="S11" i="1"/>
  <c r="W269" i="1" l="1"/>
  <c r="Y269" i="1"/>
  <c r="Y300" i="1"/>
  <c r="Y328" i="1" s="1"/>
  <c r="U269" i="1"/>
  <c r="U300" i="1"/>
  <c r="U328" i="1" s="1"/>
  <c r="W300" i="1"/>
  <c r="W328" i="1" s="1"/>
  <c r="S269" i="1"/>
  <c r="S300" i="1"/>
  <c r="S328" i="1" s="1"/>
  <c r="Q277" i="1"/>
  <c r="M67" i="4"/>
  <c r="Y326" i="1" l="1"/>
  <c r="U326" i="1"/>
  <c r="W326" i="1"/>
  <c r="S326" i="1"/>
  <c r="M66" i="4"/>
  <c r="M65" i="4" s="1"/>
  <c r="BL62" i="1"/>
  <c r="BK62" i="1" s="1"/>
  <c r="BD62" i="1"/>
  <c r="BC62" i="1" s="1"/>
  <c r="AQ62" i="1"/>
  <c r="AP62" i="1" s="1"/>
  <c r="AD62" i="1"/>
  <c r="AC62" i="1" s="1"/>
  <c r="H62" i="1"/>
  <c r="G62" i="1" s="1"/>
  <c r="D62" i="1"/>
  <c r="E62" i="1" l="1"/>
  <c r="Q247" i="1"/>
  <c r="P272" i="1" l="1"/>
  <c r="N272" i="1" l="1"/>
  <c r="M273" i="1" l="1"/>
  <c r="K71" i="4"/>
  <c r="Z71" i="4"/>
  <c r="K133" i="4"/>
  <c r="I118" i="4"/>
  <c r="I97" i="4"/>
  <c r="K273" i="1" l="1"/>
  <c r="K130" i="4" l="1"/>
  <c r="AH131" i="4"/>
  <c r="V131" i="4"/>
  <c r="U131" i="4" s="1"/>
  <c r="G131" i="4"/>
  <c r="F131" i="4" s="1"/>
  <c r="AI131" i="4" l="1"/>
  <c r="M57" i="1"/>
  <c r="M144" i="1" l="1"/>
  <c r="K67" i="4" l="1"/>
  <c r="K66" i="4" l="1"/>
  <c r="K65" i="4" s="1"/>
  <c r="BL26" i="1"/>
  <c r="BK26" i="1" s="1"/>
  <c r="BD26" i="1"/>
  <c r="BC26" i="1" s="1"/>
  <c r="AQ26" i="1"/>
  <c r="AP26" i="1" s="1"/>
  <c r="AD26" i="1"/>
  <c r="AC26" i="1" s="1"/>
  <c r="H26" i="1"/>
  <c r="G26" i="1" s="1"/>
  <c r="D26" i="1"/>
  <c r="E26" i="1" l="1"/>
  <c r="M247" i="1" l="1"/>
  <c r="M17" i="1"/>
  <c r="BL132" i="1" l="1"/>
  <c r="BK132" i="1" s="1"/>
  <c r="BD132" i="1"/>
  <c r="BC132" i="1" s="1"/>
  <c r="AQ132" i="1"/>
  <c r="AP132" i="1" s="1"/>
  <c r="AD132" i="1"/>
  <c r="AC132" i="1" s="1"/>
  <c r="H132" i="1"/>
  <c r="G132" i="1" s="1"/>
  <c r="D132" i="1"/>
  <c r="E132" i="1" l="1"/>
  <c r="BL131" i="1" l="1"/>
  <c r="BK131" i="1" s="1"/>
  <c r="BD131" i="1"/>
  <c r="BC131" i="1" s="1"/>
  <c r="AQ131" i="1"/>
  <c r="AP131" i="1" s="1"/>
  <c r="AD131" i="1"/>
  <c r="AC131" i="1" s="1"/>
  <c r="H131" i="1"/>
  <c r="G131" i="1" s="1"/>
  <c r="D131" i="1"/>
  <c r="E131" i="1" l="1"/>
  <c r="BL108" i="1" l="1"/>
  <c r="BK108" i="1" s="1"/>
  <c r="BD108" i="1"/>
  <c r="BC108" i="1" s="1"/>
  <c r="AQ108" i="1"/>
  <c r="AP108" i="1" s="1"/>
  <c r="AD108" i="1"/>
  <c r="AC108" i="1" s="1"/>
  <c r="H108" i="1"/>
  <c r="G108" i="1" s="1"/>
  <c r="D108" i="1"/>
  <c r="E108" i="1" l="1"/>
  <c r="AG138" i="4" l="1"/>
  <c r="AE138" i="4"/>
  <c r="AD138" i="4"/>
  <c r="AC138" i="4"/>
  <c r="AB138" i="4"/>
  <c r="AA138" i="4"/>
  <c r="Z138" i="4"/>
  <c r="Y138" i="4"/>
  <c r="X138" i="4"/>
  <c r="W138" i="4"/>
  <c r="T138" i="4"/>
  <c r="S138" i="4"/>
  <c r="P138" i="4"/>
  <c r="N138" i="4"/>
  <c r="M138" i="4"/>
  <c r="L138" i="4"/>
  <c r="K138" i="4"/>
  <c r="J138" i="4"/>
  <c r="I138" i="4"/>
  <c r="H138" i="4"/>
  <c r="E138" i="4"/>
  <c r="AG128" i="4"/>
  <c r="AE128" i="4"/>
  <c r="AD128" i="4"/>
  <c r="AC128" i="4"/>
  <c r="AB128" i="4"/>
  <c r="AA128" i="4"/>
  <c r="Z128" i="4"/>
  <c r="Y128" i="4"/>
  <c r="X128" i="4"/>
  <c r="W128" i="4"/>
  <c r="T128" i="4"/>
  <c r="S128" i="4"/>
  <c r="P128" i="4"/>
  <c r="O128" i="4"/>
  <c r="N128" i="4"/>
  <c r="M128" i="4"/>
  <c r="L128" i="4"/>
  <c r="K128" i="4"/>
  <c r="J128" i="4"/>
  <c r="I128" i="4"/>
  <c r="H128" i="4"/>
  <c r="E128" i="4"/>
  <c r="J127" i="4" l="1"/>
  <c r="J126" i="4" s="1"/>
  <c r="N127" i="4"/>
  <c r="N126" i="4" s="1"/>
  <c r="T127" i="4"/>
  <c r="T126" i="4" s="1"/>
  <c r="Z127" i="4"/>
  <c r="Z126" i="4" s="1"/>
  <c r="AD127" i="4"/>
  <c r="AD126" i="4" s="1"/>
  <c r="E127" i="4"/>
  <c r="E126" i="4" s="1"/>
  <c r="K127" i="4"/>
  <c r="K126" i="4" s="1"/>
  <c r="O127" i="4"/>
  <c r="O126" i="4" s="1"/>
  <c r="W127" i="4"/>
  <c r="W126" i="4" s="1"/>
  <c r="AA127" i="4"/>
  <c r="AA126" i="4" s="1"/>
  <c r="AE127" i="4"/>
  <c r="AE126" i="4" s="1"/>
  <c r="L127" i="4"/>
  <c r="L126" i="4" s="1"/>
  <c r="X127" i="4"/>
  <c r="X126" i="4" s="1"/>
  <c r="AG127" i="4"/>
  <c r="AG126" i="4" s="1"/>
  <c r="H127" i="4"/>
  <c r="H126" i="4" s="1"/>
  <c r="P127" i="4"/>
  <c r="P126" i="4" s="1"/>
  <c r="AB127" i="4"/>
  <c r="AB126" i="4" s="1"/>
  <c r="I127" i="4"/>
  <c r="I126" i="4" s="1"/>
  <c r="M127" i="4"/>
  <c r="M126" i="4" s="1"/>
  <c r="S127" i="4"/>
  <c r="S126" i="4" s="1"/>
  <c r="Y127" i="4"/>
  <c r="Y126" i="4" s="1"/>
  <c r="AC127" i="4"/>
  <c r="AC126" i="4" s="1"/>
  <c r="L161" i="1"/>
  <c r="AH135" i="4" l="1"/>
  <c r="V135" i="4"/>
  <c r="U135" i="4" s="1"/>
  <c r="G135" i="4"/>
  <c r="F135" i="4" s="1"/>
  <c r="AI135" i="4" l="1"/>
  <c r="BL55" i="1"/>
  <c r="BK55" i="1" s="1"/>
  <c r="BD55" i="1"/>
  <c r="BC55" i="1" s="1"/>
  <c r="AQ55" i="1"/>
  <c r="AP55" i="1" s="1"/>
  <c r="AD55" i="1"/>
  <c r="AC55" i="1" s="1"/>
  <c r="H55" i="1"/>
  <c r="G55" i="1" s="1"/>
  <c r="D55" i="1"/>
  <c r="E55" i="1" l="1"/>
  <c r="J66" i="4" l="1"/>
  <c r="J65" i="4" s="1"/>
  <c r="L57" i="1"/>
  <c r="BL107" i="1"/>
  <c r="BK107" i="1" s="1"/>
  <c r="BD107" i="1"/>
  <c r="BC107" i="1" s="1"/>
  <c r="AQ107" i="1"/>
  <c r="AP107" i="1" s="1"/>
  <c r="AD107" i="1"/>
  <c r="AC107" i="1" s="1"/>
  <c r="H107" i="1"/>
  <c r="G107" i="1" s="1"/>
  <c r="D107" i="1"/>
  <c r="E107" i="1" l="1"/>
  <c r="BL188" i="1"/>
  <c r="BK188" i="1" s="1"/>
  <c r="BD188" i="1"/>
  <c r="BC188" i="1" s="1"/>
  <c r="AQ188" i="1"/>
  <c r="AP188" i="1" s="1"/>
  <c r="AD188" i="1"/>
  <c r="AC188" i="1" s="1"/>
  <c r="H188" i="1"/>
  <c r="G188" i="1" s="1"/>
  <c r="D188" i="1"/>
  <c r="BL195" i="1"/>
  <c r="BK195" i="1" s="1"/>
  <c r="BD195" i="1"/>
  <c r="BC195" i="1" s="1"/>
  <c r="AQ195" i="1"/>
  <c r="AP195" i="1" s="1"/>
  <c r="AD195" i="1"/>
  <c r="AC195" i="1" s="1"/>
  <c r="H195" i="1"/>
  <c r="G195" i="1" s="1"/>
  <c r="D195" i="1"/>
  <c r="E188" i="1" l="1"/>
  <c r="E195" i="1"/>
  <c r="BL241" i="1" l="1"/>
  <c r="BK241" i="1" s="1"/>
  <c r="BD241" i="1"/>
  <c r="BC241" i="1" s="1"/>
  <c r="AQ241" i="1"/>
  <c r="AP241" i="1" s="1"/>
  <c r="AD241" i="1"/>
  <c r="AC241" i="1" s="1"/>
  <c r="H241" i="1"/>
  <c r="G241" i="1" s="1"/>
  <c r="D241" i="1"/>
  <c r="E241" i="1" l="1"/>
  <c r="AH144" i="4" l="1"/>
  <c r="V144" i="4"/>
  <c r="U144" i="4" s="1"/>
  <c r="G144" i="4"/>
  <c r="F144" i="4" s="1"/>
  <c r="I67" i="4"/>
  <c r="K145" i="1"/>
  <c r="AI144" i="4" l="1"/>
  <c r="K57" i="1"/>
  <c r="I71" i="4"/>
  <c r="BL158" i="1"/>
  <c r="BK158" i="1" s="1"/>
  <c r="AQ158" i="1"/>
  <c r="AP158" i="1" s="1"/>
  <c r="BD158" i="1"/>
  <c r="BC158" i="1" s="1"/>
  <c r="AQ157" i="1"/>
  <c r="AP157" i="1" s="1"/>
  <c r="AD158" i="1"/>
  <c r="AC158" i="1" s="1"/>
  <c r="H158" i="1"/>
  <c r="G158" i="1" s="1"/>
  <c r="D158" i="1"/>
  <c r="AF286" i="1"/>
  <c r="I103" i="4"/>
  <c r="I104" i="4"/>
  <c r="E158" i="1" l="1"/>
  <c r="I101" i="4" l="1"/>
  <c r="I99" i="4"/>
  <c r="I83" i="4" l="1"/>
  <c r="I14" i="4" l="1"/>
  <c r="I13" i="4"/>
  <c r="I88" i="4" l="1"/>
  <c r="BN20" i="1"/>
  <c r="K20" i="1"/>
  <c r="I98" i="4" l="1"/>
  <c r="K81" i="1" l="1"/>
  <c r="K69" i="1" l="1"/>
  <c r="AH145" i="4"/>
  <c r="V145" i="4"/>
  <c r="U145" i="4" s="1"/>
  <c r="G145" i="4"/>
  <c r="F145" i="4" s="1"/>
  <c r="H157" i="1"/>
  <c r="G157" i="1" s="1"/>
  <c r="BL157" i="1"/>
  <c r="BK157" i="1" s="1"/>
  <c r="BD157" i="1"/>
  <c r="BC157" i="1" s="1"/>
  <c r="AD157" i="1"/>
  <c r="AC157" i="1" s="1"/>
  <c r="D157" i="1"/>
  <c r="X71" i="4"/>
  <c r="AI145" i="4" l="1"/>
  <c r="E157" i="1"/>
  <c r="BL71" i="1" l="1"/>
  <c r="BK71" i="1" s="1"/>
  <c r="BD71" i="1"/>
  <c r="BC71" i="1" s="1"/>
  <c r="AQ71" i="1"/>
  <c r="AP71" i="1" s="1"/>
  <c r="AD71" i="1"/>
  <c r="AC71" i="1" s="1"/>
  <c r="H71" i="1"/>
  <c r="G71" i="1" s="1"/>
  <c r="D71" i="1"/>
  <c r="E71" i="1" l="1"/>
  <c r="I100" i="4" l="1"/>
  <c r="I66" i="4" l="1"/>
  <c r="I65" i="4" s="1"/>
  <c r="I111" i="4"/>
  <c r="X92" i="4"/>
  <c r="I92" i="4"/>
  <c r="BL106" i="1" l="1"/>
  <c r="BK106" i="1" s="1"/>
  <c r="BD106" i="1"/>
  <c r="BC106" i="1" s="1"/>
  <c r="AQ106" i="1"/>
  <c r="AP106" i="1" s="1"/>
  <c r="AD106" i="1"/>
  <c r="AC106" i="1" s="1"/>
  <c r="H106" i="1"/>
  <c r="G106" i="1" s="1"/>
  <c r="D106" i="1"/>
  <c r="E106" i="1" l="1"/>
  <c r="BL156" i="1" l="1"/>
  <c r="BK156" i="1" s="1"/>
  <c r="BD156" i="1"/>
  <c r="BC156" i="1" s="1"/>
  <c r="AQ156" i="1"/>
  <c r="AP156" i="1" s="1"/>
  <c r="AD156" i="1"/>
  <c r="AC156" i="1" s="1"/>
  <c r="H156" i="1"/>
  <c r="G156" i="1" s="1"/>
  <c r="D156" i="1"/>
  <c r="E156" i="1" l="1"/>
  <c r="BL170" i="1" l="1"/>
  <c r="BK170" i="1" s="1"/>
  <c r="BD170" i="1"/>
  <c r="BC170" i="1" s="1"/>
  <c r="AQ170" i="1"/>
  <c r="AP170" i="1" s="1"/>
  <c r="AD170" i="1"/>
  <c r="AC170" i="1" s="1"/>
  <c r="H170" i="1"/>
  <c r="G170" i="1" s="1"/>
  <c r="D170" i="1"/>
  <c r="E170" i="1" l="1"/>
  <c r="I75" i="4" l="1"/>
  <c r="AH134" i="4" l="1"/>
  <c r="V134" i="4"/>
  <c r="U134" i="4" s="1"/>
  <c r="G134" i="4"/>
  <c r="F134" i="4" s="1"/>
  <c r="BL54" i="1"/>
  <c r="BK54" i="1" s="1"/>
  <c r="BD54" i="1"/>
  <c r="BC54" i="1" s="1"/>
  <c r="AQ54" i="1"/>
  <c r="AP54" i="1" s="1"/>
  <c r="AD54" i="1"/>
  <c r="AC54" i="1" s="1"/>
  <c r="H54" i="1"/>
  <c r="G54" i="1" s="1"/>
  <c r="D54" i="1"/>
  <c r="AI134" i="4" l="1"/>
  <c r="E54" i="1"/>
  <c r="BL258" i="1" l="1"/>
  <c r="BK258" i="1" s="1"/>
  <c r="BD258" i="1"/>
  <c r="BC258" i="1" s="1"/>
  <c r="AQ258" i="1"/>
  <c r="AP258" i="1" s="1"/>
  <c r="AD258" i="1"/>
  <c r="AC258" i="1" s="1"/>
  <c r="H258" i="1"/>
  <c r="G258" i="1" s="1"/>
  <c r="D258" i="1"/>
  <c r="E258" i="1" l="1"/>
  <c r="I114" i="4" l="1"/>
  <c r="I113" i="4" l="1"/>
  <c r="AF237" i="1"/>
  <c r="I105" i="4" l="1"/>
  <c r="AF235" i="1"/>
  <c r="AF218" i="1"/>
  <c r="I108" i="4"/>
  <c r="AF231" i="1"/>
  <c r="AF210" i="1"/>
  <c r="I112" i="4"/>
  <c r="AF194" i="1"/>
  <c r="AH110" i="4"/>
  <c r="V110" i="4"/>
  <c r="U110" i="4" s="1"/>
  <c r="G110" i="4"/>
  <c r="F110" i="4" s="1"/>
  <c r="AF25" i="1"/>
  <c r="AF242" i="1"/>
  <c r="AF178" i="1"/>
  <c r="AI110" i="4" l="1"/>
  <c r="AH116" i="4"/>
  <c r="V116" i="4"/>
  <c r="U116" i="4" s="1"/>
  <c r="G116" i="4"/>
  <c r="F116" i="4" s="1"/>
  <c r="AI116" i="4" l="1"/>
  <c r="BL32" i="1" l="1"/>
  <c r="BK32" i="1" s="1"/>
  <c r="BD32" i="1"/>
  <c r="BC32" i="1" s="1"/>
  <c r="AD32" i="1"/>
  <c r="AC32" i="1" s="1"/>
  <c r="H32" i="1"/>
  <c r="G32" i="1" s="1"/>
  <c r="D32" i="1"/>
  <c r="E32" i="1" l="1"/>
  <c r="AF186" i="1" l="1"/>
  <c r="I124" i="4" l="1"/>
  <c r="G124" i="4" s="1"/>
  <c r="F124" i="4" s="1"/>
  <c r="AG96" i="4"/>
  <c r="AE96" i="4"/>
  <c r="AD96" i="4"/>
  <c r="AC96" i="4"/>
  <c r="AB96" i="4"/>
  <c r="AA96" i="4"/>
  <c r="Z96" i="4"/>
  <c r="Y96" i="4"/>
  <c r="X96" i="4"/>
  <c r="W96" i="4"/>
  <c r="T96" i="4"/>
  <c r="S96" i="4"/>
  <c r="P96" i="4"/>
  <c r="O96" i="4"/>
  <c r="N96" i="4"/>
  <c r="M96" i="4"/>
  <c r="L96" i="4"/>
  <c r="K96" i="4"/>
  <c r="J96" i="4"/>
  <c r="AH124" i="4"/>
  <c r="V124" i="4"/>
  <c r="U124" i="4" s="1"/>
  <c r="AI124" i="4" l="1"/>
  <c r="BL20" i="1"/>
  <c r="BK20" i="1" s="1"/>
  <c r="BD20" i="1"/>
  <c r="BC20" i="1" s="1"/>
  <c r="AQ20" i="1"/>
  <c r="AP20" i="1" s="1"/>
  <c r="AD20" i="1"/>
  <c r="AC20" i="1" s="1"/>
  <c r="H20" i="1"/>
  <c r="G20" i="1" s="1"/>
  <c r="D20" i="1"/>
  <c r="E20" i="1" l="1"/>
  <c r="I52" i="4" l="1"/>
  <c r="I30" i="4"/>
  <c r="E30" i="4"/>
  <c r="H30" i="4"/>
  <c r="AH14" i="4" l="1"/>
  <c r="V14" i="4"/>
  <c r="U14" i="4" s="1"/>
  <c r="G14" i="4"/>
  <c r="F14" i="4" s="1"/>
  <c r="G13" i="4"/>
  <c r="AG12" i="4"/>
  <c r="AE12" i="4"/>
  <c r="AD12" i="4"/>
  <c r="AC12" i="4"/>
  <c r="AB12" i="4"/>
  <c r="AA12" i="4"/>
  <c r="Z12" i="4"/>
  <c r="Y12" i="4"/>
  <c r="X12" i="4"/>
  <c r="W12" i="4"/>
  <c r="T12" i="4"/>
  <c r="S12" i="4"/>
  <c r="P12" i="4"/>
  <c r="O12" i="4"/>
  <c r="N12" i="4"/>
  <c r="M12" i="4"/>
  <c r="L12" i="4"/>
  <c r="K12" i="4"/>
  <c r="J12" i="4"/>
  <c r="I12" i="4"/>
  <c r="H12" i="4"/>
  <c r="E12" i="4"/>
  <c r="AI14" i="4" l="1"/>
  <c r="G12" i="4"/>
  <c r="I157" i="4" l="1"/>
  <c r="I96" i="4" l="1"/>
  <c r="F272" i="1" l="1"/>
  <c r="BL274" i="1"/>
  <c r="BK274" i="1" s="1"/>
  <c r="BL275" i="1"/>
  <c r="BK275" i="1" s="1"/>
  <c r="BD274" i="1"/>
  <c r="BC274" i="1" s="1"/>
  <c r="BD275" i="1"/>
  <c r="BC275" i="1" s="1"/>
  <c r="AQ274" i="1"/>
  <c r="AP274" i="1" s="1"/>
  <c r="AQ275" i="1"/>
  <c r="AP275" i="1" s="1"/>
  <c r="AD274" i="1"/>
  <c r="AC274" i="1" s="1"/>
  <c r="AD275" i="1"/>
  <c r="AC275" i="1" s="1"/>
  <c r="H274" i="1"/>
  <c r="G274" i="1" s="1"/>
  <c r="H275" i="1"/>
  <c r="G275" i="1" s="1"/>
  <c r="D274" i="1"/>
  <c r="D275" i="1"/>
  <c r="E275" i="1" l="1"/>
  <c r="E274" i="1"/>
  <c r="J23" i="1" l="1"/>
  <c r="J327" i="1" l="1"/>
  <c r="J323" i="1"/>
  <c r="J316" i="1"/>
  <c r="J312" i="1"/>
  <c r="J308" i="1"/>
  <c r="J303" i="1"/>
  <c r="J301" i="1"/>
  <c r="J270" i="1"/>
  <c r="J246" i="1"/>
  <c r="J136" i="1"/>
  <c r="J94" i="1"/>
  <c r="J87" i="1"/>
  <c r="J75" i="1"/>
  <c r="J65" i="1"/>
  <c r="J36" i="1"/>
  <c r="J28" i="1"/>
  <c r="J11" i="1"/>
  <c r="J300" i="1" l="1"/>
  <c r="J328" i="1" s="1"/>
  <c r="J269" i="1"/>
  <c r="J326" i="1" l="1"/>
  <c r="AH122" i="4"/>
  <c r="V122" i="4"/>
  <c r="U122" i="4" s="1"/>
  <c r="G122" i="4"/>
  <c r="F122" i="4" s="1"/>
  <c r="AI122" i="4" l="1"/>
  <c r="AD53" i="1" l="1"/>
  <c r="AC53" i="1" s="1"/>
  <c r="AQ53" i="1"/>
  <c r="AP53" i="1" s="1"/>
  <c r="BD53" i="1"/>
  <c r="BC53" i="1" s="1"/>
  <c r="BL53" i="1"/>
  <c r="BK53" i="1" s="1"/>
  <c r="H53" i="1"/>
  <c r="G53" i="1" s="1"/>
  <c r="D53" i="1"/>
  <c r="E53" i="1" l="1"/>
  <c r="I57" i="1" l="1"/>
  <c r="BL83" i="1"/>
  <c r="BK83" i="1" s="1"/>
  <c r="BD83" i="1"/>
  <c r="BC83" i="1" s="1"/>
  <c r="AQ83" i="1"/>
  <c r="AP83" i="1" s="1"/>
  <c r="AD83" i="1"/>
  <c r="AC83" i="1" s="1"/>
  <c r="H83" i="1"/>
  <c r="G83" i="1" s="1"/>
  <c r="D83" i="1"/>
  <c r="E83" i="1" l="1"/>
  <c r="W71" i="4" l="1"/>
  <c r="H71" i="4"/>
  <c r="I273" i="1"/>
  <c r="BL155" i="1"/>
  <c r="BK155" i="1" s="1"/>
  <c r="BD155" i="1"/>
  <c r="BC155" i="1" s="1"/>
  <c r="AQ155" i="1"/>
  <c r="AP155" i="1" s="1"/>
  <c r="AD155" i="1"/>
  <c r="AC155" i="1" s="1"/>
  <c r="H155" i="1"/>
  <c r="G155" i="1" s="1"/>
  <c r="D155" i="1"/>
  <c r="H67" i="4"/>
  <c r="E155" i="1" l="1"/>
  <c r="H66" i="4"/>
  <c r="H65" i="4" s="1"/>
  <c r="AE178" i="1" l="1"/>
  <c r="AE218" i="1" l="1"/>
  <c r="AE189" i="1"/>
  <c r="I272" i="1" l="1"/>
  <c r="H272" i="1" s="1"/>
  <c r="H100" i="4"/>
  <c r="H97" i="4" l="1"/>
  <c r="H96" i="4" s="1"/>
  <c r="AH109" i="4"/>
  <c r="AH123" i="4"/>
  <c r="V123" i="4"/>
  <c r="U123" i="4" s="1"/>
  <c r="G123" i="4"/>
  <c r="F123" i="4" s="1"/>
  <c r="AI123" i="4" l="1"/>
  <c r="BL240" i="1"/>
  <c r="BK240" i="1" s="1"/>
  <c r="BD240" i="1"/>
  <c r="BC240" i="1" s="1"/>
  <c r="AQ240" i="1"/>
  <c r="AP240" i="1" s="1"/>
  <c r="AD240" i="1"/>
  <c r="AC240" i="1" s="1"/>
  <c r="H240" i="1"/>
  <c r="G240" i="1" s="1"/>
  <c r="D240" i="1"/>
  <c r="E240" i="1" l="1"/>
  <c r="BL272" i="1" l="1"/>
  <c r="BK272" i="1" s="1"/>
  <c r="BL273" i="1"/>
  <c r="BK273" i="1" s="1"/>
  <c r="BD272" i="1"/>
  <c r="BC272" i="1" s="1"/>
  <c r="BD273" i="1"/>
  <c r="BC273" i="1" s="1"/>
  <c r="BD277" i="1"/>
  <c r="BC277" i="1" s="1"/>
  <c r="BD278" i="1"/>
  <c r="BD279" i="1"/>
  <c r="BD280" i="1"/>
  <c r="BD281" i="1"/>
  <c r="BD282" i="1"/>
  <c r="BD285" i="1"/>
  <c r="BD286" i="1"/>
  <c r="BD287" i="1"/>
  <c r="BD288" i="1"/>
  <c r="BD289" i="1"/>
  <c r="BD290" i="1"/>
  <c r="BD291" i="1"/>
  <c r="BD293" i="1"/>
  <c r="BD294" i="1"/>
  <c r="BD295" i="1"/>
  <c r="BD296" i="1"/>
  <c r="BD297" i="1"/>
  <c r="BD298" i="1"/>
  <c r="BD271" i="1"/>
  <c r="AQ273" i="1"/>
  <c r="AP273" i="1" s="1"/>
  <c r="AD273" i="1"/>
  <c r="AC273" i="1" s="1"/>
  <c r="H273" i="1"/>
  <c r="G273" i="1" s="1"/>
  <c r="D273" i="1"/>
  <c r="E273" i="1" l="1"/>
  <c r="BL52" i="1" l="1"/>
  <c r="BK52" i="1" s="1"/>
  <c r="BD52" i="1"/>
  <c r="BC52" i="1" s="1"/>
  <c r="AQ52" i="1"/>
  <c r="AP52" i="1" s="1"/>
  <c r="AD52" i="1"/>
  <c r="AC52" i="1" s="1"/>
  <c r="H52" i="1"/>
  <c r="G52" i="1" s="1"/>
  <c r="D52" i="1"/>
  <c r="E52" i="1" l="1"/>
  <c r="BL19" i="1" l="1"/>
  <c r="BK19" i="1" s="1"/>
  <c r="BD19" i="1"/>
  <c r="BC19" i="1" s="1"/>
  <c r="AQ19" i="1"/>
  <c r="AP19" i="1" s="1"/>
  <c r="AD19" i="1"/>
  <c r="AC19" i="1" s="1"/>
  <c r="H19" i="1"/>
  <c r="G19" i="1" s="1"/>
  <c r="D19" i="1"/>
  <c r="E19" i="1" l="1"/>
  <c r="D324" i="1"/>
  <c r="D321" i="1"/>
  <c r="D320" i="1" s="1"/>
  <c r="D318" i="1"/>
  <c r="D317" i="1"/>
  <c r="D315" i="1"/>
  <c r="D314" i="1"/>
  <c r="D313" i="1"/>
  <c r="D311" i="1"/>
  <c r="D310" i="1"/>
  <c r="D309" i="1"/>
  <c r="D307" i="1"/>
  <c r="D306" i="1"/>
  <c r="D305" i="1"/>
  <c r="D304" i="1"/>
  <c r="D302" i="1"/>
  <c r="D298" i="1"/>
  <c r="D297" i="1"/>
  <c r="D296" i="1"/>
  <c r="D295" i="1"/>
  <c r="D294" i="1"/>
  <c r="D293" i="1"/>
  <c r="D291" i="1"/>
  <c r="D290" i="1"/>
  <c r="D289" i="1"/>
  <c r="D288" i="1"/>
  <c r="D287" i="1"/>
  <c r="D286" i="1"/>
  <c r="D285" i="1"/>
  <c r="D282" i="1"/>
  <c r="D281" i="1"/>
  <c r="D280" i="1"/>
  <c r="D279" i="1"/>
  <c r="D278" i="1"/>
  <c r="D277" i="1"/>
  <c r="D271" i="1"/>
  <c r="D267" i="1"/>
  <c r="D266" i="1"/>
  <c r="D265" i="1"/>
  <c r="D264" i="1"/>
  <c r="D263" i="1"/>
  <c r="D262" i="1"/>
  <c r="D261" i="1"/>
  <c r="D260" i="1"/>
  <c r="D259" i="1"/>
  <c r="D257" i="1"/>
  <c r="D256" i="1"/>
  <c r="D255" i="1"/>
  <c r="D254" i="1"/>
  <c r="D253" i="1"/>
  <c r="D252" i="1"/>
  <c r="D251" i="1"/>
  <c r="D250" i="1"/>
  <c r="D249" i="1"/>
  <c r="D248" i="1"/>
  <c r="D247" i="1"/>
  <c r="D244" i="1"/>
  <c r="D243" i="1"/>
  <c r="D242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1" i="1"/>
  <c r="D220" i="1"/>
  <c r="D219" i="1"/>
  <c r="D218" i="1"/>
  <c r="D217" i="1"/>
  <c r="D216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4" i="1"/>
  <c r="D193" i="1"/>
  <c r="D192" i="1"/>
  <c r="D191" i="1"/>
  <c r="D190" i="1"/>
  <c r="D189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4" i="1"/>
  <c r="D173" i="1"/>
  <c r="D172" i="1"/>
  <c r="D171" i="1"/>
  <c r="D169" i="1"/>
  <c r="D168" i="1"/>
  <c r="D167" i="1"/>
  <c r="D166" i="1"/>
  <c r="D165" i="1"/>
  <c r="D164" i="1"/>
  <c r="D162" i="1"/>
  <c r="D161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4" i="1"/>
  <c r="D130" i="1"/>
  <c r="D129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5" i="1"/>
  <c r="D104" i="1"/>
  <c r="D103" i="1"/>
  <c r="D102" i="1"/>
  <c r="D101" i="1"/>
  <c r="D100" i="1"/>
  <c r="D99" i="1"/>
  <c r="D98" i="1"/>
  <c r="D97" i="1"/>
  <c r="D96" i="1"/>
  <c r="D95" i="1"/>
  <c r="D92" i="1"/>
  <c r="D91" i="1"/>
  <c r="D90" i="1"/>
  <c r="D89" i="1"/>
  <c r="D88" i="1"/>
  <c r="D85" i="1"/>
  <c r="D84" i="1"/>
  <c r="D82" i="1"/>
  <c r="D81" i="1"/>
  <c r="D80" i="1"/>
  <c r="D79" i="1"/>
  <c r="D78" i="1"/>
  <c r="D77" i="1"/>
  <c r="D76" i="1"/>
  <c r="D73" i="1"/>
  <c r="D72" i="1"/>
  <c r="D70" i="1"/>
  <c r="D69" i="1"/>
  <c r="D68" i="1"/>
  <c r="D67" i="1"/>
  <c r="D66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L14" i="1"/>
  <c r="BK14" i="1" s="1"/>
  <c r="BL324" i="1"/>
  <c r="BK324" i="1" s="1"/>
  <c r="BK323" i="1" s="1"/>
  <c r="BL321" i="1"/>
  <c r="BL319" i="1"/>
  <c r="BK319" i="1" s="1"/>
  <c r="BL318" i="1"/>
  <c r="BK318" i="1" s="1"/>
  <c r="BL317" i="1"/>
  <c r="BK317" i="1" s="1"/>
  <c r="BL315" i="1"/>
  <c r="BK315" i="1" s="1"/>
  <c r="BL314" i="1"/>
  <c r="BK314" i="1" s="1"/>
  <c r="BL313" i="1"/>
  <c r="BK313" i="1" s="1"/>
  <c r="BL311" i="1"/>
  <c r="BK311" i="1" s="1"/>
  <c r="BL310" i="1"/>
  <c r="BK310" i="1" s="1"/>
  <c r="BL309" i="1"/>
  <c r="BK309" i="1" s="1"/>
  <c r="BL307" i="1"/>
  <c r="BK307" i="1" s="1"/>
  <c r="BL306" i="1"/>
  <c r="BK306" i="1" s="1"/>
  <c r="BL305" i="1"/>
  <c r="BK305" i="1" s="1"/>
  <c r="BL304" i="1"/>
  <c r="BK304" i="1" s="1"/>
  <c r="BL302" i="1"/>
  <c r="BK302" i="1" s="1"/>
  <c r="BK301" i="1" s="1"/>
  <c r="BL298" i="1"/>
  <c r="BK298" i="1" s="1"/>
  <c r="BL297" i="1"/>
  <c r="BK297" i="1" s="1"/>
  <c r="BL296" i="1"/>
  <c r="BK296" i="1" s="1"/>
  <c r="BL295" i="1"/>
  <c r="BK295" i="1" s="1"/>
  <c r="BL294" i="1"/>
  <c r="BK294" i="1" s="1"/>
  <c r="BL293" i="1"/>
  <c r="BK293" i="1" s="1"/>
  <c r="BL291" i="1"/>
  <c r="BK291" i="1" s="1"/>
  <c r="BL290" i="1"/>
  <c r="BK290" i="1" s="1"/>
  <c r="BL289" i="1"/>
  <c r="BK289" i="1" s="1"/>
  <c r="BL288" i="1"/>
  <c r="BK288" i="1" s="1"/>
  <c r="BL287" i="1"/>
  <c r="BK287" i="1" s="1"/>
  <c r="BL286" i="1"/>
  <c r="BK286" i="1" s="1"/>
  <c r="BL285" i="1"/>
  <c r="BK285" i="1" s="1"/>
  <c r="BL282" i="1"/>
  <c r="BK282" i="1" s="1"/>
  <c r="BL281" i="1"/>
  <c r="BK281" i="1" s="1"/>
  <c r="BL280" i="1"/>
  <c r="BK280" i="1" s="1"/>
  <c r="BL279" i="1"/>
  <c r="BK279" i="1" s="1"/>
  <c r="BL278" i="1"/>
  <c r="BK278" i="1" s="1"/>
  <c r="BL277" i="1"/>
  <c r="BK277" i="1" s="1"/>
  <c r="BL271" i="1"/>
  <c r="BK271" i="1" s="1"/>
  <c r="BL267" i="1"/>
  <c r="BK267" i="1" s="1"/>
  <c r="BL266" i="1"/>
  <c r="BK266" i="1" s="1"/>
  <c r="BL265" i="1"/>
  <c r="BK265" i="1" s="1"/>
  <c r="BL264" i="1"/>
  <c r="BK264" i="1" s="1"/>
  <c r="BL263" i="1"/>
  <c r="BK263" i="1" s="1"/>
  <c r="BL262" i="1"/>
  <c r="BK262" i="1" s="1"/>
  <c r="BL261" i="1"/>
  <c r="BK261" i="1" s="1"/>
  <c r="BL260" i="1"/>
  <c r="BK260" i="1" s="1"/>
  <c r="BL259" i="1"/>
  <c r="BK259" i="1" s="1"/>
  <c r="BL257" i="1"/>
  <c r="BK257" i="1" s="1"/>
  <c r="BL256" i="1"/>
  <c r="BK256" i="1" s="1"/>
  <c r="BL255" i="1"/>
  <c r="BK255" i="1" s="1"/>
  <c r="BL254" i="1"/>
  <c r="BK254" i="1" s="1"/>
  <c r="BL253" i="1"/>
  <c r="BK253" i="1" s="1"/>
  <c r="BL252" i="1"/>
  <c r="BK252" i="1" s="1"/>
  <c r="BL251" i="1"/>
  <c r="BK251" i="1" s="1"/>
  <c r="BL250" i="1"/>
  <c r="BK250" i="1" s="1"/>
  <c r="BL249" i="1"/>
  <c r="BK249" i="1" s="1"/>
  <c r="BL248" i="1"/>
  <c r="BK248" i="1" s="1"/>
  <c r="BL247" i="1"/>
  <c r="BK247" i="1" s="1"/>
  <c r="BL244" i="1"/>
  <c r="BK244" i="1" s="1"/>
  <c r="BL243" i="1"/>
  <c r="BK243" i="1" s="1"/>
  <c r="BL242" i="1"/>
  <c r="BK242" i="1" s="1"/>
  <c r="BL239" i="1"/>
  <c r="BK239" i="1" s="1"/>
  <c r="BL238" i="1"/>
  <c r="BK238" i="1" s="1"/>
  <c r="BL237" i="1"/>
  <c r="BK237" i="1" s="1"/>
  <c r="BL236" i="1"/>
  <c r="BK236" i="1" s="1"/>
  <c r="BL235" i="1"/>
  <c r="BK235" i="1" s="1"/>
  <c r="BL234" i="1"/>
  <c r="BK234" i="1" s="1"/>
  <c r="BL233" i="1"/>
  <c r="BK233" i="1" s="1"/>
  <c r="BL232" i="1"/>
  <c r="BK232" i="1" s="1"/>
  <c r="BL231" i="1"/>
  <c r="BK231" i="1" s="1"/>
  <c r="BL230" i="1"/>
  <c r="BK230" i="1" s="1"/>
  <c r="BL229" i="1"/>
  <c r="BK229" i="1" s="1"/>
  <c r="BL228" i="1"/>
  <c r="BK228" i="1" s="1"/>
  <c r="BL227" i="1"/>
  <c r="BK227" i="1" s="1"/>
  <c r="BL226" i="1"/>
  <c r="BK226" i="1" s="1"/>
  <c r="BL225" i="1"/>
  <c r="BK225" i="1" s="1"/>
  <c r="BL224" i="1"/>
  <c r="BK224" i="1" s="1"/>
  <c r="BL221" i="1"/>
  <c r="BK221" i="1" s="1"/>
  <c r="BL220" i="1"/>
  <c r="BK220" i="1" s="1"/>
  <c r="BL219" i="1"/>
  <c r="BK219" i="1" s="1"/>
  <c r="BL218" i="1"/>
  <c r="BK218" i="1" s="1"/>
  <c r="BL217" i="1"/>
  <c r="BK217" i="1" s="1"/>
  <c r="BL216" i="1"/>
  <c r="BK216" i="1" s="1"/>
  <c r="BL213" i="1"/>
  <c r="BK213" i="1" s="1"/>
  <c r="BL212" i="1"/>
  <c r="BK212" i="1" s="1"/>
  <c r="BL211" i="1"/>
  <c r="BK211" i="1" s="1"/>
  <c r="BL210" i="1"/>
  <c r="BK210" i="1" s="1"/>
  <c r="BL209" i="1"/>
  <c r="BK209" i="1" s="1"/>
  <c r="BL208" i="1"/>
  <c r="BK208" i="1" s="1"/>
  <c r="BL207" i="1"/>
  <c r="BK207" i="1" s="1"/>
  <c r="BL206" i="1"/>
  <c r="BK206" i="1" s="1"/>
  <c r="BL205" i="1"/>
  <c r="BK205" i="1" s="1"/>
  <c r="BL204" i="1"/>
  <c r="BK204" i="1" s="1"/>
  <c r="BL203" i="1"/>
  <c r="BK203" i="1" s="1"/>
  <c r="BL202" i="1"/>
  <c r="BK202" i="1" s="1"/>
  <c r="BL201" i="1"/>
  <c r="BK201" i="1" s="1"/>
  <c r="BL200" i="1"/>
  <c r="BK200" i="1" s="1"/>
  <c r="BL199" i="1"/>
  <c r="BK199" i="1" s="1"/>
  <c r="BL198" i="1"/>
  <c r="BK198" i="1" s="1"/>
  <c r="BL197" i="1"/>
  <c r="BK197" i="1" s="1"/>
  <c r="BL196" i="1"/>
  <c r="BK196" i="1" s="1"/>
  <c r="BL194" i="1"/>
  <c r="BK194" i="1" s="1"/>
  <c r="BL193" i="1"/>
  <c r="BK193" i="1" s="1"/>
  <c r="BL192" i="1"/>
  <c r="BK192" i="1" s="1"/>
  <c r="BL191" i="1"/>
  <c r="BK191" i="1" s="1"/>
  <c r="BL190" i="1"/>
  <c r="BK190" i="1" s="1"/>
  <c r="BL189" i="1"/>
  <c r="BK189" i="1" s="1"/>
  <c r="BL187" i="1"/>
  <c r="BK187" i="1" s="1"/>
  <c r="BL186" i="1"/>
  <c r="BK186" i="1" s="1"/>
  <c r="BL185" i="1"/>
  <c r="BK185" i="1" s="1"/>
  <c r="BL184" i="1"/>
  <c r="BK184" i="1" s="1"/>
  <c r="BL183" i="1"/>
  <c r="BK183" i="1" s="1"/>
  <c r="BL182" i="1"/>
  <c r="BK182" i="1" s="1"/>
  <c r="BL181" i="1"/>
  <c r="BK181" i="1" s="1"/>
  <c r="BL180" i="1"/>
  <c r="BK180" i="1" s="1"/>
  <c r="BL179" i="1"/>
  <c r="BK179" i="1" s="1"/>
  <c r="BL178" i="1"/>
  <c r="BK178" i="1" s="1"/>
  <c r="BL177" i="1"/>
  <c r="BK177" i="1" s="1"/>
  <c r="BL176" i="1"/>
  <c r="BK176" i="1" s="1"/>
  <c r="BL174" i="1"/>
  <c r="BK174" i="1" s="1"/>
  <c r="BL173" i="1"/>
  <c r="BK173" i="1" s="1"/>
  <c r="BL172" i="1"/>
  <c r="BK172" i="1" s="1"/>
  <c r="BL171" i="1"/>
  <c r="BK171" i="1" s="1"/>
  <c r="BL169" i="1"/>
  <c r="BK169" i="1" s="1"/>
  <c r="BL168" i="1"/>
  <c r="BK168" i="1" s="1"/>
  <c r="BL167" i="1"/>
  <c r="BK167" i="1" s="1"/>
  <c r="BL166" i="1"/>
  <c r="BK166" i="1" s="1"/>
  <c r="BL165" i="1"/>
  <c r="BK165" i="1" s="1"/>
  <c r="BL164" i="1"/>
  <c r="BK164" i="1" s="1"/>
  <c r="BL162" i="1"/>
  <c r="BK162" i="1" s="1"/>
  <c r="BL161" i="1"/>
  <c r="BK161" i="1" s="1"/>
  <c r="BL154" i="1"/>
  <c r="BK154" i="1" s="1"/>
  <c r="BL153" i="1"/>
  <c r="BK153" i="1" s="1"/>
  <c r="BL152" i="1"/>
  <c r="BK152" i="1" s="1"/>
  <c r="BL151" i="1"/>
  <c r="BK151" i="1" s="1"/>
  <c r="BL150" i="1"/>
  <c r="BK150" i="1" s="1"/>
  <c r="BL149" i="1"/>
  <c r="BK149" i="1" s="1"/>
  <c r="BL148" i="1"/>
  <c r="BK148" i="1" s="1"/>
  <c r="BL147" i="1"/>
  <c r="BK147" i="1" s="1"/>
  <c r="BL146" i="1"/>
  <c r="BK146" i="1" s="1"/>
  <c r="BL145" i="1"/>
  <c r="BK145" i="1" s="1"/>
  <c r="BL144" i="1"/>
  <c r="BK144" i="1" s="1"/>
  <c r="BL143" i="1"/>
  <c r="BK143" i="1" s="1"/>
  <c r="BL142" i="1"/>
  <c r="BK142" i="1" s="1"/>
  <c r="BL141" i="1"/>
  <c r="BK141" i="1" s="1"/>
  <c r="BL140" i="1"/>
  <c r="BK140" i="1" s="1"/>
  <c r="BL139" i="1"/>
  <c r="BK139" i="1" s="1"/>
  <c r="BL138" i="1"/>
  <c r="BK138" i="1" s="1"/>
  <c r="BL137" i="1"/>
  <c r="BK137" i="1" s="1"/>
  <c r="BL134" i="1"/>
  <c r="BK134" i="1" s="1"/>
  <c r="BL130" i="1"/>
  <c r="BK130" i="1" s="1"/>
  <c r="BL129" i="1"/>
  <c r="BK129" i="1" s="1"/>
  <c r="BL127" i="1"/>
  <c r="BK127" i="1" s="1"/>
  <c r="BL126" i="1"/>
  <c r="BK126" i="1" s="1"/>
  <c r="BL125" i="1"/>
  <c r="BK125" i="1" s="1"/>
  <c r="BL124" i="1"/>
  <c r="BK124" i="1" s="1"/>
  <c r="BL123" i="1"/>
  <c r="BK123" i="1" s="1"/>
  <c r="BL122" i="1"/>
  <c r="BK122" i="1" s="1"/>
  <c r="BL121" i="1"/>
  <c r="BK121" i="1" s="1"/>
  <c r="BL120" i="1"/>
  <c r="BK120" i="1" s="1"/>
  <c r="BL118" i="1"/>
  <c r="BK118" i="1" s="1"/>
  <c r="BL117" i="1"/>
  <c r="BK117" i="1" s="1"/>
  <c r="BL116" i="1"/>
  <c r="BK116" i="1" s="1"/>
  <c r="BL115" i="1"/>
  <c r="BK115" i="1" s="1"/>
  <c r="BL114" i="1"/>
  <c r="BK114" i="1" s="1"/>
  <c r="BL113" i="1"/>
  <c r="BK113" i="1" s="1"/>
  <c r="BL112" i="1"/>
  <c r="BK112" i="1" s="1"/>
  <c r="BL111" i="1"/>
  <c r="BK111" i="1" s="1"/>
  <c r="BL110" i="1"/>
  <c r="BK110" i="1" s="1"/>
  <c r="BL105" i="1"/>
  <c r="BK105" i="1" s="1"/>
  <c r="BL104" i="1"/>
  <c r="BK104" i="1" s="1"/>
  <c r="BL103" i="1"/>
  <c r="BK103" i="1" s="1"/>
  <c r="BL102" i="1"/>
  <c r="BK102" i="1" s="1"/>
  <c r="BL101" i="1"/>
  <c r="BK101" i="1" s="1"/>
  <c r="BL100" i="1"/>
  <c r="BK100" i="1" s="1"/>
  <c r="BL99" i="1"/>
  <c r="BK99" i="1" s="1"/>
  <c r="BL98" i="1"/>
  <c r="BK98" i="1" s="1"/>
  <c r="BL97" i="1"/>
  <c r="BK97" i="1" s="1"/>
  <c r="BL96" i="1"/>
  <c r="BK96" i="1" s="1"/>
  <c r="BL95" i="1"/>
  <c r="BK95" i="1" s="1"/>
  <c r="BL92" i="1"/>
  <c r="BK92" i="1" s="1"/>
  <c r="BL91" i="1"/>
  <c r="BK91" i="1" s="1"/>
  <c r="BL90" i="1"/>
  <c r="BK90" i="1" s="1"/>
  <c r="BL89" i="1"/>
  <c r="BK89" i="1" s="1"/>
  <c r="BL88" i="1"/>
  <c r="BK88" i="1" s="1"/>
  <c r="BL85" i="1"/>
  <c r="BK85" i="1" s="1"/>
  <c r="BL84" i="1"/>
  <c r="BK84" i="1" s="1"/>
  <c r="BL82" i="1"/>
  <c r="BK82" i="1" s="1"/>
  <c r="BL81" i="1"/>
  <c r="BK81" i="1" s="1"/>
  <c r="BL80" i="1"/>
  <c r="BK80" i="1" s="1"/>
  <c r="BL79" i="1"/>
  <c r="BK79" i="1" s="1"/>
  <c r="BL78" i="1"/>
  <c r="BK78" i="1" s="1"/>
  <c r="BL77" i="1"/>
  <c r="BK77" i="1" s="1"/>
  <c r="BL76" i="1"/>
  <c r="BK76" i="1" s="1"/>
  <c r="BL73" i="1"/>
  <c r="BK73" i="1" s="1"/>
  <c r="BL72" i="1"/>
  <c r="BK72" i="1" s="1"/>
  <c r="BL70" i="1"/>
  <c r="BK70" i="1" s="1"/>
  <c r="BL69" i="1"/>
  <c r="BK69" i="1" s="1"/>
  <c r="BL68" i="1"/>
  <c r="BK68" i="1" s="1"/>
  <c r="BL67" i="1"/>
  <c r="BK67" i="1" s="1"/>
  <c r="BL66" i="1"/>
  <c r="BK66" i="1" s="1"/>
  <c r="BL61" i="1"/>
  <c r="BK61" i="1" s="1"/>
  <c r="BL60" i="1"/>
  <c r="BK60" i="1" s="1"/>
  <c r="BL59" i="1"/>
  <c r="BK59" i="1" s="1"/>
  <c r="BL58" i="1"/>
  <c r="BK58" i="1" s="1"/>
  <c r="BL57" i="1"/>
  <c r="BK57" i="1" s="1"/>
  <c r="BL56" i="1"/>
  <c r="BK56" i="1" s="1"/>
  <c r="BL51" i="1"/>
  <c r="BK51" i="1" s="1"/>
  <c r="BL50" i="1"/>
  <c r="BK50" i="1" s="1"/>
  <c r="BL49" i="1"/>
  <c r="BK49" i="1" s="1"/>
  <c r="BL48" i="1"/>
  <c r="BK48" i="1" s="1"/>
  <c r="BL47" i="1"/>
  <c r="BK47" i="1" s="1"/>
  <c r="BL46" i="1"/>
  <c r="BK46" i="1" s="1"/>
  <c r="BL45" i="1"/>
  <c r="BK45" i="1" s="1"/>
  <c r="BL44" i="1"/>
  <c r="BK44" i="1" s="1"/>
  <c r="BL43" i="1"/>
  <c r="BK43" i="1" s="1"/>
  <c r="BL42" i="1"/>
  <c r="BK42" i="1" s="1"/>
  <c r="BL41" i="1"/>
  <c r="BK41" i="1" s="1"/>
  <c r="BL40" i="1"/>
  <c r="BK40" i="1" s="1"/>
  <c r="BL39" i="1"/>
  <c r="BK39" i="1" s="1"/>
  <c r="BL38" i="1"/>
  <c r="BK38" i="1" s="1"/>
  <c r="BL37" i="1"/>
  <c r="BK37" i="1" s="1"/>
  <c r="BL34" i="1"/>
  <c r="BK34" i="1" s="1"/>
  <c r="BL33" i="1"/>
  <c r="BK33" i="1" s="1"/>
  <c r="BL31" i="1"/>
  <c r="BK31" i="1" s="1"/>
  <c r="BL30" i="1"/>
  <c r="BK30" i="1" s="1"/>
  <c r="BL29" i="1"/>
  <c r="BK29" i="1" s="1"/>
  <c r="BL25" i="1"/>
  <c r="BK25" i="1" s="1"/>
  <c r="BL24" i="1"/>
  <c r="BK24" i="1" s="1"/>
  <c r="BL23" i="1"/>
  <c r="BK23" i="1" s="1"/>
  <c r="BL22" i="1"/>
  <c r="BK22" i="1" s="1"/>
  <c r="BL21" i="1"/>
  <c r="BK21" i="1" s="1"/>
  <c r="BL18" i="1"/>
  <c r="BK18" i="1" s="1"/>
  <c r="BL17" i="1"/>
  <c r="BK17" i="1" s="1"/>
  <c r="BL16" i="1"/>
  <c r="BK16" i="1" s="1"/>
  <c r="BL15" i="1"/>
  <c r="BK15" i="1" s="1"/>
  <c r="BL13" i="1"/>
  <c r="BK13" i="1" s="1"/>
  <c r="BD324" i="1"/>
  <c r="BC324" i="1" s="1"/>
  <c r="BC323" i="1" s="1"/>
  <c r="BD321" i="1"/>
  <c r="BD319" i="1"/>
  <c r="BC319" i="1" s="1"/>
  <c r="BD318" i="1"/>
  <c r="BC318" i="1" s="1"/>
  <c r="BD317" i="1"/>
  <c r="BC317" i="1" s="1"/>
  <c r="BD315" i="1"/>
  <c r="BC315" i="1" s="1"/>
  <c r="BD314" i="1"/>
  <c r="BC314" i="1" s="1"/>
  <c r="BD313" i="1"/>
  <c r="BC313" i="1" s="1"/>
  <c r="BD311" i="1"/>
  <c r="BC311" i="1" s="1"/>
  <c r="BD310" i="1"/>
  <c r="BC310" i="1" s="1"/>
  <c r="BD309" i="1"/>
  <c r="BC309" i="1" s="1"/>
  <c r="BD307" i="1"/>
  <c r="BC307" i="1" s="1"/>
  <c r="BD306" i="1"/>
  <c r="BC306" i="1" s="1"/>
  <c r="BD305" i="1"/>
  <c r="BC305" i="1" s="1"/>
  <c r="BD304" i="1"/>
  <c r="BC304" i="1" s="1"/>
  <c r="BD302" i="1"/>
  <c r="BC302" i="1" s="1"/>
  <c r="BC301" i="1" s="1"/>
  <c r="BC298" i="1"/>
  <c r="BC297" i="1"/>
  <c r="BC296" i="1"/>
  <c r="BC295" i="1"/>
  <c r="BC294" i="1"/>
  <c r="BC293" i="1"/>
  <c r="BC291" i="1"/>
  <c r="BC290" i="1"/>
  <c r="BC289" i="1"/>
  <c r="BC288" i="1"/>
  <c r="BC287" i="1"/>
  <c r="BC286" i="1"/>
  <c r="BC285" i="1"/>
  <c r="BC282" i="1"/>
  <c r="BC281" i="1"/>
  <c r="BC280" i="1"/>
  <c r="BC279" i="1"/>
  <c r="BC278" i="1"/>
  <c r="BC271" i="1"/>
  <c r="BD267" i="1"/>
  <c r="BC267" i="1" s="1"/>
  <c r="BD266" i="1"/>
  <c r="BC266" i="1" s="1"/>
  <c r="BD265" i="1"/>
  <c r="BC265" i="1" s="1"/>
  <c r="BD264" i="1"/>
  <c r="BC264" i="1" s="1"/>
  <c r="BD263" i="1"/>
  <c r="BC263" i="1" s="1"/>
  <c r="BD262" i="1"/>
  <c r="BC262" i="1" s="1"/>
  <c r="BD261" i="1"/>
  <c r="BC261" i="1" s="1"/>
  <c r="BD260" i="1"/>
  <c r="BC260" i="1" s="1"/>
  <c r="BD259" i="1"/>
  <c r="BC259" i="1" s="1"/>
  <c r="BD257" i="1"/>
  <c r="BC257" i="1" s="1"/>
  <c r="BD256" i="1"/>
  <c r="BC256" i="1" s="1"/>
  <c r="BD255" i="1"/>
  <c r="BC255" i="1" s="1"/>
  <c r="BD254" i="1"/>
  <c r="BC254" i="1" s="1"/>
  <c r="BD253" i="1"/>
  <c r="BC253" i="1" s="1"/>
  <c r="BD252" i="1"/>
  <c r="BC252" i="1" s="1"/>
  <c r="BD251" i="1"/>
  <c r="BC251" i="1" s="1"/>
  <c r="BD250" i="1"/>
  <c r="BC250" i="1" s="1"/>
  <c r="BD249" i="1"/>
  <c r="BC249" i="1" s="1"/>
  <c r="BD248" i="1"/>
  <c r="BC248" i="1" s="1"/>
  <c r="BD247" i="1"/>
  <c r="BC247" i="1" s="1"/>
  <c r="BD244" i="1"/>
  <c r="BC244" i="1" s="1"/>
  <c r="BD243" i="1"/>
  <c r="BC243" i="1" s="1"/>
  <c r="BD242" i="1"/>
  <c r="BC242" i="1" s="1"/>
  <c r="BD239" i="1"/>
  <c r="BC239" i="1" s="1"/>
  <c r="BD238" i="1"/>
  <c r="BC238" i="1" s="1"/>
  <c r="BD237" i="1"/>
  <c r="BC237" i="1" s="1"/>
  <c r="BD236" i="1"/>
  <c r="BC236" i="1" s="1"/>
  <c r="BD235" i="1"/>
  <c r="BC235" i="1" s="1"/>
  <c r="BD234" i="1"/>
  <c r="BC234" i="1" s="1"/>
  <c r="BD233" i="1"/>
  <c r="BC233" i="1" s="1"/>
  <c r="BD232" i="1"/>
  <c r="BC232" i="1" s="1"/>
  <c r="BD231" i="1"/>
  <c r="BC231" i="1" s="1"/>
  <c r="BD230" i="1"/>
  <c r="BC230" i="1" s="1"/>
  <c r="BD229" i="1"/>
  <c r="BC229" i="1" s="1"/>
  <c r="BD228" i="1"/>
  <c r="BC228" i="1" s="1"/>
  <c r="BD227" i="1"/>
  <c r="BC227" i="1" s="1"/>
  <c r="BD226" i="1"/>
  <c r="BC226" i="1" s="1"/>
  <c r="BD225" i="1"/>
  <c r="BC225" i="1" s="1"/>
  <c r="BD224" i="1"/>
  <c r="BC224" i="1" s="1"/>
  <c r="BD221" i="1"/>
  <c r="BC221" i="1" s="1"/>
  <c r="BD220" i="1"/>
  <c r="BC220" i="1" s="1"/>
  <c r="BD219" i="1"/>
  <c r="BC219" i="1" s="1"/>
  <c r="BD218" i="1"/>
  <c r="BC218" i="1" s="1"/>
  <c r="BD217" i="1"/>
  <c r="BC217" i="1" s="1"/>
  <c r="BD216" i="1"/>
  <c r="BC216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4" i="1"/>
  <c r="BC194" i="1" s="1"/>
  <c r="BD193" i="1"/>
  <c r="BC193" i="1" s="1"/>
  <c r="BD192" i="1"/>
  <c r="BC192" i="1" s="1"/>
  <c r="BD191" i="1"/>
  <c r="BC191" i="1" s="1"/>
  <c r="BD190" i="1"/>
  <c r="BC190" i="1" s="1"/>
  <c r="BD189" i="1"/>
  <c r="BC189" i="1" s="1"/>
  <c r="BD187" i="1"/>
  <c r="BC187" i="1" s="1"/>
  <c r="BD186" i="1"/>
  <c r="BC186" i="1" s="1"/>
  <c r="BD185" i="1"/>
  <c r="BC185" i="1" s="1"/>
  <c r="BD184" i="1"/>
  <c r="BC184" i="1" s="1"/>
  <c r="BD183" i="1"/>
  <c r="BC183" i="1" s="1"/>
  <c r="BD182" i="1"/>
  <c r="BC182" i="1" s="1"/>
  <c r="BD181" i="1"/>
  <c r="BC181" i="1" s="1"/>
  <c r="BD180" i="1"/>
  <c r="BC180" i="1" s="1"/>
  <c r="BD179" i="1"/>
  <c r="BC179" i="1" s="1"/>
  <c r="BD178" i="1"/>
  <c r="BC178" i="1" s="1"/>
  <c r="BD177" i="1"/>
  <c r="BC177" i="1" s="1"/>
  <c r="BD176" i="1"/>
  <c r="BC176" i="1" s="1"/>
  <c r="BD174" i="1"/>
  <c r="BC174" i="1" s="1"/>
  <c r="BD173" i="1"/>
  <c r="BC173" i="1" s="1"/>
  <c r="BD172" i="1"/>
  <c r="BC172" i="1" s="1"/>
  <c r="BD171" i="1"/>
  <c r="BC171" i="1" s="1"/>
  <c r="BD169" i="1"/>
  <c r="BC169" i="1" s="1"/>
  <c r="BD168" i="1"/>
  <c r="BC168" i="1" s="1"/>
  <c r="BD167" i="1"/>
  <c r="BC167" i="1" s="1"/>
  <c r="BD166" i="1"/>
  <c r="BC166" i="1" s="1"/>
  <c r="BD165" i="1"/>
  <c r="BC165" i="1" s="1"/>
  <c r="BD164" i="1"/>
  <c r="BC164" i="1" s="1"/>
  <c r="BD162" i="1"/>
  <c r="BC162" i="1" s="1"/>
  <c r="BD161" i="1"/>
  <c r="BC161" i="1" s="1"/>
  <c r="BD154" i="1"/>
  <c r="BC154" i="1" s="1"/>
  <c r="BD153" i="1"/>
  <c r="BC153" i="1" s="1"/>
  <c r="BD152" i="1"/>
  <c r="BC152" i="1" s="1"/>
  <c r="BD151" i="1"/>
  <c r="BC151" i="1" s="1"/>
  <c r="BD150" i="1"/>
  <c r="BC150" i="1" s="1"/>
  <c r="BD149" i="1"/>
  <c r="BC149" i="1" s="1"/>
  <c r="BD148" i="1"/>
  <c r="BC148" i="1" s="1"/>
  <c r="BD147" i="1"/>
  <c r="BC147" i="1" s="1"/>
  <c r="BD146" i="1"/>
  <c r="BC146" i="1" s="1"/>
  <c r="BD145" i="1"/>
  <c r="BC145" i="1" s="1"/>
  <c r="BD144" i="1"/>
  <c r="BC144" i="1" s="1"/>
  <c r="BD143" i="1"/>
  <c r="BC143" i="1" s="1"/>
  <c r="BD142" i="1"/>
  <c r="BC142" i="1" s="1"/>
  <c r="BD141" i="1"/>
  <c r="BC141" i="1" s="1"/>
  <c r="BD140" i="1"/>
  <c r="BC140" i="1" s="1"/>
  <c r="BD139" i="1"/>
  <c r="BC139" i="1" s="1"/>
  <c r="BD138" i="1"/>
  <c r="BC138" i="1" s="1"/>
  <c r="BD137" i="1"/>
  <c r="BC137" i="1" s="1"/>
  <c r="BD134" i="1"/>
  <c r="BC134" i="1" s="1"/>
  <c r="BD130" i="1"/>
  <c r="BC130" i="1" s="1"/>
  <c r="BD129" i="1"/>
  <c r="BC129" i="1" s="1"/>
  <c r="BD127" i="1"/>
  <c r="BC127" i="1" s="1"/>
  <c r="BD126" i="1"/>
  <c r="BC126" i="1" s="1"/>
  <c r="BD125" i="1"/>
  <c r="BC125" i="1" s="1"/>
  <c r="BD124" i="1"/>
  <c r="BC124" i="1" s="1"/>
  <c r="BD123" i="1"/>
  <c r="BC123" i="1" s="1"/>
  <c r="BD122" i="1"/>
  <c r="BC122" i="1" s="1"/>
  <c r="BD121" i="1"/>
  <c r="BC121" i="1" s="1"/>
  <c r="BD120" i="1"/>
  <c r="BC120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1" i="1"/>
  <c r="BC111" i="1" s="1"/>
  <c r="BD110" i="1"/>
  <c r="BC110" i="1" s="1"/>
  <c r="BD105" i="1"/>
  <c r="BC105" i="1" s="1"/>
  <c r="BD104" i="1"/>
  <c r="BC104" i="1" s="1"/>
  <c r="BD103" i="1"/>
  <c r="BC103" i="1" s="1"/>
  <c r="BD102" i="1"/>
  <c r="BC102" i="1" s="1"/>
  <c r="BD101" i="1"/>
  <c r="BC101" i="1" s="1"/>
  <c r="BD100" i="1"/>
  <c r="BC100" i="1" s="1"/>
  <c r="BD99" i="1"/>
  <c r="BC99" i="1" s="1"/>
  <c r="BD98" i="1"/>
  <c r="BC98" i="1" s="1"/>
  <c r="BD97" i="1"/>
  <c r="BC97" i="1" s="1"/>
  <c r="BD96" i="1"/>
  <c r="BC96" i="1" s="1"/>
  <c r="BD95" i="1"/>
  <c r="BC95" i="1" s="1"/>
  <c r="BD92" i="1"/>
  <c r="BC92" i="1" s="1"/>
  <c r="BD91" i="1"/>
  <c r="BC91" i="1" s="1"/>
  <c r="BD90" i="1"/>
  <c r="BC90" i="1" s="1"/>
  <c r="BD89" i="1"/>
  <c r="BC89" i="1" s="1"/>
  <c r="BD88" i="1"/>
  <c r="BC88" i="1" s="1"/>
  <c r="BD85" i="1"/>
  <c r="BC85" i="1" s="1"/>
  <c r="BD84" i="1"/>
  <c r="BC84" i="1" s="1"/>
  <c r="BD82" i="1"/>
  <c r="BC82" i="1" s="1"/>
  <c r="BD81" i="1"/>
  <c r="BC81" i="1" s="1"/>
  <c r="BD80" i="1"/>
  <c r="BC80" i="1" s="1"/>
  <c r="BD79" i="1"/>
  <c r="BC79" i="1" s="1"/>
  <c r="BD78" i="1"/>
  <c r="BC78" i="1" s="1"/>
  <c r="BD77" i="1"/>
  <c r="BC77" i="1" s="1"/>
  <c r="BD76" i="1"/>
  <c r="BC76" i="1" s="1"/>
  <c r="BD73" i="1"/>
  <c r="BC73" i="1" s="1"/>
  <c r="BD72" i="1"/>
  <c r="BC72" i="1" s="1"/>
  <c r="BD70" i="1"/>
  <c r="BC70" i="1" s="1"/>
  <c r="BD69" i="1"/>
  <c r="BC69" i="1" s="1"/>
  <c r="BD68" i="1"/>
  <c r="BC68" i="1" s="1"/>
  <c r="BD67" i="1"/>
  <c r="BC67" i="1" s="1"/>
  <c r="BD66" i="1"/>
  <c r="BC66" i="1" s="1"/>
  <c r="BD61" i="1"/>
  <c r="BC61" i="1" s="1"/>
  <c r="BD60" i="1"/>
  <c r="BC60" i="1" s="1"/>
  <c r="BD59" i="1"/>
  <c r="BC59" i="1" s="1"/>
  <c r="BD58" i="1"/>
  <c r="BC58" i="1" s="1"/>
  <c r="BD57" i="1"/>
  <c r="BC57" i="1" s="1"/>
  <c r="BD56" i="1"/>
  <c r="BC56" i="1" s="1"/>
  <c r="BD51" i="1"/>
  <c r="BC51" i="1" s="1"/>
  <c r="BD50" i="1"/>
  <c r="BC50" i="1" s="1"/>
  <c r="BD49" i="1"/>
  <c r="BC49" i="1" s="1"/>
  <c r="BD48" i="1"/>
  <c r="BC48" i="1" s="1"/>
  <c r="BD47" i="1"/>
  <c r="BC47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C38" i="1" s="1"/>
  <c r="BD37" i="1"/>
  <c r="BC37" i="1" s="1"/>
  <c r="BD34" i="1"/>
  <c r="BC34" i="1" s="1"/>
  <c r="BD33" i="1"/>
  <c r="BC33" i="1" s="1"/>
  <c r="BD31" i="1"/>
  <c r="BC31" i="1" s="1"/>
  <c r="BD30" i="1"/>
  <c r="BC30" i="1" s="1"/>
  <c r="BD29" i="1"/>
  <c r="BC29" i="1" s="1"/>
  <c r="BD25" i="1"/>
  <c r="BC25" i="1" s="1"/>
  <c r="BD24" i="1"/>
  <c r="BC24" i="1" s="1"/>
  <c r="BD23" i="1"/>
  <c r="BC23" i="1" s="1"/>
  <c r="BD22" i="1"/>
  <c r="BC22" i="1" s="1"/>
  <c r="BD21" i="1"/>
  <c r="BC21" i="1" s="1"/>
  <c r="BD18" i="1"/>
  <c r="BC18" i="1" s="1"/>
  <c r="BD17" i="1"/>
  <c r="BC17" i="1" s="1"/>
  <c r="BD16" i="1"/>
  <c r="BC16" i="1" s="1"/>
  <c r="BD15" i="1"/>
  <c r="BC15" i="1" s="1"/>
  <c r="BD14" i="1"/>
  <c r="BC14" i="1" s="1"/>
  <c r="BD13" i="1"/>
  <c r="BC13" i="1" s="1"/>
  <c r="AQ324" i="1"/>
  <c r="AP324" i="1" s="1"/>
  <c r="AP323" i="1" s="1"/>
  <c r="AQ321" i="1"/>
  <c r="AQ319" i="1"/>
  <c r="AP319" i="1" s="1"/>
  <c r="AQ318" i="1"/>
  <c r="AP318" i="1" s="1"/>
  <c r="AQ317" i="1"/>
  <c r="AP317" i="1" s="1"/>
  <c r="AQ315" i="1"/>
  <c r="AP315" i="1" s="1"/>
  <c r="AQ314" i="1"/>
  <c r="AP314" i="1" s="1"/>
  <c r="AQ313" i="1"/>
  <c r="AP313" i="1" s="1"/>
  <c r="AQ311" i="1"/>
  <c r="AP311" i="1" s="1"/>
  <c r="AQ310" i="1"/>
  <c r="AP310" i="1" s="1"/>
  <c r="AQ309" i="1"/>
  <c r="AP309" i="1" s="1"/>
  <c r="AQ307" i="1"/>
  <c r="AP307" i="1" s="1"/>
  <c r="AQ306" i="1"/>
  <c r="AP306" i="1" s="1"/>
  <c r="AQ305" i="1"/>
  <c r="AP305" i="1" s="1"/>
  <c r="AQ304" i="1"/>
  <c r="AP304" i="1" s="1"/>
  <c r="AQ302" i="1"/>
  <c r="AP302" i="1" s="1"/>
  <c r="AP301" i="1" s="1"/>
  <c r="AQ299" i="1"/>
  <c r="AP299" i="1" s="1"/>
  <c r="AQ298" i="1"/>
  <c r="AP298" i="1" s="1"/>
  <c r="AQ297" i="1"/>
  <c r="AP297" i="1" s="1"/>
  <c r="AQ296" i="1"/>
  <c r="AP296" i="1" s="1"/>
  <c r="AQ295" i="1"/>
  <c r="AP295" i="1" s="1"/>
  <c r="AQ294" i="1"/>
  <c r="AP294" i="1" s="1"/>
  <c r="AQ293" i="1"/>
  <c r="AP293" i="1" s="1"/>
  <c r="AQ291" i="1"/>
  <c r="AP291" i="1" s="1"/>
  <c r="AQ290" i="1"/>
  <c r="AP290" i="1" s="1"/>
  <c r="AQ289" i="1"/>
  <c r="AP289" i="1" s="1"/>
  <c r="AQ288" i="1"/>
  <c r="AP288" i="1" s="1"/>
  <c r="AQ287" i="1"/>
  <c r="AP287" i="1" s="1"/>
  <c r="AQ286" i="1"/>
  <c r="AP286" i="1" s="1"/>
  <c r="AQ285" i="1"/>
  <c r="AP285" i="1" s="1"/>
  <c r="AQ282" i="1"/>
  <c r="AP282" i="1" s="1"/>
  <c r="AQ281" i="1"/>
  <c r="AP281" i="1" s="1"/>
  <c r="AQ280" i="1"/>
  <c r="AP280" i="1" s="1"/>
  <c r="AQ279" i="1"/>
  <c r="AP279" i="1" s="1"/>
  <c r="AQ278" i="1"/>
  <c r="AP278" i="1" s="1"/>
  <c r="AQ277" i="1"/>
  <c r="AP277" i="1" s="1"/>
  <c r="AQ272" i="1"/>
  <c r="AP272" i="1" s="1"/>
  <c r="AQ271" i="1"/>
  <c r="AP271" i="1" s="1"/>
  <c r="AQ267" i="1"/>
  <c r="AP267" i="1" s="1"/>
  <c r="AQ266" i="1"/>
  <c r="AP266" i="1" s="1"/>
  <c r="AQ265" i="1"/>
  <c r="AP265" i="1" s="1"/>
  <c r="AQ264" i="1"/>
  <c r="AP264" i="1" s="1"/>
  <c r="AQ263" i="1"/>
  <c r="AP263" i="1" s="1"/>
  <c r="AQ262" i="1"/>
  <c r="AP262" i="1" s="1"/>
  <c r="AQ261" i="1"/>
  <c r="AP261" i="1" s="1"/>
  <c r="AQ260" i="1"/>
  <c r="AP260" i="1" s="1"/>
  <c r="AQ259" i="1"/>
  <c r="AP259" i="1" s="1"/>
  <c r="AQ257" i="1"/>
  <c r="AP257" i="1" s="1"/>
  <c r="AQ256" i="1"/>
  <c r="AP256" i="1" s="1"/>
  <c r="AQ255" i="1"/>
  <c r="AP255" i="1" s="1"/>
  <c r="AQ254" i="1"/>
  <c r="AP254" i="1" s="1"/>
  <c r="AQ253" i="1"/>
  <c r="AP253" i="1" s="1"/>
  <c r="AQ252" i="1"/>
  <c r="AP252" i="1" s="1"/>
  <c r="AQ251" i="1"/>
  <c r="AP251" i="1" s="1"/>
  <c r="AQ250" i="1"/>
  <c r="AP250" i="1" s="1"/>
  <c r="AQ249" i="1"/>
  <c r="AP249" i="1" s="1"/>
  <c r="AQ248" i="1"/>
  <c r="AP248" i="1" s="1"/>
  <c r="AQ247" i="1"/>
  <c r="AP247" i="1" s="1"/>
  <c r="AQ244" i="1"/>
  <c r="AP244" i="1" s="1"/>
  <c r="AQ243" i="1"/>
  <c r="AP243" i="1" s="1"/>
  <c r="AQ242" i="1"/>
  <c r="AP242" i="1" s="1"/>
  <c r="AQ239" i="1"/>
  <c r="AP239" i="1" s="1"/>
  <c r="AQ238" i="1"/>
  <c r="AP238" i="1" s="1"/>
  <c r="AQ237" i="1"/>
  <c r="AP237" i="1" s="1"/>
  <c r="AQ236" i="1"/>
  <c r="AP236" i="1" s="1"/>
  <c r="AQ235" i="1"/>
  <c r="AP235" i="1" s="1"/>
  <c r="AQ234" i="1"/>
  <c r="AP234" i="1" s="1"/>
  <c r="AQ233" i="1"/>
  <c r="AP233" i="1" s="1"/>
  <c r="AQ232" i="1"/>
  <c r="AP232" i="1" s="1"/>
  <c r="AQ231" i="1"/>
  <c r="AP231" i="1" s="1"/>
  <c r="AQ230" i="1"/>
  <c r="AP230" i="1" s="1"/>
  <c r="AQ229" i="1"/>
  <c r="AP229" i="1" s="1"/>
  <c r="AQ228" i="1"/>
  <c r="AP228" i="1" s="1"/>
  <c r="AQ227" i="1"/>
  <c r="AP227" i="1" s="1"/>
  <c r="AQ226" i="1"/>
  <c r="AP226" i="1" s="1"/>
  <c r="AQ225" i="1"/>
  <c r="AP225" i="1" s="1"/>
  <c r="AQ224" i="1"/>
  <c r="AP224" i="1" s="1"/>
  <c r="AQ221" i="1"/>
  <c r="AP221" i="1" s="1"/>
  <c r="AQ220" i="1"/>
  <c r="AP220" i="1" s="1"/>
  <c r="AQ219" i="1"/>
  <c r="AP219" i="1" s="1"/>
  <c r="AQ218" i="1"/>
  <c r="AP218" i="1" s="1"/>
  <c r="AQ217" i="1"/>
  <c r="AP217" i="1" s="1"/>
  <c r="AQ216" i="1"/>
  <c r="AP216" i="1" s="1"/>
  <c r="AQ213" i="1"/>
  <c r="AP213" i="1" s="1"/>
  <c r="AQ212" i="1"/>
  <c r="AP212" i="1" s="1"/>
  <c r="AQ211" i="1"/>
  <c r="AP211" i="1" s="1"/>
  <c r="AQ210" i="1"/>
  <c r="AP210" i="1" s="1"/>
  <c r="AQ209" i="1"/>
  <c r="AP209" i="1" s="1"/>
  <c r="AQ208" i="1"/>
  <c r="AP208" i="1" s="1"/>
  <c r="AQ207" i="1"/>
  <c r="AP207" i="1" s="1"/>
  <c r="AQ206" i="1"/>
  <c r="AP206" i="1" s="1"/>
  <c r="AQ205" i="1"/>
  <c r="AP205" i="1" s="1"/>
  <c r="AQ204" i="1"/>
  <c r="AP204" i="1" s="1"/>
  <c r="AQ203" i="1"/>
  <c r="AP203" i="1" s="1"/>
  <c r="AQ202" i="1"/>
  <c r="AP202" i="1" s="1"/>
  <c r="AQ201" i="1"/>
  <c r="AP201" i="1" s="1"/>
  <c r="AQ200" i="1"/>
  <c r="AP200" i="1" s="1"/>
  <c r="AQ199" i="1"/>
  <c r="AP199" i="1" s="1"/>
  <c r="AQ198" i="1"/>
  <c r="AP198" i="1" s="1"/>
  <c r="AQ197" i="1"/>
  <c r="AP197" i="1" s="1"/>
  <c r="AQ196" i="1"/>
  <c r="AP196" i="1" s="1"/>
  <c r="AQ194" i="1"/>
  <c r="AP194" i="1" s="1"/>
  <c r="AQ193" i="1"/>
  <c r="AP193" i="1" s="1"/>
  <c r="AQ192" i="1"/>
  <c r="AP192" i="1" s="1"/>
  <c r="AQ191" i="1"/>
  <c r="AP191" i="1" s="1"/>
  <c r="AQ190" i="1"/>
  <c r="AP190" i="1" s="1"/>
  <c r="AQ189" i="1"/>
  <c r="AP189" i="1" s="1"/>
  <c r="AQ187" i="1"/>
  <c r="AP187" i="1" s="1"/>
  <c r="AQ186" i="1"/>
  <c r="AP186" i="1" s="1"/>
  <c r="AQ185" i="1"/>
  <c r="AP185" i="1" s="1"/>
  <c r="AQ184" i="1"/>
  <c r="AP184" i="1" s="1"/>
  <c r="AQ183" i="1"/>
  <c r="AP183" i="1" s="1"/>
  <c r="AQ182" i="1"/>
  <c r="AP182" i="1" s="1"/>
  <c r="AQ181" i="1"/>
  <c r="AP181" i="1" s="1"/>
  <c r="AQ180" i="1"/>
  <c r="AP180" i="1" s="1"/>
  <c r="AQ179" i="1"/>
  <c r="AP179" i="1" s="1"/>
  <c r="AQ178" i="1"/>
  <c r="AP178" i="1" s="1"/>
  <c r="AQ177" i="1"/>
  <c r="AP177" i="1" s="1"/>
  <c r="AQ176" i="1"/>
  <c r="AP176" i="1" s="1"/>
  <c r="AQ174" i="1"/>
  <c r="AP174" i="1" s="1"/>
  <c r="AQ173" i="1"/>
  <c r="AP173" i="1" s="1"/>
  <c r="AQ172" i="1"/>
  <c r="AP172" i="1" s="1"/>
  <c r="AQ171" i="1"/>
  <c r="AP171" i="1" s="1"/>
  <c r="AQ169" i="1"/>
  <c r="AP169" i="1" s="1"/>
  <c r="AQ168" i="1"/>
  <c r="AP168" i="1" s="1"/>
  <c r="AQ167" i="1"/>
  <c r="AP167" i="1" s="1"/>
  <c r="AQ166" i="1"/>
  <c r="AP166" i="1" s="1"/>
  <c r="AQ165" i="1"/>
  <c r="AP165" i="1" s="1"/>
  <c r="AQ164" i="1"/>
  <c r="AP164" i="1" s="1"/>
  <c r="AQ162" i="1"/>
  <c r="AP162" i="1" s="1"/>
  <c r="AQ161" i="1"/>
  <c r="AP161" i="1" s="1"/>
  <c r="AQ154" i="1"/>
  <c r="AP154" i="1" s="1"/>
  <c r="AQ153" i="1"/>
  <c r="AP153" i="1" s="1"/>
  <c r="AQ152" i="1"/>
  <c r="AP152" i="1" s="1"/>
  <c r="AQ151" i="1"/>
  <c r="AP151" i="1" s="1"/>
  <c r="AQ150" i="1"/>
  <c r="AP150" i="1" s="1"/>
  <c r="AQ149" i="1"/>
  <c r="AP149" i="1" s="1"/>
  <c r="AQ148" i="1"/>
  <c r="AP148" i="1" s="1"/>
  <c r="AQ147" i="1"/>
  <c r="AP147" i="1" s="1"/>
  <c r="AQ146" i="1"/>
  <c r="AP146" i="1" s="1"/>
  <c r="AQ145" i="1"/>
  <c r="AP145" i="1" s="1"/>
  <c r="AQ144" i="1"/>
  <c r="AP144" i="1" s="1"/>
  <c r="AQ143" i="1"/>
  <c r="AP143" i="1" s="1"/>
  <c r="AQ142" i="1"/>
  <c r="AP142" i="1" s="1"/>
  <c r="AQ141" i="1"/>
  <c r="AP141" i="1" s="1"/>
  <c r="AQ140" i="1"/>
  <c r="AP140" i="1" s="1"/>
  <c r="AQ139" i="1"/>
  <c r="AP139" i="1" s="1"/>
  <c r="AQ138" i="1"/>
  <c r="AP138" i="1" s="1"/>
  <c r="AQ137" i="1"/>
  <c r="AP137" i="1" s="1"/>
  <c r="AQ134" i="1"/>
  <c r="AP134" i="1" s="1"/>
  <c r="AQ130" i="1"/>
  <c r="AP130" i="1" s="1"/>
  <c r="AQ129" i="1"/>
  <c r="AP129" i="1" s="1"/>
  <c r="AQ127" i="1"/>
  <c r="AP127" i="1" s="1"/>
  <c r="AQ126" i="1"/>
  <c r="AP126" i="1" s="1"/>
  <c r="AQ125" i="1"/>
  <c r="AP125" i="1" s="1"/>
  <c r="AQ124" i="1"/>
  <c r="AP124" i="1" s="1"/>
  <c r="AQ123" i="1"/>
  <c r="AP123" i="1" s="1"/>
  <c r="AQ122" i="1"/>
  <c r="AP122" i="1" s="1"/>
  <c r="AQ121" i="1"/>
  <c r="AP121" i="1" s="1"/>
  <c r="AQ120" i="1"/>
  <c r="AP120" i="1" s="1"/>
  <c r="AQ118" i="1"/>
  <c r="AP118" i="1" s="1"/>
  <c r="AQ117" i="1"/>
  <c r="AP117" i="1" s="1"/>
  <c r="AQ116" i="1"/>
  <c r="AP116" i="1" s="1"/>
  <c r="AQ115" i="1"/>
  <c r="AP115" i="1" s="1"/>
  <c r="AQ114" i="1"/>
  <c r="AP114" i="1" s="1"/>
  <c r="AQ113" i="1"/>
  <c r="AP113" i="1" s="1"/>
  <c r="AQ112" i="1"/>
  <c r="AP112" i="1" s="1"/>
  <c r="AQ111" i="1"/>
  <c r="AP111" i="1" s="1"/>
  <c r="AQ110" i="1"/>
  <c r="AP110" i="1" s="1"/>
  <c r="AQ105" i="1"/>
  <c r="AP105" i="1" s="1"/>
  <c r="AQ104" i="1"/>
  <c r="AP104" i="1" s="1"/>
  <c r="AQ103" i="1"/>
  <c r="AP103" i="1" s="1"/>
  <c r="AQ102" i="1"/>
  <c r="AP102" i="1" s="1"/>
  <c r="AQ101" i="1"/>
  <c r="AP101" i="1" s="1"/>
  <c r="AQ100" i="1"/>
  <c r="AP100" i="1" s="1"/>
  <c r="AQ99" i="1"/>
  <c r="AP99" i="1" s="1"/>
  <c r="AQ98" i="1"/>
  <c r="AP98" i="1" s="1"/>
  <c r="AQ97" i="1"/>
  <c r="AP97" i="1" s="1"/>
  <c r="AQ96" i="1"/>
  <c r="AP96" i="1" s="1"/>
  <c r="AQ95" i="1"/>
  <c r="AP95" i="1" s="1"/>
  <c r="AQ92" i="1"/>
  <c r="AP92" i="1" s="1"/>
  <c r="AQ91" i="1"/>
  <c r="AP91" i="1" s="1"/>
  <c r="AQ90" i="1"/>
  <c r="AP90" i="1" s="1"/>
  <c r="AQ89" i="1"/>
  <c r="AP89" i="1" s="1"/>
  <c r="AQ88" i="1"/>
  <c r="AP88" i="1" s="1"/>
  <c r="AQ85" i="1"/>
  <c r="AP85" i="1" s="1"/>
  <c r="AQ84" i="1"/>
  <c r="AP84" i="1" s="1"/>
  <c r="AQ82" i="1"/>
  <c r="AP82" i="1" s="1"/>
  <c r="AQ81" i="1"/>
  <c r="AP81" i="1" s="1"/>
  <c r="AQ80" i="1"/>
  <c r="AP80" i="1" s="1"/>
  <c r="AQ79" i="1"/>
  <c r="AP79" i="1" s="1"/>
  <c r="AQ78" i="1"/>
  <c r="AP78" i="1" s="1"/>
  <c r="AQ77" i="1"/>
  <c r="AP77" i="1" s="1"/>
  <c r="AQ76" i="1"/>
  <c r="AP76" i="1" s="1"/>
  <c r="AQ73" i="1"/>
  <c r="AP73" i="1" s="1"/>
  <c r="AQ72" i="1"/>
  <c r="AP72" i="1" s="1"/>
  <c r="AQ70" i="1"/>
  <c r="AP70" i="1" s="1"/>
  <c r="AQ69" i="1"/>
  <c r="AP69" i="1" s="1"/>
  <c r="AQ68" i="1"/>
  <c r="AP68" i="1" s="1"/>
  <c r="AQ67" i="1"/>
  <c r="AP67" i="1" s="1"/>
  <c r="AQ66" i="1"/>
  <c r="AP66" i="1" s="1"/>
  <c r="AQ61" i="1"/>
  <c r="AP61" i="1" s="1"/>
  <c r="AQ60" i="1"/>
  <c r="AP60" i="1" s="1"/>
  <c r="AQ59" i="1"/>
  <c r="AP59" i="1" s="1"/>
  <c r="AQ58" i="1"/>
  <c r="AP58" i="1" s="1"/>
  <c r="AQ57" i="1"/>
  <c r="AP57" i="1" s="1"/>
  <c r="AQ56" i="1"/>
  <c r="AP56" i="1" s="1"/>
  <c r="AQ51" i="1"/>
  <c r="AP51" i="1" s="1"/>
  <c r="AQ50" i="1"/>
  <c r="AP50" i="1" s="1"/>
  <c r="AQ49" i="1"/>
  <c r="AP49" i="1" s="1"/>
  <c r="AQ48" i="1"/>
  <c r="AP48" i="1" s="1"/>
  <c r="AQ47" i="1"/>
  <c r="AP47" i="1" s="1"/>
  <c r="AQ46" i="1"/>
  <c r="AP46" i="1" s="1"/>
  <c r="AQ45" i="1"/>
  <c r="AP45" i="1" s="1"/>
  <c r="AQ44" i="1"/>
  <c r="AP44" i="1" s="1"/>
  <c r="AQ43" i="1"/>
  <c r="AP43" i="1" s="1"/>
  <c r="AQ42" i="1"/>
  <c r="AP42" i="1" s="1"/>
  <c r="AQ41" i="1"/>
  <c r="AP41" i="1" s="1"/>
  <c r="AQ40" i="1"/>
  <c r="AP40" i="1" s="1"/>
  <c r="AQ39" i="1"/>
  <c r="AP39" i="1" s="1"/>
  <c r="AQ38" i="1"/>
  <c r="AP38" i="1" s="1"/>
  <c r="AQ37" i="1"/>
  <c r="AP37" i="1" s="1"/>
  <c r="AQ34" i="1"/>
  <c r="AP34" i="1" s="1"/>
  <c r="AQ33" i="1"/>
  <c r="AP33" i="1" s="1"/>
  <c r="AQ31" i="1"/>
  <c r="AP31" i="1" s="1"/>
  <c r="AQ30" i="1"/>
  <c r="AP30" i="1" s="1"/>
  <c r="AQ29" i="1"/>
  <c r="AP29" i="1" s="1"/>
  <c r="AQ25" i="1"/>
  <c r="AP25" i="1" s="1"/>
  <c r="AQ24" i="1"/>
  <c r="AP24" i="1" s="1"/>
  <c r="AQ23" i="1"/>
  <c r="AP23" i="1" s="1"/>
  <c r="AQ22" i="1"/>
  <c r="AP22" i="1" s="1"/>
  <c r="AQ21" i="1"/>
  <c r="AP21" i="1" s="1"/>
  <c r="AQ18" i="1"/>
  <c r="AP18" i="1" s="1"/>
  <c r="AQ17" i="1"/>
  <c r="AP17" i="1" s="1"/>
  <c r="AQ16" i="1"/>
  <c r="AP16" i="1" s="1"/>
  <c r="AQ15" i="1"/>
  <c r="AP15" i="1" s="1"/>
  <c r="AQ14" i="1"/>
  <c r="AP14" i="1" s="1"/>
  <c r="AQ13" i="1"/>
  <c r="AP13" i="1" s="1"/>
  <c r="AD324" i="1"/>
  <c r="AC324" i="1" s="1"/>
  <c r="AC323" i="1" s="1"/>
  <c r="AD321" i="1"/>
  <c r="AD318" i="1"/>
  <c r="AC318" i="1" s="1"/>
  <c r="AD317" i="1"/>
  <c r="AC317" i="1" s="1"/>
  <c r="AD315" i="1"/>
  <c r="AC315" i="1" s="1"/>
  <c r="AD314" i="1"/>
  <c r="AC314" i="1" s="1"/>
  <c r="AD313" i="1"/>
  <c r="AC313" i="1" s="1"/>
  <c r="AD311" i="1"/>
  <c r="AC311" i="1" s="1"/>
  <c r="AD310" i="1"/>
  <c r="AC310" i="1" s="1"/>
  <c r="AD309" i="1"/>
  <c r="AC309" i="1" s="1"/>
  <c r="AD307" i="1"/>
  <c r="AC307" i="1" s="1"/>
  <c r="AD306" i="1"/>
  <c r="AC306" i="1" s="1"/>
  <c r="AD305" i="1"/>
  <c r="AC305" i="1" s="1"/>
  <c r="AD304" i="1"/>
  <c r="AC304" i="1" s="1"/>
  <c r="AD302" i="1"/>
  <c r="AC302" i="1" s="1"/>
  <c r="AC301" i="1" s="1"/>
  <c r="AD298" i="1"/>
  <c r="AC298" i="1" s="1"/>
  <c r="AD297" i="1"/>
  <c r="AC297" i="1" s="1"/>
  <c r="AD296" i="1"/>
  <c r="AC296" i="1" s="1"/>
  <c r="AD295" i="1"/>
  <c r="AC295" i="1" s="1"/>
  <c r="AD294" i="1"/>
  <c r="AC294" i="1" s="1"/>
  <c r="AD293" i="1"/>
  <c r="AC293" i="1" s="1"/>
  <c r="AD291" i="1"/>
  <c r="AC291" i="1" s="1"/>
  <c r="AD290" i="1"/>
  <c r="AC290" i="1" s="1"/>
  <c r="AD289" i="1"/>
  <c r="AC289" i="1" s="1"/>
  <c r="AD288" i="1"/>
  <c r="AC288" i="1" s="1"/>
  <c r="AD287" i="1"/>
  <c r="AC287" i="1" s="1"/>
  <c r="AD286" i="1"/>
  <c r="AC286" i="1" s="1"/>
  <c r="AD285" i="1"/>
  <c r="AC285" i="1" s="1"/>
  <c r="AD282" i="1"/>
  <c r="AC282" i="1" s="1"/>
  <c r="AD281" i="1"/>
  <c r="AC281" i="1" s="1"/>
  <c r="AD280" i="1"/>
  <c r="AC280" i="1" s="1"/>
  <c r="AD279" i="1"/>
  <c r="AC279" i="1" s="1"/>
  <c r="AD278" i="1"/>
  <c r="AC278" i="1" s="1"/>
  <c r="AD277" i="1"/>
  <c r="AC277" i="1" s="1"/>
  <c r="AD272" i="1"/>
  <c r="AC272" i="1" s="1"/>
  <c r="AD271" i="1"/>
  <c r="AC271" i="1" s="1"/>
  <c r="AD267" i="1"/>
  <c r="AC267" i="1" s="1"/>
  <c r="AD266" i="1"/>
  <c r="AC266" i="1" s="1"/>
  <c r="AD265" i="1"/>
  <c r="AC265" i="1" s="1"/>
  <c r="AD264" i="1"/>
  <c r="AC264" i="1" s="1"/>
  <c r="AD263" i="1"/>
  <c r="AC263" i="1" s="1"/>
  <c r="AD262" i="1"/>
  <c r="AC262" i="1" s="1"/>
  <c r="AD261" i="1"/>
  <c r="AC261" i="1" s="1"/>
  <c r="AD260" i="1"/>
  <c r="AC260" i="1" s="1"/>
  <c r="AD259" i="1"/>
  <c r="AC259" i="1" s="1"/>
  <c r="AD257" i="1"/>
  <c r="AC257" i="1" s="1"/>
  <c r="AD256" i="1"/>
  <c r="AC256" i="1" s="1"/>
  <c r="AD255" i="1"/>
  <c r="AC255" i="1" s="1"/>
  <c r="AD254" i="1"/>
  <c r="AC254" i="1" s="1"/>
  <c r="AD253" i="1"/>
  <c r="AC253" i="1" s="1"/>
  <c r="AD252" i="1"/>
  <c r="AC252" i="1" s="1"/>
  <c r="AD251" i="1"/>
  <c r="AC251" i="1" s="1"/>
  <c r="AD250" i="1"/>
  <c r="AC250" i="1" s="1"/>
  <c r="AD249" i="1"/>
  <c r="AC249" i="1" s="1"/>
  <c r="AD248" i="1"/>
  <c r="AC248" i="1" s="1"/>
  <c r="AD247" i="1"/>
  <c r="AC247" i="1" s="1"/>
  <c r="AD244" i="1"/>
  <c r="AC244" i="1" s="1"/>
  <c r="AD243" i="1"/>
  <c r="AC243" i="1" s="1"/>
  <c r="AD242" i="1"/>
  <c r="AC242" i="1" s="1"/>
  <c r="AD239" i="1"/>
  <c r="AC239" i="1" s="1"/>
  <c r="AD238" i="1"/>
  <c r="AC238" i="1" s="1"/>
  <c r="AD237" i="1"/>
  <c r="AC237" i="1" s="1"/>
  <c r="AD236" i="1"/>
  <c r="AC236" i="1" s="1"/>
  <c r="AD235" i="1"/>
  <c r="AC235" i="1" s="1"/>
  <c r="AD234" i="1"/>
  <c r="AC234" i="1" s="1"/>
  <c r="AD233" i="1"/>
  <c r="AC233" i="1" s="1"/>
  <c r="AD232" i="1"/>
  <c r="AC232" i="1" s="1"/>
  <c r="AD231" i="1"/>
  <c r="AC231" i="1" s="1"/>
  <c r="AD230" i="1"/>
  <c r="AC230" i="1" s="1"/>
  <c r="AD229" i="1"/>
  <c r="AC229" i="1" s="1"/>
  <c r="AD228" i="1"/>
  <c r="AC228" i="1" s="1"/>
  <c r="AD227" i="1"/>
  <c r="AC227" i="1" s="1"/>
  <c r="AD226" i="1"/>
  <c r="AC226" i="1" s="1"/>
  <c r="AD225" i="1"/>
  <c r="AC225" i="1" s="1"/>
  <c r="AD224" i="1"/>
  <c r="AC224" i="1" s="1"/>
  <c r="AD221" i="1"/>
  <c r="AC221" i="1" s="1"/>
  <c r="AD220" i="1"/>
  <c r="AC220" i="1" s="1"/>
  <c r="AD219" i="1"/>
  <c r="AC219" i="1" s="1"/>
  <c r="AD218" i="1"/>
  <c r="AC218" i="1" s="1"/>
  <c r="AD217" i="1"/>
  <c r="AC217" i="1" s="1"/>
  <c r="AD216" i="1"/>
  <c r="AC216" i="1" s="1"/>
  <c r="AD213" i="1"/>
  <c r="AC213" i="1" s="1"/>
  <c r="AD212" i="1"/>
  <c r="AC212" i="1" s="1"/>
  <c r="AD211" i="1"/>
  <c r="AC211" i="1" s="1"/>
  <c r="AD210" i="1"/>
  <c r="AC210" i="1" s="1"/>
  <c r="AD209" i="1"/>
  <c r="AC209" i="1" s="1"/>
  <c r="AD208" i="1"/>
  <c r="AC208" i="1" s="1"/>
  <c r="AD207" i="1"/>
  <c r="AC207" i="1" s="1"/>
  <c r="AD206" i="1"/>
  <c r="AC206" i="1" s="1"/>
  <c r="AD205" i="1"/>
  <c r="AC205" i="1" s="1"/>
  <c r="AD204" i="1"/>
  <c r="AC204" i="1" s="1"/>
  <c r="AD203" i="1"/>
  <c r="AC203" i="1" s="1"/>
  <c r="AD202" i="1"/>
  <c r="AC202" i="1" s="1"/>
  <c r="AD201" i="1"/>
  <c r="AC201" i="1" s="1"/>
  <c r="AD200" i="1"/>
  <c r="AC200" i="1" s="1"/>
  <c r="AD199" i="1"/>
  <c r="AC199" i="1" s="1"/>
  <c r="AD198" i="1"/>
  <c r="AC198" i="1" s="1"/>
  <c r="AD197" i="1"/>
  <c r="AC197" i="1" s="1"/>
  <c r="AD196" i="1"/>
  <c r="AC196" i="1" s="1"/>
  <c r="AD194" i="1"/>
  <c r="AC194" i="1" s="1"/>
  <c r="AD193" i="1"/>
  <c r="AC193" i="1" s="1"/>
  <c r="AD192" i="1"/>
  <c r="AC192" i="1" s="1"/>
  <c r="AD191" i="1"/>
  <c r="AC191" i="1" s="1"/>
  <c r="AD190" i="1"/>
  <c r="AC190" i="1" s="1"/>
  <c r="AD189" i="1"/>
  <c r="AC189" i="1" s="1"/>
  <c r="AD187" i="1"/>
  <c r="AC187" i="1" s="1"/>
  <c r="AD186" i="1"/>
  <c r="AC186" i="1" s="1"/>
  <c r="AD185" i="1"/>
  <c r="AC185" i="1" s="1"/>
  <c r="AD184" i="1"/>
  <c r="AC184" i="1" s="1"/>
  <c r="AD183" i="1"/>
  <c r="AC183" i="1" s="1"/>
  <c r="AD182" i="1"/>
  <c r="AC182" i="1" s="1"/>
  <c r="AD181" i="1"/>
  <c r="AC181" i="1" s="1"/>
  <c r="AD180" i="1"/>
  <c r="AC180" i="1" s="1"/>
  <c r="AD179" i="1"/>
  <c r="AC179" i="1" s="1"/>
  <c r="AD178" i="1"/>
  <c r="AC178" i="1" s="1"/>
  <c r="AD177" i="1"/>
  <c r="AC177" i="1" s="1"/>
  <c r="AD176" i="1"/>
  <c r="AC176" i="1" s="1"/>
  <c r="AD174" i="1"/>
  <c r="AC174" i="1" s="1"/>
  <c r="AD173" i="1"/>
  <c r="AC173" i="1" s="1"/>
  <c r="AD172" i="1"/>
  <c r="AC172" i="1" s="1"/>
  <c r="AD171" i="1"/>
  <c r="AC171" i="1" s="1"/>
  <c r="AD169" i="1"/>
  <c r="AC169" i="1" s="1"/>
  <c r="AD168" i="1"/>
  <c r="AC168" i="1" s="1"/>
  <c r="AD167" i="1"/>
  <c r="AC167" i="1" s="1"/>
  <c r="AD166" i="1"/>
  <c r="AC166" i="1" s="1"/>
  <c r="AD165" i="1"/>
  <c r="AC165" i="1" s="1"/>
  <c r="AD164" i="1"/>
  <c r="AC164" i="1" s="1"/>
  <c r="AD162" i="1"/>
  <c r="AC162" i="1" s="1"/>
  <c r="AD161" i="1"/>
  <c r="AC161" i="1" s="1"/>
  <c r="AD154" i="1"/>
  <c r="AC154" i="1" s="1"/>
  <c r="AD153" i="1"/>
  <c r="AC153" i="1" s="1"/>
  <c r="AD152" i="1"/>
  <c r="AC152" i="1" s="1"/>
  <c r="AD151" i="1"/>
  <c r="AC151" i="1" s="1"/>
  <c r="AD150" i="1"/>
  <c r="AC150" i="1" s="1"/>
  <c r="AD149" i="1"/>
  <c r="AC149" i="1" s="1"/>
  <c r="AD148" i="1"/>
  <c r="AC148" i="1" s="1"/>
  <c r="AD147" i="1"/>
  <c r="AC147" i="1" s="1"/>
  <c r="AD146" i="1"/>
  <c r="AC146" i="1" s="1"/>
  <c r="AD145" i="1"/>
  <c r="AC145" i="1" s="1"/>
  <c r="AD144" i="1"/>
  <c r="AC144" i="1" s="1"/>
  <c r="AD143" i="1"/>
  <c r="AC143" i="1" s="1"/>
  <c r="AD142" i="1"/>
  <c r="AC142" i="1" s="1"/>
  <c r="AD141" i="1"/>
  <c r="AC141" i="1" s="1"/>
  <c r="AD140" i="1"/>
  <c r="AC140" i="1" s="1"/>
  <c r="AD139" i="1"/>
  <c r="AC139" i="1" s="1"/>
  <c r="AD138" i="1"/>
  <c r="AC138" i="1" s="1"/>
  <c r="AD137" i="1"/>
  <c r="AC137" i="1" s="1"/>
  <c r="AD134" i="1"/>
  <c r="AC134" i="1" s="1"/>
  <c r="AD130" i="1"/>
  <c r="AC130" i="1" s="1"/>
  <c r="AD129" i="1"/>
  <c r="AC129" i="1" s="1"/>
  <c r="AD127" i="1"/>
  <c r="AC127" i="1" s="1"/>
  <c r="AD126" i="1"/>
  <c r="AC126" i="1" s="1"/>
  <c r="AD125" i="1"/>
  <c r="AC125" i="1" s="1"/>
  <c r="AD124" i="1"/>
  <c r="AC124" i="1" s="1"/>
  <c r="AD123" i="1"/>
  <c r="AC123" i="1" s="1"/>
  <c r="AD122" i="1"/>
  <c r="AC122" i="1" s="1"/>
  <c r="AD121" i="1"/>
  <c r="AC121" i="1" s="1"/>
  <c r="AD120" i="1"/>
  <c r="AC120" i="1" s="1"/>
  <c r="AD118" i="1"/>
  <c r="AC118" i="1" s="1"/>
  <c r="AD117" i="1"/>
  <c r="AC117" i="1" s="1"/>
  <c r="AD116" i="1"/>
  <c r="AC116" i="1" s="1"/>
  <c r="AD115" i="1"/>
  <c r="AC115" i="1" s="1"/>
  <c r="AD114" i="1"/>
  <c r="AC114" i="1" s="1"/>
  <c r="AD113" i="1"/>
  <c r="AC113" i="1" s="1"/>
  <c r="AD112" i="1"/>
  <c r="AC112" i="1" s="1"/>
  <c r="AD111" i="1"/>
  <c r="AC111" i="1" s="1"/>
  <c r="AD110" i="1"/>
  <c r="AC110" i="1" s="1"/>
  <c r="AD105" i="1"/>
  <c r="AC105" i="1" s="1"/>
  <c r="AD104" i="1"/>
  <c r="AC104" i="1" s="1"/>
  <c r="AD103" i="1"/>
  <c r="AC103" i="1" s="1"/>
  <c r="AD102" i="1"/>
  <c r="AC102" i="1" s="1"/>
  <c r="AD101" i="1"/>
  <c r="AC101" i="1" s="1"/>
  <c r="AD100" i="1"/>
  <c r="AC100" i="1" s="1"/>
  <c r="AD99" i="1"/>
  <c r="AC99" i="1" s="1"/>
  <c r="AD98" i="1"/>
  <c r="AC98" i="1" s="1"/>
  <c r="AD97" i="1"/>
  <c r="AC97" i="1" s="1"/>
  <c r="AD96" i="1"/>
  <c r="AC96" i="1" s="1"/>
  <c r="AD95" i="1"/>
  <c r="AC95" i="1" s="1"/>
  <c r="AD92" i="1"/>
  <c r="AC92" i="1" s="1"/>
  <c r="AD91" i="1"/>
  <c r="AC91" i="1" s="1"/>
  <c r="AD90" i="1"/>
  <c r="AC90" i="1" s="1"/>
  <c r="AD89" i="1"/>
  <c r="AC89" i="1" s="1"/>
  <c r="AD88" i="1"/>
  <c r="AC88" i="1" s="1"/>
  <c r="AD85" i="1"/>
  <c r="AC85" i="1" s="1"/>
  <c r="AD84" i="1"/>
  <c r="AC84" i="1" s="1"/>
  <c r="AD82" i="1"/>
  <c r="AC82" i="1" s="1"/>
  <c r="AD81" i="1"/>
  <c r="AC81" i="1" s="1"/>
  <c r="AD80" i="1"/>
  <c r="AC80" i="1" s="1"/>
  <c r="AD79" i="1"/>
  <c r="AC79" i="1" s="1"/>
  <c r="AD78" i="1"/>
  <c r="AC78" i="1" s="1"/>
  <c r="AD77" i="1"/>
  <c r="AC77" i="1" s="1"/>
  <c r="AD76" i="1"/>
  <c r="AC76" i="1" s="1"/>
  <c r="AD73" i="1"/>
  <c r="AC73" i="1" s="1"/>
  <c r="AD72" i="1"/>
  <c r="AC72" i="1" s="1"/>
  <c r="AD70" i="1"/>
  <c r="AC70" i="1" s="1"/>
  <c r="AD69" i="1"/>
  <c r="AC69" i="1" s="1"/>
  <c r="AD68" i="1"/>
  <c r="AC68" i="1" s="1"/>
  <c r="AD67" i="1"/>
  <c r="AC67" i="1" s="1"/>
  <c r="AD66" i="1"/>
  <c r="AC66" i="1" s="1"/>
  <c r="AD61" i="1"/>
  <c r="AC61" i="1" s="1"/>
  <c r="AD60" i="1"/>
  <c r="AC60" i="1" s="1"/>
  <c r="AD59" i="1"/>
  <c r="AC59" i="1" s="1"/>
  <c r="AD58" i="1"/>
  <c r="AC58" i="1" s="1"/>
  <c r="AD57" i="1"/>
  <c r="AC57" i="1" s="1"/>
  <c r="AD56" i="1"/>
  <c r="AC56" i="1" s="1"/>
  <c r="AD51" i="1"/>
  <c r="AC51" i="1" s="1"/>
  <c r="AD50" i="1"/>
  <c r="AC50" i="1" s="1"/>
  <c r="AD49" i="1"/>
  <c r="AC49" i="1" s="1"/>
  <c r="AD48" i="1"/>
  <c r="AC48" i="1" s="1"/>
  <c r="AD47" i="1"/>
  <c r="AC47" i="1" s="1"/>
  <c r="AD46" i="1"/>
  <c r="AC46" i="1" s="1"/>
  <c r="AD45" i="1"/>
  <c r="AC45" i="1" s="1"/>
  <c r="AD44" i="1"/>
  <c r="AC44" i="1" s="1"/>
  <c r="AD43" i="1"/>
  <c r="AC43" i="1" s="1"/>
  <c r="AD42" i="1"/>
  <c r="AC42" i="1" s="1"/>
  <c r="AD41" i="1"/>
  <c r="AC41" i="1" s="1"/>
  <c r="AD40" i="1"/>
  <c r="AC40" i="1" s="1"/>
  <c r="AD39" i="1"/>
  <c r="AC39" i="1" s="1"/>
  <c r="AD38" i="1"/>
  <c r="AC38" i="1" s="1"/>
  <c r="AD37" i="1"/>
  <c r="AC37" i="1" s="1"/>
  <c r="AD34" i="1"/>
  <c r="AC34" i="1" s="1"/>
  <c r="AD33" i="1"/>
  <c r="AC33" i="1" s="1"/>
  <c r="AD31" i="1"/>
  <c r="AC31" i="1" s="1"/>
  <c r="AD30" i="1"/>
  <c r="AC30" i="1" s="1"/>
  <c r="AD29" i="1"/>
  <c r="AC29" i="1" s="1"/>
  <c r="AD25" i="1"/>
  <c r="AC25" i="1" s="1"/>
  <c r="AD24" i="1"/>
  <c r="AC24" i="1" s="1"/>
  <c r="AD23" i="1"/>
  <c r="AC23" i="1" s="1"/>
  <c r="AD22" i="1"/>
  <c r="AC22" i="1" s="1"/>
  <c r="AD21" i="1"/>
  <c r="AC21" i="1" s="1"/>
  <c r="AD18" i="1"/>
  <c r="AC18" i="1" s="1"/>
  <c r="AD17" i="1"/>
  <c r="AC17" i="1" s="1"/>
  <c r="AD16" i="1"/>
  <c r="AC16" i="1" s="1"/>
  <c r="AD15" i="1"/>
  <c r="AC15" i="1" s="1"/>
  <c r="AD14" i="1"/>
  <c r="AC14" i="1" s="1"/>
  <c r="AD13" i="1"/>
  <c r="AC13" i="1" s="1"/>
  <c r="H324" i="1"/>
  <c r="G324" i="1" s="1"/>
  <c r="H321" i="1"/>
  <c r="H318" i="1"/>
  <c r="G318" i="1" s="1"/>
  <c r="H317" i="1"/>
  <c r="G317" i="1" s="1"/>
  <c r="H315" i="1"/>
  <c r="G315" i="1" s="1"/>
  <c r="H314" i="1"/>
  <c r="G314" i="1" s="1"/>
  <c r="H313" i="1"/>
  <c r="G313" i="1" s="1"/>
  <c r="H311" i="1"/>
  <c r="G311" i="1" s="1"/>
  <c r="H310" i="1"/>
  <c r="G310" i="1" s="1"/>
  <c r="H309" i="1"/>
  <c r="G309" i="1" s="1"/>
  <c r="H307" i="1"/>
  <c r="G307" i="1" s="1"/>
  <c r="H306" i="1"/>
  <c r="G306" i="1" s="1"/>
  <c r="H305" i="1"/>
  <c r="G305" i="1" s="1"/>
  <c r="H304" i="1"/>
  <c r="G304" i="1" s="1"/>
  <c r="H302" i="1"/>
  <c r="G302" i="1" s="1"/>
  <c r="H298" i="1"/>
  <c r="G298" i="1" s="1"/>
  <c r="H297" i="1"/>
  <c r="G297" i="1" s="1"/>
  <c r="H296" i="1"/>
  <c r="G296" i="1" s="1"/>
  <c r="H295" i="1"/>
  <c r="G295" i="1" s="1"/>
  <c r="H294" i="1"/>
  <c r="G294" i="1" s="1"/>
  <c r="H293" i="1"/>
  <c r="G293" i="1" s="1"/>
  <c r="H291" i="1"/>
  <c r="G291" i="1" s="1"/>
  <c r="H290" i="1"/>
  <c r="G290" i="1" s="1"/>
  <c r="H289" i="1"/>
  <c r="G289" i="1" s="1"/>
  <c r="H288" i="1"/>
  <c r="G288" i="1" s="1"/>
  <c r="H287" i="1"/>
  <c r="G287" i="1" s="1"/>
  <c r="H286" i="1"/>
  <c r="G286" i="1" s="1"/>
  <c r="H285" i="1"/>
  <c r="G285" i="1" s="1"/>
  <c r="H282" i="1"/>
  <c r="G282" i="1" s="1"/>
  <c r="H281" i="1"/>
  <c r="G281" i="1" s="1"/>
  <c r="H280" i="1"/>
  <c r="G280" i="1" s="1"/>
  <c r="H279" i="1"/>
  <c r="G279" i="1" s="1"/>
  <c r="H278" i="1"/>
  <c r="G278" i="1" s="1"/>
  <c r="H277" i="1"/>
  <c r="G277" i="1" s="1"/>
  <c r="H271" i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7" i="1"/>
  <c r="G257" i="1" s="1"/>
  <c r="H256" i="1"/>
  <c r="G256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4" i="1"/>
  <c r="G244" i="1" s="1"/>
  <c r="H243" i="1"/>
  <c r="G243" i="1" s="1"/>
  <c r="H242" i="1"/>
  <c r="G242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4" i="1"/>
  <c r="G174" i="1" s="1"/>
  <c r="H173" i="1"/>
  <c r="G173" i="1" s="1"/>
  <c r="H172" i="1"/>
  <c r="G172" i="1" s="1"/>
  <c r="H171" i="1"/>
  <c r="G171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2" i="1"/>
  <c r="G162" i="1" s="1"/>
  <c r="H161" i="1"/>
  <c r="G161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4" i="1"/>
  <c r="G134" i="1" s="1"/>
  <c r="H130" i="1"/>
  <c r="G130" i="1" s="1"/>
  <c r="H129" i="1"/>
  <c r="G129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2" i="1"/>
  <c r="G92" i="1" s="1"/>
  <c r="H91" i="1"/>
  <c r="G91" i="1" s="1"/>
  <c r="H90" i="1"/>
  <c r="G90" i="1" s="1"/>
  <c r="H89" i="1"/>
  <c r="G89" i="1" s="1"/>
  <c r="H88" i="1"/>
  <c r="G88" i="1" s="1"/>
  <c r="H85" i="1"/>
  <c r="G85" i="1" s="1"/>
  <c r="H84" i="1"/>
  <c r="G84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3" i="1"/>
  <c r="G73" i="1" s="1"/>
  <c r="H72" i="1"/>
  <c r="G72" i="1" s="1"/>
  <c r="H70" i="1"/>
  <c r="G70" i="1" s="1"/>
  <c r="H69" i="1"/>
  <c r="G69" i="1" s="1"/>
  <c r="H68" i="1"/>
  <c r="G68" i="1" s="1"/>
  <c r="H67" i="1"/>
  <c r="G67" i="1" s="1"/>
  <c r="H66" i="1"/>
  <c r="G66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L12" i="1"/>
  <c r="BW327" i="1"/>
  <c r="BU327" i="1"/>
  <c r="BT327" i="1"/>
  <c r="BS327" i="1"/>
  <c r="BR327" i="1"/>
  <c r="BQ327" i="1"/>
  <c r="BP327" i="1"/>
  <c r="BO327" i="1"/>
  <c r="BN327" i="1"/>
  <c r="BM327" i="1"/>
  <c r="BW323" i="1"/>
  <c r="BU323" i="1"/>
  <c r="BT323" i="1"/>
  <c r="BS323" i="1"/>
  <c r="BR323" i="1"/>
  <c r="BQ323" i="1"/>
  <c r="BP323" i="1"/>
  <c r="BO323" i="1"/>
  <c r="BN323" i="1"/>
  <c r="BM323" i="1"/>
  <c r="BW316" i="1"/>
  <c r="BU316" i="1"/>
  <c r="BT316" i="1"/>
  <c r="BS316" i="1"/>
  <c r="BR316" i="1"/>
  <c r="BQ316" i="1"/>
  <c r="BP316" i="1"/>
  <c r="BO316" i="1"/>
  <c r="BN316" i="1"/>
  <c r="BM316" i="1"/>
  <c r="BW312" i="1"/>
  <c r="BU312" i="1"/>
  <c r="BT312" i="1"/>
  <c r="BS312" i="1"/>
  <c r="BR312" i="1"/>
  <c r="BQ312" i="1"/>
  <c r="BP312" i="1"/>
  <c r="BO312" i="1"/>
  <c r="BN312" i="1"/>
  <c r="BM312" i="1"/>
  <c r="BW308" i="1"/>
  <c r="BU308" i="1"/>
  <c r="BT308" i="1"/>
  <c r="BS308" i="1"/>
  <c r="BR308" i="1"/>
  <c r="BQ308" i="1"/>
  <c r="BP308" i="1"/>
  <c r="BO308" i="1"/>
  <c r="BN308" i="1"/>
  <c r="BM308" i="1"/>
  <c r="BW303" i="1"/>
  <c r="BU303" i="1"/>
  <c r="BT303" i="1"/>
  <c r="BS303" i="1"/>
  <c r="BR303" i="1"/>
  <c r="BQ303" i="1"/>
  <c r="BP303" i="1"/>
  <c r="BO303" i="1"/>
  <c r="BN303" i="1"/>
  <c r="BM303" i="1"/>
  <c r="BW301" i="1"/>
  <c r="BU301" i="1"/>
  <c r="BT301" i="1"/>
  <c r="BS301" i="1"/>
  <c r="BR301" i="1"/>
  <c r="BQ301" i="1"/>
  <c r="BP301" i="1"/>
  <c r="BO301" i="1"/>
  <c r="BN301" i="1"/>
  <c r="BM301" i="1"/>
  <c r="BL301" i="1"/>
  <c r="BW270" i="1"/>
  <c r="BU270" i="1"/>
  <c r="BT270" i="1"/>
  <c r="BS270" i="1"/>
  <c r="BR270" i="1"/>
  <c r="BQ270" i="1"/>
  <c r="BP270" i="1"/>
  <c r="BO270" i="1"/>
  <c r="BN270" i="1"/>
  <c r="BM270" i="1"/>
  <c r="BW246" i="1"/>
  <c r="BU246" i="1"/>
  <c r="BT246" i="1"/>
  <c r="BS246" i="1"/>
  <c r="BR246" i="1"/>
  <c r="BQ246" i="1"/>
  <c r="BP246" i="1"/>
  <c r="BO246" i="1"/>
  <c r="BN246" i="1"/>
  <c r="BM246" i="1"/>
  <c r="BW136" i="1"/>
  <c r="BU136" i="1"/>
  <c r="BT136" i="1"/>
  <c r="BS136" i="1"/>
  <c r="BR136" i="1"/>
  <c r="BQ136" i="1"/>
  <c r="BP136" i="1"/>
  <c r="BO136" i="1"/>
  <c r="BN136" i="1"/>
  <c r="BM136" i="1"/>
  <c r="BW94" i="1"/>
  <c r="BU94" i="1"/>
  <c r="BT94" i="1"/>
  <c r="BS94" i="1"/>
  <c r="BR94" i="1"/>
  <c r="BQ94" i="1"/>
  <c r="BP94" i="1"/>
  <c r="BO94" i="1"/>
  <c r="BN94" i="1"/>
  <c r="BM94" i="1"/>
  <c r="BW87" i="1"/>
  <c r="BU87" i="1"/>
  <c r="BT87" i="1"/>
  <c r="BS87" i="1"/>
  <c r="BR87" i="1"/>
  <c r="BQ87" i="1"/>
  <c r="BP87" i="1"/>
  <c r="BO87" i="1"/>
  <c r="BN87" i="1"/>
  <c r="BM87" i="1"/>
  <c r="BW75" i="1"/>
  <c r="BU75" i="1"/>
  <c r="BT75" i="1"/>
  <c r="BS75" i="1"/>
  <c r="BR75" i="1"/>
  <c r="BQ75" i="1"/>
  <c r="BP75" i="1"/>
  <c r="BO75" i="1"/>
  <c r="BN75" i="1"/>
  <c r="BM75" i="1"/>
  <c r="BW65" i="1"/>
  <c r="BU65" i="1"/>
  <c r="BT65" i="1"/>
  <c r="BS65" i="1"/>
  <c r="BR65" i="1"/>
  <c r="BQ65" i="1"/>
  <c r="BP65" i="1"/>
  <c r="BO65" i="1"/>
  <c r="BN65" i="1"/>
  <c r="BM65" i="1"/>
  <c r="BW36" i="1"/>
  <c r="BU36" i="1"/>
  <c r="BT36" i="1"/>
  <c r="BS36" i="1"/>
  <c r="BR36" i="1"/>
  <c r="BQ36" i="1"/>
  <c r="BP36" i="1"/>
  <c r="BO36" i="1"/>
  <c r="BN36" i="1"/>
  <c r="BM36" i="1"/>
  <c r="BW28" i="1"/>
  <c r="BU28" i="1"/>
  <c r="BT28" i="1"/>
  <c r="BS28" i="1"/>
  <c r="BR28" i="1"/>
  <c r="BQ28" i="1"/>
  <c r="BP28" i="1"/>
  <c r="BO28" i="1"/>
  <c r="BN28" i="1"/>
  <c r="BM28" i="1"/>
  <c r="BW11" i="1"/>
  <c r="BU11" i="1"/>
  <c r="BT11" i="1"/>
  <c r="BS11" i="1"/>
  <c r="BR11" i="1"/>
  <c r="BQ11" i="1"/>
  <c r="BP11" i="1"/>
  <c r="BO11" i="1"/>
  <c r="BN11" i="1"/>
  <c r="BM11" i="1"/>
  <c r="BD12" i="1"/>
  <c r="BC12" i="1" s="1"/>
  <c r="BI327" i="1"/>
  <c r="BH327" i="1"/>
  <c r="BG327" i="1"/>
  <c r="BF327" i="1"/>
  <c r="BE327" i="1"/>
  <c r="BI323" i="1"/>
  <c r="BH323" i="1"/>
  <c r="BG323" i="1"/>
  <c r="BF323" i="1"/>
  <c r="BE323" i="1"/>
  <c r="BI316" i="1"/>
  <c r="BH316" i="1"/>
  <c r="BG316" i="1"/>
  <c r="BF316" i="1"/>
  <c r="BE316" i="1"/>
  <c r="BI312" i="1"/>
  <c r="BH312" i="1"/>
  <c r="BG312" i="1"/>
  <c r="BF312" i="1"/>
  <c r="BE312" i="1"/>
  <c r="BI308" i="1"/>
  <c r="BH308" i="1"/>
  <c r="BG308" i="1"/>
  <c r="BF308" i="1"/>
  <c r="BE308" i="1"/>
  <c r="BI303" i="1"/>
  <c r="BH303" i="1"/>
  <c r="BG303" i="1"/>
  <c r="BF303" i="1"/>
  <c r="BE303" i="1"/>
  <c r="BI301" i="1"/>
  <c r="BH301" i="1"/>
  <c r="BG301" i="1"/>
  <c r="BF301" i="1"/>
  <c r="BE301" i="1"/>
  <c r="BI270" i="1"/>
  <c r="BH270" i="1"/>
  <c r="BG270" i="1"/>
  <c r="BF270" i="1"/>
  <c r="BE270" i="1"/>
  <c r="BI246" i="1"/>
  <c r="BH246" i="1"/>
  <c r="BG246" i="1"/>
  <c r="BF246" i="1"/>
  <c r="BE246" i="1"/>
  <c r="BI136" i="1"/>
  <c r="BH136" i="1"/>
  <c r="BG136" i="1"/>
  <c r="BF136" i="1"/>
  <c r="BE136" i="1"/>
  <c r="BI94" i="1"/>
  <c r="BH94" i="1"/>
  <c r="BG94" i="1"/>
  <c r="BF94" i="1"/>
  <c r="BE94" i="1"/>
  <c r="BI87" i="1"/>
  <c r="BH87" i="1"/>
  <c r="BG87" i="1"/>
  <c r="BF87" i="1"/>
  <c r="BE87" i="1"/>
  <c r="BI75" i="1"/>
  <c r="BH75" i="1"/>
  <c r="BG75" i="1"/>
  <c r="BF75" i="1"/>
  <c r="BE75" i="1"/>
  <c r="BI65" i="1"/>
  <c r="BH65" i="1"/>
  <c r="BG65" i="1"/>
  <c r="BF65" i="1"/>
  <c r="BE65" i="1"/>
  <c r="BI36" i="1"/>
  <c r="BH36" i="1"/>
  <c r="BG36" i="1"/>
  <c r="BF36" i="1"/>
  <c r="BE36" i="1"/>
  <c r="BI28" i="1"/>
  <c r="BH28" i="1"/>
  <c r="BG28" i="1"/>
  <c r="BF28" i="1"/>
  <c r="BE28" i="1"/>
  <c r="BI11" i="1"/>
  <c r="BH11" i="1"/>
  <c r="BG11" i="1"/>
  <c r="BF11" i="1"/>
  <c r="BE11" i="1"/>
  <c r="AQ12" i="1"/>
  <c r="AP12" i="1" s="1"/>
  <c r="BA327" i="1"/>
  <c r="AZ327" i="1"/>
  <c r="AY327" i="1"/>
  <c r="AX327" i="1"/>
  <c r="AW327" i="1"/>
  <c r="AV327" i="1"/>
  <c r="AU327" i="1"/>
  <c r="AT327" i="1"/>
  <c r="AS327" i="1"/>
  <c r="AR327" i="1"/>
  <c r="BA323" i="1"/>
  <c r="AZ323" i="1"/>
  <c r="AY323" i="1"/>
  <c r="AX323" i="1"/>
  <c r="AW323" i="1"/>
  <c r="AV323" i="1"/>
  <c r="AU323" i="1"/>
  <c r="AT323" i="1"/>
  <c r="AS323" i="1"/>
  <c r="AR323" i="1"/>
  <c r="BA316" i="1"/>
  <c r="AZ316" i="1"/>
  <c r="AY316" i="1"/>
  <c r="AX316" i="1"/>
  <c r="AW316" i="1"/>
  <c r="AV316" i="1"/>
  <c r="AU316" i="1"/>
  <c r="AT316" i="1"/>
  <c r="AS316" i="1"/>
  <c r="AR316" i="1"/>
  <c r="BA312" i="1"/>
  <c r="AZ312" i="1"/>
  <c r="AY312" i="1"/>
  <c r="AX312" i="1"/>
  <c r="AW312" i="1"/>
  <c r="AV312" i="1"/>
  <c r="AU312" i="1"/>
  <c r="AT312" i="1"/>
  <c r="AS312" i="1"/>
  <c r="AR312" i="1"/>
  <c r="BA308" i="1"/>
  <c r="AZ308" i="1"/>
  <c r="AY308" i="1"/>
  <c r="AX308" i="1"/>
  <c r="AW308" i="1"/>
  <c r="AV308" i="1"/>
  <c r="AU308" i="1"/>
  <c r="AT308" i="1"/>
  <c r="AS308" i="1"/>
  <c r="AR308" i="1"/>
  <c r="BA303" i="1"/>
  <c r="AZ303" i="1"/>
  <c r="AY303" i="1"/>
  <c r="AX303" i="1"/>
  <c r="AW303" i="1"/>
  <c r="AV303" i="1"/>
  <c r="AU303" i="1"/>
  <c r="AT303" i="1"/>
  <c r="AS303" i="1"/>
  <c r="AR303" i="1"/>
  <c r="BA301" i="1"/>
  <c r="AZ301" i="1"/>
  <c r="AY301" i="1"/>
  <c r="AX301" i="1"/>
  <c r="AW301" i="1"/>
  <c r="AV301" i="1"/>
  <c r="AU301" i="1"/>
  <c r="AT301" i="1"/>
  <c r="AS301" i="1"/>
  <c r="AR301" i="1"/>
  <c r="BA270" i="1"/>
  <c r="AZ270" i="1"/>
  <c r="AY270" i="1"/>
  <c r="AX270" i="1"/>
  <c r="AW270" i="1"/>
  <c r="AV270" i="1"/>
  <c r="AU270" i="1"/>
  <c r="AT270" i="1"/>
  <c r="AS270" i="1"/>
  <c r="AR270" i="1"/>
  <c r="BA246" i="1"/>
  <c r="AZ246" i="1"/>
  <c r="AY246" i="1"/>
  <c r="AX246" i="1"/>
  <c r="AW246" i="1"/>
  <c r="AV246" i="1"/>
  <c r="AU246" i="1"/>
  <c r="AT246" i="1"/>
  <c r="AS246" i="1"/>
  <c r="AR246" i="1"/>
  <c r="BA136" i="1"/>
  <c r="AZ136" i="1"/>
  <c r="AY136" i="1"/>
  <c r="AX136" i="1"/>
  <c r="AW136" i="1"/>
  <c r="AV136" i="1"/>
  <c r="AU136" i="1"/>
  <c r="AT136" i="1"/>
  <c r="AS136" i="1"/>
  <c r="AR136" i="1"/>
  <c r="BA94" i="1"/>
  <c r="AZ94" i="1"/>
  <c r="AY94" i="1"/>
  <c r="AX94" i="1"/>
  <c r="AW94" i="1"/>
  <c r="AV94" i="1"/>
  <c r="AU94" i="1"/>
  <c r="AT94" i="1"/>
  <c r="AS94" i="1"/>
  <c r="AR94" i="1"/>
  <c r="BA87" i="1"/>
  <c r="AZ87" i="1"/>
  <c r="AY87" i="1"/>
  <c r="AX87" i="1"/>
  <c r="AW87" i="1"/>
  <c r="AV87" i="1"/>
  <c r="AU87" i="1"/>
  <c r="AT87" i="1"/>
  <c r="AS87" i="1"/>
  <c r="AR87" i="1"/>
  <c r="BA75" i="1"/>
  <c r="AZ75" i="1"/>
  <c r="AY75" i="1"/>
  <c r="AX75" i="1"/>
  <c r="AW75" i="1"/>
  <c r="AV75" i="1"/>
  <c r="AU75" i="1"/>
  <c r="AT75" i="1"/>
  <c r="AS75" i="1"/>
  <c r="AR75" i="1"/>
  <c r="BA65" i="1"/>
  <c r="AZ65" i="1"/>
  <c r="AY65" i="1"/>
  <c r="AX65" i="1"/>
  <c r="AW65" i="1"/>
  <c r="AV65" i="1"/>
  <c r="AU65" i="1"/>
  <c r="AT65" i="1"/>
  <c r="AS65" i="1"/>
  <c r="AR65" i="1"/>
  <c r="BA36" i="1"/>
  <c r="AZ36" i="1"/>
  <c r="AY36" i="1"/>
  <c r="AX36" i="1"/>
  <c r="AW36" i="1"/>
  <c r="AV36" i="1"/>
  <c r="AU36" i="1"/>
  <c r="AT36" i="1"/>
  <c r="AS36" i="1"/>
  <c r="AR36" i="1"/>
  <c r="BA28" i="1"/>
  <c r="AZ28" i="1"/>
  <c r="AY28" i="1"/>
  <c r="AX28" i="1"/>
  <c r="AW28" i="1"/>
  <c r="AV28" i="1"/>
  <c r="AU28" i="1"/>
  <c r="AT28" i="1"/>
  <c r="AS28" i="1"/>
  <c r="AR28" i="1"/>
  <c r="BA11" i="1"/>
  <c r="AZ11" i="1"/>
  <c r="AY11" i="1"/>
  <c r="AX11" i="1"/>
  <c r="AW11" i="1"/>
  <c r="AV11" i="1"/>
  <c r="AU11" i="1"/>
  <c r="AT11" i="1"/>
  <c r="AS11" i="1"/>
  <c r="AR11" i="1"/>
  <c r="AD12" i="1"/>
  <c r="AC12" i="1" s="1"/>
  <c r="AN327" i="1"/>
  <c r="AM327" i="1"/>
  <c r="AL327" i="1"/>
  <c r="AK327" i="1"/>
  <c r="AJ327" i="1"/>
  <c r="AI327" i="1"/>
  <c r="AH327" i="1"/>
  <c r="AG327" i="1"/>
  <c r="AF327" i="1"/>
  <c r="AE327" i="1"/>
  <c r="AN323" i="1"/>
  <c r="AM323" i="1"/>
  <c r="AL323" i="1"/>
  <c r="AK323" i="1"/>
  <c r="AJ323" i="1"/>
  <c r="AI323" i="1"/>
  <c r="AH323" i="1"/>
  <c r="AG323" i="1"/>
  <c r="AF323" i="1"/>
  <c r="AE323" i="1"/>
  <c r="AN316" i="1"/>
  <c r="AM316" i="1"/>
  <c r="AL316" i="1"/>
  <c r="AK316" i="1"/>
  <c r="AJ316" i="1"/>
  <c r="AI316" i="1"/>
  <c r="AH316" i="1"/>
  <c r="AG316" i="1"/>
  <c r="AF316" i="1"/>
  <c r="AE316" i="1"/>
  <c r="AN312" i="1"/>
  <c r="AM312" i="1"/>
  <c r="AL312" i="1"/>
  <c r="AK312" i="1"/>
  <c r="AJ312" i="1"/>
  <c r="AI312" i="1"/>
  <c r="AH312" i="1"/>
  <c r="AG312" i="1"/>
  <c r="AF312" i="1"/>
  <c r="AE312" i="1"/>
  <c r="AN308" i="1"/>
  <c r="AM308" i="1"/>
  <c r="AL308" i="1"/>
  <c r="AK308" i="1"/>
  <c r="AJ308" i="1"/>
  <c r="AI308" i="1"/>
  <c r="AH308" i="1"/>
  <c r="AG308" i="1"/>
  <c r="AF308" i="1"/>
  <c r="AE308" i="1"/>
  <c r="AN303" i="1"/>
  <c r="AM303" i="1"/>
  <c r="AL303" i="1"/>
  <c r="AK303" i="1"/>
  <c r="AJ303" i="1"/>
  <c r="AI303" i="1"/>
  <c r="AH303" i="1"/>
  <c r="AG303" i="1"/>
  <c r="AF303" i="1"/>
  <c r="AE303" i="1"/>
  <c r="AN301" i="1"/>
  <c r="AM301" i="1"/>
  <c r="AL301" i="1"/>
  <c r="AK301" i="1"/>
  <c r="AJ301" i="1"/>
  <c r="AI301" i="1"/>
  <c r="AH301" i="1"/>
  <c r="AG301" i="1"/>
  <c r="AF301" i="1"/>
  <c r="AE301" i="1"/>
  <c r="AN270" i="1"/>
  <c r="AM270" i="1"/>
  <c r="AL270" i="1"/>
  <c r="AK270" i="1"/>
  <c r="AJ270" i="1"/>
  <c r="AI270" i="1"/>
  <c r="AH270" i="1"/>
  <c r="AG270" i="1"/>
  <c r="AF270" i="1"/>
  <c r="AE270" i="1"/>
  <c r="AN246" i="1"/>
  <c r="AM246" i="1"/>
  <c r="AL246" i="1"/>
  <c r="AK246" i="1"/>
  <c r="AJ246" i="1"/>
  <c r="AI246" i="1"/>
  <c r="AH246" i="1"/>
  <c r="AG246" i="1"/>
  <c r="AF246" i="1"/>
  <c r="AE246" i="1"/>
  <c r="AN136" i="1"/>
  <c r="AM136" i="1"/>
  <c r="AL136" i="1"/>
  <c r="AK136" i="1"/>
  <c r="AJ136" i="1"/>
  <c r="AI136" i="1"/>
  <c r="AH136" i="1"/>
  <c r="AG136" i="1"/>
  <c r="AF136" i="1"/>
  <c r="AE136" i="1"/>
  <c r="AN94" i="1"/>
  <c r="AM94" i="1"/>
  <c r="AL94" i="1"/>
  <c r="AK94" i="1"/>
  <c r="AJ94" i="1"/>
  <c r="AI94" i="1"/>
  <c r="AH94" i="1"/>
  <c r="AG94" i="1"/>
  <c r="AF94" i="1"/>
  <c r="AE94" i="1"/>
  <c r="AN87" i="1"/>
  <c r="AM87" i="1"/>
  <c r="AL87" i="1"/>
  <c r="AK87" i="1"/>
  <c r="AJ87" i="1"/>
  <c r="AI87" i="1"/>
  <c r="AH87" i="1"/>
  <c r="AG87" i="1"/>
  <c r="AF87" i="1"/>
  <c r="AE87" i="1"/>
  <c r="AN75" i="1"/>
  <c r="AM75" i="1"/>
  <c r="AL75" i="1"/>
  <c r="AK75" i="1"/>
  <c r="AJ75" i="1"/>
  <c r="AI75" i="1"/>
  <c r="AH75" i="1"/>
  <c r="AG75" i="1"/>
  <c r="AF75" i="1"/>
  <c r="AE75" i="1"/>
  <c r="AN65" i="1"/>
  <c r="AM65" i="1"/>
  <c r="AL65" i="1"/>
  <c r="AK65" i="1"/>
  <c r="AJ65" i="1"/>
  <c r="AI65" i="1"/>
  <c r="AH65" i="1"/>
  <c r="AG65" i="1"/>
  <c r="AF65" i="1"/>
  <c r="AE65" i="1"/>
  <c r="AN36" i="1"/>
  <c r="AM36" i="1"/>
  <c r="AL36" i="1"/>
  <c r="AK36" i="1"/>
  <c r="AJ36" i="1"/>
  <c r="AI36" i="1"/>
  <c r="AH36" i="1"/>
  <c r="AG36" i="1"/>
  <c r="AF36" i="1"/>
  <c r="AE36" i="1"/>
  <c r="AN28" i="1"/>
  <c r="AM28" i="1"/>
  <c r="AL28" i="1"/>
  <c r="AK28" i="1"/>
  <c r="AJ28" i="1"/>
  <c r="AI28" i="1"/>
  <c r="AH28" i="1"/>
  <c r="AG28" i="1"/>
  <c r="AF28" i="1"/>
  <c r="AE28" i="1"/>
  <c r="AN11" i="1"/>
  <c r="AM11" i="1"/>
  <c r="AL11" i="1"/>
  <c r="AK11" i="1"/>
  <c r="AJ11" i="1"/>
  <c r="AI11" i="1"/>
  <c r="AH11" i="1"/>
  <c r="AG11" i="1"/>
  <c r="AF11" i="1"/>
  <c r="AE11" i="1"/>
  <c r="H12" i="1"/>
  <c r="G271" i="1" l="1"/>
  <c r="H270" i="1"/>
  <c r="G321" i="1"/>
  <c r="G320" i="1" s="1"/>
  <c r="H320" i="1"/>
  <c r="AC321" i="1"/>
  <c r="AC320" i="1" s="1"/>
  <c r="AD320" i="1"/>
  <c r="BK321" i="1"/>
  <c r="BK320" i="1" s="1"/>
  <c r="BL320" i="1"/>
  <c r="BC321" i="1"/>
  <c r="BC320" i="1" s="1"/>
  <c r="BD320" i="1"/>
  <c r="AP321" i="1"/>
  <c r="AP320" i="1" s="1"/>
  <c r="AQ320" i="1"/>
  <c r="D94" i="1"/>
  <c r="BC316" i="1"/>
  <c r="AQ301" i="1"/>
  <c r="BD323" i="1"/>
  <c r="BD316" i="1"/>
  <c r="BL316" i="1"/>
  <c r="BL323" i="1"/>
  <c r="AD301" i="1"/>
  <c r="E177" i="1"/>
  <c r="E207" i="1"/>
  <c r="BD87" i="1"/>
  <c r="E112" i="1"/>
  <c r="AD323" i="1"/>
  <c r="AD312" i="1"/>
  <c r="E162" i="1"/>
  <c r="E167" i="1"/>
  <c r="E250" i="1"/>
  <c r="E309" i="1"/>
  <c r="AD308" i="1"/>
  <c r="E217" i="1"/>
  <c r="AQ312" i="1"/>
  <c r="BO300" i="1"/>
  <c r="BO328" i="1" s="1"/>
  <c r="BL308" i="1"/>
  <c r="E144" i="1"/>
  <c r="E227" i="1"/>
  <c r="E235" i="1"/>
  <c r="E277" i="1"/>
  <c r="E315" i="1"/>
  <c r="AK300" i="1"/>
  <c r="AK328" i="1" s="1"/>
  <c r="AD316" i="1"/>
  <c r="AT300" i="1"/>
  <c r="AT328" i="1" s="1"/>
  <c r="AQ308" i="1"/>
  <c r="BD301" i="1"/>
  <c r="E145" i="1"/>
  <c r="E193" i="1"/>
  <c r="E267" i="1"/>
  <c r="AQ323" i="1"/>
  <c r="BD303" i="1"/>
  <c r="BD312" i="1"/>
  <c r="BL246" i="1"/>
  <c r="E15" i="1"/>
  <c r="E130" i="1"/>
  <c r="E185" i="1"/>
  <c r="E190" i="1"/>
  <c r="E317" i="1"/>
  <c r="AP316" i="1"/>
  <c r="AD303" i="1"/>
  <c r="BL65" i="1"/>
  <c r="BS300" i="1"/>
  <c r="BS328" i="1" s="1"/>
  <c r="E92" i="1"/>
  <c r="E314" i="1"/>
  <c r="AP308" i="1"/>
  <c r="BK87" i="1"/>
  <c r="AX300" i="1"/>
  <c r="AX328" i="1" s="1"/>
  <c r="AQ316" i="1"/>
  <c r="BD308" i="1"/>
  <c r="BL312" i="1"/>
  <c r="E204" i="1"/>
  <c r="AP303" i="1"/>
  <c r="BK65" i="1"/>
  <c r="E18" i="1"/>
  <c r="E89" i="1"/>
  <c r="E134" i="1"/>
  <c r="E150" i="1"/>
  <c r="E153" i="1"/>
  <c r="E186" i="1"/>
  <c r="E219" i="1"/>
  <c r="E225" i="1"/>
  <c r="AQ94" i="1"/>
  <c r="BD65" i="1"/>
  <c r="E46" i="1"/>
  <c r="E66" i="1"/>
  <c r="E168" i="1"/>
  <c r="E210" i="1"/>
  <c r="BL75" i="1"/>
  <c r="BL87" i="1"/>
  <c r="E77" i="1"/>
  <c r="E148" i="1"/>
  <c r="AD136" i="1"/>
  <c r="AP94" i="1"/>
  <c r="E101" i="1"/>
  <c r="AD75" i="1"/>
  <c r="BL136" i="1"/>
  <c r="E81" i="1"/>
  <c r="E88" i="1"/>
  <c r="E142" i="1"/>
  <c r="E183" i="1"/>
  <c r="E211" i="1"/>
  <c r="AP28" i="1"/>
  <c r="AD65" i="1"/>
  <c r="AD270" i="1"/>
  <c r="BL94" i="1"/>
  <c r="E69" i="1"/>
  <c r="E73" i="1"/>
  <c r="E95" i="1"/>
  <c r="E103" i="1"/>
  <c r="E113" i="1"/>
  <c r="E129" i="1"/>
  <c r="E140" i="1"/>
  <c r="E181" i="1"/>
  <c r="E194" i="1"/>
  <c r="E199" i="1"/>
  <c r="E229" i="1"/>
  <c r="E233" i="1"/>
  <c r="E237" i="1"/>
  <c r="E243" i="1"/>
  <c r="E252" i="1"/>
  <c r="E256" i="1"/>
  <c r="E263" i="1"/>
  <c r="E266" i="1"/>
  <c r="BK136" i="1"/>
  <c r="AD246" i="1"/>
  <c r="AQ136" i="1"/>
  <c r="BD136" i="1"/>
  <c r="E100" i="1"/>
  <c r="E104" i="1"/>
  <c r="E111" i="1"/>
  <c r="E114" i="1"/>
  <c r="E122" i="1"/>
  <c r="E165" i="1"/>
  <c r="E203" i="1"/>
  <c r="E230" i="1"/>
  <c r="E238" i="1"/>
  <c r="E244" i="1"/>
  <c r="E249" i="1"/>
  <c r="E253" i="1"/>
  <c r="BC87" i="1"/>
  <c r="BC75" i="1"/>
  <c r="E31" i="1"/>
  <c r="E37" i="1"/>
  <c r="E17" i="1"/>
  <c r="E29" i="1"/>
  <c r="E42" i="1"/>
  <c r="E45" i="1"/>
  <c r="E48" i="1"/>
  <c r="E56" i="1"/>
  <c r="E58" i="1"/>
  <c r="E43" i="1"/>
  <c r="E49" i="1"/>
  <c r="BD11" i="1"/>
  <c r="BL11" i="1"/>
  <c r="E24" i="1"/>
  <c r="E13" i="1"/>
  <c r="E16" i="1"/>
  <c r="E21" i="1"/>
  <c r="AG300" i="1"/>
  <c r="AG328" i="1" s="1"/>
  <c r="AL300" i="1"/>
  <c r="AL328" i="1" s="1"/>
  <c r="AJ300" i="1"/>
  <c r="AJ328" i="1" s="1"/>
  <c r="AN300" i="1"/>
  <c r="AN328" i="1" s="1"/>
  <c r="AQ327" i="1"/>
  <c r="BL36" i="1"/>
  <c r="BL270" i="1"/>
  <c r="E38" i="1"/>
  <c r="E59" i="1"/>
  <c r="E67" i="1"/>
  <c r="E70" i="1"/>
  <c r="E76" i="1"/>
  <c r="E121" i="1"/>
  <c r="E125" i="1"/>
  <c r="E137" i="1"/>
  <c r="E174" i="1"/>
  <c r="E178" i="1"/>
  <c r="E306" i="1"/>
  <c r="BC308" i="1"/>
  <c r="AI300" i="1"/>
  <c r="AI328" i="1" s="1"/>
  <c r="AQ65" i="1"/>
  <c r="AU300" i="1"/>
  <c r="AU328" i="1" s="1"/>
  <c r="AY300" i="1"/>
  <c r="AY328" i="1" s="1"/>
  <c r="AS300" i="1"/>
  <c r="AS328" i="1" s="1"/>
  <c r="AW300" i="1"/>
  <c r="AW328" i="1" s="1"/>
  <c r="BA300" i="1"/>
  <c r="BA328" i="1" s="1"/>
  <c r="BD246" i="1"/>
  <c r="BL28" i="1"/>
  <c r="BL303" i="1"/>
  <c r="BP300" i="1"/>
  <c r="BP328" i="1" s="1"/>
  <c r="BT300" i="1"/>
  <c r="BT328" i="1" s="1"/>
  <c r="BN300" i="1"/>
  <c r="BN328" i="1" s="1"/>
  <c r="BR300" i="1"/>
  <c r="BR328" i="1" s="1"/>
  <c r="BW300" i="1"/>
  <c r="BW328" i="1" s="1"/>
  <c r="E30" i="1"/>
  <c r="E34" i="1"/>
  <c r="E126" i="1"/>
  <c r="E172" i="1"/>
  <c r="E213" i="1"/>
  <c r="E224" i="1"/>
  <c r="E234" i="1"/>
  <c r="AH269" i="1"/>
  <c r="AM300" i="1"/>
  <c r="AM328" i="1" s="1"/>
  <c r="AQ36" i="1"/>
  <c r="AQ303" i="1"/>
  <c r="AR300" i="1"/>
  <c r="AR328" i="1" s="1"/>
  <c r="AV300" i="1"/>
  <c r="AV328" i="1" s="1"/>
  <c r="AZ300" i="1"/>
  <c r="AZ328" i="1" s="1"/>
  <c r="BM300" i="1"/>
  <c r="BM328" i="1" s="1"/>
  <c r="BQ300" i="1"/>
  <c r="BQ328" i="1" s="1"/>
  <c r="BU300" i="1"/>
  <c r="BU328" i="1" s="1"/>
  <c r="BK12" i="1"/>
  <c r="E25" i="1"/>
  <c r="E105" i="1"/>
  <c r="E115" i="1"/>
  <c r="E197" i="1"/>
  <c r="E138" i="1"/>
  <c r="E143" i="1"/>
  <c r="E146" i="1"/>
  <c r="E151" i="1"/>
  <c r="E154" i="1"/>
  <c r="E166" i="1"/>
  <c r="E169" i="1"/>
  <c r="E176" i="1"/>
  <c r="E179" i="1"/>
  <c r="E184" i="1"/>
  <c r="E187" i="1"/>
  <c r="E198" i="1"/>
  <c r="E201" i="1"/>
  <c r="E205" i="1"/>
  <c r="E216" i="1"/>
  <c r="E231" i="1"/>
  <c r="E239" i="1"/>
  <c r="E278" i="1"/>
  <c r="E282" i="1"/>
  <c r="E287" i="1"/>
  <c r="E291" i="1"/>
  <c r="E296" i="1"/>
  <c r="E324" i="1"/>
  <c r="AP65" i="1"/>
  <c r="E40" i="1"/>
  <c r="E44" i="1"/>
  <c r="E50" i="1"/>
  <c r="E57" i="1"/>
  <c r="E60" i="1"/>
  <c r="E68" i="1"/>
  <c r="E80" i="1"/>
  <c r="E84" i="1"/>
  <c r="E96" i="1"/>
  <c r="E99" i="1"/>
  <c r="E102" i="1"/>
  <c r="E116" i="1"/>
  <c r="E120" i="1"/>
  <c r="E123" i="1"/>
  <c r="E141" i="1"/>
  <c r="E149" i="1"/>
  <c r="E152" i="1"/>
  <c r="E164" i="1"/>
  <c r="E173" i="1"/>
  <c r="E182" i="1"/>
  <c r="E196" i="1"/>
  <c r="E202" i="1"/>
  <c r="E212" i="1"/>
  <c r="E220" i="1"/>
  <c r="E248" i="1"/>
  <c r="E254" i="1"/>
  <c r="E265" i="1"/>
  <c r="AP136" i="1"/>
  <c r="BC28" i="1"/>
  <c r="BC36" i="1"/>
  <c r="E33" i="1"/>
  <c r="E41" i="1"/>
  <c r="E51" i="1"/>
  <c r="E61" i="1"/>
  <c r="E72" i="1"/>
  <c r="E78" i="1"/>
  <c r="E91" i="1"/>
  <c r="E97" i="1"/>
  <c r="E117" i="1"/>
  <c r="E124" i="1"/>
  <c r="E139" i="1"/>
  <c r="E147" i="1"/>
  <c r="E161" i="1"/>
  <c r="E171" i="1"/>
  <c r="E180" i="1"/>
  <c r="E189" i="1"/>
  <c r="E192" i="1"/>
  <c r="E206" i="1"/>
  <c r="E209" i="1"/>
  <c r="E221" i="1"/>
  <c r="E226" i="1"/>
  <c r="E259" i="1"/>
  <c r="E305" i="1"/>
  <c r="E310" i="1"/>
  <c r="AC303" i="1"/>
  <c r="BC312" i="1"/>
  <c r="BK94" i="1"/>
  <c r="BK270" i="1"/>
  <c r="E280" i="1"/>
  <c r="E289" i="1"/>
  <c r="E294" i="1"/>
  <c r="E298" i="1"/>
  <c r="E281" i="1"/>
  <c r="E290" i="1"/>
  <c r="E295" i="1"/>
  <c r="AQ11" i="1"/>
  <c r="AY269" i="1"/>
  <c r="AQ28" i="1"/>
  <c r="AQ87" i="1"/>
  <c r="BD75" i="1"/>
  <c r="BD94" i="1"/>
  <c r="E14" i="1"/>
  <c r="E22" i="1"/>
  <c r="E79" i="1"/>
  <c r="E85" i="1"/>
  <c r="E90" i="1"/>
  <c r="E98" i="1"/>
  <c r="E110" i="1"/>
  <c r="E118" i="1"/>
  <c r="E127" i="1"/>
  <c r="E261" i="1"/>
  <c r="E304" i="1"/>
  <c r="E313" i="1"/>
  <c r="E318" i="1"/>
  <c r="AC28" i="1"/>
  <c r="AC136" i="1"/>
  <c r="AC270" i="1"/>
  <c r="AC312" i="1"/>
  <c r="AD36" i="1"/>
  <c r="AD94" i="1"/>
  <c r="AE300" i="1"/>
  <c r="AE328" i="1" s="1"/>
  <c r="AQ75" i="1"/>
  <c r="AQ270" i="1"/>
  <c r="BO269" i="1"/>
  <c r="E39" i="1"/>
  <c r="E47" i="1"/>
  <c r="E82" i="1"/>
  <c r="E191" i="1"/>
  <c r="E200" i="1"/>
  <c r="E208" i="1"/>
  <c r="E218" i="1"/>
  <c r="E228" i="1"/>
  <c r="E232" i="1"/>
  <c r="E236" i="1"/>
  <c r="E242" i="1"/>
  <c r="E257" i="1"/>
  <c r="E271" i="1"/>
  <c r="E279" i="1"/>
  <c r="E285" i="1"/>
  <c r="E288" i="1"/>
  <c r="E293" i="1"/>
  <c r="E297" i="1"/>
  <c r="AC94" i="1"/>
  <c r="BC65" i="1"/>
  <c r="AG269" i="1"/>
  <c r="AD28" i="1"/>
  <c r="AD87" i="1"/>
  <c r="AF300" i="1"/>
  <c r="AF328" i="1" s="1"/>
  <c r="AQ246" i="1"/>
  <c r="BD28" i="1"/>
  <c r="E262" i="1"/>
  <c r="E286" i="1"/>
  <c r="AC36" i="1"/>
  <c r="AC316" i="1"/>
  <c r="AP246" i="1"/>
  <c r="E247" i="1"/>
  <c r="E255" i="1"/>
  <c r="E264" i="1"/>
  <c r="E307" i="1"/>
  <c r="E311" i="1"/>
  <c r="AC65" i="1"/>
  <c r="AC308" i="1"/>
  <c r="BC136" i="1"/>
  <c r="AP270" i="1"/>
  <c r="AP312" i="1"/>
  <c r="E251" i="1"/>
  <c r="E260" i="1"/>
  <c r="E302" i="1"/>
  <c r="BK308" i="1"/>
  <c r="BD36" i="1"/>
  <c r="BK75" i="1"/>
  <c r="BC303" i="1"/>
  <c r="BK316" i="1"/>
  <c r="BK246" i="1"/>
  <c r="BK303" i="1"/>
  <c r="BK312" i="1"/>
  <c r="BD270" i="1"/>
  <c r="BK36" i="1"/>
  <c r="BK28" i="1"/>
  <c r="BC270" i="1"/>
  <c r="BC246" i="1"/>
  <c r="BC94" i="1"/>
  <c r="BD327" i="1"/>
  <c r="AP87" i="1"/>
  <c r="AP75" i="1"/>
  <c r="AP36" i="1"/>
  <c r="AC246" i="1"/>
  <c r="AC87" i="1"/>
  <c r="AC75" i="1"/>
  <c r="AC11" i="1"/>
  <c r="AL269" i="1"/>
  <c r="AP327" i="1"/>
  <c r="AP11" i="1"/>
  <c r="BF269" i="1"/>
  <c r="BG300" i="1"/>
  <c r="BG328" i="1" s="1"/>
  <c r="BH300" i="1"/>
  <c r="BH328" i="1" s="1"/>
  <c r="AD11" i="1"/>
  <c r="AD327" i="1"/>
  <c r="BC11" i="1"/>
  <c r="BH269" i="1"/>
  <c r="BE300" i="1"/>
  <c r="BE328" i="1" s="1"/>
  <c r="BI300" i="1"/>
  <c r="BI328" i="1" s="1"/>
  <c r="BL327" i="1"/>
  <c r="BS269" i="1"/>
  <c r="BP269" i="1"/>
  <c r="BT269" i="1"/>
  <c r="BM269" i="1"/>
  <c r="BQ269" i="1"/>
  <c r="BU269" i="1"/>
  <c r="BN269" i="1"/>
  <c r="BR269" i="1"/>
  <c r="BW269" i="1"/>
  <c r="BF300" i="1"/>
  <c r="BF328" i="1" s="1"/>
  <c r="BG269" i="1"/>
  <c r="BE269" i="1"/>
  <c r="BI269" i="1"/>
  <c r="AT269" i="1"/>
  <c r="AX269" i="1"/>
  <c r="AU269" i="1"/>
  <c r="AR269" i="1"/>
  <c r="AV269" i="1"/>
  <c r="AZ269" i="1"/>
  <c r="AS269" i="1"/>
  <c r="AW269" i="1"/>
  <c r="BA269" i="1"/>
  <c r="AH300" i="1"/>
  <c r="AH328" i="1" s="1"/>
  <c r="AC327" i="1"/>
  <c r="AK269" i="1"/>
  <c r="AE269" i="1"/>
  <c r="AI269" i="1"/>
  <c r="AM269" i="1"/>
  <c r="AF269" i="1"/>
  <c r="AJ269" i="1"/>
  <c r="AN269" i="1"/>
  <c r="H323" i="1"/>
  <c r="H316" i="1"/>
  <c r="H312" i="1"/>
  <c r="H308" i="1"/>
  <c r="H303" i="1"/>
  <c r="H301" i="1"/>
  <c r="H246" i="1"/>
  <c r="H136" i="1"/>
  <c r="H94" i="1"/>
  <c r="H87" i="1"/>
  <c r="H75" i="1"/>
  <c r="H65" i="1"/>
  <c r="H36" i="1"/>
  <c r="H28" i="1"/>
  <c r="BK327" i="1" l="1"/>
  <c r="BC327" i="1"/>
  <c r="E321" i="1"/>
  <c r="E320" i="1" s="1"/>
  <c r="BK11" i="1"/>
  <c r="BK269" i="1" s="1"/>
  <c r="AU326" i="1"/>
  <c r="AE326" i="1"/>
  <c r="BT326" i="1"/>
  <c r="BA326" i="1"/>
  <c r="AL326" i="1"/>
  <c r="AT326" i="1"/>
  <c r="AW326" i="1"/>
  <c r="AR326" i="1"/>
  <c r="AV326" i="1"/>
  <c r="BS326" i="1"/>
  <c r="AP300" i="1"/>
  <c r="AP328" i="1" s="1"/>
  <c r="BO326" i="1"/>
  <c r="AD300" i="1"/>
  <c r="AD328" i="1" s="1"/>
  <c r="AF326" i="1"/>
  <c r="AZ326" i="1"/>
  <c r="AX326" i="1"/>
  <c r="BR326" i="1"/>
  <c r="BC300" i="1"/>
  <c r="BC328" i="1" s="1"/>
  <c r="AG326" i="1"/>
  <c r="AY326" i="1"/>
  <c r="AJ326" i="1"/>
  <c r="BQ326" i="1"/>
  <c r="BD300" i="1"/>
  <c r="BD328" i="1" s="1"/>
  <c r="AK326" i="1"/>
  <c r="AN326" i="1"/>
  <c r="AI326" i="1"/>
  <c r="AQ300" i="1"/>
  <c r="AQ328" i="1" s="1"/>
  <c r="BU326" i="1"/>
  <c r="BH326" i="1"/>
  <c r="AS326" i="1"/>
  <c r="AM326" i="1"/>
  <c r="BN326" i="1"/>
  <c r="AC300" i="1"/>
  <c r="AC328" i="1" s="1"/>
  <c r="BL300" i="1"/>
  <c r="BL328" i="1" s="1"/>
  <c r="BL269" i="1"/>
  <c r="BD269" i="1"/>
  <c r="AQ269" i="1"/>
  <c r="BW326" i="1"/>
  <c r="BP326" i="1"/>
  <c r="BK300" i="1"/>
  <c r="BK328" i="1" s="1"/>
  <c r="BM326" i="1"/>
  <c r="BI326" i="1"/>
  <c r="BE326" i="1"/>
  <c r="BC269" i="1"/>
  <c r="AD269" i="1"/>
  <c r="AC269" i="1"/>
  <c r="H300" i="1"/>
  <c r="BG326" i="1"/>
  <c r="AP269" i="1"/>
  <c r="BF326" i="1"/>
  <c r="AH326" i="1"/>
  <c r="BC326" i="1" l="1"/>
  <c r="D5" i="5" s="1"/>
  <c r="AD326" i="1"/>
  <c r="AC326" i="1"/>
  <c r="AP326" i="1"/>
  <c r="BD326" i="1"/>
  <c r="AQ326" i="1"/>
  <c r="BL326" i="1"/>
  <c r="BK326" i="1"/>
  <c r="E312" i="1"/>
  <c r="E303" i="1"/>
  <c r="E301" i="1"/>
  <c r="E246" i="1"/>
  <c r="AA327" i="1"/>
  <c r="R327" i="1"/>
  <c r="Q327" i="1"/>
  <c r="P327" i="1"/>
  <c r="O327" i="1"/>
  <c r="N327" i="1"/>
  <c r="M327" i="1"/>
  <c r="L327" i="1"/>
  <c r="K327" i="1"/>
  <c r="I327" i="1"/>
  <c r="AA323" i="1"/>
  <c r="R323" i="1"/>
  <c r="Q323" i="1"/>
  <c r="P323" i="1"/>
  <c r="O323" i="1"/>
  <c r="N323" i="1"/>
  <c r="M323" i="1"/>
  <c r="L323" i="1"/>
  <c r="K323" i="1"/>
  <c r="I323" i="1"/>
  <c r="G323" i="1"/>
  <c r="AA316" i="1"/>
  <c r="R316" i="1"/>
  <c r="Q316" i="1"/>
  <c r="P316" i="1"/>
  <c r="O316" i="1"/>
  <c r="N316" i="1"/>
  <c r="M316" i="1"/>
  <c r="L316" i="1"/>
  <c r="K316" i="1"/>
  <c r="I316" i="1"/>
  <c r="G316" i="1"/>
  <c r="AA312" i="1"/>
  <c r="R312" i="1"/>
  <c r="Q312" i="1"/>
  <c r="P312" i="1"/>
  <c r="O312" i="1"/>
  <c r="N312" i="1"/>
  <c r="M312" i="1"/>
  <c r="L312" i="1"/>
  <c r="K312" i="1"/>
  <c r="I312" i="1"/>
  <c r="G312" i="1"/>
  <c r="AA308" i="1"/>
  <c r="R308" i="1"/>
  <c r="Q308" i="1"/>
  <c r="P308" i="1"/>
  <c r="O308" i="1"/>
  <c r="N308" i="1"/>
  <c r="M308" i="1"/>
  <c r="L308" i="1"/>
  <c r="K308" i="1"/>
  <c r="I308" i="1"/>
  <c r="G308" i="1"/>
  <c r="AA303" i="1"/>
  <c r="R303" i="1"/>
  <c r="Q303" i="1"/>
  <c r="P303" i="1"/>
  <c r="O303" i="1"/>
  <c r="N303" i="1"/>
  <c r="M303" i="1"/>
  <c r="L303" i="1"/>
  <c r="K303" i="1"/>
  <c r="I303" i="1"/>
  <c r="G303" i="1"/>
  <c r="AA301" i="1"/>
  <c r="R301" i="1"/>
  <c r="Q301" i="1"/>
  <c r="P301" i="1"/>
  <c r="O301" i="1"/>
  <c r="N301" i="1"/>
  <c r="M301" i="1"/>
  <c r="L301" i="1"/>
  <c r="K301" i="1"/>
  <c r="I301" i="1"/>
  <c r="G301" i="1"/>
  <c r="AA270" i="1"/>
  <c r="R270" i="1"/>
  <c r="Q270" i="1"/>
  <c r="P270" i="1"/>
  <c r="O270" i="1"/>
  <c r="N270" i="1"/>
  <c r="M270" i="1"/>
  <c r="L270" i="1"/>
  <c r="K270" i="1"/>
  <c r="I270" i="1"/>
  <c r="AA246" i="1"/>
  <c r="R246" i="1"/>
  <c r="Q246" i="1"/>
  <c r="P246" i="1"/>
  <c r="O246" i="1"/>
  <c r="N246" i="1"/>
  <c r="M246" i="1"/>
  <c r="L246" i="1"/>
  <c r="K246" i="1"/>
  <c r="I246" i="1"/>
  <c r="G246" i="1"/>
  <c r="AA136" i="1"/>
  <c r="R136" i="1"/>
  <c r="Q136" i="1"/>
  <c r="P136" i="1"/>
  <c r="O136" i="1"/>
  <c r="N136" i="1"/>
  <c r="M136" i="1"/>
  <c r="L136" i="1"/>
  <c r="K136" i="1"/>
  <c r="I136" i="1"/>
  <c r="G136" i="1"/>
  <c r="AA94" i="1"/>
  <c r="R94" i="1"/>
  <c r="Q94" i="1"/>
  <c r="P94" i="1"/>
  <c r="O94" i="1"/>
  <c r="N94" i="1"/>
  <c r="M94" i="1"/>
  <c r="L94" i="1"/>
  <c r="K94" i="1"/>
  <c r="I94" i="1"/>
  <c r="G94" i="1"/>
  <c r="AA87" i="1"/>
  <c r="R87" i="1"/>
  <c r="Q87" i="1"/>
  <c r="P87" i="1"/>
  <c r="O87" i="1"/>
  <c r="N87" i="1"/>
  <c r="M87" i="1"/>
  <c r="L87" i="1"/>
  <c r="K87" i="1"/>
  <c r="I87" i="1"/>
  <c r="G87" i="1"/>
  <c r="R75" i="1"/>
  <c r="Q75" i="1"/>
  <c r="P75" i="1"/>
  <c r="O75" i="1"/>
  <c r="N75" i="1"/>
  <c r="M75" i="1"/>
  <c r="L75" i="1"/>
  <c r="K75" i="1"/>
  <c r="I75" i="1"/>
  <c r="G75" i="1"/>
  <c r="AA65" i="1"/>
  <c r="R65" i="1"/>
  <c r="Q65" i="1"/>
  <c r="P65" i="1"/>
  <c r="O65" i="1"/>
  <c r="N65" i="1"/>
  <c r="M65" i="1"/>
  <c r="L65" i="1"/>
  <c r="K65" i="1"/>
  <c r="I65" i="1"/>
  <c r="G65" i="1"/>
  <c r="AA36" i="1"/>
  <c r="R36" i="1"/>
  <c r="Q36" i="1"/>
  <c r="P36" i="1"/>
  <c r="O36" i="1"/>
  <c r="N36" i="1"/>
  <c r="M36" i="1"/>
  <c r="L36" i="1"/>
  <c r="K36" i="1"/>
  <c r="I36" i="1"/>
  <c r="G36" i="1"/>
  <c r="AA28" i="1"/>
  <c r="R28" i="1"/>
  <c r="Q28" i="1"/>
  <c r="P28" i="1"/>
  <c r="O28" i="1"/>
  <c r="N28" i="1"/>
  <c r="M28" i="1"/>
  <c r="L28" i="1"/>
  <c r="K28" i="1"/>
  <c r="I28" i="1"/>
  <c r="G28" i="1"/>
  <c r="AA11" i="1"/>
  <c r="R11" i="1"/>
  <c r="Q11" i="1"/>
  <c r="P11" i="1"/>
  <c r="O11" i="1"/>
  <c r="N11" i="1"/>
  <c r="M11" i="1"/>
  <c r="L11" i="1"/>
  <c r="K11" i="1"/>
  <c r="I11" i="1"/>
  <c r="D323" i="1"/>
  <c r="D316" i="1"/>
  <c r="D312" i="1"/>
  <c r="D308" i="1"/>
  <c r="D303" i="1"/>
  <c r="D301" i="1"/>
  <c r="D246" i="1"/>
  <c r="D136" i="1"/>
  <c r="D87" i="1"/>
  <c r="D75" i="1"/>
  <c r="D65" i="1"/>
  <c r="D36" i="1"/>
  <c r="D28" i="1"/>
  <c r="E323" i="1"/>
  <c r="B13" i="5" l="1"/>
  <c r="E87" i="1"/>
  <c r="E65" i="1"/>
  <c r="E75" i="1"/>
  <c r="O300" i="1"/>
  <c r="O328" i="1" s="1"/>
  <c r="I300" i="1"/>
  <c r="I328" i="1" s="1"/>
  <c r="N300" i="1"/>
  <c r="N328" i="1" s="1"/>
  <c r="R300" i="1"/>
  <c r="R328" i="1" s="1"/>
  <c r="K300" i="1"/>
  <c r="K328" i="1" s="1"/>
  <c r="AA300" i="1"/>
  <c r="AA328" i="1" s="1"/>
  <c r="L300" i="1"/>
  <c r="L328" i="1" s="1"/>
  <c r="P300" i="1"/>
  <c r="P328" i="1" s="1"/>
  <c r="G300" i="1"/>
  <c r="M300" i="1"/>
  <c r="M328" i="1" s="1"/>
  <c r="Q300" i="1"/>
  <c r="Q328" i="1" s="1"/>
  <c r="E94" i="1"/>
  <c r="E28" i="1"/>
  <c r="E36" i="1"/>
  <c r="I269" i="1"/>
  <c r="E136" i="1"/>
  <c r="E308" i="1"/>
  <c r="E316" i="1"/>
  <c r="D300" i="1"/>
  <c r="M269" i="1"/>
  <c r="K269" i="1"/>
  <c r="O269" i="1"/>
  <c r="R269" i="1"/>
  <c r="Q269" i="1"/>
  <c r="N269" i="1"/>
  <c r="L269" i="1"/>
  <c r="P269" i="1"/>
  <c r="AA269" i="1"/>
  <c r="V92" i="4"/>
  <c r="U92" i="4" s="1"/>
  <c r="V71" i="4"/>
  <c r="U71" i="4" s="1"/>
  <c r="V157" i="4"/>
  <c r="U157" i="4" s="1"/>
  <c r="V156" i="4"/>
  <c r="U156" i="4" s="1"/>
  <c r="V152" i="4"/>
  <c r="U152" i="4" s="1"/>
  <c r="V151" i="4"/>
  <c r="U151" i="4" s="1"/>
  <c r="V143" i="4"/>
  <c r="U143" i="4" s="1"/>
  <c r="V133" i="4"/>
  <c r="U133" i="4" s="1"/>
  <c r="V132" i="4"/>
  <c r="U132" i="4" s="1"/>
  <c r="V142" i="4"/>
  <c r="U142" i="4" s="1"/>
  <c r="V130" i="4"/>
  <c r="V141" i="4"/>
  <c r="U141" i="4" s="1"/>
  <c r="V140" i="4"/>
  <c r="V121" i="4"/>
  <c r="U121" i="4" s="1"/>
  <c r="V120" i="4"/>
  <c r="U120" i="4" s="1"/>
  <c r="V119" i="4"/>
  <c r="U119" i="4" s="1"/>
  <c r="V118" i="4"/>
  <c r="U118" i="4" s="1"/>
  <c r="V117" i="4"/>
  <c r="U117" i="4" s="1"/>
  <c r="V115" i="4"/>
  <c r="U115" i="4" s="1"/>
  <c r="V114" i="4"/>
  <c r="U114" i="4" s="1"/>
  <c r="V113" i="4"/>
  <c r="U113" i="4" s="1"/>
  <c r="V112" i="4"/>
  <c r="U112" i="4" s="1"/>
  <c r="V111" i="4"/>
  <c r="U111" i="4" s="1"/>
  <c r="V109" i="4"/>
  <c r="U109" i="4" s="1"/>
  <c r="V108" i="4"/>
  <c r="U108" i="4" s="1"/>
  <c r="V107" i="4"/>
  <c r="U107" i="4" s="1"/>
  <c r="V106" i="4"/>
  <c r="U106" i="4" s="1"/>
  <c r="V105" i="4"/>
  <c r="U105" i="4" s="1"/>
  <c r="V104" i="4"/>
  <c r="U104" i="4" s="1"/>
  <c r="V103" i="4"/>
  <c r="U103" i="4" s="1"/>
  <c r="V102" i="4"/>
  <c r="U102" i="4" s="1"/>
  <c r="V101" i="4"/>
  <c r="U101" i="4" s="1"/>
  <c r="V100" i="4"/>
  <c r="U100" i="4" s="1"/>
  <c r="V99" i="4"/>
  <c r="U99" i="4" s="1"/>
  <c r="V98" i="4"/>
  <c r="U98" i="4" s="1"/>
  <c r="V97" i="4"/>
  <c r="V91" i="4"/>
  <c r="U91" i="4" s="1"/>
  <c r="U90" i="4" s="1"/>
  <c r="V88" i="4"/>
  <c r="U88" i="4" s="1"/>
  <c r="V87" i="4"/>
  <c r="V86" i="4"/>
  <c r="U86" i="4" s="1"/>
  <c r="V84" i="4"/>
  <c r="U84" i="4" s="1"/>
  <c r="V83" i="4"/>
  <c r="V81" i="4"/>
  <c r="U81" i="4" s="1"/>
  <c r="U80" i="4" s="1"/>
  <c r="V79" i="4"/>
  <c r="U79" i="4" s="1"/>
  <c r="V78" i="4"/>
  <c r="U78" i="4" s="1"/>
  <c r="V75" i="4"/>
  <c r="U75" i="4" s="1"/>
  <c r="V74" i="4"/>
  <c r="V70" i="4"/>
  <c r="U70" i="4" s="1"/>
  <c r="V67" i="4"/>
  <c r="U67" i="4" s="1"/>
  <c r="V66" i="4"/>
  <c r="V63" i="4"/>
  <c r="U63" i="4" s="1"/>
  <c r="U62" i="4" s="1"/>
  <c r="V61" i="4"/>
  <c r="U61" i="4" s="1"/>
  <c r="V60" i="4"/>
  <c r="U60" i="4" s="1"/>
  <c r="V59" i="4"/>
  <c r="V57" i="4"/>
  <c r="V54" i="4"/>
  <c r="V53" i="4" s="1"/>
  <c r="V52" i="4"/>
  <c r="U52" i="4" s="1"/>
  <c r="U51" i="4" s="1"/>
  <c r="V49" i="4"/>
  <c r="V46" i="4"/>
  <c r="U46" i="4" s="1"/>
  <c r="U45" i="4" s="1"/>
  <c r="U44" i="4" s="1"/>
  <c r="V43" i="4"/>
  <c r="U43" i="4" s="1"/>
  <c r="V42" i="4"/>
  <c r="U42" i="4" s="1"/>
  <c r="V41" i="4"/>
  <c r="U41" i="4" s="1"/>
  <c r="V40" i="4"/>
  <c r="U40" i="4" s="1"/>
  <c r="V38" i="4"/>
  <c r="U38" i="4" s="1"/>
  <c r="V37" i="4"/>
  <c r="U37" i="4" s="1"/>
  <c r="V34" i="4"/>
  <c r="V31" i="4"/>
  <c r="U31" i="4" s="1"/>
  <c r="U30" i="4" s="1"/>
  <c r="U29" i="4" s="1"/>
  <c r="V28" i="4"/>
  <c r="V27" i="4" s="1"/>
  <c r="V25" i="4"/>
  <c r="U25" i="4" s="1"/>
  <c r="V24" i="4"/>
  <c r="V22" i="4"/>
  <c r="U22" i="4" s="1"/>
  <c r="V21" i="4"/>
  <c r="U21" i="4" s="1"/>
  <c r="V19" i="4"/>
  <c r="U19" i="4" s="1"/>
  <c r="V18" i="4"/>
  <c r="V13" i="4"/>
  <c r="F34" i="4"/>
  <c r="F33" i="4" s="1"/>
  <c r="F32" i="4" s="1"/>
  <c r="H33" i="4"/>
  <c r="H32" i="4" s="1"/>
  <c r="E33" i="4"/>
  <c r="AH34" i="4"/>
  <c r="G157" i="4"/>
  <c r="F157" i="4" s="1"/>
  <c r="G156" i="4"/>
  <c r="G152" i="4"/>
  <c r="F152" i="4" s="1"/>
  <c r="G151" i="4"/>
  <c r="F151" i="4" s="1"/>
  <c r="G143" i="4"/>
  <c r="F143" i="4" s="1"/>
  <c r="G133" i="4"/>
  <c r="F133" i="4" s="1"/>
  <c r="G132" i="4"/>
  <c r="F132" i="4" s="1"/>
  <c r="G142" i="4"/>
  <c r="F142" i="4" s="1"/>
  <c r="G130" i="4"/>
  <c r="G141" i="4"/>
  <c r="F141" i="4" s="1"/>
  <c r="G140" i="4"/>
  <c r="G121" i="4"/>
  <c r="F121" i="4" s="1"/>
  <c r="G120" i="4"/>
  <c r="G119" i="4"/>
  <c r="F119" i="4" s="1"/>
  <c r="G118" i="4"/>
  <c r="F118" i="4" s="1"/>
  <c r="G117" i="4"/>
  <c r="F117" i="4" s="1"/>
  <c r="G115" i="4"/>
  <c r="F115" i="4" s="1"/>
  <c r="G114" i="4"/>
  <c r="F114" i="4" s="1"/>
  <c r="G113" i="4"/>
  <c r="F113" i="4" s="1"/>
  <c r="G112" i="4"/>
  <c r="F112" i="4" s="1"/>
  <c r="G111" i="4"/>
  <c r="F111" i="4" s="1"/>
  <c r="G109" i="4"/>
  <c r="F109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G92" i="4"/>
  <c r="F92" i="4" s="1"/>
  <c r="G91" i="4"/>
  <c r="F91" i="4" s="1"/>
  <c r="F90" i="4" s="1"/>
  <c r="G88" i="4"/>
  <c r="F88" i="4" s="1"/>
  <c r="G87" i="4"/>
  <c r="F87" i="4" s="1"/>
  <c r="G86" i="4"/>
  <c r="F86" i="4" s="1"/>
  <c r="G84" i="4"/>
  <c r="F84" i="4" s="1"/>
  <c r="G83" i="4"/>
  <c r="F83" i="4" s="1"/>
  <c r="G81" i="4"/>
  <c r="F81" i="4" s="1"/>
  <c r="F80" i="4" s="1"/>
  <c r="G79" i="4"/>
  <c r="F79" i="4" s="1"/>
  <c r="G78" i="4"/>
  <c r="F78" i="4" s="1"/>
  <c r="G75" i="4"/>
  <c r="F75" i="4" s="1"/>
  <c r="G74" i="4"/>
  <c r="F74" i="4" s="1"/>
  <c r="G71" i="4"/>
  <c r="F71" i="4" s="1"/>
  <c r="G70" i="4"/>
  <c r="F70" i="4" s="1"/>
  <c r="G67" i="4"/>
  <c r="F67" i="4" s="1"/>
  <c r="G66" i="4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G155" i="4"/>
  <c r="AG154" i="4" s="1"/>
  <c r="AE155" i="4"/>
  <c r="AE154" i="4" s="1"/>
  <c r="AD155" i="4"/>
  <c r="AD154" i="4" s="1"/>
  <c r="AC155" i="4"/>
  <c r="AC154" i="4" s="1"/>
  <c r="AB155" i="4"/>
  <c r="AB154" i="4" s="1"/>
  <c r="AA155" i="4"/>
  <c r="AA154" i="4" s="1"/>
  <c r="Z155" i="4"/>
  <c r="Z154" i="4" s="1"/>
  <c r="Y155" i="4"/>
  <c r="Y154" i="4" s="1"/>
  <c r="X155" i="4"/>
  <c r="X154" i="4" s="1"/>
  <c r="W155" i="4"/>
  <c r="W154" i="4" s="1"/>
  <c r="AG150" i="4"/>
  <c r="AE150" i="4"/>
  <c r="AD150" i="4"/>
  <c r="AC150" i="4"/>
  <c r="AB150" i="4"/>
  <c r="AA150" i="4"/>
  <c r="Z150" i="4"/>
  <c r="Y150" i="4"/>
  <c r="X150" i="4"/>
  <c r="W150" i="4"/>
  <c r="AG90" i="4"/>
  <c r="AG89" i="4" s="1"/>
  <c r="AE90" i="4"/>
  <c r="AE89" i="4" s="1"/>
  <c r="AD90" i="4"/>
  <c r="AD89" i="4" s="1"/>
  <c r="AC90" i="4"/>
  <c r="AC89" i="4" s="1"/>
  <c r="AB90" i="4"/>
  <c r="AB89" i="4" s="1"/>
  <c r="AA90" i="4"/>
  <c r="AA89" i="4" s="1"/>
  <c r="Z90" i="4"/>
  <c r="Z89" i="4" s="1"/>
  <c r="Y90" i="4"/>
  <c r="Y89" i="4" s="1"/>
  <c r="X90" i="4"/>
  <c r="X89" i="4" s="1"/>
  <c r="W90" i="4"/>
  <c r="W89" i="4" s="1"/>
  <c r="AG85" i="4"/>
  <c r="AE85" i="4"/>
  <c r="AD85" i="4"/>
  <c r="AC85" i="4"/>
  <c r="AB85" i="4"/>
  <c r="AA85" i="4"/>
  <c r="Z85" i="4"/>
  <c r="Y85" i="4"/>
  <c r="X85" i="4"/>
  <c r="W85" i="4"/>
  <c r="AG82" i="4"/>
  <c r="AE82" i="4"/>
  <c r="AD82" i="4"/>
  <c r="AC82" i="4"/>
  <c r="AB82" i="4"/>
  <c r="AA82" i="4"/>
  <c r="Z82" i="4"/>
  <c r="Y82" i="4"/>
  <c r="X82" i="4"/>
  <c r="W82" i="4"/>
  <c r="AG80" i="4"/>
  <c r="AE80" i="4"/>
  <c r="AD80" i="4"/>
  <c r="AC80" i="4"/>
  <c r="AB80" i="4"/>
  <c r="AA80" i="4"/>
  <c r="Z80" i="4"/>
  <c r="Y80" i="4"/>
  <c r="X80" i="4"/>
  <c r="W80" i="4"/>
  <c r="AG77" i="4"/>
  <c r="AE77" i="4"/>
  <c r="AD77" i="4"/>
  <c r="AC77" i="4"/>
  <c r="AB77" i="4"/>
  <c r="AA77" i="4"/>
  <c r="Z77" i="4"/>
  <c r="Y77" i="4"/>
  <c r="X77" i="4"/>
  <c r="W77" i="4"/>
  <c r="AG73" i="4"/>
  <c r="AE73" i="4"/>
  <c r="AD73" i="4"/>
  <c r="AC73" i="4"/>
  <c r="AB73" i="4"/>
  <c r="AA73" i="4"/>
  <c r="Z73" i="4"/>
  <c r="Y73" i="4"/>
  <c r="X73" i="4"/>
  <c r="W73" i="4"/>
  <c r="AG69" i="4"/>
  <c r="AE69" i="4"/>
  <c r="AD69" i="4"/>
  <c r="AC69" i="4"/>
  <c r="AB69" i="4"/>
  <c r="AA69" i="4"/>
  <c r="Z69" i="4"/>
  <c r="Y69" i="4"/>
  <c r="X69" i="4"/>
  <c r="W69" i="4"/>
  <c r="AG64" i="4"/>
  <c r="AE64" i="4"/>
  <c r="AD64" i="4"/>
  <c r="AC64" i="4"/>
  <c r="AB64" i="4"/>
  <c r="AA64" i="4"/>
  <c r="Z64" i="4"/>
  <c r="Y64" i="4"/>
  <c r="X64" i="4"/>
  <c r="W64" i="4"/>
  <c r="AG62" i="4"/>
  <c r="AE62" i="4"/>
  <c r="AD62" i="4"/>
  <c r="AC62" i="4"/>
  <c r="AB62" i="4"/>
  <c r="AA62" i="4"/>
  <c r="Z62" i="4"/>
  <c r="Y62" i="4"/>
  <c r="X62" i="4"/>
  <c r="W62" i="4"/>
  <c r="AG58" i="4"/>
  <c r="AE58" i="4"/>
  <c r="AD58" i="4"/>
  <c r="AC58" i="4"/>
  <c r="AB58" i="4"/>
  <c r="AA58" i="4"/>
  <c r="Z58" i="4"/>
  <c r="Y58" i="4"/>
  <c r="X58" i="4"/>
  <c r="W58" i="4"/>
  <c r="AG56" i="4"/>
  <c r="AE56" i="4"/>
  <c r="AD56" i="4"/>
  <c r="AC56" i="4"/>
  <c r="AB56" i="4"/>
  <c r="AA56" i="4"/>
  <c r="Z56" i="4"/>
  <c r="Y56" i="4"/>
  <c r="X56" i="4"/>
  <c r="W56" i="4"/>
  <c r="AG53" i="4"/>
  <c r="AE53" i="4"/>
  <c r="AD53" i="4"/>
  <c r="AC53" i="4"/>
  <c r="AB53" i="4"/>
  <c r="AA53" i="4"/>
  <c r="Z53" i="4"/>
  <c r="Y53" i="4"/>
  <c r="X53" i="4"/>
  <c r="W53" i="4"/>
  <c r="AG51" i="4"/>
  <c r="AE51" i="4"/>
  <c r="AD51" i="4"/>
  <c r="AC51" i="4"/>
  <c r="AB51" i="4"/>
  <c r="AA51" i="4"/>
  <c r="Z51" i="4"/>
  <c r="Y51" i="4"/>
  <c r="X51" i="4"/>
  <c r="W51" i="4"/>
  <c r="AG48" i="4"/>
  <c r="AE48" i="4"/>
  <c r="AD48" i="4"/>
  <c r="AC48" i="4"/>
  <c r="AB48" i="4"/>
  <c r="AA48" i="4"/>
  <c r="Z48" i="4"/>
  <c r="Y48" i="4"/>
  <c r="X48" i="4"/>
  <c r="W48" i="4"/>
  <c r="AG45" i="4"/>
  <c r="AG44" i="4" s="1"/>
  <c r="AE45" i="4"/>
  <c r="AE44" i="4" s="1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AG39" i="4"/>
  <c r="AE39" i="4"/>
  <c r="AD39" i="4"/>
  <c r="AC39" i="4"/>
  <c r="AB39" i="4"/>
  <c r="AA39" i="4"/>
  <c r="Z39" i="4"/>
  <c r="Y39" i="4"/>
  <c r="X39" i="4"/>
  <c r="W39" i="4"/>
  <c r="AG36" i="4"/>
  <c r="AE36" i="4"/>
  <c r="AD36" i="4"/>
  <c r="AC36" i="4"/>
  <c r="AB36" i="4"/>
  <c r="AA36" i="4"/>
  <c r="Z36" i="4"/>
  <c r="Y36" i="4"/>
  <c r="X36" i="4"/>
  <c r="W36" i="4"/>
  <c r="AG33" i="4"/>
  <c r="AG32" i="4" s="1"/>
  <c r="AE33" i="4"/>
  <c r="AE32" i="4" s="1"/>
  <c r="AD33" i="4"/>
  <c r="AC33" i="4"/>
  <c r="AC32" i="4" s="1"/>
  <c r="AB33" i="4"/>
  <c r="AB32" i="4" s="1"/>
  <c r="AA33" i="4"/>
  <c r="AA32" i="4" s="1"/>
  <c r="Z33" i="4"/>
  <c r="Z32" i="4" s="1"/>
  <c r="Y33" i="4"/>
  <c r="Y32" i="4" s="1"/>
  <c r="X33" i="4"/>
  <c r="X32" i="4" s="1"/>
  <c r="W33" i="4"/>
  <c r="W32" i="4" s="1"/>
  <c r="AD32" i="4"/>
  <c r="AG30" i="4"/>
  <c r="AG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G27" i="4"/>
  <c r="AE27" i="4"/>
  <c r="AD27" i="4"/>
  <c r="AC27" i="4"/>
  <c r="AB27" i="4"/>
  <c r="AA27" i="4"/>
  <c r="Z27" i="4"/>
  <c r="Y27" i="4"/>
  <c r="X27" i="4"/>
  <c r="W27" i="4"/>
  <c r="AG23" i="4"/>
  <c r="AE23" i="4"/>
  <c r="AD23" i="4"/>
  <c r="AC23" i="4"/>
  <c r="AB23" i="4"/>
  <c r="AA23" i="4"/>
  <c r="Z23" i="4"/>
  <c r="Y23" i="4"/>
  <c r="X23" i="4"/>
  <c r="W23" i="4"/>
  <c r="AG20" i="4"/>
  <c r="AE20" i="4"/>
  <c r="AD20" i="4"/>
  <c r="AC20" i="4"/>
  <c r="AB20" i="4"/>
  <c r="AA20" i="4"/>
  <c r="Z20" i="4"/>
  <c r="Y20" i="4"/>
  <c r="X20" i="4"/>
  <c r="W20" i="4"/>
  <c r="AG17" i="4"/>
  <c r="AE17" i="4"/>
  <c r="AD17" i="4"/>
  <c r="AC17" i="4"/>
  <c r="AB17" i="4"/>
  <c r="AA17" i="4"/>
  <c r="Z17" i="4"/>
  <c r="Y17" i="4"/>
  <c r="X17" i="4"/>
  <c r="W17" i="4"/>
  <c r="AG11" i="4"/>
  <c r="AG10" i="4" s="1"/>
  <c r="AE11" i="4"/>
  <c r="AE10" i="4" s="1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S155" i="4"/>
  <c r="S154" i="4" s="1"/>
  <c r="P155" i="4"/>
  <c r="P154" i="4" s="1"/>
  <c r="O155" i="4"/>
  <c r="O154" i="4" s="1"/>
  <c r="N155" i="4"/>
  <c r="N154" i="4" s="1"/>
  <c r="M155" i="4"/>
  <c r="M154" i="4" s="1"/>
  <c r="L155" i="4"/>
  <c r="L154" i="4" s="1"/>
  <c r="K155" i="4"/>
  <c r="K154" i="4" s="1"/>
  <c r="J155" i="4"/>
  <c r="J154" i="4" s="1"/>
  <c r="I155" i="4"/>
  <c r="I154" i="4" s="1"/>
  <c r="H155" i="4"/>
  <c r="H154" i="4" s="1"/>
  <c r="S150" i="4"/>
  <c r="P150" i="4"/>
  <c r="O150" i="4"/>
  <c r="N150" i="4"/>
  <c r="M150" i="4"/>
  <c r="L150" i="4"/>
  <c r="K150" i="4"/>
  <c r="J150" i="4"/>
  <c r="I150" i="4"/>
  <c r="H150" i="4"/>
  <c r="S90" i="4"/>
  <c r="S89" i="4" s="1"/>
  <c r="P90" i="4"/>
  <c r="P89" i="4" s="1"/>
  <c r="O90" i="4"/>
  <c r="O89" i="4" s="1"/>
  <c r="N90" i="4"/>
  <c r="N89" i="4" s="1"/>
  <c r="M90" i="4"/>
  <c r="M89" i="4" s="1"/>
  <c r="L90" i="4"/>
  <c r="L89" i="4" s="1"/>
  <c r="K90" i="4"/>
  <c r="K89" i="4" s="1"/>
  <c r="J90" i="4"/>
  <c r="J89" i="4" s="1"/>
  <c r="I90" i="4"/>
  <c r="I89" i="4" s="1"/>
  <c r="H90" i="4"/>
  <c r="H89" i="4" s="1"/>
  <c r="S85" i="4"/>
  <c r="P85" i="4"/>
  <c r="O85" i="4"/>
  <c r="N85" i="4"/>
  <c r="M85" i="4"/>
  <c r="L85" i="4"/>
  <c r="K85" i="4"/>
  <c r="J85" i="4"/>
  <c r="I85" i="4"/>
  <c r="H85" i="4"/>
  <c r="S82" i="4"/>
  <c r="P82" i="4"/>
  <c r="O82" i="4"/>
  <c r="N82" i="4"/>
  <c r="M82" i="4"/>
  <c r="L82" i="4"/>
  <c r="K82" i="4"/>
  <c r="J82" i="4"/>
  <c r="I82" i="4"/>
  <c r="H82" i="4"/>
  <c r="S80" i="4"/>
  <c r="P80" i="4"/>
  <c r="O80" i="4"/>
  <c r="N80" i="4"/>
  <c r="M80" i="4"/>
  <c r="L80" i="4"/>
  <c r="K80" i="4"/>
  <c r="J80" i="4"/>
  <c r="I80" i="4"/>
  <c r="H80" i="4"/>
  <c r="S77" i="4"/>
  <c r="P77" i="4"/>
  <c r="O77" i="4"/>
  <c r="N77" i="4"/>
  <c r="M77" i="4"/>
  <c r="L77" i="4"/>
  <c r="K77" i="4"/>
  <c r="J77" i="4"/>
  <c r="I77" i="4"/>
  <c r="H77" i="4"/>
  <c r="S73" i="4"/>
  <c r="P73" i="4"/>
  <c r="O73" i="4"/>
  <c r="N73" i="4"/>
  <c r="M73" i="4"/>
  <c r="L73" i="4"/>
  <c r="K73" i="4"/>
  <c r="J73" i="4"/>
  <c r="I73" i="4"/>
  <c r="H73" i="4"/>
  <c r="S69" i="4"/>
  <c r="P69" i="4"/>
  <c r="O69" i="4"/>
  <c r="N69" i="4"/>
  <c r="M69" i="4"/>
  <c r="L69" i="4"/>
  <c r="K69" i="4"/>
  <c r="J69" i="4"/>
  <c r="I69" i="4"/>
  <c r="H69" i="4"/>
  <c r="S64" i="4"/>
  <c r="P64" i="4"/>
  <c r="O64" i="4"/>
  <c r="N64" i="4"/>
  <c r="M64" i="4"/>
  <c r="L64" i="4"/>
  <c r="K64" i="4"/>
  <c r="J64" i="4"/>
  <c r="I64" i="4"/>
  <c r="H64" i="4"/>
  <c r="S62" i="4"/>
  <c r="P62" i="4"/>
  <c r="O62" i="4"/>
  <c r="N62" i="4"/>
  <c r="M62" i="4"/>
  <c r="L62" i="4"/>
  <c r="K62" i="4"/>
  <c r="J62" i="4"/>
  <c r="I62" i="4"/>
  <c r="H62" i="4"/>
  <c r="S58" i="4"/>
  <c r="P58" i="4"/>
  <c r="O58" i="4"/>
  <c r="N58" i="4"/>
  <c r="M58" i="4"/>
  <c r="L58" i="4"/>
  <c r="K58" i="4"/>
  <c r="J58" i="4"/>
  <c r="I58" i="4"/>
  <c r="H58" i="4"/>
  <c r="S56" i="4"/>
  <c r="P56" i="4"/>
  <c r="O56" i="4"/>
  <c r="N56" i="4"/>
  <c r="M56" i="4"/>
  <c r="L56" i="4"/>
  <c r="K56" i="4"/>
  <c r="J56" i="4"/>
  <c r="I56" i="4"/>
  <c r="H56" i="4"/>
  <c r="S53" i="4"/>
  <c r="P53" i="4"/>
  <c r="O53" i="4"/>
  <c r="N53" i="4"/>
  <c r="M53" i="4"/>
  <c r="L53" i="4"/>
  <c r="K53" i="4"/>
  <c r="J53" i="4"/>
  <c r="I53" i="4"/>
  <c r="H53" i="4"/>
  <c r="S51" i="4"/>
  <c r="P51" i="4"/>
  <c r="O51" i="4"/>
  <c r="N51" i="4"/>
  <c r="M51" i="4"/>
  <c r="L51" i="4"/>
  <c r="K51" i="4"/>
  <c r="J51" i="4"/>
  <c r="I51" i="4"/>
  <c r="H51" i="4"/>
  <c r="S48" i="4"/>
  <c r="P48" i="4"/>
  <c r="O48" i="4"/>
  <c r="N48" i="4"/>
  <c r="M48" i="4"/>
  <c r="L48" i="4"/>
  <c r="K48" i="4"/>
  <c r="J48" i="4"/>
  <c r="I48" i="4"/>
  <c r="H48" i="4"/>
  <c r="S45" i="4"/>
  <c r="S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S39" i="4"/>
  <c r="P39" i="4"/>
  <c r="O39" i="4"/>
  <c r="N39" i="4"/>
  <c r="M39" i="4"/>
  <c r="L39" i="4"/>
  <c r="K39" i="4"/>
  <c r="J39" i="4"/>
  <c r="I39" i="4"/>
  <c r="H39" i="4"/>
  <c r="S36" i="4"/>
  <c r="P36" i="4"/>
  <c r="O36" i="4"/>
  <c r="N36" i="4"/>
  <c r="M36" i="4"/>
  <c r="L36" i="4"/>
  <c r="K36" i="4"/>
  <c r="J36" i="4"/>
  <c r="I36" i="4"/>
  <c r="H36" i="4"/>
  <c r="S33" i="4"/>
  <c r="S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S30" i="4"/>
  <c r="S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S27" i="4"/>
  <c r="P27" i="4"/>
  <c r="O27" i="4"/>
  <c r="N27" i="4"/>
  <c r="M27" i="4"/>
  <c r="L27" i="4"/>
  <c r="K27" i="4"/>
  <c r="J27" i="4"/>
  <c r="I27" i="4"/>
  <c r="H27" i="4"/>
  <c r="S23" i="4"/>
  <c r="P23" i="4"/>
  <c r="O23" i="4"/>
  <c r="N23" i="4"/>
  <c r="M23" i="4"/>
  <c r="L23" i="4"/>
  <c r="K23" i="4"/>
  <c r="J23" i="4"/>
  <c r="I23" i="4"/>
  <c r="H23" i="4"/>
  <c r="S20" i="4"/>
  <c r="P20" i="4"/>
  <c r="O20" i="4"/>
  <c r="N20" i="4"/>
  <c r="M20" i="4"/>
  <c r="L20" i="4"/>
  <c r="K20" i="4"/>
  <c r="J20" i="4"/>
  <c r="I20" i="4"/>
  <c r="H20" i="4"/>
  <c r="S17" i="4"/>
  <c r="P17" i="4"/>
  <c r="O17" i="4"/>
  <c r="N17" i="4"/>
  <c r="M17" i="4"/>
  <c r="L17" i="4"/>
  <c r="K17" i="4"/>
  <c r="J17" i="4"/>
  <c r="I17" i="4"/>
  <c r="H17" i="4"/>
  <c r="S11" i="4"/>
  <c r="S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H151" i="4"/>
  <c r="AH152" i="4"/>
  <c r="T69" i="4"/>
  <c r="E69" i="4"/>
  <c r="E64" i="4"/>
  <c r="V65" i="4" l="1"/>
  <c r="F66" i="4"/>
  <c r="F65" i="4" s="1"/>
  <c r="F64" i="4" s="1"/>
  <c r="G65" i="4"/>
  <c r="G64" i="4" s="1"/>
  <c r="G56" i="4"/>
  <c r="V90" i="4"/>
  <c r="V89" i="4" s="1"/>
  <c r="U130" i="4"/>
  <c r="U128" i="4" s="1"/>
  <c r="V128" i="4"/>
  <c r="G138" i="4"/>
  <c r="F130" i="4"/>
  <c r="F128" i="4" s="1"/>
  <c r="G128" i="4"/>
  <c r="V138" i="4"/>
  <c r="F140" i="4"/>
  <c r="F138" i="4" s="1"/>
  <c r="U140" i="4"/>
  <c r="U138" i="4" s="1"/>
  <c r="U97" i="4"/>
  <c r="U96" i="4" s="1"/>
  <c r="V96" i="4"/>
  <c r="U13" i="4"/>
  <c r="AI13" i="4" s="1"/>
  <c r="V12" i="4"/>
  <c r="V11" i="4" s="1"/>
  <c r="V10" i="4" s="1"/>
  <c r="F28" i="4"/>
  <c r="F27" i="4" s="1"/>
  <c r="G96" i="4"/>
  <c r="F51" i="4"/>
  <c r="AI52" i="4"/>
  <c r="AI51" i="4" s="1"/>
  <c r="F31" i="4"/>
  <c r="F30" i="4" s="1"/>
  <c r="F29" i="4" s="1"/>
  <c r="F12" i="4"/>
  <c r="F11" i="4" s="1"/>
  <c r="F10" i="4" s="1"/>
  <c r="I326" i="1"/>
  <c r="X55" i="4"/>
  <c r="AB55" i="4"/>
  <c r="M326" i="1"/>
  <c r="E300" i="1"/>
  <c r="B12" i="5" s="1"/>
  <c r="V30" i="4"/>
  <c r="V29" i="4" s="1"/>
  <c r="V26" i="4" s="1"/>
  <c r="AA50" i="4"/>
  <c r="AA47" i="4" s="1"/>
  <c r="V62" i="4"/>
  <c r="AI84" i="4"/>
  <c r="Y26" i="4"/>
  <c r="AC26" i="4"/>
  <c r="V51" i="4"/>
  <c r="V50" i="4" s="1"/>
  <c r="AC16" i="4"/>
  <c r="AC15" i="4" s="1"/>
  <c r="AG55" i="4"/>
  <c r="I50" i="4"/>
  <c r="I47" i="4" s="1"/>
  <c r="Z148" i="4"/>
  <c r="AD148" i="4"/>
  <c r="AI21" i="4"/>
  <c r="V77" i="4"/>
  <c r="AI78" i="4"/>
  <c r="G30" i="4"/>
  <c r="G29" i="4" s="1"/>
  <c r="H35" i="4"/>
  <c r="L35" i="4"/>
  <c r="P35" i="4"/>
  <c r="H55" i="4"/>
  <c r="L55" i="4"/>
  <c r="P55" i="4"/>
  <c r="G77" i="4"/>
  <c r="X148" i="4"/>
  <c r="AB148" i="4"/>
  <c r="AG148" i="4"/>
  <c r="AI19" i="4"/>
  <c r="AI25" i="4"/>
  <c r="Y35" i="4"/>
  <c r="AC35" i="4"/>
  <c r="Z76" i="4"/>
  <c r="Z72" i="4" s="1"/>
  <c r="AD76" i="4"/>
  <c r="AD72" i="4" s="1"/>
  <c r="AI109" i="4"/>
  <c r="V150" i="4"/>
  <c r="AI107" i="4"/>
  <c r="AI112" i="4"/>
  <c r="AI117" i="4"/>
  <c r="AI121" i="4"/>
  <c r="AI142" i="4"/>
  <c r="AI151" i="4"/>
  <c r="AI71" i="4"/>
  <c r="P326" i="1"/>
  <c r="R326" i="1"/>
  <c r="K326" i="1"/>
  <c r="O326" i="1"/>
  <c r="AA326" i="1"/>
  <c r="N326" i="1"/>
  <c r="Q326" i="1"/>
  <c r="L326" i="1"/>
  <c r="AI38" i="4"/>
  <c r="AI43" i="4"/>
  <c r="U89" i="4"/>
  <c r="AB16" i="4"/>
  <c r="AB15" i="4" s="1"/>
  <c r="V36" i="4"/>
  <c r="Z35" i="4"/>
  <c r="AD35" i="4"/>
  <c r="X35" i="4"/>
  <c r="AG35" i="4"/>
  <c r="AE148" i="4"/>
  <c r="AI99" i="4"/>
  <c r="AI103" i="4"/>
  <c r="V69" i="4"/>
  <c r="AI132" i="4"/>
  <c r="AI152" i="4"/>
  <c r="AI92" i="4"/>
  <c r="AI41" i="4"/>
  <c r="AI98" i="4"/>
  <c r="AI102" i="4"/>
  <c r="U69" i="4"/>
  <c r="G17" i="4"/>
  <c r="AI42" i="4"/>
  <c r="AI60" i="4"/>
  <c r="AI67" i="4"/>
  <c r="AI75" i="4"/>
  <c r="AI88" i="4"/>
  <c r="AI106" i="4"/>
  <c r="AI111" i="4"/>
  <c r="AI115" i="4"/>
  <c r="AI141" i="4"/>
  <c r="AI133" i="4"/>
  <c r="AA148" i="4"/>
  <c r="AI105" i="4"/>
  <c r="AI119" i="4"/>
  <c r="G23" i="4"/>
  <c r="AE26" i="4"/>
  <c r="AE50" i="4"/>
  <c r="AE47" i="4" s="1"/>
  <c r="AI22" i="4"/>
  <c r="AI61" i="4"/>
  <c r="AI100" i="4"/>
  <c r="AI104" i="4"/>
  <c r="AI143" i="4"/>
  <c r="AI37" i="4"/>
  <c r="AI114" i="4"/>
  <c r="W35" i="4"/>
  <c r="AA35" i="4"/>
  <c r="V23" i="4"/>
  <c r="AI40" i="4"/>
  <c r="AI79" i="4"/>
  <c r="AI86" i="4"/>
  <c r="AI101" i="4"/>
  <c r="AI108" i="4"/>
  <c r="AI113" i="4"/>
  <c r="AI118" i="4"/>
  <c r="AI157" i="4"/>
  <c r="AI70" i="4"/>
  <c r="AB35" i="4"/>
  <c r="V155" i="4"/>
  <c r="V154" i="4" s="1"/>
  <c r="AI63" i="4"/>
  <c r="AI62" i="4" s="1"/>
  <c r="Y76" i="4"/>
  <c r="Y72" i="4" s="1"/>
  <c r="G27" i="4"/>
  <c r="X16" i="4"/>
  <c r="X15" i="4" s="1"/>
  <c r="AG16" i="4"/>
  <c r="AG15" i="4" s="1"/>
  <c r="X50" i="4"/>
  <c r="X47" i="4" s="1"/>
  <c r="AB50" i="4"/>
  <c r="AB47" i="4" s="1"/>
  <c r="AG50" i="4"/>
  <c r="AG47" i="4" s="1"/>
  <c r="Y55" i="4"/>
  <c r="AC55" i="4"/>
  <c r="W55" i="4"/>
  <c r="AA55" i="4"/>
  <c r="AE55" i="4"/>
  <c r="W148" i="4"/>
  <c r="U155" i="4"/>
  <c r="U154" i="4" s="1"/>
  <c r="AI81" i="4"/>
  <c r="AI80" i="4" s="1"/>
  <c r="AC76" i="4"/>
  <c r="AC72" i="4" s="1"/>
  <c r="AI91" i="4"/>
  <c r="AI90" i="4" s="1"/>
  <c r="G90" i="4"/>
  <c r="G89" i="4" s="1"/>
  <c r="Y16" i="4"/>
  <c r="Y15" i="4" s="1"/>
  <c r="Y50" i="4"/>
  <c r="Y47" i="4" s="1"/>
  <c r="AC50" i="4"/>
  <c r="AC47" i="4" s="1"/>
  <c r="W50" i="4"/>
  <c r="W47" i="4" s="1"/>
  <c r="Z55" i="4"/>
  <c r="AD55" i="4"/>
  <c r="U28" i="4"/>
  <c r="U150" i="4"/>
  <c r="G62" i="4"/>
  <c r="AE35" i="4"/>
  <c r="V45" i="4"/>
  <c r="V44" i="4" s="1"/>
  <c r="W76" i="4"/>
  <c r="W72" i="4" s="1"/>
  <c r="AA76" i="4"/>
  <c r="AA72" i="4" s="1"/>
  <c r="AE76" i="4"/>
  <c r="AE72" i="4" s="1"/>
  <c r="G45" i="4"/>
  <c r="G44" i="4" s="1"/>
  <c r="Z16" i="4"/>
  <c r="Z15" i="4" s="1"/>
  <c r="AD16" i="4"/>
  <c r="AD15" i="4" s="1"/>
  <c r="Z26" i="4"/>
  <c r="AD26" i="4"/>
  <c r="AB26" i="4"/>
  <c r="AG26" i="4"/>
  <c r="V58" i="4"/>
  <c r="W16" i="4"/>
  <c r="W15" i="4" s="1"/>
  <c r="AA16" i="4"/>
  <c r="AA15" i="4" s="1"/>
  <c r="AE16" i="4"/>
  <c r="AE15" i="4" s="1"/>
  <c r="W26" i="4"/>
  <c r="X26" i="4"/>
  <c r="V39" i="4"/>
  <c r="V80" i="4"/>
  <c r="U54" i="4"/>
  <c r="Y148" i="4"/>
  <c r="AC148" i="4"/>
  <c r="U34" i="4"/>
  <c r="V33" i="4"/>
  <c r="V32" i="4" s="1"/>
  <c r="U39" i="4"/>
  <c r="V64" i="4"/>
  <c r="U66" i="4"/>
  <c r="U65" i="4" s="1"/>
  <c r="U74" i="4"/>
  <c r="V73" i="4"/>
  <c r="AA26" i="4"/>
  <c r="Z50" i="4"/>
  <c r="Z47" i="4" s="1"/>
  <c r="AD50" i="4"/>
  <c r="AD47" i="4" s="1"/>
  <c r="F156" i="4"/>
  <c r="AI156" i="4" s="1"/>
  <c r="G155" i="4"/>
  <c r="G154" i="4" s="1"/>
  <c r="X76" i="4"/>
  <c r="X72" i="4" s="1"/>
  <c r="AB76" i="4"/>
  <c r="AB72" i="4" s="1"/>
  <c r="AG76" i="4"/>
  <c r="AG72" i="4" s="1"/>
  <c r="V17" i="4"/>
  <c r="U18" i="4"/>
  <c r="U49" i="4"/>
  <c r="AI49" i="4" s="1"/>
  <c r="V48" i="4"/>
  <c r="U57" i="4"/>
  <c r="V56" i="4"/>
  <c r="U83" i="4"/>
  <c r="V82" i="4"/>
  <c r="U87" i="4"/>
  <c r="V85" i="4"/>
  <c r="U24" i="4"/>
  <c r="U36" i="4"/>
  <c r="U59" i="4"/>
  <c r="U20" i="4"/>
  <c r="I35" i="4"/>
  <c r="M35" i="4"/>
  <c r="S35" i="4"/>
  <c r="V20" i="4"/>
  <c r="U77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S50" i="4"/>
  <c r="S47" i="4" s="1"/>
  <c r="G69" i="4"/>
  <c r="G80" i="4"/>
  <c r="F73" i="4"/>
  <c r="F85" i="4"/>
  <c r="G20" i="4"/>
  <c r="G39" i="4"/>
  <c r="G51" i="4"/>
  <c r="G50" i="4" s="1"/>
  <c r="G73" i="4"/>
  <c r="S76" i="4"/>
  <c r="S72" i="4" s="1"/>
  <c r="G85" i="4"/>
  <c r="G150" i="4"/>
  <c r="F17" i="4"/>
  <c r="F36" i="4"/>
  <c r="F69" i="4"/>
  <c r="F82" i="4"/>
  <c r="F150" i="4"/>
  <c r="G58" i="4"/>
  <c r="G82" i="4"/>
  <c r="M148" i="4"/>
  <c r="F23" i="4"/>
  <c r="F77" i="4"/>
  <c r="F89" i="4"/>
  <c r="F39" i="4"/>
  <c r="S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6" i="4"/>
  <c r="J72" i="4" s="1"/>
  <c r="N76" i="4"/>
  <c r="N72" i="4" s="1"/>
  <c r="K76" i="4"/>
  <c r="K72" i="4" s="1"/>
  <c r="O76" i="4"/>
  <c r="O72" i="4" s="1"/>
  <c r="S148" i="4"/>
  <c r="J35" i="4"/>
  <c r="K50" i="4"/>
  <c r="K47" i="4" s="1"/>
  <c r="O50" i="4"/>
  <c r="O47" i="4" s="1"/>
  <c r="H26" i="4"/>
  <c r="L26" i="4"/>
  <c r="P26" i="4"/>
  <c r="I148" i="4"/>
  <c r="M26" i="4"/>
  <c r="I76" i="4"/>
  <c r="I72" i="4" s="1"/>
  <c r="M76" i="4"/>
  <c r="M72" i="4" s="1"/>
  <c r="I55" i="4"/>
  <c r="M55" i="4"/>
  <c r="S55" i="4"/>
  <c r="J55" i="4"/>
  <c r="N55" i="4"/>
  <c r="K148" i="4"/>
  <c r="I16" i="4"/>
  <c r="I15" i="4" s="1"/>
  <c r="M16" i="4"/>
  <c r="M15" i="4" s="1"/>
  <c r="S16" i="4"/>
  <c r="S15" i="4" s="1"/>
  <c r="I26" i="4"/>
  <c r="H76" i="4"/>
  <c r="H72" i="4" s="1"/>
  <c r="L76" i="4"/>
  <c r="L72" i="4" s="1"/>
  <c r="P76" i="4"/>
  <c r="P72" i="4" s="1"/>
  <c r="K26" i="4"/>
  <c r="O26" i="4"/>
  <c r="K55" i="4"/>
  <c r="O55" i="4"/>
  <c r="O148" i="4"/>
  <c r="J148" i="4"/>
  <c r="N148" i="4"/>
  <c r="H148" i="4"/>
  <c r="L148" i="4"/>
  <c r="P148" i="4"/>
  <c r="G55" i="4" l="1"/>
  <c r="F127" i="4"/>
  <c r="F126" i="4" s="1"/>
  <c r="G127" i="4"/>
  <c r="G126" i="4" s="1"/>
  <c r="AI130" i="4"/>
  <c r="AI128" i="4" s="1"/>
  <c r="AI140" i="4"/>
  <c r="AI138" i="4" s="1"/>
  <c r="V127" i="4"/>
  <c r="V126" i="4" s="1"/>
  <c r="U127" i="4"/>
  <c r="U126" i="4" s="1"/>
  <c r="U12" i="4"/>
  <c r="U11" i="4" s="1"/>
  <c r="U10" i="4" s="1"/>
  <c r="G26" i="4"/>
  <c r="F26" i="4"/>
  <c r="AI31" i="4"/>
  <c r="AI30" i="4" s="1"/>
  <c r="AI29" i="4" s="1"/>
  <c r="AI12" i="4"/>
  <c r="AI11" i="4" s="1"/>
  <c r="AI10" i="4" s="1"/>
  <c r="AI20" i="4"/>
  <c r="AI77" i="4"/>
  <c r="V35" i="4"/>
  <c r="F155" i="4"/>
  <c r="F154" i="4" s="1"/>
  <c r="F148" i="4" s="1"/>
  <c r="AI150" i="4"/>
  <c r="AI36" i="4"/>
  <c r="G16" i="4"/>
  <c r="G15" i="4" s="1"/>
  <c r="V148" i="4"/>
  <c r="AD94" i="4"/>
  <c r="AD8" i="4" s="1"/>
  <c r="AD161" i="4" s="1"/>
  <c r="W94" i="4"/>
  <c r="W8" i="4" s="1"/>
  <c r="W161" i="4" s="1"/>
  <c r="G35" i="4"/>
  <c r="V76" i="4"/>
  <c r="V72" i="4" s="1"/>
  <c r="AI155" i="4"/>
  <c r="AI154" i="4" s="1"/>
  <c r="AC94" i="4"/>
  <c r="AC8" i="4" s="1"/>
  <c r="AC161" i="4" s="1"/>
  <c r="AI69" i="4"/>
  <c r="V55" i="4"/>
  <c r="AI89" i="4"/>
  <c r="V16" i="4"/>
  <c r="V15" i="4" s="1"/>
  <c r="AI39" i="4"/>
  <c r="G148" i="4"/>
  <c r="G47" i="4"/>
  <c r="U148" i="4"/>
  <c r="F35" i="4"/>
  <c r="U35" i="4"/>
  <c r="Z94" i="4"/>
  <c r="Z8" i="4" s="1"/>
  <c r="Z161" i="4" s="1"/>
  <c r="V47" i="4"/>
  <c r="Y94" i="4"/>
  <c r="Y160" i="4" s="1"/>
  <c r="AG94" i="4"/>
  <c r="AG8" i="4" s="1"/>
  <c r="AG161" i="4" s="1"/>
  <c r="U23" i="4"/>
  <c r="AI24" i="4"/>
  <c r="AI23" i="4" s="1"/>
  <c r="U82" i="4"/>
  <c r="AI83" i="4"/>
  <c r="AI82" i="4" s="1"/>
  <c r="U48" i="4"/>
  <c r="AI48" i="4"/>
  <c r="AB94" i="4"/>
  <c r="AB8" i="4" s="1"/>
  <c r="AB161" i="4" s="1"/>
  <c r="U64" i="4"/>
  <c r="AI66" i="4"/>
  <c r="U33" i="4"/>
  <c r="U32" i="4" s="1"/>
  <c r="AI34" i="4"/>
  <c r="AI33" i="4" s="1"/>
  <c r="AI32" i="4" s="1"/>
  <c r="AE94" i="4"/>
  <c r="AE8" i="4" s="1"/>
  <c r="AE161" i="4" s="1"/>
  <c r="U73" i="4"/>
  <c r="AI74" i="4"/>
  <c r="AI73" i="4" s="1"/>
  <c r="U58" i="4"/>
  <c r="U17" i="4"/>
  <c r="AI18" i="4"/>
  <c r="AI17" i="4" s="1"/>
  <c r="U27" i="4"/>
  <c r="U26" i="4" s="1"/>
  <c r="AI28" i="4"/>
  <c r="AI27" i="4" s="1"/>
  <c r="U85" i="4"/>
  <c r="AI87" i="4"/>
  <c r="AI85" i="4" s="1"/>
  <c r="U56" i="4"/>
  <c r="AI57" i="4"/>
  <c r="AI56" i="4" s="1"/>
  <c r="U53" i="4"/>
  <c r="U50" i="4" s="1"/>
  <c r="X94" i="4"/>
  <c r="X160" i="4" s="1"/>
  <c r="AA94" i="4"/>
  <c r="AA8" i="4" s="1"/>
  <c r="AA161" i="4" s="1"/>
  <c r="F76" i="4"/>
  <c r="F72" i="4" s="1"/>
  <c r="G76" i="4"/>
  <c r="G72" i="4" s="1"/>
  <c r="J94" i="4"/>
  <c r="J8" i="4" s="1"/>
  <c r="J161" i="4" s="1"/>
  <c r="S94" i="4"/>
  <c r="S8" i="4" s="1"/>
  <c r="S161" i="4" s="1"/>
  <c r="I94" i="4"/>
  <c r="I160" i="4" s="1"/>
  <c r="L94" i="4"/>
  <c r="L160" i="4" s="1"/>
  <c r="F16" i="4"/>
  <c r="F15" i="4" s="1"/>
  <c r="N94" i="4"/>
  <c r="N8" i="4" s="1"/>
  <c r="N161" i="4" s="1"/>
  <c r="H94" i="4"/>
  <c r="H8" i="4" s="1"/>
  <c r="H161" i="4" s="1"/>
  <c r="M94" i="4"/>
  <c r="M8" i="4" s="1"/>
  <c r="M161" i="4" s="1"/>
  <c r="K94" i="4"/>
  <c r="K8" i="4" s="1"/>
  <c r="K161" i="4" s="1"/>
  <c r="P94" i="4"/>
  <c r="P8" i="4" s="1"/>
  <c r="P161" i="4" s="1"/>
  <c r="O94" i="4"/>
  <c r="O8" i="4" s="1"/>
  <c r="O161" i="4" s="1"/>
  <c r="AI65" i="4" l="1"/>
  <c r="AI64" i="4" s="1"/>
  <c r="AI127" i="4"/>
  <c r="AI148" i="4"/>
  <c r="D9" i="5"/>
  <c r="AD160" i="4"/>
  <c r="W160" i="4"/>
  <c r="AI16" i="4"/>
  <c r="AI15" i="4" s="1"/>
  <c r="AI35" i="4"/>
  <c r="G94" i="4"/>
  <c r="G160" i="4" s="1"/>
  <c r="J160" i="4"/>
  <c r="AC160" i="4"/>
  <c r="AB160" i="4"/>
  <c r="Y8" i="4"/>
  <c r="Y161" i="4" s="1"/>
  <c r="V94" i="4"/>
  <c r="V160" i="4" s="1"/>
  <c r="AI26" i="4"/>
  <c r="AA160" i="4"/>
  <c r="AI76" i="4"/>
  <c r="AI72" i="4" s="1"/>
  <c r="S160" i="4"/>
  <c r="Z160" i="4"/>
  <c r="AE160" i="4"/>
  <c r="X8" i="4"/>
  <c r="X161" i="4" s="1"/>
  <c r="U76" i="4"/>
  <c r="U72" i="4" s="1"/>
  <c r="U47" i="4"/>
  <c r="AG160" i="4"/>
  <c r="U16" i="4"/>
  <c r="U15" i="4" s="1"/>
  <c r="U55" i="4"/>
  <c r="I8" i="4"/>
  <c r="I161" i="4" s="1"/>
  <c r="H160" i="4"/>
  <c r="L8" i="4"/>
  <c r="L161" i="4" s="1"/>
  <c r="M160" i="4"/>
  <c r="K160" i="4"/>
  <c r="P160" i="4"/>
  <c r="N160" i="4"/>
  <c r="O160" i="4"/>
  <c r="AI126" i="4" l="1"/>
  <c r="B11" i="5" s="1"/>
  <c r="G8" i="4"/>
  <c r="G161" i="4" s="1"/>
  <c r="V8" i="4"/>
  <c r="V161" i="4" s="1"/>
  <c r="U94" i="4"/>
  <c r="U160" i="4" s="1"/>
  <c r="U8" i="4" l="1"/>
  <c r="U161" i="4" s="1"/>
  <c r="E51" i="4" l="1"/>
  <c r="AH37" i="4" l="1"/>
  <c r="E97" i="4" l="1"/>
  <c r="AH142" i="4"/>
  <c r="F97" i="4" l="1"/>
  <c r="F23" i="1"/>
  <c r="AI97" i="4" l="1"/>
  <c r="D23" i="1"/>
  <c r="G23" i="1"/>
  <c r="E23" i="1" s="1"/>
  <c r="AH143" i="4"/>
  <c r="D11" i="1" l="1"/>
  <c r="D269" i="1" l="1"/>
  <c r="D272" i="1"/>
  <c r="G272" i="1"/>
  <c r="E54" i="4"/>
  <c r="F54" i="4" s="1"/>
  <c r="AI54" i="4" s="1"/>
  <c r="AI53" i="4" s="1"/>
  <c r="F53" i="4" l="1"/>
  <c r="F50" i="4" s="1"/>
  <c r="F47" i="4" s="1"/>
  <c r="E272" i="1"/>
  <c r="E270" i="1" s="1"/>
  <c r="B10" i="5" s="1"/>
  <c r="G270" i="1"/>
  <c r="D270" i="1"/>
  <c r="D328" i="1" s="1"/>
  <c r="D327" i="1"/>
  <c r="AH115" i="4"/>
  <c r="D326" i="1" l="1"/>
  <c r="F323" i="1"/>
  <c r="BJ327" i="1"/>
  <c r="BJ323" i="1"/>
  <c r="BB323" i="1"/>
  <c r="AO323" i="1"/>
  <c r="AB323" i="1"/>
  <c r="AI50" i="4" l="1"/>
  <c r="AI47" i="4" s="1"/>
  <c r="E59" i="4"/>
  <c r="F59" i="4" s="1"/>
  <c r="F58" i="4" l="1"/>
  <c r="F55" i="4" s="1"/>
  <c r="AI59" i="4"/>
  <c r="AI58" i="4" s="1"/>
  <c r="AI55" i="4" s="1"/>
  <c r="E120" i="4"/>
  <c r="E96" i="4" s="1"/>
  <c r="F120" i="4" l="1"/>
  <c r="F96" i="4" s="1"/>
  <c r="E46" i="4"/>
  <c r="F46" i="4" s="1"/>
  <c r="AI120" i="4" l="1"/>
  <c r="F45" i="4"/>
  <c r="F44" i="4" s="1"/>
  <c r="F94" i="4" s="1"/>
  <c r="AI46" i="4"/>
  <c r="AI45" i="4" s="1"/>
  <c r="AI44" i="4" s="1"/>
  <c r="AI94" i="4" s="1"/>
  <c r="T51" i="4"/>
  <c r="AI96" i="4" l="1"/>
  <c r="B9" i="5" s="1"/>
  <c r="F160" i="4"/>
  <c r="F8" i="4"/>
  <c r="F161" i="4" s="1"/>
  <c r="B4" i="5"/>
  <c r="AI160" i="4"/>
  <c r="BJ316" i="1"/>
  <c r="BB316" i="1"/>
  <c r="AO316" i="1"/>
  <c r="AB316" i="1"/>
  <c r="F316" i="1"/>
  <c r="BJ312" i="1"/>
  <c r="BB312" i="1"/>
  <c r="AO312" i="1"/>
  <c r="AB312" i="1"/>
  <c r="F312" i="1"/>
  <c r="BJ308" i="1"/>
  <c r="BB308" i="1"/>
  <c r="AO308" i="1"/>
  <c r="AB308" i="1"/>
  <c r="F308" i="1"/>
  <c r="BJ303" i="1"/>
  <c r="BB303" i="1"/>
  <c r="AO303" i="1"/>
  <c r="AB303" i="1"/>
  <c r="F303" i="1"/>
  <c r="BJ301" i="1"/>
  <c r="BB301" i="1"/>
  <c r="AO301" i="1"/>
  <c r="AB301" i="1"/>
  <c r="F301" i="1"/>
  <c r="AI8" i="4" l="1"/>
  <c r="AI161" i="4" s="1"/>
  <c r="AO300" i="1"/>
  <c r="BB300" i="1"/>
  <c r="AB300" i="1"/>
  <c r="BJ300" i="1"/>
  <c r="F300" i="1"/>
  <c r="BJ270" i="1"/>
  <c r="BB270" i="1"/>
  <c r="AO270" i="1"/>
  <c r="AB270" i="1"/>
  <c r="AH121" i="4" l="1"/>
  <c r="AH120" i="4"/>
  <c r="T62" i="4" l="1"/>
  <c r="AH104" i="4" l="1"/>
  <c r="AH70" i="4" l="1"/>
  <c r="AH63" i="4" l="1"/>
  <c r="E155" i="4" l="1"/>
  <c r="E32" i="4" l="1"/>
  <c r="T33" i="4"/>
  <c r="T32" i="4" s="1"/>
  <c r="E53" i="4" l="1"/>
  <c r="T53" i="4"/>
  <c r="AH62" i="4" l="1"/>
  <c r="AH71" i="4" l="1"/>
  <c r="AH69" i="4" s="1"/>
  <c r="AH75" i="4" l="1"/>
  <c r="AH140" i="4" l="1"/>
  <c r="AH141" i="4"/>
  <c r="AH130" i="4"/>
  <c r="AH132" i="4"/>
  <c r="AH133" i="4"/>
  <c r="AH128" i="4" l="1"/>
  <c r="AH138" i="4"/>
  <c r="T73" i="4"/>
  <c r="E73" i="4"/>
  <c r="AH127" i="4" l="1"/>
  <c r="AH126" i="4" s="1"/>
  <c r="AH33" i="4"/>
  <c r="AH32" i="4" s="1"/>
  <c r="AH13" i="4" l="1"/>
  <c r="AH12" i="4" s="1"/>
  <c r="BJ246" i="1" l="1"/>
  <c r="AH157" i="4" l="1"/>
  <c r="AH156" i="4"/>
  <c r="AH119" i="4"/>
  <c r="AH118" i="4"/>
  <c r="AH114" i="4"/>
  <c r="AH113" i="4"/>
  <c r="AH112" i="4"/>
  <c r="AH111" i="4"/>
  <c r="AH108" i="4"/>
  <c r="AH107" i="4"/>
  <c r="AH105" i="4"/>
  <c r="AH103" i="4"/>
  <c r="AH102" i="4"/>
  <c r="AH97" i="4"/>
  <c r="AH88" i="4"/>
  <c r="AH74" i="4"/>
  <c r="AH73" i="4" s="1"/>
  <c r="AH67" i="4"/>
  <c r="AH66" i="4"/>
  <c r="AH61" i="4"/>
  <c r="AH60" i="4"/>
  <c r="AH59" i="4"/>
  <c r="AH57" i="4"/>
  <c r="AH54" i="4"/>
  <c r="AH53" i="4" s="1"/>
  <c r="AH52" i="4" s="1"/>
  <c r="AH49" i="4"/>
  <c r="AH46" i="4"/>
  <c r="AH43" i="4"/>
  <c r="AH42" i="4"/>
  <c r="AH41" i="4"/>
  <c r="AH40" i="4"/>
  <c r="AH38" i="4"/>
  <c r="AH31" i="4"/>
  <c r="AH28" i="4"/>
  <c r="AH25" i="4"/>
  <c r="AH24" i="4"/>
  <c r="AH22" i="4"/>
  <c r="AH21" i="4"/>
  <c r="AH19" i="4"/>
  <c r="AH18" i="4"/>
  <c r="AH65" i="4" l="1"/>
  <c r="AH39" i="4"/>
  <c r="AH51" i="4"/>
  <c r="AH117" i="4"/>
  <c r="AH155" i="4" l="1"/>
  <c r="AH154" i="4" s="1"/>
  <c r="D8" i="5" s="1"/>
  <c r="AH150" i="4"/>
  <c r="D4" i="5" s="1"/>
  <c r="D7" i="5" s="1"/>
  <c r="AH64" i="4"/>
  <c r="AH58" i="4"/>
  <c r="AH56" i="4"/>
  <c r="AH45" i="4"/>
  <c r="AH44" i="4" s="1"/>
  <c r="AH36" i="4"/>
  <c r="AH30" i="4"/>
  <c r="AH29" i="4" s="1"/>
  <c r="AH23" i="4"/>
  <c r="AH20" i="4"/>
  <c r="AH17" i="4"/>
  <c r="AH48" i="4"/>
  <c r="AH27" i="4"/>
  <c r="T155" i="4"/>
  <c r="T154" i="4" s="1"/>
  <c r="T150" i="4"/>
  <c r="T90" i="4"/>
  <c r="T89" i="4" s="1"/>
  <c r="T85" i="4"/>
  <c r="T82" i="4"/>
  <c r="T80" i="4"/>
  <c r="T77" i="4"/>
  <c r="T64" i="4"/>
  <c r="T58" i="4"/>
  <c r="T56" i="4"/>
  <c r="T48" i="4"/>
  <c r="T45" i="4"/>
  <c r="T44" i="4" s="1"/>
  <c r="T39" i="4"/>
  <c r="T36" i="4"/>
  <c r="T30" i="4"/>
  <c r="T29" i="4" s="1"/>
  <c r="T27" i="4"/>
  <c r="T23" i="4"/>
  <c r="T20" i="4"/>
  <c r="T17" i="4"/>
  <c r="T11" i="4"/>
  <c r="T10" i="4" s="1"/>
  <c r="AH55" i="4" l="1"/>
  <c r="T55" i="4"/>
  <c r="AH16" i="4"/>
  <c r="AH15" i="4" s="1"/>
  <c r="AH35" i="4"/>
  <c r="AH11" i="4"/>
  <c r="AH10" i="4" s="1"/>
  <c r="T35" i="4"/>
  <c r="T50" i="4"/>
  <c r="T47" i="4" s="1"/>
  <c r="T16" i="4"/>
  <c r="T15" i="4" s="1"/>
  <c r="AH50" i="4"/>
  <c r="AH47" i="4" s="1"/>
  <c r="AH26" i="4"/>
  <c r="T26" i="4"/>
  <c r="T76" i="4"/>
  <c r="T72" i="4" s="1"/>
  <c r="T148" i="4"/>
  <c r="AH148" i="4"/>
  <c r="T94" i="4" l="1"/>
  <c r="T8" i="4" s="1"/>
  <c r="T161" i="4" s="1"/>
  <c r="T160" i="4" l="1"/>
  <c r="BJ11" i="1" l="1"/>
  <c r="BJ28" i="1"/>
  <c r="BJ36" i="1"/>
  <c r="BJ65" i="1"/>
  <c r="BJ75" i="1"/>
  <c r="BJ87" i="1"/>
  <c r="BJ94" i="1"/>
  <c r="BJ136" i="1"/>
  <c r="BJ328" i="1" l="1"/>
  <c r="BJ269" i="1"/>
  <c r="BJ326" i="1" s="1"/>
  <c r="AH106" i="4" l="1"/>
  <c r="AO65" i="1" l="1"/>
  <c r="E23" i="4" l="1"/>
  <c r="E20" i="4"/>
  <c r="E17" i="4"/>
  <c r="E16" i="4" l="1"/>
  <c r="E45" i="4" l="1"/>
  <c r="E44" i="4" s="1"/>
  <c r="E50" i="4" l="1"/>
  <c r="E150" i="4" l="1"/>
  <c r="E58" i="4"/>
  <c r="E56" i="4"/>
  <c r="E48" i="4"/>
  <c r="E39" i="4"/>
  <c r="E36" i="4"/>
  <c r="E29" i="4"/>
  <c r="E27" i="4"/>
  <c r="E55" i="4" l="1"/>
  <c r="E26" i="4"/>
  <c r="E154" i="4"/>
  <c r="E11" i="4"/>
  <c r="E10" i="4" s="1"/>
  <c r="E35" i="4"/>
  <c r="E47" i="4"/>
  <c r="E148" i="4" l="1"/>
  <c r="E15" i="4"/>
  <c r="AB87" i="1" l="1"/>
  <c r="AO87" i="1"/>
  <c r="BB87" i="1"/>
  <c r="BX329" i="1" l="1"/>
  <c r="F87" i="1" l="1"/>
  <c r="BB65" i="1" l="1"/>
  <c r="BB28" i="1" l="1"/>
  <c r="AB11" i="1"/>
  <c r="BB11" i="1" l="1"/>
  <c r="AO11" i="1"/>
  <c r="BB94" i="1" l="1"/>
  <c r="AO94" i="1"/>
  <c r="AB94" i="1" l="1"/>
  <c r="AB75" i="1" l="1"/>
  <c r="BB75" i="1" l="1"/>
  <c r="AH99" i="4" l="1"/>
  <c r="AH98" i="4" l="1"/>
  <c r="AH91" i="4" l="1"/>
  <c r="AH90" i="4" s="1"/>
  <c r="E90" i="4"/>
  <c r="AB28" i="1" l="1"/>
  <c r="AO28" i="1"/>
  <c r="AO75" i="1" l="1"/>
  <c r="AB65" i="1" l="1"/>
  <c r="F65" i="1" l="1"/>
  <c r="BB246" i="1" l="1"/>
  <c r="AB246" i="1"/>
  <c r="AO246" i="1"/>
  <c r="AO136" i="1" l="1"/>
  <c r="BB136" i="1" l="1"/>
  <c r="AB136" i="1"/>
  <c r="BB36" i="1" l="1"/>
  <c r="BB327" i="1"/>
  <c r="AO327" i="1"/>
  <c r="AO36" i="1"/>
  <c r="BB328" i="1" l="1"/>
  <c r="BB269" i="1"/>
  <c r="BB326" i="1" s="1"/>
  <c r="AO269" i="1"/>
  <c r="AO326" i="1" s="1"/>
  <c r="AO328" i="1"/>
  <c r="BB329" i="1" l="1"/>
  <c r="AO329" i="1"/>
  <c r="AB327" i="1" l="1"/>
  <c r="AB36" i="1"/>
  <c r="F36" i="1"/>
  <c r="AB328" i="1" l="1"/>
  <c r="AB269" i="1"/>
  <c r="AB326" i="1" s="1"/>
  <c r="AB329" i="1" l="1"/>
  <c r="AH78" i="4" l="1"/>
  <c r="E77" i="4"/>
  <c r="AH79" i="4"/>
  <c r="E82" i="4"/>
  <c r="AH83" i="4"/>
  <c r="AH84" i="4"/>
  <c r="E80" i="4"/>
  <c r="AH81" i="4"/>
  <c r="AH80" i="4" s="1"/>
  <c r="AH86" i="4"/>
  <c r="E85" i="4"/>
  <c r="AH87" i="4"/>
  <c r="E89" i="4"/>
  <c r="AH92" i="4"/>
  <c r="AH89" i="4" s="1"/>
  <c r="AH77" i="4" l="1"/>
  <c r="AH85" i="4"/>
  <c r="AH82" i="4"/>
  <c r="E76" i="4"/>
  <c r="AH76" i="4" l="1"/>
  <c r="AH72" i="4" s="1"/>
  <c r="AH94" i="4" s="1"/>
  <c r="AH160" i="4" s="1"/>
  <c r="E72" i="4"/>
  <c r="E94" i="4" l="1"/>
  <c r="E160" i="4" l="1"/>
  <c r="AH100" i="4" l="1"/>
  <c r="F270" i="1" l="1"/>
  <c r="AH101" i="4" l="1"/>
  <c r="AH96" i="4" s="1"/>
  <c r="E8" i="4" l="1"/>
  <c r="AH8" i="4"/>
  <c r="AH161" i="4" s="1"/>
  <c r="E161" i="4" l="1"/>
  <c r="B8" i="5"/>
  <c r="AH163" i="4" l="1"/>
  <c r="F75" i="1" l="1"/>
  <c r="F136" i="1" l="1"/>
  <c r="F94" i="1"/>
  <c r="F11" i="1"/>
  <c r="F28" i="1"/>
  <c r="F246" i="1"/>
  <c r="F327" i="1"/>
  <c r="F269" i="1" l="1"/>
  <c r="F326" i="1" s="1"/>
  <c r="F328" i="1"/>
  <c r="F329" i="1" l="1"/>
  <c r="D329" i="1" l="1"/>
  <c r="H327" i="1"/>
  <c r="H11" i="1"/>
  <c r="H269" i="1" s="1"/>
  <c r="H326" i="1" s="1"/>
  <c r="G12" i="1"/>
  <c r="G327" i="1" l="1"/>
  <c r="E12" i="1"/>
  <c r="H328" i="1"/>
  <c r="G11" i="1"/>
  <c r="E11" i="1" l="1"/>
  <c r="E327" i="1"/>
  <c r="G328" i="1"/>
  <c r="G269" i="1"/>
  <c r="G326" i="1" s="1"/>
  <c r="E269" i="1" l="1"/>
  <c r="E328" i="1"/>
  <c r="E326" i="1" l="1"/>
  <c r="D332" i="1" s="1"/>
  <c r="B5" i="5"/>
  <c r="B7" i="5" s="1"/>
</calcChain>
</file>

<file path=xl/comments1.xml><?xml version="1.0" encoding="utf-8"?>
<comments xmlns="http://schemas.openxmlformats.org/spreadsheetml/2006/main">
  <authors>
    <author>Elina Markaine</author>
    <author>Kristīne Hermane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36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77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  <comment ref="W277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1405 euro - CFLA līdzekļi, LP projektam, kas ir pašv. kontā, bet ko nepieprasīs LP.</t>
        </r>
      </text>
    </comment>
    <comment ref="K292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132 euro ir iekļauta summā 180983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<sst xmlns="http://schemas.openxmlformats.org/spreadsheetml/2006/main" count="1064" uniqueCount="859">
  <si>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</si>
  <si>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</si>
  <si>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</si>
  <si>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</si>
  <si>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</si>
  <si>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</si>
  <si>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</si>
  <si>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</si>
  <si>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</si>
  <si>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</si>
  <si>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</si>
  <si>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</si>
  <si>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</si>
  <si>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</si>
  <si>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</si>
  <si>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</si>
  <si>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</si>
  <si>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</si>
  <si>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</si>
  <si>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</si>
  <si>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</si>
  <si>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</si>
  <si>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</si>
  <si>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</si>
  <si>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</si>
  <si>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</si>
  <si>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</si>
  <si>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</si>
  <si>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</si>
  <si>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</si>
  <si>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</si>
  <si>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</si>
  <si>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</si>
  <si>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</si>
  <si>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</si>
  <si>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</si>
  <si>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</si>
  <si>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</si>
  <si>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</si>
  <si>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</si>
  <si>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</si>
  <si>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</si>
  <si>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</si>
  <si>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</si>
  <si>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</si>
  <si>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</si>
  <si>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</si>
  <si>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</si>
  <si>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</si>
  <si>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</si>
  <si>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</si>
  <si>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</si>
  <si>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</si>
  <si>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</si>
  <si>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</si>
  <si>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</si>
  <si>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</si>
  <si>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</si>
  <si>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</si>
  <si>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</si>
  <si>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</si>
  <si>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</si>
  <si>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</si>
  <si>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</si>
  <si>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</si>
  <si>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</si>
  <si>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</si>
  <si>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</si>
  <si>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</si>
  <si>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</si>
  <si>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</si>
  <si>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</si>
  <si>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</si>
  <si>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</si>
  <si>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</si>
  <si>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</si>
  <si>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</si>
  <si>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</si>
  <si>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</si>
  <si>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</si>
  <si>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</si>
  <si>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</si>
  <si>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</si>
  <si>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</si>
  <si>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</si>
  <si>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</si>
  <si>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</si>
  <si>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</si>
  <si>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</si>
  <si>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</si>
  <si>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</si>
  <si>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</si>
  <si>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</si>
  <si>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</si>
  <si>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</si>
  <si>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</si>
  <si>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</si>
  <si>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</si>
  <si>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</si>
  <si>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</si>
  <si>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</si>
  <si>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</si>
  <si>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</si>
  <si>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</si>
  <si>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</si>
  <si>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</si>
  <si>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</si>
  <si>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</si>
  <si>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</si>
  <si>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</si>
  <si>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</si>
  <si>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</si>
  <si>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</si>
  <si>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</si>
  <si>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</si>
  <si>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</si>
  <si>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</si>
  <si>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</si>
  <si>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</si>
  <si>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</si>
  <si>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</si>
  <si>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</si>
  <si>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</si>
  <si>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</si>
  <si>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</si>
  <si>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</si>
  <si>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</si>
  <si>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</si>
  <si>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</si>
  <si>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</si>
  <si>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</si>
  <si>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</si>
  <si>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</si>
  <si>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</si>
  <si>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</si>
  <si>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</si>
  <si>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</si>
  <si>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</si>
  <si>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</si>
  <si>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</si>
  <si>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</si>
  <si>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</si>
  <si>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</si>
  <si>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</si>
  <si>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</si>
  <si>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</si>
  <si>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</si>
  <si>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</si>
  <si>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</si>
  <si>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</si>
  <si>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</si>
  <si>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</si>
  <si>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</si>
  <si>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</si>
  <si>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</si>
  <si>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</si>
  <si>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</si>
  <si>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</si>
  <si>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</si>
  <si>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</si>
  <si>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</si>
  <si>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</si>
  <si>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</si>
  <si>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</si>
  <si>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</si>
  <si>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</si>
  <si>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</si>
  <si>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</si>
  <si>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</si>
  <si>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</si>
  <si>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</si>
  <si>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</si>
  <si>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</si>
  <si>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</si>
  <si>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</si>
  <si>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</si>
  <si>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</si>
  <si>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</si>
  <si>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</si>
  <si>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</si>
  <si>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</si>
  <si>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</si>
  <si>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</si>
  <si>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</si>
  <si>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</si>
  <si>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</si>
  <si>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</si>
  <si>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</si>
  <si>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</si>
  <si>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</si>
  <si>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</si>
  <si>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</si>
  <si>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</si>
  <si>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</si>
  <si>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</si>
  <si>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</si>
  <si>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</si>
  <si>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</si>
  <si>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</si>
  <si>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</si>
  <si>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</si>
  <si>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</si>
  <si>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</si>
  <si>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</si>
  <si>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</si>
  <si>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</si>
  <si>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</si>
  <si>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</si>
  <si>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</si>
  <si>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</si>
  <si>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</si>
  <si>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</si>
  <si>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</si>
  <si>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</si>
  <si>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</si>
  <si>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</si>
  <si>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</si>
  <si>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</si>
  <si>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</si>
  <si>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</si>
  <si>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</si>
  <si>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</si>
  <si>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</si>
  <si>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</si>
  <si>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</si>
  <si>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</si>
  <si>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</si>
  <si>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</si>
  <si>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</si>
  <si>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</si>
  <si>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</si>
  <si>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</si>
  <si>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</si>
  <si>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</si>
  <si>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</si>
  <si>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</si>
  <si>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</si>
  <si>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</si>
  <si>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</si>
  <si>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</si>
  <si>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</si>
  <si>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</si>
  <si>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</si>
  <si>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</si>
  <si>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</si>
  <si>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</si>
  <si>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</si>
  <si>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</si>
  <si>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</si>
  <si>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</si>
  <si>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</si>
  <si>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</si>
  <si>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</si>
  <si>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</si>
  <si>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</si>
  <si>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</si>
  <si>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</si>
  <si>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</si>
  <si>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</si>
  <si>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</si>
  <si>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</si>
  <si>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</si>
  <si>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</si>
  <si>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</si>
  <si>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</si>
  <si>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</si>
  <si>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</si>
  <si>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</si>
  <si>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</si>
  <si>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</si>
  <si>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</si>
  <si>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</si>
  <si>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</si>
  <si>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</si>
  <si>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</si>
  <si>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</si>
  <si>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</si>
  <si>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</si>
  <si>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</si>
  <si>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</si>
  <si>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</si>
  <si>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</si>
  <si>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</si>
  <si>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</si>
  <si>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</si>
  <si>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</si>
  <si>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</si>
  <si>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</si>
  <si>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</si>
  <si>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</si>
  <si>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</si>
  <si>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</si>
  <si>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</si>
  <si>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</si>
  <si>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</si>
  <si>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</si>
  <si>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</si>
  <si>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</si>
  <si>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</si>
  <si>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</si>
  <si>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</si>
  <si>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</si>
  <si>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</si>
  <si>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</si>
  <si>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</si>
  <si>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</si>
  <si>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</si>
  <si>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</si>
  <si>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</si>
  <si>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</si>
  <si>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</si>
  <si>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</si>
  <si>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</si>
  <si>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</si>
  <si>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</si>
  <si>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</si>
  <si>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</si>
  <si>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</si>
  <si>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</si>
  <si>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</si>
  <si>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</si>
  <si>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</si>
  <si>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</si>
  <si>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</si>
  <si>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</si>
  <si>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</si>
  <si>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</si>
  <si>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</si>
  <si>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</si>
  <si>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</si>
  <si>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</si>
  <si>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</si>
  <si>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</si>
  <si>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</si>
  <si>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</si>
  <si>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</si>
  <si>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</si>
  <si>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</si>
  <si>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</si>
  <si>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</si>
  <si>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</si>
  <si>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</si>
  <si>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</si>
  <si>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</si>
  <si>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</si>
  <si>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</si>
  <si>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</si>
  <si>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</si>
  <si>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</si>
  <si>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</si>
  <si>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</si>
  <si>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</si>
  <si>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</si>
  <si>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</si>
  <si>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</si>
  <si>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</si>
  <si>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</si>
  <si>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</si>
  <si>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</si>
  <si>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</si>
  <si>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</si>
  <si>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</si>
  <si>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</si>
  <si>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</si>
  <si>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</si>
  <si>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</si>
  <si>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</si>
  <si>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</si>
  <si>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</si>
  <si>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</si>
  <si>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</si>
  <si>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</si>
  <si>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</si>
  <si>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</si>
  <si>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</si>
  <si>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</si>
  <si>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</si>
  <si>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</si>
  <si>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</si>
  <si>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</si>
  <si>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</si>
  <si>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</si>
  <si>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</si>
  <si>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</si>
  <si>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</si>
  <si>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</si>
  <si>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</si>
  <si>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</si>
  <si>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</si>
  <si>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</si>
  <si>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</si>
  <si>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</si>
  <si>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</si>
  <si>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</si>
  <si>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</si>
  <si>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</si>
  <si>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</si>
  <si>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</si>
  <si>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</si>
  <si>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</si>
  <si>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</si>
  <si>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</si>
  <si>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</si>
  <si>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</si>
  <si>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</si>
  <si>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</si>
  <si>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</si>
  <si>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</si>
  <si>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</si>
  <si>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</si>
  <si>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</si>
  <si>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</si>
  <si>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</si>
  <si>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</si>
  <si>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</si>
  <si>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</si>
  <si>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</si>
  <si>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</si>
  <si>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</si>
  <si>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</si>
  <si>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</si>
  <si>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</si>
  <si>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</si>
  <si>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</si>
  <si>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</si>
  <si>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</si>
  <si>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</si>
  <si>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</si>
  <si>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</si>
  <si>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</si>
  <si>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</si>
  <si>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</si>
  <si>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</si>
  <si>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</si>
  <si>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</si>
  <si>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</si>
  <si>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</si>
  <si>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</si>
  <si>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</si>
  <si>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</si>
  <si>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</si>
  <si>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</si>
  <si>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</si>
  <si>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</si>
  <si>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</si>
  <si>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</si>
  <si>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</si>
  <si>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</si>
  <si>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</si>
  <si>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</si>
  <si>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</si>
  <si>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</si>
  <si>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</si>
  <si>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</si>
  <si>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</si>
  <si>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</si>
  <si>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</si>
  <si>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</si>
  <si>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</si>
  <si>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</si>
  <si>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</si>
  <si>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</si>
  <si>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</si>
  <si>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</si>
  <si>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</si>
  <si>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</si>
  <si>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</si>
  <si>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</si>
  <si>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</si>
  <si>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</si>
  <si>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</si>
  <si>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</si>
  <si>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</si>
  <si>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</si>
  <si>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</si>
  <si>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</si>
  <si>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</si>
  <si>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</si>
  <si>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</si>
  <si>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</si>
  <si>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</si>
  <si>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</si>
  <si>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</si>
  <si>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</si>
  <si>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</si>
  <si>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</si>
  <si>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</si>
  <si>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</si>
  <si>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</si>
  <si>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</si>
  <si>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</si>
  <si>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</si>
  <si>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</si>
  <si>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</si>
  <si>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</si>
  <si>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</si>
  <si>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</si>
  <si>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</si>
  <si>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</si>
  <si>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</si>
  <si>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</si>
  <si>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</si>
  <si>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</si>
  <si>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</si>
  <si>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</si>
  <si>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</si>
  <si>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</si>
  <si>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</si>
  <si>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</si>
  <si>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</si>
  <si>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</si>
  <si>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</si>
  <si>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</si>
  <si>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</si>
  <si>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</si>
  <si>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</si>
  <si>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</si>
  <si>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</si>
  <si>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</si>
  <si>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</si>
  <si>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</si>
  <si>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</si>
  <si>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</si>
  <si>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</si>
  <si>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</si>
  <si>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</si>
  <si>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</si>
  <si>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</si>
  <si>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</si>
  <si>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</si>
  <si>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</si>
  <si>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</si>
  <si>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</si>
  <si>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</si>
  <si>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</si>
  <si>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</si>
  <si>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</si>
  <si>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</si>
  <si>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</si>
  <si>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</si>
  <si>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</si>
  <si>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</si>
  <si>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</si>
  <si>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</si>
  <si>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</si>
  <si>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</si>
  <si>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</si>
  <si>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</si>
  <si>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</si>
  <si>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</si>
  <si>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</si>
  <si>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</si>
  <si>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</si>
  <si>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</si>
  <si>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</si>
  <si>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</si>
  <si>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</si>
  <si>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</si>
  <si>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</si>
  <si>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</si>
  <si>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</si>
  <si>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</si>
  <si>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</si>
  <si>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</si>
  <si>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</si>
  <si>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</si>
  <si>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</si>
  <si>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</si>
  <si>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</si>
  <si>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</si>
  <si>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</si>
  <si>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</si>
  <si>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</si>
  <si>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</si>
  <si>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</si>
  <si>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</si>
  <si>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</si>
  <si>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</si>
  <si>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</si>
  <si>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</si>
  <si>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</si>
  <si>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</si>
  <si>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</si>
  <si>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</si>
  <si>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</si>
  <si>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</si>
  <si>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</si>
  <si>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</si>
  <si>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</si>
  <si>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</si>
  <si>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</si>
  <si>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</si>
  <si>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</si>
  <si>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</si>
  <si>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</si>
  <si>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</si>
  <si>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</si>
  <si>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</si>
  <si>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</si>
  <si>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</si>
  <si>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</si>
  <si>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</si>
  <si>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</si>
  <si>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</si>
  <si>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</si>
  <si>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</si>
  <si>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</si>
  <si>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</si>
  <si>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</si>
  <si>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</si>
  <si>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</si>
  <si>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</si>
  <si>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</si>
  <si>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</si>
  <si>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</si>
  <si>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</si>
  <si>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</si>
  <si>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</si>
  <si>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</si>
  <si>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</si>
  <si>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</si>
  <si>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</si>
  <si>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</si>
  <si>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</si>
  <si>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</si>
  <si>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</si>
  <si>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</si>
  <si>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</si>
  <si>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</si>
  <si>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</si>
  <si>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</si>
  <si>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</si>
  <si>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</si>
  <si>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</si>
  <si>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</si>
  <si>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</si>
  <si>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</si>
  <si>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</si>
  <si>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</si>
  <si>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</si>
  <si>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</si>
  <si>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</si>
  <si>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</si>
  <si>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</si>
  <si>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</si>
  <si>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</si>
  <si>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</si>
  <si>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</si>
  <si>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</si>
  <si>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</si>
  <si>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</si>
  <si>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</si>
  <si>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</si>
  <si>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</si>
  <si>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</si>
  <si>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</si>
  <si>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</si>
  <si>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</si>
  <si>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</si>
  <si>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</si>
  <si>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</si>
  <si>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</si>
  <si>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</si>
  <si>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</si>
  <si>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</si>
  <si>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</si>
  <si>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</si>
  <si>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</si>
  <si>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</si>
  <si>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</si>
  <si>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</si>
  <si>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</si>
  <si>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</si>
  <si>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</si>
  <si>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</si>
  <si>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</si>
  <si>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</si>
  <si>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</si>
  <si>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</si>
  <si>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</si>
  <si>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</si>
  <si>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</si>
  <si>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</si>
  <si>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</si>
  <si>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</si>
  <si>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</si>
  <si>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</si>
  <si>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</si>
  <si>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</si>
  <si>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</si>
  <si>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</si>
  <si>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</si>
  <si>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</si>
  <si>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</si>
  <si>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</si>
  <si>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</si>
  <si>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</si>
  <si>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</si>
  <si>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</si>
  <si>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</si>
  <si>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</si>
  <si>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</si>
  <si>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</si>
  <si>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</si>
  <si>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</si>
  <si>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</si>
  <si>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</si>
  <si>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</si>
  <si>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</si>
  <si>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</si>
  <si>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</si>
  <si>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</si>
  <si>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</si>
  <si>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</si>
  <si>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</si>
  <si>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</si>
  <si>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</si>
  <si>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</si>
  <si>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</si>
  <si>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</si>
  <si>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</si>
  <si>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</si>
  <si>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</si>
  <si>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</si>
  <si>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</si>
  <si>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</si>
  <si>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</si>
  <si>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</si>
  <si>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</si>
  <si>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</si>
  <si>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</si>
  <si>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</si>
  <si>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</si>
  <si>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</si>
  <si>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</si>
  <si>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</si>
  <si>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</si>
  <si>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</si>
  <si>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</si>
  <si>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</si>
  <si>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</si>
  <si>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</si>
  <si>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</si>
  <si>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</si>
  <si>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</si>
  <si>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</si>
  <si>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</si>
  <si>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</si>
  <si>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</si>
  <si>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</si>
  <si>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</si>
  <si>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</si>
  <si>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</si>
  <si>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</si>
  <si>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</si>
  <si>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</si>
  <si>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</si>
  <si>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</si>
  <si>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</si>
  <si>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</si>
  <si>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</si>
  <si>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</si>
  <si>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</si>
  <si>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</si>
  <si>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</si>
  <si>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</si>
  <si>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</si>
  <si>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</si>
  <si>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</si>
  <si>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</si>
  <si>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</si>
  <si>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</si>
  <si>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</si>
  <si>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</si>
  <si>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</si>
  <si>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</si>
  <si>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</si>
  <si>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</si>
  <si>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</si>
  <si>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</si>
  <si>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</si>
  <si>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</si>
  <si>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</si>
  <si>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</si>
  <si>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</si>
  <si>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</si>
  <si>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</si>
  <si>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</si>
  <si>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</si>
  <si>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</si>
  <si>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</si>
  <si>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</si>
  <si>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</si>
  <si>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</si>
  <si>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</si>
  <si>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</si>
  <si>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</si>
  <si>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</si>
  <si>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</si>
  <si>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</si>
  <si>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</si>
  <si>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</si>
  <si>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</si>
  <si>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</si>
  <si>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</si>
  <si>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</si>
  <si>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</si>
  <si>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</si>
  <si>
    <t>18.04. SN Nr.16</t>
  </si>
  <si>
    <t>25.04. SN Nr.17</t>
  </si>
  <si>
    <t>02.05. Nr.1.1-14/144</t>
  </si>
  <si>
    <t>16.05. SN Nr.18</t>
  </si>
  <si>
    <t>Projekts "Motorlaivas ar jūras spējas kategoriju C un tās aprīkojuma iegāde zivju resursu aizsardzībai"</t>
  </si>
  <si>
    <t>04.4.1.</t>
  </si>
  <si>
    <t>23.05. SN Nr.19</t>
  </si>
  <si>
    <t>03.06. Nr.1.1-14/174</t>
  </si>
  <si>
    <t>Ūdenstilpju iznomāšana</t>
  </si>
  <si>
    <t>Projekts "Nordplus jauniešu mobilitātes projekts"</t>
  </si>
  <si>
    <t>09.2.3.</t>
  </si>
  <si>
    <t>Projekts "Literārie vakari kopā ar autoru"</t>
  </si>
  <si>
    <t>08.3.3.</t>
  </si>
  <si>
    <t>Ieņēmumu pārsniegums pār izdevumiem uzņemto saistību segšanai</t>
  </si>
  <si>
    <t>09.1.24.</t>
  </si>
  <si>
    <t>20.06. SN Nr.22</t>
  </si>
  <si>
    <t>Jūrmalas pilsētas pamatskola</t>
  </si>
  <si>
    <t>Atgriežamie līdzekļi valsts budžetam programmas "Skolas soma" ietvaros</t>
  </si>
  <si>
    <t>09.23.5.</t>
  </si>
  <si>
    <t>Projekts "Solis tuvāk nākotnes skolai"</t>
  </si>
  <si>
    <t>Projekts "Ķemeru parka pārbūve un restaurācija"</t>
  </si>
  <si>
    <t>08.1.16.</t>
  </si>
  <si>
    <t>19.07. Nr.1.1-14/219</t>
  </si>
  <si>
    <t>Projekts "Ilgtspējīga [sa]darbība"</t>
  </si>
  <si>
    <t>09.1.25.</t>
  </si>
  <si>
    <t>25.07. SN Nr.27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</si>
  <si>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</si>
  <si>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</si>
  <si>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</si>
  <si>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15.08. Nr.1.1-14/239</t>
  </si>
  <si>
    <t>05.2.3.</t>
  </si>
  <si>
    <t>29.08. SN Nr.31</t>
  </si>
  <si>
    <t>2019.gada budžets kopā ar konsolidāciju, apstiprināts</t>
  </si>
  <si>
    <t>Projekts "SKOLĒNU PARLAMENTS-skolas darbības aktivizēšana, izmantojot skolēnu idejas, intereses un viņu aktīvu iesaistīšanos"</t>
  </si>
  <si>
    <t>09.23.6.</t>
  </si>
  <si>
    <t>Projekts "Dalīsimies ar rotaļām"</t>
  </si>
  <si>
    <t>09.21.3.</t>
  </si>
  <si>
    <t>09.5.5.</t>
  </si>
  <si>
    <t>Jūrmalas Valsts ģimnāzijas reģionālās attīstības metodiskā centra darbības nodrošināšana</t>
  </si>
  <si>
    <t>19.09. Nr.1.1-14/277</t>
  </si>
  <si>
    <t xml:space="preserve">Mērķdotācija Latvijas skolas soma </t>
  </si>
  <si>
    <t>26.09. SN Nr.39</t>
  </si>
  <si>
    <t>Projekts "Prevencija ir labāka nekā dziedināšana", kā teica Hipokrāts"</t>
  </si>
  <si>
    <t>09.21.4.</t>
  </si>
  <si>
    <t>18.6.4.0.</t>
  </si>
  <si>
    <t>Pašvaldību saņemtā dotācija no pašvaldību finanšu izlīdzināšanas fonda</t>
  </si>
  <si>
    <t>Projekts "Jūrmalas brīvdabas muzeja infrastruktūras attīstība un zvejas kuģa atjaunošana"</t>
  </si>
  <si>
    <t>08.6.5.</t>
  </si>
  <si>
    <t>Projekts "Motocikla un aprīkojuma iegāde zivju resursu aizsardzībai"</t>
  </si>
  <si>
    <t>04.4.2.</t>
  </si>
  <si>
    <t>08.5.7.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</si>
</sst>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1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vertical="center" wrapText="1"/>
    </xf>
    <xf numFmtId="3" fontId="5" fillId="0" borderId="139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4" fillId="0" borderId="42" xfId="2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54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5" fillId="0" borderId="23" xfId="2" applyFont="1" applyFill="1" applyBorder="1" applyAlignment="1">
      <alignment horizontal="left" vertical="center"/>
    </xf>
    <xf numFmtId="0" fontId="8" fillId="3" borderId="23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57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CA1451"/>
  <sheetViews>
    <sheetView tabSelected="1" view="pageLayout" zoomScaleNormal="100" workbookViewId="0">
      <selection activeCell="BK3" sqref="BK3"/>
    </sheetView>
  </sheetViews>
  <sheetFormatPr defaultColWidth="8.42578125" defaultRowHeight="12" outlineLevelRow="1" outlineLevelCol="1" x14ac:dyDescent="0.2"/>
  <cols>
    <col min="1" max="1" width="11.28515625" style="100" customWidth="1"/>
    <col min="2" max="2" width="23" style="1" customWidth="1"/>
    <col min="3" max="3" width="34.85546875" style="1" customWidth="1"/>
    <col min="4" max="4" width="10.42578125" style="3" hidden="1" customWidth="1" outlineLevel="1"/>
    <col min="5" max="5" width="9.5703125" style="3" customWidth="1" collapsed="1"/>
    <col min="6" max="6" width="10" style="1" hidden="1" customWidth="1" outlineLevel="1"/>
    <col min="7" max="7" width="9.42578125" style="198" customWidth="1" collapsed="1"/>
    <col min="8" max="8" width="9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4" width="8.140625" style="198" hidden="1" customWidth="1" outlineLevel="1"/>
    <col min="15" max="15" width="7.7109375" style="198" hidden="1" customWidth="1" outlineLevel="1"/>
    <col min="16" max="18" width="8.140625" style="198" hidden="1" customWidth="1" outlineLevel="1"/>
    <col min="19" max="20" width="9.28515625" style="198" hidden="1" customWidth="1" outlineLevel="1"/>
    <col min="21" max="27" width="8.140625" style="198" hidden="1" customWidth="1" outlineLevel="1"/>
    <col min="28" max="28" width="9.42578125" style="172" hidden="1" customWidth="1" outlineLevel="1"/>
    <col min="29" max="29" width="9" style="198" customWidth="1" collapsed="1"/>
    <col min="30" max="30" width="7.5703125" style="198" hidden="1" customWidth="1" outlineLevel="1"/>
    <col min="31" max="31" width="5.85546875" style="198" hidden="1" customWidth="1" outlineLevel="1"/>
    <col min="32" max="32" width="6.7109375" style="198" hidden="1" customWidth="1" outlineLevel="1"/>
    <col min="33" max="33" width="7.7109375" style="198" hidden="1" customWidth="1" outlineLevel="1"/>
    <col min="34" max="40" width="7.5703125" style="198" hidden="1" customWidth="1" outlineLevel="1"/>
    <col min="41" max="41" width="8.42578125" style="1" hidden="1" customWidth="1" outlineLevel="1"/>
    <col min="42" max="42" width="8.5703125" style="198" customWidth="1" collapsed="1"/>
    <col min="43" max="43" width="8.42578125" style="198" hidden="1" customWidth="1" outlineLevel="1"/>
    <col min="44" max="44" width="7.5703125" style="198" hidden="1" customWidth="1" outlineLevel="1"/>
    <col min="45" max="45" width="7" style="198" hidden="1" customWidth="1" outlineLevel="1"/>
    <col min="46" max="53" width="7.5703125" style="198" hidden="1" customWidth="1" outlineLevel="1"/>
    <col min="54" max="54" width="6.7109375" style="1" hidden="1" customWidth="1" outlineLevel="1"/>
    <col min="55" max="55" width="5.28515625" style="198" customWidth="1" collapsed="1"/>
    <col min="56" max="57" width="6.7109375" style="198" hidden="1" customWidth="1" outlineLevel="1"/>
    <col min="58" max="58" width="6.42578125" style="198" hidden="1" customWidth="1" outlineLevel="1"/>
    <col min="59" max="61" width="6.7109375" style="198" hidden="1" customWidth="1" outlineLevel="1"/>
    <col min="62" max="62" width="8.28515625" style="140" hidden="1" customWidth="1" outlineLevel="1"/>
    <col min="63" max="63" width="8.7109375" style="198" customWidth="1" collapsed="1"/>
    <col min="64" max="64" width="8.5703125" style="198" hidden="1" customWidth="1" outlineLevel="1"/>
    <col min="65" max="65" width="6.42578125" style="198" hidden="1" customWidth="1" outlineLevel="1"/>
    <col min="66" max="66" width="8" style="198" hidden="1" customWidth="1" outlineLevel="1"/>
    <col min="67" max="67" width="6.5703125" style="198" hidden="1" customWidth="1" outlineLevel="1"/>
    <col min="68" max="75" width="6.7109375" style="198" hidden="1" customWidth="1" outlineLevel="1"/>
    <col min="76" max="76" width="7" style="2" customWidth="1" collapsed="1"/>
    <col min="77" max="77" width="12.7109375" style="1" customWidth="1"/>
    <col min="78" max="80" width="8.42578125" style="1" customWidth="1"/>
    <col min="81" max="81" width="11" style="1" customWidth="1"/>
    <col min="82" max="16384" width="8.42578125" style="1"/>
  </cols>
  <sheetData>
    <row r="1" spans="1:78" s="198" customFormat="1" x14ac:dyDescent="0.2">
      <c r="D1" s="3"/>
      <c r="E1" s="3"/>
      <c r="BX1" s="2"/>
      <c r="BY1" s="336" t="s">
        <v>738</v>
      </c>
    </row>
    <row r="2" spans="1:78" s="198" customFormat="1" x14ac:dyDescent="0.2">
      <c r="D2" s="3"/>
      <c r="E2" s="3"/>
      <c r="BX2" s="2"/>
      <c r="BY2" s="336" t="s">
        <v>739</v>
      </c>
    </row>
    <row r="3" spans="1:78" s="198" customFormat="1" x14ac:dyDescent="0.2">
      <c r="D3" s="3"/>
      <c r="E3" s="3"/>
      <c r="BX3" s="2"/>
      <c r="BY3" s="336" t="s">
        <v>740</v>
      </c>
    </row>
    <row r="4" spans="1:78" ht="18.75" customHeight="1" x14ac:dyDescent="0.2">
      <c r="A4" s="435" t="s">
        <v>611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</row>
    <row r="5" spans="1:78" ht="12.75" thickBot="1" x14ac:dyDescent="0.25"/>
    <row r="6" spans="1:78" ht="13.5" customHeight="1" thickBot="1" x14ac:dyDescent="0.25">
      <c r="A6" s="436" t="s">
        <v>603</v>
      </c>
      <c r="B6" s="422" t="s">
        <v>610</v>
      </c>
      <c r="C6" s="448" t="s">
        <v>156</v>
      </c>
      <c r="D6" s="441" t="s">
        <v>574</v>
      </c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438" t="s">
        <v>604</v>
      </c>
      <c r="BY6" s="438" t="s">
        <v>192</v>
      </c>
    </row>
    <row r="7" spans="1:78" ht="13.5" customHeight="1" x14ac:dyDescent="0.2">
      <c r="A7" s="437"/>
      <c r="B7" s="423"/>
      <c r="C7" s="449"/>
      <c r="D7" s="420" t="s">
        <v>716</v>
      </c>
      <c r="E7" s="430" t="s">
        <v>0</v>
      </c>
      <c r="F7" s="426" t="s">
        <v>717</v>
      </c>
      <c r="G7" s="426" t="s">
        <v>1</v>
      </c>
      <c r="H7" s="426" t="s">
        <v>719</v>
      </c>
      <c r="I7" s="408" t="s">
        <v>718</v>
      </c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10"/>
      <c r="AB7" s="426" t="s">
        <v>721</v>
      </c>
      <c r="AC7" s="426" t="s">
        <v>128</v>
      </c>
      <c r="AD7" s="426" t="s">
        <v>720</v>
      </c>
      <c r="AE7" s="408" t="s">
        <v>718</v>
      </c>
      <c r="AF7" s="409"/>
      <c r="AG7" s="409"/>
      <c r="AH7" s="409"/>
      <c r="AI7" s="409"/>
      <c r="AJ7" s="409"/>
      <c r="AK7" s="409"/>
      <c r="AL7" s="409"/>
      <c r="AM7" s="409"/>
      <c r="AN7" s="410"/>
      <c r="AO7" s="413" t="s">
        <v>722</v>
      </c>
      <c r="AP7" s="413" t="s">
        <v>2</v>
      </c>
      <c r="AQ7" s="413" t="s">
        <v>723</v>
      </c>
      <c r="AR7" s="408" t="s">
        <v>718</v>
      </c>
      <c r="AS7" s="409"/>
      <c r="AT7" s="409"/>
      <c r="AU7" s="409"/>
      <c r="AV7" s="409"/>
      <c r="AW7" s="409"/>
      <c r="AX7" s="409"/>
      <c r="AY7" s="409"/>
      <c r="AZ7" s="409"/>
      <c r="BA7" s="410"/>
      <c r="BB7" s="415" t="s">
        <v>724</v>
      </c>
      <c r="BC7" s="413" t="s">
        <v>3</v>
      </c>
      <c r="BD7" s="415" t="s">
        <v>725</v>
      </c>
      <c r="BE7" s="408" t="s">
        <v>718</v>
      </c>
      <c r="BF7" s="409"/>
      <c r="BG7" s="409"/>
      <c r="BH7" s="409"/>
      <c r="BI7" s="410"/>
      <c r="BJ7" s="413" t="s">
        <v>726</v>
      </c>
      <c r="BK7" s="413" t="s">
        <v>438</v>
      </c>
      <c r="BL7" s="413" t="s">
        <v>727</v>
      </c>
      <c r="BM7" s="408" t="s">
        <v>718</v>
      </c>
      <c r="BN7" s="409"/>
      <c r="BO7" s="409"/>
      <c r="BP7" s="409"/>
      <c r="BQ7" s="409"/>
      <c r="BR7" s="409"/>
      <c r="BS7" s="409"/>
      <c r="BT7" s="409"/>
      <c r="BU7" s="409"/>
      <c r="BV7" s="409"/>
      <c r="BW7" s="410"/>
      <c r="BX7" s="439"/>
      <c r="BY7" s="439"/>
    </row>
    <row r="8" spans="1:78" ht="87" customHeight="1" thickBot="1" x14ac:dyDescent="0.25">
      <c r="A8" s="437"/>
      <c r="B8" s="423"/>
      <c r="C8" s="450"/>
      <c r="D8" s="421"/>
      <c r="E8" s="431"/>
      <c r="F8" s="427"/>
      <c r="G8" s="427"/>
      <c r="H8" s="427"/>
      <c r="I8" s="338" t="s">
        <v>747</v>
      </c>
      <c r="J8" s="339" t="s">
        <v>750</v>
      </c>
      <c r="K8" s="352" t="s">
        <v>782</v>
      </c>
      <c r="L8" s="377" t="s">
        <v>797</v>
      </c>
      <c r="M8" s="383" t="s">
        <v>808</v>
      </c>
      <c r="N8" s="384" t="s">
        <v>809</v>
      </c>
      <c r="O8" s="385" t="s">
        <v>811</v>
      </c>
      <c r="P8" s="339" t="s">
        <v>810</v>
      </c>
      <c r="Q8" s="386" t="s">
        <v>814</v>
      </c>
      <c r="R8" s="339" t="s">
        <v>815</v>
      </c>
      <c r="S8" s="390" t="s">
        <v>823</v>
      </c>
      <c r="T8" s="339" t="s">
        <v>830</v>
      </c>
      <c r="U8" s="395" t="s">
        <v>833</v>
      </c>
      <c r="V8" s="339" t="s">
        <v>837</v>
      </c>
      <c r="W8" s="400" t="s">
        <v>839</v>
      </c>
      <c r="X8" s="339" t="s">
        <v>847</v>
      </c>
      <c r="Y8" s="402" t="s">
        <v>849</v>
      </c>
      <c r="Z8" s="332" t="s">
        <v>731</v>
      </c>
      <c r="AA8" s="288"/>
      <c r="AB8" s="427"/>
      <c r="AC8" s="427"/>
      <c r="AD8" s="427"/>
      <c r="AE8" s="338" t="s">
        <v>747</v>
      </c>
      <c r="AF8" s="352" t="s">
        <v>782</v>
      </c>
      <c r="AG8" s="383" t="s">
        <v>808</v>
      </c>
      <c r="AH8" s="390" t="s">
        <v>823</v>
      </c>
      <c r="AI8" s="395" t="s">
        <v>833</v>
      </c>
      <c r="AJ8" s="400" t="s">
        <v>839</v>
      </c>
      <c r="AK8" s="402" t="s">
        <v>849</v>
      </c>
      <c r="AL8" s="332" t="s">
        <v>731</v>
      </c>
      <c r="AM8" s="286"/>
      <c r="AN8" s="286"/>
      <c r="AO8" s="414"/>
      <c r="AP8" s="414"/>
      <c r="AQ8" s="414"/>
      <c r="AR8" s="352" t="s">
        <v>782</v>
      </c>
      <c r="AS8" s="377" t="s">
        <v>797</v>
      </c>
      <c r="AT8" s="383" t="s">
        <v>808</v>
      </c>
      <c r="AU8" s="384" t="s">
        <v>809</v>
      </c>
      <c r="AV8" s="386" t="s">
        <v>814</v>
      </c>
      <c r="AW8" s="390" t="s">
        <v>823</v>
      </c>
      <c r="AX8" s="400" t="s">
        <v>839</v>
      </c>
      <c r="AY8" s="402" t="s">
        <v>849</v>
      </c>
      <c r="AZ8" s="332" t="s">
        <v>731</v>
      </c>
      <c r="BA8" s="289"/>
      <c r="BB8" s="416"/>
      <c r="BC8" s="414"/>
      <c r="BD8" s="416"/>
      <c r="BE8" s="352" t="s">
        <v>782</v>
      </c>
      <c r="BF8" s="332" t="s">
        <v>731</v>
      </c>
      <c r="BG8" s="289"/>
      <c r="BH8" s="289"/>
      <c r="BI8" s="289"/>
      <c r="BJ8" s="414"/>
      <c r="BK8" s="414"/>
      <c r="BL8" s="414"/>
      <c r="BM8" s="338" t="s">
        <v>747</v>
      </c>
      <c r="BN8" s="352" t="s">
        <v>782</v>
      </c>
      <c r="BO8" s="377" t="s">
        <v>797</v>
      </c>
      <c r="BP8" s="383" t="s">
        <v>808</v>
      </c>
      <c r="BQ8" s="387" t="s">
        <v>814</v>
      </c>
      <c r="BR8" s="390" t="s">
        <v>823</v>
      </c>
      <c r="BS8" s="395" t="s">
        <v>833</v>
      </c>
      <c r="BT8" s="400" t="s">
        <v>839</v>
      </c>
      <c r="BU8" s="402" t="s">
        <v>849</v>
      </c>
      <c r="BV8" s="332" t="s">
        <v>731</v>
      </c>
      <c r="BW8" s="289"/>
      <c r="BX8" s="440"/>
      <c r="BY8" s="440"/>
    </row>
    <row r="9" spans="1:78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>
        <v>11</v>
      </c>
      <c r="AC9" s="134">
        <v>6</v>
      </c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>
        <v>12</v>
      </c>
      <c r="AP9" s="135">
        <v>7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>
        <v>14</v>
      </c>
      <c r="BC9" s="134">
        <v>8</v>
      </c>
      <c r="BD9" s="135"/>
      <c r="BE9" s="135"/>
      <c r="BF9" s="135"/>
      <c r="BG9" s="135"/>
      <c r="BH9" s="135"/>
      <c r="BI9" s="135"/>
      <c r="BJ9" s="134">
        <v>15</v>
      </c>
      <c r="BK9" s="132">
        <v>9</v>
      </c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6" t="s">
        <v>728</v>
      </c>
      <c r="BY9" s="131">
        <v>11</v>
      </c>
    </row>
    <row r="10" spans="1:78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6"/>
      <c r="BD10" s="95"/>
      <c r="BE10" s="95"/>
      <c r="BF10" s="95"/>
      <c r="BG10" s="95"/>
      <c r="BH10" s="95"/>
      <c r="BI10" s="95"/>
      <c r="BJ10" s="6"/>
      <c r="BK10" s="4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7"/>
      <c r="BY10" s="83"/>
    </row>
    <row r="11" spans="1:78" ht="15" customHeight="1" thickBot="1" x14ac:dyDescent="0.25">
      <c r="A11" s="213" t="s">
        <v>4</v>
      </c>
      <c r="B11" s="125" t="s">
        <v>164</v>
      </c>
      <c r="C11" s="318"/>
      <c r="D11" s="8">
        <f t="shared" ref="D11:AQ11" si="0">SUM(D12:D27)</f>
        <v>16605017</v>
      </c>
      <c r="E11" s="294">
        <f t="shared" si="0"/>
        <v>14896015</v>
      </c>
      <c r="F11" s="9">
        <f t="shared" si="0"/>
        <v>16595864</v>
      </c>
      <c r="G11" s="9">
        <f t="shared" si="0"/>
        <v>14879188</v>
      </c>
      <c r="H11" s="9">
        <f t="shared" si="0"/>
        <v>-1716676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-5000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-2007910</v>
      </c>
      <c r="T11" s="9"/>
      <c r="U11" s="9">
        <f t="shared" si="0"/>
        <v>0</v>
      </c>
      <c r="V11" s="9"/>
      <c r="W11" s="9">
        <f t="shared" si="0"/>
        <v>5370</v>
      </c>
      <c r="X11" s="9">
        <f t="shared" ref="X11" si="1">SUM(X12:X27)</f>
        <v>-5100</v>
      </c>
      <c r="Y11" s="9">
        <f t="shared" si="0"/>
        <v>0</v>
      </c>
      <c r="Z11" s="9">
        <f t="shared" ref="Z11" si="2">SUM(Z12:Z27)</f>
        <v>15069</v>
      </c>
      <c r="AA11" s="9">
        <f t="shared" si="0"/>
        <v>0</v>
      </c>
      <c r="AB11" s="9">
        <f t="shared" si="0"/>
        <v>53</v>
      </c>
      <c r="AC11" s="9">
        <f t="shared" si="0"/>
        <v>45776</v>
      </c>
      <c r="AD11" s="9">
        <f t="shared" si="0"/>
        <v>45723</v>
      </c>
      <c r="AE11" s="9">
        <f t="shared" si="0"/>
        <v>0</v>
      </c>
      <c r="AF11" s="9">
        <f t="shared" si="0"/>
        <v>2113</v>
      </c>
      <c r="AG11" s="9">
        <f t="shared" si="0"/>
        <v>41239</v>
      </c>
      <c r="AH11" s="9">
        <f t="shared" si="0"/>
        <v>2390</v>
      </c>
      <c r="AI11" s="9">
        <f t="shared" si="0"/>
        <v>-8</v>
      </c>
      <c r="AJ11" s="9">
        <f t="shared" si="0"/>
        <v>-11</v>
      </c>
      <c r="AK11" s="9">
        <f t="shared" si="0"/>
        <v>0</v>
      </c>
      <c r="AL11" s="9">
        <f t="shared" si="0"/>
        <v>0</v>
      </c>
      <c r="AM11" s="9">
        <f t="shared" si="0"/>
        <v>0</v>
      </c>
      <c r="AN11" s="9">
        <f t="shared" si="0"/>
        <v>0</v>
      </c>
      <c r="AO11" s="9">
        <f t="shared" si="0"/>
        <v>9100</v>
      </c>
      <c r="AP11" s="96">
        <f t="shared" si="0"/>
        <v>32301</v>
      </c>
      <c r="AQ11" s="96">
        <f t="shared" si="0"/>
        <v>23201</v>
      </c>
      <c r="AR11" s="96">
        <f t="shared" ref="AR11:BW11" si="3">SUM(AR12:AR27)</f>
        <v>23201</v>
      </c>
      <c r="AS11" s="96">
        <f t="shared" si="3"/>
        <v>0</v>
      </c>
      <c r="AT11" s="96">
        <f t="shared" si="3"/>
        <v>0</v>
      </c>
      <c r="AU11" s="96">
        <f t="shared" si="3"/>
        <v>0</v>
      </c>
      <c r="AV11" s="96">
        <f t="shared" si="3"/>
        <v>0</v>
      </c>
      <c r="AW11" s="96">
        <f t="shared" si="3"/>
        <v>0</v>
      </c>
      <c r="AX11" s="96">
        <f t="shared" si="3"/>
        <v>0</v>
      </c>
      <c r="AY11" s="96">
        <f t="shared" si="3"/>
        <v>0</v>
      </c>
      <c r="AZ11" s="96">
        <f t="shared" si="3"/>
        <v>0</v>
      </c>
      <c r="BA11" s="96">
        <f t="shared" si="3"/>
        <v>0</v>
      </c>
      <c r="BB11" s="96">
        <f t="shared" si="3"/>
        <v>0</v>
      </c>
      <c r="BC11" s="9">
        <f t="shared" si="3"/>
        <v>0</v>
      </c>
      <c r="BD11" s="96">
        <f t="shared" si="3"/>
        <v>0</v>
      </c>
      <c r="BE11" s="96">
        <f t="shared" si="3"/>
        <v>0</v>
      </c>
      <c r="BF11" s="96">
        <f t="shared" si="3"/>
        <v>0</v>
      </c>
      <c r="BG11" s="96">
        <f t="shared" si="3"/>
        <v>0</v>
      </c>
      <c r="BH11" s="96">
        <f t="shared" si="3"/>
        <v>0</v>
      </c>
      <c r="BI11" s="96">
        <f t="shared" si="3"/>
        <v>0</v>
      </c>
      <c r="BJ11" s="9">
        <f t="shared" si="3"/>
        <v>0</v>
      </c>
      <c r="BK11" s="310">
        <f t="shared" si="3"/>
        <v>-61250</v>
      </c>
      <c r="BL11" s="96">
        <f t="shared" si="3"/>
        <v>-61250</v>
      </c>
      <c r="BM11" s="96">
        <f t="shared" si="3"/>
        <v>0</v>
      </c>
      <c r="BN11" s="96">
        <f t="shared" si="3"/>
        <v>-61250</v>
      </c>
      <c r="BO11" s="96">
        <f t="shared" si="3"/>
        <v>0</v>
      </c>
      <c r="BP11" s="96">
        <f t="shared" si="3"/>
        <v>0</v>
      </c>
      <c r="BQ11" s="96">
        <f t="shared" si="3"/>
        <v>0</v>
      </c>
      <c r="BR11" s="96">
        <f t="shared" si="3"/>
        <v>0</v>
      </c>
      <c r="BS11" s="96">
        <f t="shared" si="3"/>
        <v>0</v>
      </c>
      <c r="BT11" s="96">
        <f t="shared" si="3"/>
        <v>0</v>
      </c>
      <c r="BU11" s="96">
        <f t="shared" si="3"/>
        <v>0</v>
      </c>
      <c r="BV11" s="96">
        <f t="shared" ref="BV11" si="4">SUM(BV12:BV27)</f>
        <v>0</v>
      </c>
      <c r="BW11" s="96">
        <f t="shared" si="3"/>
        <v>0</v>
      </c>
      <c r="BX11" s="10"/>
      <c r="BY11" s="84"/>
    </row>
    <row r="12" spans="1:78" ht="16.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F12+AB12+AO12+BB12+BJ12</f>
        <v>901013</v>
      </c>
      <c r="E12" s="295">
        <f>G12+AC12+AP12+BC12+BK12</f>
        <v>911015</v>
      </c>
      <c r="F12" s="81">
        <v>891913</v>
      </c>
      <c r="G12" s="81">
        <f>F12+H12</f>
        <v>901913</v>
      </c>
      <c r="H12" s="81">
        <f>SUM(I12:AA12)</f>
        <v>10000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>
        <v>10000</v>
      </c>
      <c r="X12" s="81"/>
      <c r="Y12" s="81"/>
      <c r="Z12" s="81"/>
      <c r="AA12" s="81"/>
      <c r="AB12" s="81">
        <v>0</v>
      </c>
      <c r="AC12" s="81">
        <f>AB12+AD12</f>
        <v>0</v>
      </c>
      <c r="AD12" s="81">
        <f>SUM(AE12:AN12)</f>
        <v>0</v>
      </c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>
        <v>9100</v>
      </c>
      <c r="AP12" s="81">
        <f>AO12+AQ12</f>
        <v>9102</v>
      </c>
      <c r="AQ12" s="81">
        <f>SUM(AR12:BA12)</f>
        <v>2</v>
      </c>
      <c r="AR12" s="81">
        <v>2</v>
      </c>
      <c r="AS12" s="81"/>
      <c r="AT12" s="81"/>
      <c r="AU12" s="81"/>
      <c r="AV12" s="81"/>
      <c r="AW12" s="81"/>
      <c r="AX12" s="81"/>
      <c r="AY12" s="81"/>
      <c r="AZ12" s="81"/>
      <c r="BA12" s="81"/>
      <c r="BB12" s="81">
        <v>0</v>
      </c>
      <c r="BC12" s="81">
        <f>BB12+BD12</f>
        <v>0</v>
      </c>
      <c r="BD12" s="98">
        <f>SUM(BE12:BI12)</f>
        <v>0</v>
      </c>
      <c r="BE12" s="98"/>
      <c r="BF12" s="98"/>
      <c r="BG12" s="98"/>
      <c r="BH12" s="98"/>
      <c r="BI12" s="98"/>
      <c r="BJ12" s="81"/>
      <c r="BK12" s="81">
        <f>BJ12+BL12</f>
        <v>0</v>
      </c>
      <c r="BL12" s="81">
        <f>SUM(BM12:BW12)</f>
        <v>0</v>
      </c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82" t="s">
        <v>308</v>
      </c>
      <c r="BY12" s="85"/>
      <c r="BZ12" s="24"/>
    </row>
    <row r="13" spans="1:78" s="122" customFormat="1" ht="24" x14ac:dyDescent="0.2">
      <c r="A13" s="124"/>
      <c r="B13" s="248"/>
      <c r="C13" s="285" t="s">
        <v>252</v>
      </c>
      <c r="D13" s="80">
        <f t="shared" ref="D13:D25" si="5">F13+AB13+AO13+BB13+BJ13</f>
        <v>166267</v>
      </c>
      <c r="E13" s="295">
        <f t="shared" ref="E13:E25" si="6">G13+AC13+AP13+BC13+BK13</f>
        <v>161267</v>
      </c>
      <c r="F13" s="81">
        <v>166267</v>
      </c>
      <c r="G13" s="81">
        <f t="shared" ref="G13:G25" si="7">F13+H13</f>
        <v>161267</v>
      </c>
      <c r="H13" s="81">
        <f t="shared" ref="H13:H25" si="8">SUM(I13:AA13)</f>
        <v>-5000</v>
      </c>
      <c r="I13" s="81"/>
      <c r="J13" s="81"/>
      <c r="K13" s="81"/>
      <c r="L13" s="81"/>
      <c r="M13" s="81"/>
      <c r="N13" s="81">
        <v>-5000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>
        <v>0</v>
      </c>
      <c r="AC13" s="81">
        <f t="shared" ref="AC13:AC25" si="9">AB13+AD13</f>
        <v>0</v>
      </c>
      <c r="AD13" s="81">
        <f t="shared" ref="AD13:AD25" si="10">SUM(AE13:AN13)</f>
        <v>0</v>
      </c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>
        <v>0</v>
      </c>
      <c r="AP13" s="81">
        <f t="shared" ref="AP13:AP25" si="11">AO13+AQ13</f>
        <v>0</v>
      </c>
      <c r="AQ13" s="81">
        <f t="shared" ref="AQ13:AQ25" si="12">SUM(AR13:BA13)</f>
        <v>0</v>
      </c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>
        <v>0</v>
      </c>
      <c r="BC13" s="81">
        <f t="shared" ref="BC13:BC25" si="13">BB13+BD13</f>
        <v>0</v>
      </c>
      <c r="BD13" s="98">
        <f t="shared" ref="BD13:BD25" si="14">SUM(BE13:BI13)</f>
        <v>0</v>
      </c>
      <c r="BE13" s="98"/>
      <c r="BF13" s="98"/>
      <c r="BG13" s="98"/>
      <c r="BH13" s="98"/>
      <c r="BI13" s="98"/>
      <c r="BJ13" s="81"/>
      <c r="BK13" s="81">
        <f t="shared" ref="BK13:BK25" si="15">BJ13+BL13</f>
        <v>0</v>
      </c>
      <c r="BL13" s="81">
        <f t="shared" ref="BL13:BL25" si="16">SUM(BM13:BW13)</f>
        <v>0</v>
      </c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82" t="s">
        <v>309</v>
      </c>
      <c r="BY13" s="85"/>
      <c r="BZ13" s="24"/>
    </row>
    <row r="14" spans="1:78" ht="24" x14ac:dyDescent="0.2">
      <c r="A14" s="108"/>
      <c r="B14" s="242"/>
      <c r="C14" s="285" t="s">
        <v>224</v>
      </c>
      <c r="D14" s="80">
        <f t="shared" si="5"/>
        <v>680168</v>
      </c>
      <c r="E14" s="295">
        <f t="shared" si="6"/>
        <v>695237</v>
      </c>
      <c r="F14" s="81">
        <v>680168</v>
      </c>
      <c r="G14" s="81">
        <f t="shared" si="7"/>
        <v>695237</v>
      </c>
      <c r="H14" s="81">
        <f t="shared" si="8"/>
        <v>15069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>
        <v>15069</v>
      </c>
      <c r="AA14" s="81"/>
      <c r="AB14" s="81">
        <v>0</v>
      </c>
      <c r="AC14" s="81">
        <f t="shared" si="9"/>
        <v>0</v>
      </c>
      <c r="AD14" s="81">
        <f t="shared" si="10"/>
        <v>0</v>
      </c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>
        <v>0</v>
      </c>
      <c r="AP14" s="81">
        <f t="shared" si="11"/>
        <v>0</v>
      </c>
      <c r="AQ14" s="81">
        <f t="shared" si="12"/>
        <v>0</v>
      </c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>
        <v>0</v>
      </c>
      <c r="BC14" s="81">
        <f t="shared" si="13"/>
        <v>0</v>
      </c>
      <c r="BD14" s="98">
        <f t="shared" si="14"/>
        <v>0</v>
      </c>
      <c r="BE14" s="98"/>
      <c r="BF14" s="98"/>
      <c r="BG14" s="98"/>
      <c r="BH14" s="98"/>
      <c r="BI14" s="98"/>
      <c r="BJ14" s="81"/>
      <c r="BK14" s="81">
        <f t="shared" si="15"/>
        <v>0</v>
      </c>
      <c r="BL14" s="81">
        <f>SUM(BM14:BW14)</f>
        <v>0</v>
      </c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82" t="s">
        <v>310</v>
      </c>
      <c r="BY14" s="85"/>
      <c r="BZ14" s="24"/>
    </row>
    <row r="15" spans="1:78" s="122" customFormat="1" x14ac:dyDescent="0.2">
      <c r="A15" s="108"/>
      <c r="B15" s="242"/>
      <c r="C15" s="285" t="s">
        <v>264</v>
      </c>
      <c r="D15" s="80">
        <f t="shared" si="5"/>
        <v>2375898</v>
      </c>
      <c r="E15" s="295">
        <f t="shared" si="6"/>
        <v>375898</v>
      </c>
      <c r="F15" s="81">
        <v>2375898</v>
      </c>
      <c r="G15" s="81">
        <f t="shared" si="7"/>
        <v>375898</v>
      </c>
      <c r="H15" s="81">
        <f t="shared" si="8"/>
        <v>-2000000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>
        <v>-2000000</v>
      </c>
      <c r="T15" s="81"/>
      <c r="U15" s="81"/>
      <c r="V15" s="81"/>
      <c r="W15" s="81"/>
      <c r="X15" s="81"/>
      <c r="Y15" s="81"/>
      <c r="Z15" s="81"/>
      <c r="AA15" s="81"/>
      <c r="AB15" s="81">
        <v>0</v>
      </c>
      <c r="AC15" s="81">
        <f t="shared" si="9"/>
        <v>0</v>
      </c>
      <c r="AD15" s="81">
        <f t="shared" si="10"/>
        <v>0</v>
      </c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>
        <v>0</v>
      </c>
      <c r="AP15" s="81">
        <f t="shared" si="11"/>
        <v>0</v>
      </c>
      <c r="AQ15" s="81">
        <f t="shared" si="12"/>
        <v>0</v>
      </c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>
        <v>0</v>
      </c>
      <c r="BC15" s="81">
        <f t="shared" si="13"/>
        <v>0</v>
      </c>
      <c r="BD15" s="98">
        <f t="shared" si="14"/>
        <v>0</v>
      </c>
      <c r="BE15" s="98"/>
      <c r="BF15" s="98"/>
      <c r="BG15" s="98"/>
      <c r="BH15" s="98"/>
      <c r="BI15" s="98"/>
      <c r="BJ15" s="81"/>
      <c r="BK15" s="81">
        <f t="shared" si="15"/>
        <v>0</v>
      </c>
      <c r="BL15" s="81">
        <f t="shared" si="16"/>
        <v>0</v>
      </c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82" t="s">
        <v>311</v>
      </c>
      <c r="BY15" s="85" t="s">
        <v>440</v>
      </c>
      <c r="BZ15" s="24"/>
    </row>
    <row r="16" spans="1:78" s="122" customFormat="1" ht="24" x14ac:dyDescent="0.2">
      <c r="A16" s="108"/>
      <c r="B16" s="242"/>
      <c r="C16" s="285" t="s">
        <v>265</v>
      </c>
      <c r="D16" s="80">
        <f t="shared" si="5"/>
        <v>6000</v>
      </c>
      <c r="E16" s="295">
        <f t="shared" si="6"/>
        <v>6000</v>
      </c>
      <c r="F16" s="81">
        <v>6000</v>
      </c>
      <c r="G16" s="81">
        <f t="shared" si="7"/>
        <v>6000</v>
      </c>
      <c r="H16" s="81">
        <f t="shared" si="8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>
        <v>0</v>
      </c>
      <c r="AC16" s="81">
        <f t="shared" si="9"/>
        <v>0</v>
      </c>
      <c r="AD16" s="81">
        <f t="shared" si="10"/>
        <v>0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>
        <v>0</v>
      </c>
      <c r="AP16" s="81">
        <f t="shared" si="11"/>
        <v>0</v>
      </c>
      <c r="AQ16" s="81">
        <f t="shared" si="12"/>
        <v>0</v>
      </c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>
        <v>0</v>
      </c>
      <c r="BC16" s="81">
        <f t="shared" si="13"/>
        <v>0</v>
      </c>
      <c r="BD16" s="98">
        <f t="shared" si="14"/>
        <v>0</v>
      </c>
      <c r="BE16" s="98"/>
      <c r="BF16" s="98"/>
      <c r="BG16" s="98"/>
      <c r="BH16" s="98"/>
      <c r="BI16" s="98"/>
      <c r="BJ16" s="81"/>
      <c r="BK16" s="81">
        <f t="shared" si="15"/>
        <v>0</v>
      </c>
      <c r="BL16" s="81">
        <f t="shared" si="16"/>
        <v>0</v>
      </c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82" t="s">
        <v>312</v>
      </c>
      <c r="BY16" s="86" t="s">
        <v>482</v>
      </c>
      <c r="BZ16" s="24"/>
    </row>
    <row r="17" spans="1:78" s="162" customFormat="1" ht="24" x14ac:dyDescent="0.2">
      <c r="A17" s="108"/>
      <c r="B17" s="242"/>
      <c r="C17" s="285" t="s">
        <v>253</v>
      </c>
      <c r="D17" s="80">
        <f t="shared" si="5"/>
        <v>214303</v>
      </c>
      <c r="E17" s="295">
        <f t="shared" si="6"/>
        <v>299578</v>
      </c>
      <c r="F17" s="81">
        <v>214303</v>
      </c>
      <c r="G17" s="81">
        <f t="shared" si="7"/>
        <v>299578</v>
      </c>
      <c r="H17" s="81">
        <f t="shared" si="8"/>
        <v>85275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>
        <v>0</v>
      </c>
      <c r="AC17" s="81">
        <f t="shared" si="9"/>
        <v>0</v>
      </c>
      <c r="AD17" s="81">
        <f t="shared" si="10"/>
        <v>0</v>
      </c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>
        <v>0</v>
      </c>
      <c r="AP17" s="81">
        <f t="shared" si="11"/>
        <v>0</v>
      </c>
      <c r="AQ17" s="81">
        <f t="shared" si="12"/>
        <v>0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>
        <v>0</v>
      </c>
      <c r="BC17" s="81">
        <f t="shared" si="13"/>
        <v>0</v>
      </c>
      <c r="BD17" s="98">
        <f t="shared" si="14"/>
        <v>0</v>
      </c>
      <c r="BE17" s="81"/>
      <c r="BF17" s="81"/>
      <c r="BG17" s="81"/>
      <c r="BH17" s="81"/>
      <c r="BI17" s="81"/>
      <c r="BJ17" s="81"/>
      <c r="BK17" s="81">
        <f t="shared" si="15"/>
        <v>0</v>
      </c>
      <c r="BL17" s="81">
        <f t="shared" si="16"/>
        <v>0</v>
      </c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2" t="s">
        <v>498</v>
      </c>
      <c r="BY17" s="85" t="s">
        <v>442</v>
      </c>
      <c r="BZ17" s="24"/>
    </row>
    <row r="18" spans="1:78" s="144" customFormat="1" ht="25.5" customHeight="1" x14ac:dyDescent="0.2">
      <c r="A18" s="108"/>
      <c r="B18" s="242"/>
      <c r="C18" s="319" t="s">
        <v>536</v>
      </c>
      <c r="D18" s="80">
        <f t="shared" si="5"/>
        <v>0</v>
      </c>
      <c r="E18" s="295">
        <f t="shared" si="6"/>
        <v>0</v>
      </c>
      <c r="F18" s="81">
        <v>0</v>
      </c>
      <c r="G18" s="81">
        <f t="shared" si="7"/>
        <v>0</v>
      </c>
      <c r="H18" s="81">
        <f t="shared" si="8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>
        <v>0</v>
      </c>
      <c r="AC18" s="81">
        <f t="shared" si="9"/>
        <v>0</v>
      </c>
      <c r="AD18" s="81">
        <f t="shared" si="10"/>
        <v>0</v>
      </c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>
        <v>0</v>
      </c>
      <c r="AP18" s="81">
        <f t="shared" si="11"/>
        <v>0</v>
      </c>
      <c r="AQ18" s="81">
        <f t="shared" si="12"/>
        <v>0</v>
      </c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>
        <v>0</v>
      </c>
      <c r="BC18" s="81">
        <f t="shared" si="13"/>
        <v>0</v>
      </c>
      <c r="BD18" s="98">
        <f t="shared" si="14"/>
        <v>0</v>
      </c>
      <c r="BE18" s="98"/>
      <c r="BF18" s="98"/>
      <c r="BG18" s="98"/>
      <c r="BH18" s="98"/>
      <c r="BI18" s="98"/>
      <c r="BJ18" s="81"/>
      <c r="BK18" s="81">
        <f t="shared" si="15"/>
        <v>0</v>
      </c>
      <c r="BL18" s="81">
        <f t="shared" si="16"/>
        <v>0</v>
      </c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82" t="s">
        <v>455</v>
      </c>
      <c r="BY18" s="85"/>
      <c r="BZ18" s="24"/>
    </row>
    <row r="19" spans="1:78" s="198" customFormat="1" ht="27.75" customHeight="1" x14ac:dyDescent="0.2">
      <c r="A19" s="108"/>
      <c r="B19" s="242"/>
      <c r="C19" s="319" t="s">
        <v>729</v>
      </c>
      <c r="D19" s="80">
        <f t="shared" ref="D19" si="17">F19+AB19+AO19+BB19+BJ19</f>
        <v>0</v>
      </c>
      <c r="E19" s="295">
        <f t="shared" ref="E19" si="18">G19+AC19+AP19+BC19+BK19</f>
        <v>19565</v>
      </c>
      <c r="F19" s="81"/>
      <c r="G19" s="81">
        <f t="shared" ref="G19" si="19">F19+H19</f>
        <v>19565</v>
      </c>
      <c r="H19" s="81">
        <f t="shared" ref="H19" si="20">SUM(I19:AA19)</f>
        <v>19565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-4630</v>
      </c>
      <c r="X19" s="81"/>
      <c r="Y19" s="81"/>
      <c r="Z19" s="81"/>
      <c r="AA19" s="81"/>
      <c r="AB19" s="81"/>
      <c r="AC19" s="81">
        <f t="shared" ref="AC19" si="21">AB19+AD19</f>
        <v>0</v>
      </c>
      <c r="AD19" s="81">
        <f t="shared" ref="AD19" si="22">SUM(AE19:AN19)</f>
        <v>0</v>
      </c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>
        <f t="shared" ref="AP19" si="23">AO19+AQ19</f>
        <v>0</v>
      </c>
      <c r="AQ19" s="81">
        <f t="shared" ref="AQ19" si="24">SUM(AR19:BA19)</f>
        <v>0</v>
      </c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81">
        <f t="shared" ref="BC19" si="25">BB19+BD19</f>
        <v>0</v>
      </c>
      <c r="BD19" s="98">
        <f t="shared" ref="BD19" si="26">SUM(BE19:BI19)</f>
        <v>0</v>
      </c>
      <c r="BE19" s="98"/>
      <c r="BF19" s="98"/>
      <c r="BG19" s="98"/>
      <c r="BH19" s="98"/>
      <c r="BI19" s="98"/>
      <c r="BJ19" s="81"/>
      <c r="BK19" s="81">
        <f t="shared" ref="BK19" si="27">BJ19+BL19</f>
        <v>0</v>
      </c>
      <c r="BL19" s="81">
        <f t="shared" ref="BL19" si="28">SUM(BM19:BW19)</f>
        <v>0</v>
      </c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82" t="s">
        <v>730</v>
      </c>
      <c r="BY19" s="85"/>
      <c r="BZ19" s="24"/>
    </row>
    <row r="20" spans="1:78" s="198" customFormat="1" ht="48" x14ac:dyDescent="0.2">
      <c r="A20" s="108"/>
      <c r="B20" s="242"/>
      <c r="C20" s="319" t="s">
        <v>751</v>
      </c>
      <c r="D20" s="80">
        <f t="shared" ref="D20" si="29">F20+AB20+AO20+BB20+BJ20</f>
        <v>0</v>
      </c>
      <c r="E20" s="295">
        <f t="shared" ref="E20" si="30">G20+AC20+AP20+BC20+BK20</f>
        <v>0</v>
      </c>
      <c r="F20" s="81"/>
      <c r="G20" s="81">
        <f t="shared" ref="G20" si="31">F20+H20</f>
        <v>38051</v>
      </c>
      <c r="H20" s="81">
        <f t="shared" ref="H20" si="32">SUM(I20:AA20)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>
        <f t="shared" ref="AC20" si="33">AB20+AD20</f>
        <v>0</v>
      </c>
      <c r="AD20" s="81">
        <f t="shared" ref="AD20" si="34">SUM(AE20:AN20)</f>
        <v>0</v>
      </c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>
        <f t="shared" ref="AP20" si="35">AO20+AQ20</f>
        <v>23199</v>
      </c>
      <c r="AQ20" s="81">
        <f t="shared" ref="AQ20" si="36">SUM(AR20:BA20)</f>
        <v>23199</v>
      </c>
      <c r="AR20" s="98">
        <v>23199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81">
        <f t="shared" ref="BC20" si="37">BB20+BD20</f>
        <v>0</v>
      </c>
      <c r="BD20" s="98">
        <f t="shared" ref="BD20" si="38">SUM(BE20:BI20)</f>
        <v>0</v>
      </c>
      <c r="BE20" s="98"/>
      <c r="BF20" s="98"/>
      <c r="BG20" s="98"/>
      <c r="BH20" s="98"/>
      <c r="BI20" s="98"/>
      <c r="BJ20" s="81"/>
      <c r="BK20" s="81">
        <f t="shared" ref="BK20" si="39">BJ20+BL20</f>
        <v>-61250</v>
      </c>
      <c r="BL20" s="81">
        <f t="shared" ref="BL20" si="40">SUM(BM20:BW20)</f>
        <v>-61250</v>
      </c>
      <c r="BM20" s="98"/>
      <c r="BN20" s="98">
        <f>-37949-1-101-23199</f>
        <v>-61250</v>
      </c>
      <c r="BO20" s="98"/>
      <c r="BP20" s="98"/>
      <c r="BQ20" s="98"/>
      <c r="BR20" s="98"/>
      <c r="BS20" s="98"/>
      <c r="BT20" s="98"/>
      <c r="BU20" s="98"/>
      <c r="BV20" s="98"/>
      <c r="BW20" s="98"/>
      <c r="BX20" s="82" t="s">
        <v>778</v>
      </c>
      <c r="BY20" s="85"/>
      <c r="BZ20" s="24"/>
    </row>
    <row r="21" spans="1:78" ht="12" customHeight="1" x14ac:dyDescent="0.2">
      <c r="A21" s="108"/>
      <c r="B21" s="241" t="s">
        <v>167</v>
      </c>
      <c r="C21" s="285" t="s">
        <v>124</v>
      </c>
      <c r="D21" s="80">
        <f t="shared" si="5"/>
        <v>241000</v>
      </c>
      <c r="E21" s="295">
        <f t="shared" si="6"/>
        <v>241000</v>
      </c>
      <c r="F21" s="81">
        <v>241000</v>
      </c>
      <c r="G21" s="81">
        <f t="shared" si="7"/>
        <v>241000</v>
      </c>
      <c r="H21" s="81">
        <f t="shared" si="8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>
        <f t="shared" si="9"/>
        <v>0</v>
      </c>
      <c r="AD21" s="81">
        <f t="shared" si="10"/>
        <v>0</v>
      </c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98">
        <f t="shared" si="11"/>
        <v>0</v>
      </c>
      <c r="AQ21" s="98">
        <f t="shared" si="12"/>
        <v>0</v>
      </c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81">
        <f t="shared" si="13"/>
        <v>0</v>
      </c>
      <c r="BD21" s="98">
        <f t="shared" si="14"/>
        <v>0</v>
      </c>
      <c r="BE21" s="98"/>
      <c r="BF21" s="98"/>
      <c r="BG21" s="98"/>
      <c r="BH21" s="98"/>
      <c r="BI21" s="98"/>
      <c r="BJ21" s="81"/>
      <c r="BK21" s="81">
        <f t="shared" si="15"/>
        <v>0</v>
      </c>
      <c r="BL21" s="81">
        <f t="shared" si="16"/>
        <v>0</v>
      </c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82" t="s">
        <v>545</v>
      </c>
      <c r="BY21" s="85"/>
      <c r="BZ21" s="24"/>
    </row>
    <row r="22" spans="1:78" ht="14.25" customHeight="1" x14ac:dyDescent="0.2">
      <c r="A22" s="108"/>
      <c r="B22" s="242"/>
      <c r="C22" s="285" t="s">
        <v>183</v>
      </c>
      <c r="D22" s="80">
        <f t="shared" si="5"/>
        <v>11531214</v>
      </c>
      <c r="E22" s="295">
        <f t="shared" si="6"/>
        <v>11531214</v>
      </c>
      <c r="F22" s="81">
        <v>11531214</v>
      </c>
      <c r="G22" s="81">
        <f t="shared" si="7"/>
        <v>11531214</v>
      </c>
      <c r="H22" s="81">
        <f t="shared" si="8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>
        <f t="shared" si="9"/>
        <v>0</v>
      </c>
      <c r="AD22" s="81">
        <f t="shared" si="10"/>
        <v>0</v>
      </c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98">
        <f t="shared" si="11"/>
        <v>0</v>
      </c>
      <c r="AQ22" s="98">
        <f t="shared" si="12"/>
        <v>0</v>
      </c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81">
        <f t="shared" si="13"/>
        <v>0</v>
      </c>
      <c r="BD22" s="98">
        <f t="shared" si="14"/>
        <v>0</v>
      </c>
      <c r="BE22" s="98"/>
      <c r="BF22" s="98"/>
      <c r="BG22" s="98"/>
      <c r="BH22" s="98"/>
      <c r="BI22" s="98"/>
      <c r="BJ22" s="81"/>
      <c r="BK22" s="81">
        <f t="shared" si="15"/>
        <v>0</v>
      </c>
      <c r="BL22" s="81">
        <f t="shared" si="16"/>
        <v>0</v>
      </c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82" t="s">
        <v>546</v>
      </c>
      <c r="BY22" s="85"/>
      <c r="BZ22" s="24"/>
    </row>
    <row r="23" spans="1:78" x14ac:dyDescent="0.2">
      <c r="A23" s="108"/>
      <c r="B23" s="250"/>
      <c r="C23" s="285" t="s">
        <v>184</v>
      </c>
      <c r="D23" s="80">
        <f t="shared" si="5"/>
        <v>102588</v>
      </c>
      <c r="E23" s="295">
        <f t="shared" si="6"/>
        <v>222952</v>
      </c>
      <c r="F23" s="81">
        <f>100000+2588</f>
        <v>102588</v>
      </c>
      <c r="G23" s="81">
        <f t="shared" si="7"/>
        <v>222952</v>
      </c>
      <c r="H23" s="81">
        <f t="shared" si="8"/>
        <v>120364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>
        <v>-7910</v>
      </c>
      <c r="T23" s="81">
        <v>-400</v>
      </c>
      <c r="U23" s="81"/>
      <c r="V23" s="81">
        <v>-3185</v>
      </c>
      <c r="W23" s="81"/>
      <c r="X23" s="81">
        <f>-5100</f>
        <v>-5100</v>
      </c>
      <c r="Y23" s="81"/>
      <c r="Z23" s="81"/>
      <c r="AA23" s="81"/>
      <c r="AB23" s="81"/>
      <c r="AC23" s="81">
        <f t="shared" si="9"/>
        <v>0</v>
      </c>
      <c r="AD23" s="81">
        <f t="shared" si="10"/>
        <v>0</v>
      </c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98">
        <f t="shared" si="11"/>
        <v>0</v>
      </c>
      <c r="AQ23" s="98">
        <f t="shared" si="12"/>
        <v>0</v>
      </c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81">
        <f t="shared" si="13"/>
        <v>0</v>
      </c>
      <c r="BD23" s="98">
        <f t="shared" si="14"/>
        <v>0</v>
      </c>
      <c r="BE23" s="98"/>
      <c r="BF23" s="98"/>
      <c r="BG23" s="98"/>
      <c r="BH23" s="98"/>
      <c r="BI23" s="98"/>
      <c r="BJ23" s="81"/>
      <c r="BK23" s="81">
        <f t="shared" si="15"/>
        <v>0</v>
      </c>
      <c r="BL23" s="81">
        <f t="shared" si="16"/>
        <v>0</v>
      </c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82" t="s">
        <v>547</v>
      </c>
      <c r="BY23" s="85"/>
      <c r="BZ23" s="24"/>
    </row>
    <row r="24" spans="1:78" s="130" customFormat="1" x14ac:dyDescent="0.2">
      <c r="A24" s="108"/>
      <c r="B24" s="250"/>
      <c r="C24" s="285" t="s">
        <v>456</v>
      </c>
      <c r="D24" s="80">
        <f t="shared" si="5"/>
        <v>386513</v>
      </c>
      <c r="E24" s="295">
        <f t="shared" si="6"/>
        <v>386513</v>
      </c>
      <c r="F24" s="81">
        <v>386513</v>
      </c>
      <c r="G24" s="81">
        <f t="shared" si="7"/>
        <v>386513</v>
      </c>
      <c r="H24" s="81">
        <f t="shared" si="8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>
        <f t="shared" si="9"/>
        <v>0</v>
      </c>
      <c r="AD24" s="81">
        <f t="shared" si="10"/>
        <v>0</v>
      </c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98">
        <f t="shared" si="11"/>
        <v>0</v>
      </c>
      <c r="AQ24" s="98">
        <f t="shared" si="12"/>
        <v>0</v>
      </c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81">
        <f t="shared" si="13"/>
        <v>0</v>
      </c>
      <c r="BD24" s="98">
        <f t="shared" si="14"/>
        <v>0</v>
      </c>
      <c r="BE24" s="98"/>
      <c r="BF24" s="98"/>
      <c r="BG24" s="98"/>
      <c r="BH24" s="98"/>
      <c r="BI24" s="98"/>
      <c r="BJ24" s="81"/>
      <c r="BK24" s="81">
        <f t="shared" si="15"/>
        <v>0</v>
      </c>
      <c r="BL24" s="81">
        <f t="shared" si="16"/>
        <v>0</v>
      </c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82" t="s">
        <v>548</v>
      </c>
      <c r="BY24" s="85"/>
      <c r="BZ24" s="24"/>
    </row>
    <row r="25" spans="1:78" s="198" customFormat="1" x14ac:dyDescent="0.2">
      <c r="A25" s="108"/>
      <c r="B25" s="250"/>
      <c r="C25" s="285" t="s">
        <v>705</v>
      </c>
      <c r="D25" s="80">
        <f t="shared" si="5"/>
        <v>53</v>
      </c>
      <c r="E25" s="295">
        <f t="shared" si="6"/>
        <v>2166</v>
      </c>
      <c r="F25" s="81">
        <v>0</v>
      </c>
      <c r="G25" s="81">
        <f t="shared" si="7"/>
        <v>0</v>
      </c>
      <c r="H25" s="81">
        <f t="shared" si="8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>
        <v>53</v>
      </c>
      <c r="AC25" s="81">
        <f t="shared" si="9"/>
        <v>2166</v>
      </c>
      <c r="AD25" s="81">
        <f t="shared" si="10"/>
        <v>2113</v>
      </c>
      <c r="AE25" s="81"/>
      <c r="AF25" s="81">
        <f>36+2077</f>
        <v>2113</v>
      </c>
      <c r="AG25" s="81"/>
      <c r="AH25" s="81"/>
      <c r="AI25" s="81"/>
      <c r="AJ25" s="81"/>
      <c r="AK25" s="81"/>
      <c r="AL25" s="81"/>
      <c r="AM25" s="81"/>
      <c r="AN25" s="81"/>
      <c r="AO25" s="81">
        <v>0</v>
      </c>
      <c r="AP25" s="81">
        <f t="shared" si="11"/>
        <v>0</v>
      </c>
      <c r="AQ25" s="81">
        <f t="shared" si="12"/>
        <v>0</v>
      </c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>
        <v>0</v>
      </c>
      <c r="BC25" s="81">
        <f t="shared" si="13"/>
        <v>0</v>
      </c>
      <c r="BD25" s="98">
        <f t="shared" si="14"/>
        <v>0</v>
      </c>
      <c r="BE25" s="98"/>
      <c r="BF25" s="98"/>
      <c r="BG25" s="98"/>
      <c r="BH25" s="98"/>
      <c r="BI25" s="98"/>
      <c r="BJ25" s="81"/>
      <c r="BK25" s="81">
        <f t="shared" si="15"/>
        <v>0</v>
      </c>
      <c r="BL25" s="81">
        <f t="shared" si="16"/>
        <v>0</v>
      </c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82" t="s">
        <v>706</v>
      </c>
      <c r="BY25" s="85"/>
      <c r="BZ25" s="24"/>
    </row>
    <row r="26" spans="1:78" s="198" customFormat="1" ht="24" x14ac:dyDescent="0.2">
      <c r="A26" s="108">
        <v>90000543728</v>
      </c>
      <c r="B26" s="242" t="s">
        <v>804</v>
      </c>
      <c r="C26" s="379" t="s">
        <v>182</v>
      </c>
      <c r="D26" s="80">
        <f t="shared" ref="D26" si="41">F26+AB26+AO26+BB26+BJ26</f>
        <v>0</v>
      </c>
      <c r="E26" s="295">
        <f t="shared" ref="E26" si="42">G26+AC26+AP26+BC26+BK26</f>
        <v>43610</v>
      </c>
      <c r="F26" s="81"/>
      <c r="G26" s="81">
        <f t="shared" ref="G26" si="43">F26+H26</f>
        <v>0</v>
      </c>
      <c r="H26" s="81">
        <f t="shared" ref="H26" si="44">SUM(I26:AA26)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>
        <f t="shared" ref="AC26" si="45">AB26+AD26</f>
        <v>43610</v>
      </c>
      <c r="AD26" s="81">
        <f t="shared" ref="AD26" si="46">SUM(AE26:AN26)</f>
        <v>43610</v>
      </c>
      <c r="AE26" s="81"/>
      <c r="AF26" s="81"/>
      <c r="AG26" s="81">
        <v>41239</v>
      </c>
      <c r="AH26" s="81">
        <v>2390</v>
      </c>
      <c r="AI26" s="81">
        <v>-8</v>
      </c>
      <c r="AJ26" s="81">
        <v>-11</v>
      </c>
      <c r="AK26" s="81"/>
      <c r="AL26" s="81"/>
      <c r="AM26" s="81"/>
      <c r="AN26" s="81"/>
      <c r="AO26" s="81"/>
      <c r="AP26" s="81">
        <f t="shared" ref="AP26" si="47">AO26+AQ26</f>
        <v>0</v>
      </c>
      <c r="AQ26" s="81">
        <f t="shared" ref="AQ26" si="48">SUM(AR26:BA26)</f>
        <v>0</v>
      </c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81">
        <f t="shared" ref="BC26" si="49">BB26+BD26</f>
        <v>0</v>
      </c>
      <c r="BD26" s="98">
        <f t="shared" ref="BD26" si="50">SUM(BE26:BI26)</f>
        <v>0</v>
      </c>
      <c r="BE26" s="98"/>
      <c r="BF26" s="98"/>
      <c r="BG26" s="98"/>
      <c r="BH26" s="98"/>
      <c r="BI26" s="98"/>
      <c r="BJ26" s="81"/>
      <c r="BK26" s="81">
        <f t="shared" ref="BK26" si="51">BJ26+BL26</f>
        <v>0</v>
      </c>
      <c r="BL26" s="81">
        <f t="shared" ref="BL26" si="52">SUM(BM26:BW26)</f>
        <v>0</v>
      </c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82" t="s">
        <v>805</v>
      </c>
      <c r="BY26" s="85"/>
      <c r="BZ26" s="24"/>
    </row>
    <row r="27" spans="1:78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72"/>
      <c r="BD27" s="97"/>
      <c r="BE27" s="97"/>
      <c r="BF27" s="97"/>
      <c r="BG27" s="97"/>
      <c r="BH27" s="97"/>
      <c r="BI27" s="97"/>
      <c r="BJ27" s="72"/>
      <c r="BK27" s="264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79"/>
      <c r="BY27" s="86"/>
      <c r="BZ27" s="24"/>
    </row>
    <row r="28" spans="1:78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3000794</v>
      </c>
      <c r="F28" s="9">
        <f>SUM(F29:F35)</f>
        <v>2876527</v>
      </c>
      <c r="G28" s="9">
        <f t="shared" ref="G28:AA28" si="53">SUM(G29:G35)</f>
        <v>2958646</v>
      </c>
      <c r="H28" s="9">
        <f t="shared" si="53"/>
        <v>82119</v>
      </c>
      <c r="I28" s="9">
        <f t="shared" si="53"/>
        <v>0</v>
      </c>
      <c r="J28" s="9">
        <f t="shared" ref="J28" si="54">SUM(J29:J35)</f>
        <v>0</v>
      </c>
      <c r="K28" s="9">
        <f t="shared" si="53"/>
        <v>62106</v>
      </c>
      <c r="L28" s="9">
        <f t="shared" si="53"/>
        <v>0</v>
      </c>
      <c r="M28" s="9">
        <f t="shared" si="53"/>
        <v>0</v>
      </c>
      <c r="N28" s="9">
        <f t="shared" si="53"/>
        <v>2756</v>
      </c>
      <c r="O28" s="9">
        <f t="shared" si="53"/>
        <v>0</v>
      </c>
      <c r="P28" s="9">
        <f t="shared" si="53"/>
        <v>0</v>
      </c>
      <c r="Q28" s="9">
        <f t="shared" si="53"/>
        <v>0</v>
      </c>
      <c r="R28" s="9">
        <f t="shared" si="53"/>
        <v>0</v>
      </c>
      <c r="S28" s="9">
        <f t="shared" si="53"/>
        <v>0</v>
      </c>
      <c r="T28" s="9"/>
      <c r="U28" s="9">
        <f t="shared" si="53"/>
        <v>0</v>
      </c>
      <c r="V28" s="9"/>
      <c r="W28" s="9">
        <f t="shared" si="53"/>
        <v>17257</v>
      </c>
      <c r="X28" s="9">
        <f t="shared" ref="X28" si="55">SUM(X29:X35)</f>
        <v>0</v>
      </c>
      <c r="Y28" s="9">
        <f t="shared" si="53"/>
        <v>0</v>
      </c>
      <c r="Z28" s="9">
        <f t="shared" ref="Z28" si="56">SUM(Z29:Z35)</f>
        <v>0</v>
      </c>
      <c r="AA28" s="9">
        <f t="shared" si="53"/>
        <v>0</v>
      </c>
      <c r="AB28" s="9">
        <f>SUM(AB29:AB35)</f>
        <v>0</v>
      </c>
      <c r="AC28" s="9">
        <f t="shared" ref="AC28" si="57">SUM(AC29:AC35)</f>
        <v>0</v>
      </c>
      <c r="AD28" s="9">
        <f t="shared" ref="AD28" si="58">SUM(AD29:AD35)</f>
        <v>0</v>
      </c>
      <c r="AE28" s="9">
        <f t="shared" ref="AE28" si="59">SUM(AE29:AE35)</f>
        <v>0</v>
      </c>
      <c r="AF28" s="9">
        <f t="shared" ref="AF28" si="60">SUM(AF29:AF35)</f>
        <v>0</v>
      </c>
      <c r="AG28" s="9">
        <f t="shared" ref="AG28" si="61">SUM(AG29:AG35)</f>
        <v>0</v>
      </c>
      <c r="AH28" s="9">
        <f t="shared" ref="AH28" si="62">SUM(AH29:AH35)</f>
        <v>0</v>
      </c>
      <c r="AI28" s="9">
        <f t="shared" ref="AI28" si="63">SUM(AI29:AI35)</f>
        <v>0</v>
      </c>
      <c r="AJ28" s="9">
        <f t="shared" ref="AJ28" si="64">SUM(AJ29:AJ35)</f>
        <v>0</v>
      </c>
      <c r="AK28" s="9">
        <f t="shared" ref="AK28" si="65">SUM(AK29:AK35)</f>
        <v>0</v>
      </c>
      <c r="AL28" s="9">
        <f t="shared" ref="AL28" si="66">SUM(AL29:AL35)</f>
        <v>0</v>
      </c>
      <c r="AM28" s="9">
        <f t="shared" ref="AM28" si="67">SUM(AM29:AM35)</f>
        <v>0</v>
      </c>
      <c r="AN28" s="9">
        <f t="shared" ref="AN28" si="68">SUM(AN29:AN35)</f>
        <v>0</v>
      </c>
      <c r="AO28" s="9">
        <f>SUM(AO29:AO35)</f>
        <v>46907</v>
      </c>
      <c r="AP28" s="96">
        <f t="shared" ref="AP28" si="69">SUM(AP29:AP35)</f>
        <v>46348</v>
      </c>
      <c r="AQ28" s="96">
        <f t="shared" ref="AQ28" si="70">SUM(AQ29:AQ35)</f>
        <v>-559</v>
      </c>
      <c r="AR28" s="96">
        <f t="shared" ref="AR28" si="71">SUM(AR29:AR35)</f>
        <v>4102</v>
      </c>
      <c r="AS28" s="96">
        <f t="shared" ref="AS28" si="72">SUM(AS29:AS35)</f>
        <v>0</v>
      </c>
      <c r="AT28" s="96">
        <f t="shared" ref="AT28" si="73">SUM(AT29:AT35)</f>
        <v>0</v>
      </c>
      <c r="AU28" s="96">
        <f t="shared" ref="AU28" si="74">SUM(AU29:AU35)</f>
        <v>0</v>
      </c>
      <c r="AV28" s="96">
        <f t="shared" ref="AV28" si="75">SUM(AV29:AV35)</f>
        <v>0</v>
      </c>
      <c r="AW28" s="96">
        <f t="shared" ref="AW28" si="76">SUM(AW29:AW35)</f>
        <v>0</v>
      </c>
      <c r="AX28" s="96">
        <f t="shared" ref="AX28" si="77">SUM(AX29:AX35)</f>
        <v>60</v>
      </c>
      <c r="AY28" s="96">
        <f t="shared" ref="AY28" si="78">SUM(AY29:AY35)</f>
        <v>0</v>
      </c>
      <c r="AZ28" s="96">
        <f t="shared" ref="AZ28" si="79">SUM(AZ29:AZ35)</f>
        <v>-4721</v>
      </c>
      <c r="BA28" s="96">
        <f t="shared" ref="BA28" si="80">SUM(BA29:BA35)</f>
        <v>0</v>
      </c>
      <c r="BB28" s="96">
        <f>SUM(BB29:BB35)</f>
        <v>0</v>
      </c>
      <c r="BC28" s="9">
        <f t="shared" ref="BC28" si="81">SUM(BC29:BC35)</f>
        <v>0</v>
      </c>
      <c r="BD28" s="96">
        <f t="shared" ref="BD28" si="82">SUM(BD29:BD35)</f>
        <v>0</v>
      </c>
      <c r="BE28" s="96">
        <f t="shared" ref="BE28" si="83">SUM(BE29:BE35)</f>
        <v>0</v>
      </c>
      <c r="BF28" s="96">
        <f t="shared" ref="BF28" si="84">SUM(BF29:BF35)</f>
        <v>0</v>
      </c>
      <c r="BG28" s="96">
        <f t="shared" ref="BG28" si="85">SUM(BG29:BG35)</f>
        <v>0</v>
      </c>
      <c r="BH28" s="96">
        <f t="shared" ref="BH28" si="86">SUM(BH29:BH35)</f>
        <v>0</v>
      </c>
      <c r="BI28" s="96">
        <f t="shared" ref="BI28" si="87">SUM(BI29:BI35)</f>
        <v>0</v>
      </c>
      <c r="BJ28" s="9">
        <f>SUM(BJ29:BJ35)</f>
        <v>-4200</v>
      </c>
      <c r="BK28" s="310">
        <f t="shared" ref="BK28" si="88">SUM(BK29:BK35)</f>
        <v>-4200</v>
      </c>
      <c r="BL28" s="96">
        <f t="shared" ref="BL28" si="89">SUM(BL29:BL35)</f>
        <v>0</v>
      </c>
      <c r="BM28" s="96">
        <f t="shared" ref="BM28" si="90">SUM(BM29:BM35)</f>
        <v>0</v>
      </c>
      <c r="BN28" s="96">
        <f t="shared" ref="BN28" si="91">SUM(BN29:BN35)</f>
        <v>0</v>
      </c>
      <c r="BO28" s="96">
        <f t="shared" ref="BO28" si="92">SUM(BO29:BO35)</f>
        <v>0</v>
      </c>
      <c r="BP28" s="96">
        <f t="shared" ref="BP28" si="93">SUM(BP29:BP35)</f>
        <v>0</v>
      </c>
      <c r="BQ28" s="96">
        <f t="shared" ref="BQ28" si="94">SUM(BQ29:BQ35)</f>
        <v>0</v>
      </c>
      <c r="BR28" s="96">
        <f t="shared" ref="BR28" si="95">SUM(BR29:BR35)</f>
        <v>0</v>
      </c>
      <c r="BS28" s="96">
        <f t="shared" ref="BS28" si="96">SUM(BS29:BS35)</f>
        <v>0</v>
      </c>
      <c r="BT28" s="96">
        <f t="shared" ref="BT28" si="97">SUM(BT29:BT35)</f>
        <v>0</v>
      </c>
      <c r="BU28" s="96">
        <f t="shared" ref="BU28" si="98">SUM(BU29:BU35)</f>
        <v>0</v>
      </c>
      <c r="BV28" s="96">
        <f t="shared" ref="BV28:BW28" si="99">SUM(BV29:BV35)</f>
        <v>0</v>
      </c>
      <c r="BW28" s="96">
        <f t="shared" si="99"/>
        <v>0</v>
      </c>
      <c r="BX28" s="12"/>
      <c r="BY28" s="87"/>
      <c r="BZ28" s="24"/>
    </row>
    <row r="29" spans="1:78" ht="15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100">F29+AB29+AO29+BB29+BJ29</f>
        <v>206605</v>
      </c>
      <c r="E29" s="295">
        <f t="shared" ref="E29:E34" si="101">G29+AC29+AP29+BC29+BK29</f>
        <v>206605</v>
      </c>
      <c r="F29" s="81">
        <v>206605</v>
      </c>
      <c r="G29" s="81">
        <f t="shared" ref="G29:G34" si="102">F29+H29</f>
        <v>206605</v>
      </c>
      <c r="H29" s="81">
        <f t="shared" ref="H29:H34" si="103">SUM(I29:AA29)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>
        <v>0</v>
      </c>
      <c r="AC29" s="81">
        <f t="shared" ref="AC29:AC34" si="104">AB29+AD29</f>
        <v>0</v>
      </c>
      <c r="AD29" s="81">
        <f t="shared" ref="AD29:AD34" si="105">SUM(AE29:AN29)</f>
        <v>0</v>
      </c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>
        <v>0</v>
      </c>
      <c r="AP29" s="81">
        <f t="shared" ref="AP29:AP34" si="106">AO29+AQ29</f>
        <v>0</v>
      </c>
      <c r="AQ29" s="81">
        <f t="shared" ref="AQ29:AQ34" si="107">SUM(AR29:BA29)</f>
        <v>0</v>
      </c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>
        <v>0</v>
      </c>
      <c r="BC29" s="81">
        <f t="shared" ref="BC29:BC34" si="108">BB29+BD29</f>
        <v>0</v>
      </c>
      <c r="BD29" s="98">
        <f t="shared" ref="BD29:BD34" si="109">SUM(BE29:BI29)</f>
        <v>0</v>
      </c>
      <c r="BE29" s="98"/>
      <c r="BF29" s="98"/>
      <c r="BG29" s="98"/>
      <c r="BH29" s="98"/>
      <c r="BI29" s="98"/>
      <c r="BJ29" s="81"/>
      <c r="BK29" s="81">
        <f t="shared" ref="BK29:BK34" si="110">BJ29+BL29</f>
        <v>0</v>
      </c>
      <c r="BL29" s="81">
        <f t="shared" ref="BL29:BL34" si="111">SUM(BM29:BW29)</f>
        <v>0</v>
      </c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82" t="s">
        <v>313</v>
      </c>
      <c r="BY29" s="85"/>
      <c r="BZ29" s="24"/>
    </row>
    <row r="30" spans="1:78" s="122" customFormat="1" ht="24" x14ac:dyDescent="0.2">
      <c r="A30" s="126"/>
      <c r="B30" s="248"/>
      <c r="C30" s="285" t="s">
        <v>185</v>
      </c>
      <c r="D30" s="80">
        <f t="shared" si="100"/>
        <v>195274</v>
      </c>
      <c r="E30" s="295">
        <f t="shared" si="101"/>
        <v>197772</v>
      </c>
      <c r="F30" s="81">
        <v>177754</v>
      </c>
      <c r="G30" s="81">
        <f t="shared" si="102"/>
        <v>177754</v>
      </c>
      <c r="H30" s="81">
        <f t="shared" si="103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>
        <v>0</v>
      </c>
      <c r="AC30" s="81">
        <f t="shared" si="104"/>
        <v>0</v>
      </c>
      <c r="AD30" s="81">
        <f t="shared" si="105"/>
        <v>0</v>
      </c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>
        <v>17520</v>
      </c>
      <c r="AP30" s="81">
        <f t="shared" si="106"/>
        <v>20018</v>
      </c>
      <c r="AQ30" s="81">
        <f t="shared" si="107"/>
        <v>2498</v>
      </c>
      <c r="AR30" s="81">
        <v>2498</v>
      </c>
      <c r="AS30" s="81"/>
      <c r="AT30" s="81"/>
      <c r="AU30" s="81"/>
      <c r="AV30" s="81"/>
      <c r="AW30" s="81"/>
      <c r="AX30" s="81"/>
      <c r="AY30" s="81"/>
      <c r="AZ30" s="81"/>
      <c r="BA30" s="81"/>
      <c r="BB30" s="81">
        <v>0</v>
      </c>
      <c r="BC30" s="81">
        <f t="shared" si="108"/>
        <v>0</v>
      </c>
      <c r="BD30" s="98">
        <f t="shared" si="109"/>
        <v>0</v>
      </c>
      <c r="BE30" s="98"/>
      <c r="BF30" s="98"/>
      <c r="BG30" s="98"/>
      <c r="BH30" s="98"/>
      <c r="BI30" s="98"/>
      <c r="BJ30" s="81"/>
      <c r="BK30" s="81">
        <f t="shared" si="110"/>
        <v>0</v>
      </c>
      <c r="BL30" s="81">
        <f t="shared" si="111"/>
        <v>0</v>
      </c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82" t="s">
        <v>314</v>
      </c>
      <c r="BY30" s="85" t="s">
        <v>441</v>
      </c>
      <c r="BZ30" s="24"/>
    </row>
    <row r="31" spans="1:78" s="198" customFormat="1" ht="24" x14ac:dyDescent="0.2">
      <c r="A31" s="108"/>
      <c r="B31" s="242"/>
      <c r="C31" s="319" t="s">
        <v>647</v>
      </c>
      <c r="D31" s="80">
        <f t="shared" si="100"/>
        <v>66505</v>
      </c>
      <c r="E31" s="295">
        <f t="shared" si="101"/>
        <v>66505</v>
      </c>
      <c r="F31" s="72">
        <v>66505</v>
      </c>
      <c r="G31" s="72">
        <f t="shared" si="102"/>
        <v>66505</v>
      </c>
      <c r="H31" s="72">
        <f t="shared" si="103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>
        <v>0</v>
      </c>
      <c r="AC31" s="72">
        <f t="shared" si="104"/>
        <v>0</v>
      </c>
      <c r="AD31" s="72">
        <f t="shared" si="105"/>
        <v>0</v>
      </c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v>0</v>
      </c>
      <c r="AP31" s="72">
        <f t="shared" si="106"/>
        <v>0</v>
      </c>
      <c r="AQ31" s="72">
        <f t="shared" si="107"/>
        <v>0</v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>
        <v>0</v>
      </c>
      <c r="BC31" s="81">
        <f t="shared" si="108"/>
        <v>0</v>
      </c>
      <c r="BD31" s="98">
        <f t="shared" si="109"/>
        <v>0</v>
      </c>
      <c r="BE31" s="97"/>
      <c r="BF31" s="97"/>
      <c r="BG31" s="97"/>
      <c r="BH31" s="97"/>
      <c r="BI31" s="97"/>
      <c r="BJ31" s="72"/>
      <c r="BK31" s="81">
        <f t="shared" si="110"/>
        <v>0</v>
      </c>
      <c r="BL31" s="81">
        <f t="shared" si="111"/>
        <v>0</v>
      </c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82" t="s">
        <v>315</v>
      </c>
      <c r="BY31" s="85" t="s">
        <v>442</v>
      </c>
      <c r="BZ31" s="24"/>
    </row>
    <row r="32" spans="1:78" s="198" customFormat="1" ht="24" x14ac:dyDescent="0.2">
      <c r="A32" s="108"/>
      <c r="B32" s="242"/>
      <c r="C32" s="319" t="s">
        <v>757</v>
      </c>
      <c r="D32" s="80">
        <f t="shared" ref="D32" si="112">F32+AB32+AO32+BB32+BJ32</f>
        <v>0</v>
      </c>
      <c r="E32" s="295">
        <f t="shared" ref="E32" si="113">G32+AC32+AP32+BC32+BK32</f>
        <v>710</v>
      </c>
      <c r="F32" s="72"/>
      <c r="G32" s="72">
        <f t="shared" si="102"/>
        <v>710</v>
      </c>
      <c r="H32" s="72">
        <f t="shared" si="103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>
        <f t="shared" ref="AC32" si="114">AB32+AD32</f>
        <v>0</v>
      </c>
      <c r="AD32" s="72">
        <f t="shared" ref="AD32" si="115">SUM(AE32:AN32)</f>
        <v>0</v>
      </c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81">
        <f t="shared" ref="BC32" si="116">BB32+BD32</f>
        <v>0</v>
      </c>
      <c r="BD32" s="98">
        <f t="shared" ref="BD32" si="117">SUM(BE32:BI32)</f>
        <v>0</v>
      </c>
      <c r="BE32" s="97"/>
      <c r="BF32" s="97"/>
      <c r="BG32" s="97"/>
      <c r="BH32" s="97"/>
      <c r="BI32" s="97"/>
      <c r="BJ32" s="72"/>
      <c r="BK32" s="81">
        <f t="shared" ref="BK32" si="118">BJ32+BL32</f>
        <v>0</v>
      </c>
      <c r="BL32" s="81">
        <f t="shared" ref="BL32" si="119">SUM(BM32:BW32)</f>
        <v>0</v>
      </c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82" t="s">
        <v>758</v>
      </c>
      <c r="BY32" s="85" t="s">
        <v>442</v>
      </c>
      <c r="BZ32" s="24"/>
    </row>
    <row r="33" spans="1:78" ht="24" customHeight="1" x14ac:dyDescent="0.2">
      <c r="A33" s="108">
        <v>90000056554</v>
      </c>
      <c r="B33" s="241" t="s">
        <v>449</v>
      </c>
      <c r="C33" s="285" t="s">
        <v>243</v>
      </c>
      <c r="D33" s="80">
        <f t="shared" si="100"/>
        <v>2415850</v>
      </c>
      <c r="E33" s="295">
        <f t="shared" si="101"/>
        <v>2494202</v>
      </c>
      <c r="F33" s="81">
        <v>2390663</v>
      </c>
      <c r="G33" s="81">
        <f t="shared" si="102"/>
        <v>2472072</v>
      </c>
      <c r="H33" s="81">
        <f t="shared" si="103"/>
        <v>81409</v>
      </c>
      <c r="I33" s="81"/>
      <c r="J33" s="81"/>
      <c r="K33" s="81">
        <v>61396</v>
      </c>
      <c r="L33" s="81"/>
      <c r="M33" s="81"/>
      <c r="N33" s="81">
        <v>2756</v>
      </c>
      <c r="O33" s="81"/>
      <c r="P33" s="81"/>
      <c r="Q33" s="81"/>
      <c r="R33" s="81"/>
      <c r="S33" s="81"/>
      <c r="T33" s="81"/>
      <c r="U33" s="81"/>
      <c r="V33" s="81"/>
      <c r="W33" s="81">
        <f>17257</f>
        <v>17257</v>
      </c>
      <c r="X33" s="81"/>
      <c r="Y33" s="81"/>
      <c r="Z33" s="81"/>
      <c r="AA33" s="81"/>
      <c r="AB33" s="81">
        <v>0</v>
      </c>
      <c r="AC33" s="81">
        <f t="shared" si="104"/>
        <v>0</v>
      </c>
      <c r="AD33" s="81">
        <f t="shared" si="105"/>
        <v>0</v>
      </c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>
        <v>29387</v>
      </c>
      <c r="AP33" s="81">
        <f t="shared" si="106"/>
        <v>26330</v>
      </c>
      <c r="AQ33" s="81">
        <f t="shared" si="107"/>
        <v>-3057</v>
      </c>
      <c r="AR33" s="81">
        <v>1604</v>
      </c>
      <c r="AS33" s="81"/>
      <c r="AT33" s="81"/>
      <c r="AU33" s="81"/>
      <c r="AV33" s="81"/>
      <c r="AW33" s="81"/>
      <c r="AX33" s="81">
        <v>60</v>
      </c>
      <c r="AY33" s="81"/>
      <c r="AZ33" s="81">
        <v>-4721</v>
      </c>
      <c r="BA33" s="81"/>
      <c r="BB33" s="81">
        <v>0</v>
      </c>
      <c r="BC33" s="81">
        <f t="shared" si="108"/>
        <v>0</v>
      </c>
      <c r="BD33" s="98">
        <f t="shared" si="109"/>
        <v>0</v>
      </c>
      <c r="BE33" s="98"/>
      <c r="BF33" s="98"/>
      <c r="BG33" s="98"/>
      <c r="BH33" s="98"/>
      <c r="BI33" s="98"/>
      <c r="BJ33" s="81">
        <v>-4200</v>
      </c>
      <c r="BK33" s="81">
        <f t="shared" si="110"/>
        <v>-4200</v>
      </c>
      <c r="BL33" s="81">
        <f t="shared" si="111"/>
        <v>0</v>
      </c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82" t="s">
        <v>654</v>
      </c>
      <c r="BY33" s="85"/>
      <c r="BZ33" s="24"/>
    </row>
    <row r="34" spans="1:78" ht="26.25" customHeight="1" x14ac:dyDescent="0.2">
      <c r="A34" s="108"/>
      <c r="B34" s="241" t="s">
        <v>167</v>
      </c>
      <c r="C34" s="322" t="s">
        <v>225</v>
      </c>
      <c r="D34" s="80">
        <f t="shared" si="100"/>
        <v>35000</v>
      </c>
      <c r="E34" s="295">
        <f t="shared" si="101"/>
        <v>35000</v>
      </c>
      <c r="F34" s="81">
        <v>35000</v>
      </c>
      <c r="G34" s="81">
        <f t="shared" si="102"/>
        <v>35000</v>
      </c>
      <c r="H34" s="81">
        <f t="shared" si="103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>
        <f t="shared" si="104"/>
        <v>0</v>
      </c>
      <c r="AD34" s="81">
        <f t="shared" si="105"/>
        <v>0</v>
      </c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98">
        <f t="shared" si="106"/>
        <v>0</v>
      </c>
      <c r="AQ34" s="98">
        <f t="shared" si="107"/>
        <v>0</v>
      </c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81">
        <f t="shared" si="108"/>
        <v>0</v>
      </c>
      <c r="BD34" s="98">
        <f t="shared" si="109"/>
        <v>0</v>
      </c>
      <c r="BE34" s="98"/>
      <c r="BF34" s="98"/>
      <c r="BG34" s="98"/>
      <c r="BH34" s="98"/>
      <c r="BI34" s="98"/>
      <c r="BJ34" s="81"/>
      <c r="BK34" s="81">
        <f t="shared" si="110"/>
        <v>0</v>
      </c>
      <c r="BL34" s="81">
        <f t="shared" si="111"/>
        <v>0</v>
      </c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82" t="s">
        <v>344</v>
      </c>
      <c r="BY34" s="85"/>
      <c r="BZ34" s="24"/>
    </row>
    <row r="35" spans="1:78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72"/>
      <c r="BD35" s="97"/>
      <c r="BE35" s="97"/>
      <c r="BF35" s="97"/>
      <c r="BG35" s="97"/>
      <c r="BH35" s="97"/>
      <c r="BI35" s="97"/>
      <c r="BJ35" s="72"/>
      <c r="BK35" s="264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73"/>
      <c r="BY35" s="86"/>
      <c r="BZ35" s="24"/>
    </row>
    <row r="36" spans="1:78" ht="12.75" thickBot="1" x14ac:dyDescent="0.25">
      <c r="A36" s="215" t="s">
        <v>7</v>
      </c>
      <c r="B36" s="125" t="s">
        <v>8</v>
      </c>
      <c r="C36" s="321"/>
      <c r="D36" s="11">
        <f>SUM(D37:D64)</f>
        <v>22014945</v>
      </c>
      <c r="E36" s="297">
        <f>SUM(E37:E64)</f>
        <v>21604862</v>
      </c>
      <c r="F36" s="9">
        <f>SUM(F37:F64)</f>
        <v>20834324</v>
      </c>
      <c r="G36" s="9">
        <f t="shared" ref="G36:AA36" si="120">SUM(G37:G64)</f>
        <v>20373661</v>
      </c>
      <c r="H36" s="9">
        <f t="shared" si="120"/>
        <v>-460663</v>
      </c>
      <c r="I36" s="9">
        <f t="shared" si="120"/>
        <v>-59883</v>
      </c>
      <c r="J36" s="9">
        <f t="shared" ref="J36" si="121">SUM(J37:J64)</f>
        <v>0</v>
      </c>
      <c r="K36" s="9">
        <f t="shared" si="120"/>
        <v>1136346</v>
      </c>
      <c r="L36" s="9">
        <f t="shared" si="120"/>
        <v>609649</v>
      </c>
      <c r="M36" s="9">
        <f t="shared" si="120"/>
        <v>332752</v>
      </c>
      <c r="N36" s="9">
        <f t="shared" si="120"/>
        <v>5000</v>
      </c>
      <c r="O36" s="9">
        <f t="shared" si="120"/>
        <v>121283</v>
      </c>
      <c r="P36" s="9">
        <f t="shared" si="120"/>
        <v>0</v>
      </c>
      <c r="Q36" s="9">
        <f t="shared" si="120"/>
        <v>-239129</v>
      </c>
      <c r="R36" s="9">
        <f t="shared" si="120"/>
        <v>0</v>
      </c>
      <c r="S36" s="9">
        <f t="shared" si="120"/>
        <v>-1797866</v>
      </c>
      <c r="T36" s="9"/>
      <c r="U36" s="9">
        <f t="shared" si="120"/>
        <v>5645</v>
      </c>
      <c r="V36" s="9"/>
      <c r="W36" s="9">
        <f t="shared" si="120"/>
        <v>-586107</v>
      </c>
      <c r="X36" s="9">
        <f t="shared" ref="X36" si="122">SUM(X37:X64)</f>
        <v>0</v>
      </c>
      <c r="Y36" s="9">
        <f t="shared" si="120"/>
        <v>6471</v>
      </c>
      <c r="Z36" s="9">
        <f t="shared" ref="Z36" si="123">SUM(Z37:Z64)</f>
        <v>1991</v>
      </c>
      <c r="AA36" s="9">
        <f t="shared" si="120"/>
        <v>0</v>
      </c>
      <c r="AB36" s="9">
        <f>SUM(AB37:AB64)</f>
        <v>1169460</v>
      </c>
      <c r="AC36" s="9">
        <f t="shared" ref="AC36" si="124">SUM(AC37:AC64)</f>
        <v>1225936</v>
      </c>
      <c r="AD36" s="9">
        <f t="shared" ref="AD36" si="125">SUM(AD37:AD64)</f>
        <v>56476</v>
      </c>
      <c r="AE36" s="9">
        <f t="shared" ref="AE36" si="126">SUM(AE37:AE64)</f>
        <v>0</v>
      </c>
      <c r="AF36" s="9">
        <f t="shared" ref="AF36" si="127">SUM(AF37:AF64)</f>
        <v>33077</v>
      </c>
      <c r="AG36" s="9">
        <f t="shared" ref="AG36" si="128">SUM(AG37:AG64)</f>
        <v>0</v>
      </c>
      <c r="AH36" s="9">
        <f t="shared" ref="AH36" si="129">SUM(AH37:AH64)</f>
        <v>23399</v>
      </c>
      <c r="AI36" s="9">
        <f t="shared" ref="AI36" si="130">SUM(AI37:AI64)</f>
        <v>0</v>
      </c>
      <c r="AJ36" s="9">
        <f t="shared" ref="AJ36" si="131">SUM(AJ37:AJ64)</f>
        <v>0</v>
      </c>
      <c r="AK36" s="9">
        <f t="shared" ref="AK36" si="132">SUM(AK37:AK64)</f>
        <v>0</v>
      </c>
      <c r="AL36" s="9">
        <f t="shared" ref="AL36" si="133">SUM(AL37:AL64)</f>
        <v>0</v>
      </c>
      <c r="AM36" s="9">
        <f t="shared" ref="AM36" si="134">SUM(AM37:AM64)</f>
        <v>0</v>
      </c>
      <c r="AN36" s="9">
        <f t="shared" ref="AN36" si="135">SUM(AN37:AN64)</f>
        <v>0</v>
      </c>
      <c r="AO36" s="9">
        <f>SUM(AO37:AO64)</f>
        <v>11161</v>
      </c>
      <c r="AP36" s="96">
        <f t="shared" ref="AP36" si="136">SUM(AP37:AP64)</f>
        <v>5265</v>
      </c>
      <c r="AQ36" s="96">
        <f t="shared" ref="AQ36" si="137">SUM(AQ37:AQ64)</f>
        <v>-5896</v>
      </c>
      <c r="AR36" s="96">
        <f t="shared" ref="AR36" si="138">SUM(AR37:AR64)</f>
        <v>0</v>
      </c>
      <c r="AS36" s="96">
        <f t="shared" ref="AS36" si="139">SUM(AS37:AS64)</f>
        <v>0</v>
      </c>
      <c r="AT36" s="96">
        <f t="shared" ref="AT36" si="140">SUM(AT37:AT64)</f>
        <v>0</v>
      </c>
      <c r="AU36" s="96">
        <f t="shared" ref="AU36" si="141">SUM(AU37:AU64)</f>
        <v>0</v>
      </c>
      <c r="AV36" s="96">
        <f t="shared" ref="AV36" si="142">SUM(AV37:AV64)</f>
        <v>0</v>
      </c>
      <c r="AW36" s="96">
        <f t="shared" ref="AW36" si="143">SUM(AW37:AW64)</f>
        <v>0</v>
      </c>
      <c r="AX36" s="96">
        <f t="shared" ref="AX36" si="144">SUM(AX37:AX64)</f>
        <v>-5896</v>
      </c>
      <c r="AY36" s="96">
        <f t="shared" ref="AY36" si="145">SUM(AY37:AY64)</f>
        <v>0</v>
      </c>
      <c r="AZ36" s="96">
        <f t="shared" ref="AZ36" si="146">SUM(AZ37:AZ64)</f>
        <v>0</v>
      </c>
      <c r="BA36" s="96">
        <f t="shared" ref="BA36" si="147">SUM(BA37:BA64)</f>
        <v>0</v>
      </c>
      <c r="BB36" s="96">
        <f>SUM(BB37:BB64)</f>
        <v>0</v>
      </c>
      <c r="BC36" s="9">
        <f t="shared" ref="BC36" si="148">SUM(BC37:BC64)</f>
        <v>0</v>
      </c>
      <c r="BD36" s="96">
        <f t="shared" ref="BD36" si="149">SUM(BD37:BD64)</f>
        <v>0</v>
      </c>
      <c r="BE36" s="96">
        <f t="shared" ref="BE36" si="150">SUM(BE37:BE64)</f>
        <v>0</v>
      </c>
      <c r="BF36" s="96">
        <f t="shared" ref="BF36" si="151">SUM(BF37:BF64)</f>
        <v>0</v>
      </c>
      <c r="BG36" s="96">
        <f t="shared" ref="BG36" si="152">SUM(BG37:BG64)</f>
        <v>0</v>
      </c>
      <c r="BH36" s="96">
        <f t="shared" ref="BH36" si="153">SUM(BH37:BH64)</f>
        <v>0</v>
      </c>
      <c r="BI36" s="96">
        <f t="shared" ref="BI36" si="154">SUM(BI37:BI64)</f>
        <v>0</v>
      </c>
      <c r="BJ36" s="9">
        <f>SUM(BJ37:BJ64)</f>
        <v>0</v>
      </c>
      <c r="BK36" s="310">
        <f t="shared" ref="BK36" si="155">SUM(BK37:BK64)</f>
        <v>0</v>
      </c>
      <c r="BL36" s="96">
        <f t="shared" ref="BL36" si="156">SUM(BL37:BL64)</f>
        <v>0</v>
      </c>
      <c r="BM36" s="96">
        <f t="shared" ref="BM36" si="157">SUM(BM37:BM64)</f>
        <v>0</v>
      </c>
      <c r="BN36" s="96">
        <f t="shared" ref="BN36" si="158">SUM(BN37:BN64)</f>
        <v>0</v>
      </c>
      <c r="BO36" s="96">
        <f t="shared" ref="BO36" si="159">SUM(BO37:BO64)</f>
        <v>0</v>
      </c>
      <c r="BP36" s="96">
        <f t="shared" ref="BP36" si="160">SUM(BP37:BP64)</f>
        <v>0</v>
      </c>
      <c r="BQ36" s="96">
        <f t="shared" ref="BQ36" si="161">SUM(BQ37:BQ64)</f>
        <v>0</v>
      </c>
      <c r="BR36" s="96">
        <f t="shared" ref="BR36" si="162">SUM(BR37:BR64)</f>
        <v>0</v>
      </c>
      <c r="BS36" s="96">
        <f t="shared" ref="BS36" si="163">SUM(BS37:BS64)</f>
        <v>0</v>
      </c>
      <c r="BT36" s="96">
        <f t="shared" ref="BT36" si="164">SUM(BT37:BT64)</f>
        <v>0</v>
      </c>
      <c r="BU36" s="96">
        <f t="shared" ref="BU36" si="165">SUM(BU37:BU64)</f>
        <v>0</v>
      </c>
      <c r="BV36" s="96">
        <f t="shared" ref="BV36:BW36" si="166">SUM(BV37:BV64)</f>
        <v>0</v>
      </c>
      <c r="BW36" s="96">
        <f t="shared" si="166"/>
        <v>0</v>
      </c>
      <c r="BX36" s="12"/>
      <c r="BY36" s="87"/>
      <c r="BZ36" s="24"/>
    </row>
    <row r="37" spans="1:78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67">F37+AB37+AO37+BB37+BJ37</f>
        <v>3353884</v>
      </c>
      <c r="E37" s="295">
        <f t="shared" ref="E37:E61" si="168">G37+AC37+AP37+BC37+BK37</f>
        <v>3340884</v>
      </c>
      <c r="F37" s="81">
        <v>3353884</v>
      </c>
      <c r="G37" s="81">
        <f t="shared" ref="G37:G61" si="169">F37+H37</f>
        <v>3340884</v>
      </c>
      <c r="H37" s="81">
        <f t="shared" ref="H37:H61" si="170">SUM(I37:AA37)</f>
        <v>-13000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>
        <v>7000</v>
      </c>
      <c r="V37" s="81"/>
      <c r="W37" s="81">
        <v>-20000</v>
      </c>
      <c r="X37" s="81"/>
      <c r="Y37" s="81"/>
      <c r="Z37" s="81"/>
      <c r="AA37" s="81"/>
      <c r="AB37" s="81">
        <v>0</v>
      </c>
      <c r="AC37" s="81">
        <f t="shared" ref="AC37:AC61" si="171">AB37+AD37</f>
        <v>0</v>
      </c>
      <c r="AD37" s="81">
        <f t="shared" ref="AD37:AD61" si="172">SUM(AE37:AN37)</f>
        <v>0</v>
      </c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>
        <v>0</v>
      </c>
      <c r="AP37" s="81">
        <f t="shared" ref="AP37:AP61" si="173">AO37+AQ37</f>
        <v>0</v>
      </c>
      <c r="AQ37" s="81">
        <f t="shared" ref="AQ37:AQ61" si="174">SUM(AR37:BA37)</f>
        <v>0</v>
      </c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>
        <v>0</v>
      </c>
      <c r="BC37" s="81">
        <f t="shared" ref="BC37:BC61" si="175">BB37+BD37</f>
        <v>0</v>
      </c>
      <c r="BD37" s="98">
        <f t="shared" ref="BD37:BD61" si="176">SUM(BE37:BI37)</f>
        <v>0</v>
      </c>
      <c r="BE37" s="98"/>
      <c r="BF37" s="98"/>
      <c r="BG37" s="98"/>
      <c r="BH37" s="98"/>
      <c r="BI37" s="98"/>
      <c r="BJ37" s="81"/>
      <c r="BK37" s="81">
        <f t="shared" ref="BK37:BK61" si="177">BJ37+BL37</f>
        <v>0</v>
      </c>
      <c r="BL37" s="81">
        <f t="shared" ref="BL37:BL61" si="178">SUM(BM37:BW37)</f>
        <v>0</v>
      </c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82" t="s">
        <v>651</v>
      </c>
      <c r="BY37" s="85"/>
      <c r="BZ37" s="24"/>
    </row>
    <row r="38" spans="1:78" s="122" customFormat="1" ht="12.75" x14ac:dyDescent="0.2">
      <c r="A38" s="108"/>
      <c r="B38" s="246"/>
      <c r="C38" s="285" t="s">
        <v>252</v>
      </c>
      <c r="D38" s="80">
        <f t="shared" si="167"/>
        <v>5388</v>
      </c>
      <c r="E38" s="295">
        <f t="shared" si="168"/>
        <v>5388</v>
      </c>
      <c r="F38" s="81">
        <v>5388</v>
      </c>
      <c r="G38" s="81">
        <f t="shared" si="169"/>
        <v>5388</v>
      </c>
      <c r="H38" s="81">
        <f t="shared" si="170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>
        <v>0</v>
      </c>
      <c r="AC38" s="81">
        <f t="shared" si="171"/>
        <v>0</v>
      </c>
      <c r="AD38" s="81">
        <f t="shared" si="172"/>
        <v>0</v>
      </c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>
        <v>0</v>
      </c>
      <c r="AP38" s="81">
        <f t="shared" si="173"/>
        <v>0</v>
      </c>
      <c r="AQ38" s="81">
        <f t="shared" si="174"/>
        <v>0</v>
      </c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>
        <v>0</v>
      </c>
      <c r="BC38" s="81">
        <f t="shared" si="175"/>
        <v>0</v>
      </c>
      <c r="BD38" s="98">
        <f t="shared" si="176"/>
        <v>0</v>
      </c>
      <c r="BE38" s="199"/>
      <c r="BF38" s="199"/>
      <c r="BG38" s="199"/>
      <c r="BH38" s="199"/>
      <c r="BI38" s="199"/>
      <c r="BJ38" s="163"/>
      <c r="BK38" s="81">
        <f t="shared" si="177"/>
        <v>0</v>
      </c>
      <c r="BL38" s="81">
        <f t="shared" si="178"/>
        <v>0</v>
      </c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220" t="s">
        <v>655</v>
      </c>
      <c r="BY38" s="85"/>
      <c r="BZ38" s="24"/>
    </row>
    <row r="39" spans="1:78" ht="12.75" x14ac:dyDescent="0.2">
      <c r="A39" s="108"/>
      <c r="B39" s="243"/>
      <c r="C39" s="285" t="s">
        <v>215</v>
      </c>
      <c r="D39" s="80">
        <f t="shared" si="167"/>
        <v>2305016</v>
      </c>
      <c r="E39" s="295">
        <f t="shared" si="168"/>
        <v>2271871</v>
      </c>
      <c r="F39" s="81">
        <v>2112120</v>
      </c>
      <c r="G39" s="81">
        <f t="shared" si="169"/>
        <v>2084871</v>
      </c>
      <c r="H39" s="81">
        <f t="shared" si="170"/>
        <v>-27249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>
        <v>-19000</v>
      </c>
      <c r="T39" s="81"/>
      <c r="U39" s="81">
        <v>-965</v>
      </c>
      <c r="V39" s="81">
        <v>3185</v>
      </c>
      <c r="W39" s="81">
        <f>-4879-233-4130-1227</f>
        <v>-10469</v>
      </c>
      <c r="X39" s="81"/>
      <c r="Y39" s="81"/>
      <c r="Z39" s="81"/>
      <c r="AA39" s="81"/>
      <c r="AB39" s="81">
        <v>187000</v>
      </c>
      <c r="AC39" s="81">
        <f t="shared" si="171"/>
        <v>187000</v>
      </c>
      <c r="AD39" s="81">
        <f t="shared" si="172"/>
        <v>0</v>
      </c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>
        <v>5896</v>
      </c>
      <c r="AP39" s="81">
        <f t="shared" si="173"/>
        <v>0</v>
      </c>
      <c r="AQ39" s="81">
        <f t="shared" si="174"/>
        <v>-5896</v>
      </c>
      <c r="AR39" s="81"/>
      <c r="AS39" s="81"/>
      <c r="AT39" s="81"/>
      <c r="AU39" s="81"/>
      <c r="AV39" s="81"/>
      <c r="AW39" s="81"/>
      <c r="AX39" s="81">
        <f>4225-4225+965-965-5896</f>
        <v>-5896</v>
      </c>
      <c r="AY39" s="81"/>
      <c r="AZ39" s="81"/>
      <c r="BA39" s="81"/>
      <c r="BB39" s="81">
        <v>0</v>
      </c>
      <c r="BC39" s="81">
        <f t="shared" si="175"/>
        <v>0</v>
      </c>
      <c r="BD39" s="98">
        <f t="shared" si="176"/>
        <v>0</v>
      </c>
      <c r="BE39" s="81"/>
      <c r="BF39" s="81"/>
      <c r="BG39" s="81"/>
      <c r="BH39" s="81"/>
      <c r="BI39" s="81"/>
      <c r="BJ39" s="81"/>
      <c r="BK39" s="81">
        <f t="shared" si="177"/>
        <v>0</v>
      </c>
      <c r="BL39" s="81">
        <f t="shared" si="178"/>
        <v>0</v>
      </c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220" t="s">
        <v>316</v>
      </c>
      <c r="BY39" s="85" t="s">
        <v>661</v>
      </c>
      <c r="BZ39" s="24"/>
    </row>
    <row r="40" spans="1:78" s="106" customFormat="1" ht="24" x14ac:dyDescent="0.2">
      <c r="A40" s="108"/>
      <c r="B40" s="246"/>
      <c r="C40" s="285" t="s">
        <v>244</v>
      </c>
      <c r="D40" s="80">
        <f t="shared" si="167"/>
        <v>54303</v>
      </c>
      <c r="E40" s="295">
        <f t="shared" si="168"/>
        <v>42844</v>
      </c>
      <c r="F40" s="163">
        <v>54303</v>
      </c>
      <c r="G40" s="163">
        <f t="shared" si="169"/>
        <v>42844</v>
      </c>
      <c r="H40" s="163">
        <f t="shared" si="170"/>
        <v>-11459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>
        <f>-11459</f>
        <v>-11459</v>
      </c>
      <c r="Z40" s="163"/>
      <c r="AA40" s="163"/>
      <c r="AB40" s="163">
        <v>0</v>
      </c>
      <c r="AC40" s="163">
        <f t="shared" si="171"/>
        <v>0</v>
      </c>
      <c r="AD40" s="163">
        <f t="shared" si="172"/>
        <v>0</v>
      </c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>
        <v>0</v>
      </c>
      <c r="AP40" s="163">
        <f t="shared" si="173"/>
        <v>0</v>
      </c>
      <c r="AQ40" s="163">
        <f t="shared" si="174"/>
        <v>0</v>
      </c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>
        <v>0</v>
      </c>
      <c r="BC40" s="81">
        <f t="shared" si="175"/>
        <v>0</v>
      </c>
      <c r="BD40" s="98">
        <f t="shared" si="176"/>
        <v>0</v>
      </c>
      <c r="BE40" s="163"/>
      <c r="BF40" s="163"/>
      <c r="BG40" s="163"/>
      <c r="BH40" s="163"/>
      <c r="BI40" s="163"/>
      <c r="BJ40" s="163"/>
      <c r="BK40" s="81">
        <f t="shared" si="177"/>
        <v>0</v>
      </c>
      <c r="BL40" s="81">
        <f t="shared" si="178"/>
        <v>0</v>
      </c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220" t="s">
        <v>549</v>
      </c>
      <c r="BY40" s="85" t="s">
        <v>568</v>
      </c>
      <c r="BZ40" s="24"/>
    </row>
    <row r="41" spans="1:78" s="162" customFormat="1" ht="12.75" x14ac:dyDescent="0.2">
      <c r="A41" s="108"/>
      <c r="B41" s="246"/>
      <c r="C41" s="285" t="s">
        <v>220</v>
      </c>
      <c r="D41" s="80">
        <f t="shared" si="167"/>
        <v>461728</v>
      </c>
      <c r="E41" s="295">
        <f t="shared" si="168"/>
        <v>461728</v>
      </c>
      <c r="F41" s="81">
        <v>456463</v>
      </c>
      <c r="G41" s="81">
        <f t="shared" si="169"/>
        <v>456463</v>
      </c>
      <c r="H41" s="81">
        <f t="shared" si="170"/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>
        <v>0</v>
      </c>
      <c r="AC41" s="81">
        <f t="shared" si="171"/>
        <v>0</v>
      </c>
      <c r="AD41" s="81">
        <f t="shared" si="172"/>
        <v>0</v>
      </c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>
        <v>5265</v>
      </c>
      <c r="AP41" s="81">
        <f t="shared" si="173"/>
        <v>5265</v>
      </c>
      <c r="AQ41" s="81">
        <f t="shared" si="174"/>
        <v>0</v>
      </c>
      <c r="AR41" s="81">
        <v>0</v>
      </c>
      <c r="AS41" s="81"/>
      <c r="AT41" s="81"/>
      <c r="AU41" s="81"/>
      <c r="AV41" s="81"/>
      <c r="AW41" s="81"/>
      <c r="AX41" s="81"/>
      <c r="AY41" s="81"/>
      <c r="AZ41" s="81"/>
      <c r="BA41" s="81"/>
      <c r="BB41" s="81">
        <v>0</v>
      </c>
      <c r="BC41" s="81">
        <f t="shared" si="175"/>
        <v>0</v>
      </c>
      <c r="BD41" s="98">
        <f t="shared" si="176"/>
        <v>0</v>
      </c>
      <c r="BE41" s="81"/>
      <c r="BF41" s="81"/>
      <c r="BG41" s="81"/>
      <c r="BH41" s="81"/>
      <c r="BI41" s="81"/>
      <c r="BJ41" s="81"/>
      <c r="BK41" s="81">
        <f t="shared" si="177"/>
        <v>0</v>
      </c>
      <c r="BL41" s="81">
        <f t="shared" si="178"/>
        <v>0</v>
      </c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220" t="s">
        <v>317</v>
      </c>
      <c r="BY41" s="85" t="s">
        <v>789</v>
      </c>
      <c r="BZ41" s="24"/>
    </row>
    <row r="42" spans="1:78" s="121" customFormat="1" ht="24" x14ac:dyDescent="0.2">
      <c r="A42" s="108"/>
      <c r="B42" s="243"/>
      <c r="C42" s="285" t="s">
        <v>251</v>
      </c>
      <c r="D42" s="80">
        <f t="shared" si="167"/>
        <v>807594</v>
      </c>
      <c r="E42" s="295">
        <f t="shared" si="168"/>
        <v>726800</v>
      </c>
      <c r="F42" s="81">
        <v>807594</v>
      </c>
      <c r="G42" s="81">
        <f t="shared" si="169"/>
        <v>726800</v>
      </c>
      <c r="H42" s="81">
        <f t="shared" si="170"/>
        <v>-80794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>
        <v>-13400</v>
      </c>
      <c r="T42" s="81"/>
      <c r="U42" s="81">
        <f>5500+965</f>
        <v>6465</v>
      </c>
      <c r="V42" s="81"/>
      <c r="W42" s="81">
        <f>-15121-30000</f>
        <v>-45121</v>
      </c>
      <c r="X42" s="81"/>
      <c r="Y42" s="81">
        <v>-37195</v>
      </c>
      <c r="Z42" s="81"/>
      <c r="AA42" s="81"/>
      <c r="AB42" s="81">
        <v>0</v>
      </c>
      <c r="AC42" s="81">
        <f t="shared" si="171"/>
        <v>0</v>
      </c>
      <c r="AD42" s="81">
        <f t="shared" si="172"/>
        <v>0</v>
      </c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>
        <v>0</v>
      </c>
      <c r="AP42" s="81">
        <f t="shared" si="173"/>
        <v>0</v>
      </c>
      <c r="AQ42" s="81">
        <f t="shared" si="174"/>
        <v>0</v>
      </c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>
        <v>0</v>
      </c>
      <c r="BC42" s="81">
        <f t="shared" si="175"/>
        <v>0</v>
      </c>
      <c r="BD42" s="98">
        <f t="shared" si="176"/>
        <v>0</v>
      </c>
      <c r="BE42" s="81"/>
      <c r="BF42" s="81"/>
      <c r="BG42" s="81"/>
      <c r="BH42" s="81"/>
      <c r="BI42" s="81"/>
      <c r="BJ42" s="81"/>
      <c r="BK42" s="81">
        <f t="shared" si="177"/>
        <v>0</v>
      </c>
      <c r="BL42" s="81">
        <f t="shared" si="178"/>
        <v>0</v>
      </c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220" t="s">
        <v>318</v>
      </c>
      <c r="BY42" s="85" t="s">
        <v>662</v>
      </c>
      <c r="BZ42" s="24"/>
    </row>
    <row r="43" spans="1:78" s="162" customFormat="1" ht="24" x14ac:dyDescent="0.2">
      <c r="A43" s="108"/>
      <c r="B43" s="243"/>
      <c r="C43" s="285" t="s">
        <v>260</v>
      </c>
      <c r="D43" s="80">
        <f t="shared" si="167"/>
        <v>114100</v>
      </c>
      <c r="E43" s="295">
        <f t="shared" si="168"/>
        <v>114100</v>
      </c>
      <c r="F43" s="163">
        <v>114100</v>
      </c>
      <c r="G43" s="163">
        <f t="shared" si="169"/>
        <v>114100</v>
      </c>
      <c r="H43" s="163">
        <f t="shared" si="170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>
        <v>0</v>
      </c>
      <c r="AC43" s="163">
        <f t="shared" si="171"/>
        <v>0</v>
      </c>
      <c r="AD43" s="163">
        <f t="shared" si="172"/>
        <v>0</v>
      </c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>
        <v>0</v>
      </c>
      <c r="AP43" s="163">
        <f t="shared" si="173"/>
        <v>0</v>
      </c>
      <c r="AQ43" s="163">
        <f t="shared" si="174"/>
        <v>0</v>
      </c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>
        <v>0</v>
      </c>
      <c r="BC43" s="81">
        <f t="shared" si="175"/>
        <v>0</v>
      </c>
      <c r="BD43" s="98">
        <f t="shared" si="176"/>
        <v>0</v>
      </c>
      <c r="BE43" s="163"/>
      <c r="BF43" s="163"/>
      <c r="BG43" s="163"/>
      <c r="BH43" s="163"/>
      <c r="BI43" s="163"/>
      <c r="BJ43" s="163"/>
      <c r="BK43" s="81">
        <f t="shared" si="177"/>
        <v>0</v>
      </c>
      <c r="BL43" s="81">
        <f t="shared" si="178"/>
        <v>0</v>
      </c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220" t="s">
        <v>319</v>
      </c>
      <c r="BY43" s="86" t="s">
        <v>481</v>
      </c>
      <c r="BZ43" s="24"/>
    </row>
    <row r="44" spans="1:78" s="162" customFormat="1" ht="24" x14ac:dyDescent="0.2">
      <c r="A44" s="108"/>
      <c r="B44" s="243"/>
      <c r="C44" s="285" t="s">
        <v>707</v>
      </c>
      <c r="D44" s="80">
        <f t="shared" si="167"/>
        <v>8257247</v>
      </c>
      <c r="E44" s="295">
        <f t="shared" si="168"/>
        <v>8752103</v>
      </c>
      <c r="F44" s="81">
        <v>7367846</v>
      </c>
      <c r="G44" s="81">
        <f t="shared" si="169"/>
        <v>7713167</v>
      </c>
      <c r="H44" s="81">
        <f t="shared" si="170"/>
        <v>345321</v>
      </c>
      <c r="I44" s="81"/>
      <c r="J44" s="81"/>
      <c r="K44" s="81">
        <v>557</v>
      </c>
      <c r="L44" s="81"/>
      <c r="M44" s="81">
        <v>33254</v>
      </c>
      <c r="N44" s="81"/>
      <c r="O44" s="81">
        <v>121283</v>
      </c>
      <c r="P44" s="81"/>
      <c r="Q44" s="81"/>
      <c r="R44" s="81"/>
      <c r="S44" s="81">
        <f>-1148816+1263198</f>
        <v>114382</v>
      </c>
      <c r="T44" s="81"/>
      <c r="U44" s="81"/>
      <c r="V44" s="81"/>
      <c r="W44" s="81">
        <v>20000</v>
      </c>
      <c r="X44" s="81"/>
      <c r="Y44" s="81">
        <v>55845</v>
      </c>
      <c r="Z44" s="81"/>
      <c r="AA44" s="81"/>
      <c r="AB44" s="81">
        <v>889401</v>
      </c>
      <c r="AC44" s="81">
        <f t="shared" si="171"/>
        <v>1038936</v>
      </c>
      <c r="AD44" s="81">
        <f t="shared" si="172"/>
        <v>149535</v>
      </c>
      <c r="AE44" s="81"/>
      <c r="AF44" s="81">
        <v>33077</v>
      </c>
      <c r="AG44" s="81"/>
      <c r="AH44" s="81">
        <f>23399+93059</f>
        <v>116458</v>
      </c>
      <c r="AI44" s="81"/>
      <c r="AJ44" s="81"/>
      <c r="AK44" s="81"/>
      <c r="AL44" s="81"/>
      <c r="AM44" s="81"/>
      <c r="AN44" s="81"/>
      <c r="AO44" s="81">
        <v>0</v>
      </c>
      <c r="AP44" s="81">
        <f t="shared" si="173"/>
        <v>0</v>
      </c>
      <c r="AQ44" s="81">
        <f t="shared" si="174"/>
        <v>0</v>
      </c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>
        <v>0</v>
      </c>
      <c r="BC44" s="81">
        <f t="shared" si="175"/>
        <v>0</v>
      </c>
      <c r="BD44" s="98">
        <f t="shared" si="176"/>
        <v>0</v>
      </c>
      <c r="BE44" s="81"/>
      <c r="BF44" s="81"/>
      <c r="BG44" s="81"/>
      <c r="BH44" s="81"/>
      <c r="BI44" s="81"/>
      <c r="BJ44" s="81"/>
      <c r="BK44" s="81">
        <f t="shared" si="177"/>
        <v>0</v>
      </c>
      <c r="BL44" s="81">
        <f t="shared" si="178"/>
        <v>0</v>
      </c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220" t="s">
        <v>656</v>
      </c>
      <c r="BY44" s="85" t="s">
        <v>439</v>
      </c>
      <c r="BZ44" s="24"/>
    </row>
    <row r="45" spans="1:78" s="198" customFormat="1" ht="24" x14ac:dyDescent="0.2">
      <c r="A45" s="108"/>
      <c r="B45" s="243"/>
      <c r="C45" s="285" t="s">
        <v>642</v>
      </c>
      <c r="D45" s="80">
        <f t="shared" si="167"/>
        <v>584436</v>
      </c>
      <c r="E45" s="295">
        <f t="shared" si="168"/>
        <v>605936</v>
      </c>
      <c r="F45" s="81">
        <v>584436</v>
      </c>
      <c r="G45" s="81">
        <f t="shared" si="169"/>
        <v>605936</v>
      </c>
      <c r="H45" s="81">
        <f t="shared" si="170"/>
        <v>21500</v>
      </c>
      <c r="I45" s="81"/>
      <c r="J45" s="81"/>
      <c r="K45" s="81"/>
      <c r="L45" s="81"/>
      <c r="M45" s="81"/>
      <c r="N45" s="81">
        <v>5000</v>
      </c>
      <c r="O45" s="81"/>
      <c r="P45" s="81"/>
      <c r="Q45" s="81"/>
      <c r="R45" s="81"/>
      <c r="S45" s="81">
        <v>16500</v>
      </c>
      <c r="T45" s="81"/>
      <c r="U45" s="81"/>
      <c r="V45" s="81"/>
      <c r="W45" s="81"/>
      <c r="X45" s="81"/>
      <c r="Y45" s="81"/>
      <c r="Z45" s="81"/>
      <c r="AA45" s="81"/>
      <c r="AB45" s="81">
        <v>0</v>
      </c>
      <c r="AC45" s="81">
        <f t="shared" si="171"/>
        <v>0</v>
      </c>
      <c r="AD45" s="81">
        <f t="shared" si="172"/>
        <v>0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>
        <v>0</v>
      </c>
      <c r="AP45" s="81">
        <f t="shared" si="173"/>
        <v>0</v>
      </c>
      <c r="AQ45" s="81">
        <f t="shared" si="174"/>
        <v>0</v>
      </c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>
        <v>0</v>
      </c>
      <c r="BC45" s="81">
        <f t="shared" si="175"/>
        <v>0</v>
      </c>
      <c r="BD45" s="98">
        <f t="shared" si="176"/>
        <v>0</v>
      </c>
      <c r="BE45" s="199"/>
      <c r="BF45" s="199"/>
      <c r="BG45" s="199"/>
      <c r="BH45" s="199"/>
      <c r="BI45" s="199"/>
      <c r="BJ45" s="163"/>
      <c r="BK45" s="81">
        <f t="shared" si="177"/>
        <v>0</v>
      </c>
      <c r="BL45" s="81">
        <f t="shared" si="178"/>
        <v>0</v>
      </c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220" t="s">
        <v>657</v>
      </c>
      <c r="BY45" s="85" t="s">
        <v>441</v>
      </c>
      <c r="BZ45" s="24"/>
    </row>
    <row r="46" spans="1:78" s="159" customFormat="1" ht="36" x14ac:dyDescent="0.2">
      <c r="A46" s="108"/>
      <c r="B46" s="243"/>
      <c r="C46" s="285" t="s">
        <v>702</v>
      </c>
      <c r="D46" s="80">
        <f t="shared" si="167"/>
        <v>24315</v>
      </c>
      <c r="E46" s="295">
        <f t="shared" si="168"/>
        <v>23235</v>
      </c>
      <c r="F46" s="81">
        <v>24315</v>
      </c>
      <c r="G46" s="81">
        <f t="shared" si="169"/>
        <v>23235</v>
      </c>
      <c r="H46" s="81">
        <f t="shared" si="170"/>
        <v>-1080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>
        <v>-1080</v>
      </c>
      <c r="AA46" s="81"/>
      <c r="AB46" s="81">
        <v>0</v>
      </c>
      <c r="AC46" s="81">
        <f t="shared" si="171"/>
        <v>0</v>
      </c>
      <c r="AD46" s="81">
        <f t="shared" si="172"/>
        <v>0</v>
      </c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>
        <v>0</v>
      </c>
      <c r="AP46" s="81">
        <f t="shared" si="173"/>
        <v>0</v>
      </c>
      <c r="AQ46" s="81">
        <f t="shared" si="174"/>
        <v>0</v>
      </c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>
        <v>0</v>
      </c>
      <c r="BC46" s="81">
        <f t="shared" si="175"/>
        <v>0</v>
      </c>
      <c r="BD46" s="98">
        <f t="shared" si="176"/>
        <v>0</v>
      </c>
      <c r="BE46" s="199"/>
      <c r="BF46" s="199"/>
      <c r="BG46" s="199"/>
      <c r="BH46" s="199"/>
      <c r="BI46" s="199"/>
      <c r="BJ46" s="163"/>
      <c r="BK46" s="81">
        <f t="shared" si="177"/>
        <v>0</v>
      </c>
      <c r="BL46" s="81">
        <f t="shared" si="178"/>
        <v>0</v>
      </c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220" t="s">
        <v>658</v>
      </c>
      <c r="BY46" s="85"/>
      <c r="BZ46" s="24"/>
    </row>
    <row r="47" spans="1:78" s="130" customFormat="1" ht="15" customHeight="1" x14ac:dyDescent="0.2">
      <c r="A47" s="108"/>
      <c r="B47" s="243"/>
      <c r="C47" s="285" t="s">
        <v>622</v>
      </c>
      <c r="D47" s="80">
        <f t="shared" si="167"/>
        <v>2600</v>
      </c>
      <c r="E47" s="295">
        <f t="shared" si="168"/>
        <v>2569</v>
      </c>
      <c r="F47" s="81">
        <v>2600</v>
      </c>
      <c r="G47" s="81">
        <f t="shared" si="169"/>
        <v>2569</v>
      </c>
      <c r="H47" s="81">
        <f t="shared" si="170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>
        <v>0</v>
      </c>
      <c r="AC47" s="81">
        <f t="shared" si="171"/>
        <v>0</v>
      </c>
      <c r="AD47" s="81">
        <f t="shared" si="172"/>
        <v>0</v>
      </c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>
        <v>0</v>
      </c>
      <c r="AP47" s="81">
        <f t="shared" si="173"/>
        <v>0</v>
      </c>
      <c r="AQ47" s="81">
        <f t="shared" si="174"/>
        <v>0</v>
      </c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>
        <v>0</v>
      </c>
      <c r="BC47" s="81">
        <f t="shared" si="175"/>
        <v>0</v>
      </c>
      <c r="BD47" s="98">
        <f t="shared" si="176"/>
        <v>0</v>
      </c>
      <c r="BE47" s="199"/>
      <c r="BF47" s="199"/>
      <c r="BG47" s="199"/>
      <c r="BH47" s="199"/>
      <c r="BI47" s="199"/>
      <c r="BJ47" s="163"/>
      <c r="BK47" s="81">
        <f t="shared" si="177"/>
        <v>0</v>
      </c>
      <c r="BL47" s="81">
        <f t="shared" si="178"/>
        <v>0</v>
      </c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220" t="s">
        <v>659</v>
      </c>
      <c r="BY47" s="85"/>
      <c r="BZ47" s="24"/>
    </row>
    <row r="48" spans="1:78" s="198" customFormat="1" ht="24" x14ac:dyDescent="0.2">
      <c r="A48" s="108"/>
      <c r="B48" s="243"/>
      <c r="C48" s="285" t="s">
        <v>623</v>
      </c>
      <c r="D48" s="80">
        <f t="shared" si="167"/>
        <v>10397</v>
      </c>
      <c r="E48" s="295">
        <f t="shared" si="168"/>
        <v>10537</v>
      </c>
      <c r="F48" s="81">
        <v>10397</v>
      </c>
      <c r="G48" s="81">
        <f t="shared" si="169"/>
        <v>10537</v>
      </c>
      <c r="H48" s="81">
        <f t="shared" si="170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>
        <v>0</v>
      </c>
      <c r="AC48" s="81">
        <f t="shared" si="171"/>
        <v>0</v>
      </c>
      <c r="AD48" s="81">
        <f t="shared" si="172"/>
        <v>0</v>
      </c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>
        <v>0</v>
      </c>
      <c r="AP48" s="81">
        <f t="shared" si="173"/>
        <v>0</v>
      </c>
      <c r="AQ48" s="81">
        <f t="shared" si="174"/>
        <v>0</v>
      </c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>
        <v>0</v>
      </c>
      <c r="BC48" s="81">
        <f t="shared" si="175"/>
        <v>0</v>
      </c>
      <c r="BD48" s="98">
        <f t="shared" si="176"/>
        <v>0</v>
      </c>
      <c r="BE48" s="199"/>
      <c r="BF48" s="199"/>
      <c r="BG48" s="199"/>
      <c r="BH48" s="199"/>
      <c r="BI48" s="199"/>
      <c r="BJ48" s="163"/>
      <c r="BK48" s="81">
        <f t="shared" si="177"/>
        <v>0</v>
      </c>
      <c r="BL48" s="81">
        <f t="shared" si="178"/>
        <v>0</v>
      </c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220" t="s">
        <v>500</v>
      </c>
      <c r="BY48" s="85"/>
      <c r="BZ48" s="24"/>
    </row>
    <row r="49" spans="1:78" s="198" customFormat="1" ht="12.75" x14ac:dyDescent="0.2">
      <c r="A49" s="108"/>
      <c r="B49" s="243"/>
      <c r="C49" s="285" t="s">
        <v>624</v>
      </c>
      <c r="D49" s="80">
        <f t="shared" si="167"/>
        <v>0</v>
      </c>
      <c r="E49" s="295">
        <f t="shared" si="168"/>
        <v>48073</v>
      </c>
      <c r="F49" s="81">
        <v>0</v>
      </c>
      <c r="G49" s="81">
        <f t="shared" si="169"/>
        <v>48073</v>
      </c>
      <c r="H49" s="81">
        <f t="shared" si="170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>
        <v>0</v>
      </c>
      <c r="AC49" s="81">
        <f t="shared" si="171"/>
        <v>0</v>
      </c>
      <c r="AD49" s="81">
        <f t="shared" si="172"/>
        <v>0</v>
      </c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>
        <v>0</v>
      </c>
      <c r="AP49" s="81">
        <f t="shared" si="173"/>
        <v>0</v>
      </c>
      <c r="AQ49" s="81">
        <f t="shared" si="174"/>
        <v>0</v>
      </c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>
        <v>0</v>
      </c>
      <c r="BC49" s="81">
        <f t="shared" si="175"/>
        <v>0</v>
      </c>
      <c r="BD49" s="98">
        <f t="shared" si="176"/>
        <v>0</v>
      </c>
      <c r="BE49" s="199"/>
      <c r="BF49" s="199"/>
      <c r="BG49" s="199"/>
      <c r="BH49" s="199"/>
      <c r="BI49" s="199"/>
      <c r="BJ49" s="163"/>
      <c r="BK49" s="81">
        <f t="shared" si="177"/>
        <v>0</v>
      </c>
      <c r="BL49" s="81">
        <f t="shared" si="178"/>
        <v>0</v>
      </c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220" t="s">
        <v>660</v>
      </c>
      <c r="BY49" s="85"/>
      <c r="BZ49" s="24"/>
    </row>
    <row r="50" spans="1:78" s="198" customFormat="1" ht="24" x14ac:dyDescent="0.2">
      <c r="A50" s="108"/>
      <c r="B50" s="243"/>
      <c r="C50" s="285" t="s">
        <v>626</v>
      </c>
      <c r="D50" s="80">
        <f t="shared" si="167"/>
        <v>3330726</v>
      </c>
      <c r="E50" s="295">
        <f t="shared" si="168"/>
        <v>3043322</v>
      </c>
      <c r="F50" s="81">
        <v>3330726</v>
      </c>
      <c r="G50" s="81">
        <f t="shared" si="169"/>
        <v>3043322</v>
      </c>
      <c r="H50" s="81">
        <f t="shared" si="170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>
        <v>0</v>
      </c>
      <c r="AC50" s="81">
        <f t="shared" si="171"/>
        <v>0</v>
      </c>
      <c r="AD50" s="81">
        <f t="shared" si="172"/>
        <v>0</v>
      </c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>
        <v>0</v>
      </c>
      <c r="AP50" s="81">
        <f t="shared" si="173"/>
        <v>0</v>
      </c>
      <c r="AQ50" s="81">
        <f t="shared" si="174"/>
        <v>0</v>
      </c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>
        <v>0</v>
      </c>
      <c r="BC50" s="81">
        <f t="shared" si="175"/>
        <v>0</v>
      </c>
      <c r="BD50" s="98">
        <f t="shared" si="176"/>
        <v>0</v>
      </c>
      <c r="BE50" s="98"/>
      <c r="BF50" s="98"/>
      <c r="BG50" s="98"/>
      <c r="BH50" s="98"/>
      <c r="BI50" s="98"/>
      <c r="BJ50" s="81"/>
      <c r="BK50" s="81">
        <f t="shared" si="177"/>
        <v>0</v>
      </c>
      <c r="BL50" s="81">
        <f t="shared" si="178"/>
        <v>0</v>
      </c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220" t="s">
        <v>559</v>
      </c>
      <c r="BY50" s="85"/>
      <c r="BZ50" s="24"/>
    </row>
    <row r="51" spans="1:78" s="198" customFormat="1" ht="36" x14ac:dyDescent="0.2">
      <c r="A51" s="108"/>
      <c r="B51" s="243"/>
      <c r="C51" s="319" t="s">
        <v>625</v>
      </c>
      <c r="D51" s="80">
        <f t="shared" si="167"/>
        <v>2177258</v>
      </c>
      <c r="E51" s="295">
        <f t="shared" si="168"/>
        <v>241241</v>
      </c>
      <c r="F51" s="163">
        <v>2084199</v>
      </c>
      <c r="G51" s="163">
        <f t="shared" si="169"/>
        <v>241241</v>
      </c>
      <c r="H51" s="163">
        <f t="shared" si="170"/>
        <v>-1842958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>
        <v>-1832690</v>
      </c>
      <c r="T51" s="163"/>
      <c r="U51" s="163"/>
      <c r="V51" s="163"/>
      <c r="W51" s="163"/>
      <c r="X51" s="163"/>
      <c r="Y51" s="163"/>
      <c r="Z51" s="163"/>
      <c r="AA51" s="163"/>
      <c r="AB51" s="163">
        <v>93059</v>
      </c>
      <c r="AC51" s="163">
        <f t="shared" si="171"/>
        <v>0</v>
      </c>
      <c r="AD51" s="163">
        <f t="shared" si="172"/>
        <v>-93059</v>
      </c>
      <c r="AE51" s="163"/>
      <c r="AF51" s="163"/>
      <c r="AG51" s="163"/>
      <c r="AH51" s="163">
        <v>-93059</v>
      </c>
      <c r="AI51" s="163"/>
      <c r="AJ51" s="163"/>
      <c r="AK51" s="163"/>
      <c r="AL51" s="163"/>
      <c r="AM51" s="163"/>
      <c r="AN51" s="163"/>
      <c r="AO51" s="163">
        <v>0</v>
      </c>
      <c r="AP51" s="163">
        <f t="shared" si="173"/>
        <v>0</v>
      </c>
      <c r="AQ51" s="163">
        <f t="shared" si="174"/>
        <v>0</v>
      </c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>
        <v>0</v>
      </c>
      <c r="BC51" s="81">
        <f t="shared" si="175"/>
        <v>0</v>
      </c>
      <c r="BD51" s="98">
        <f t="shared" si="176"/>
        <v>0</v>
      </c>
      <c r="BE51" s="199"/>
      <c r="BF51" s="199"/>
      <c r="BG51" s="199"/>
      <c r="BH51" s="199"/>
      <c r="BI51" s="199"/>
      <c r="BJ51" s="163"/>
      <c r="BK51" s="81">
        <f t="shared" si="177"/>
        <v>0</v>
      </c>
      <c r="BL51" s="81">
        <f t="shared" si="178"/>
        <v>0</v>
      </c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220" t="s">
        <v>560</v>
      </c>
      <c r="BY51" s="200"/>
      <c r="BZ51" s="24"/>
    </row>
    <row r="52" spans="1:78" s="198" customFormat="1" ht="24" x14ac:dyDescent="0.2">
      <c r="A52" s="108"/>
      <c r="B52" s="243"/>
      <c r="C52" s="319" t="s">
        <v>732</v>
      </c>
      <c r="D52" s="80">
        <f t="shared" ref="D52:D53" si="179">F52+AB52+AO52+BB52+BJ52</f>
        <v>0</v>
      </c>
      <c r="E52" s="295">
        <f t="shared" ref="E52:E53" si="180">G52+AC52+AP52+BC52+BK52</f>
        <v>8228</v>
      </c>
      <c r="F52" s="163"/>
      <c r="G52" s="163">
        <f t="shared" ref="G52" si="181">F52+H52</f>
        <v>8228</v>
      </c>
      <c r="H52" s="163">
        <f t="shared" ref="H52" si="182">SUM(I52:AA52)</f>
        <v>8228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>
        <v>-386</v>
      </c>
      <c r="AA52" s="163"/>
      <c r="AB52" s="163"/>
      <c r="AC52" s="163">
        <f t="shared" ref="AC52" si="183">AB52+AD52</f>
        <v>0</v>
      </c>
      <c r="AD52" s="163">
        <f t="shared" ref="AD52" si="184">SUM(AE52:AN52)</f>
        <v>0</v>
      </c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>
        <f t="shared" ref="AP52" si="185">AO52+AQ52</f>
        <v>0</v>
      </c>
      <c r="AQ52" s="163">
        <f t="shared" ref="AQ52" si="186">SUM(AR52:BA52)</f>
        <v>0</v>
      </c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81">
        <f t="shared" ref="BC52" si="187">BB52+BD52</f>
        <v>0</v>
      </c>
      <c r="BD52" s="98">
        <f t="shared" ref="BD52" si="188">SUM(BE52:BI52)</f>
        <v>0</v>
      </c>
      <c r="BE52" s="199"/>
      <c r="BF52" s="199"/>
      <c r="BG52" s="199"/>
      <c r="BH52" s="199"/>
      <c r="BI52" s="199"/>
      <c r="BJ52" s="163"/>
      <c r="BK52" s="81">
        <f t="shared" ref="BK52" si="189">BJ52+BL52</f>
        <v>0</v>
      </c>
      <c r="BL52" s="81">
        <f t="shared" ref="BL52" si="190">SUM(BM52:BW52)</f>
        <v>0</v>
      </c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220" t="s">
        <v>733</v>
      </c>
      <c r="BY52" s="200"/>
      <c r="BZ52" s="24"/>
    </row>
    <row r="53" spans="1:78" s="198" customFormat="1" ht="22.5" customHeight="1" x14ac:dyDescent="0.2">
      <c r="A53" s="108"/>
      <c r="B53" s="243"/>
      <c r="C53" s="319" t="s">
        <v>772</v>
      </c>
      <c r="D53" s="80">
        <f t="shared" si="179"/>
        <v>0</v>
      </c>
      <c r="E53" s="295">
        <f t="shared" si="180"/>
        <v>62027</v>
      </c>
      <c r="F53" s="163"/>
      <c r="G53" s="163">
        <f t="shared" ref="G53" si="191">F53+H53</f>
        <v>62027</v>
      </c>
      <c r="H53" s="163">
        <f t="shared" ref="H53" si="192">SUM(I53:AA53)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>
        <f t="shared" ref="AC53" si="193">AB53+AD53</f>
        <v>0</v>
      </c>
      <c r="AD53" s="163">
        <f t="shared" ref="AD53" si="194">SUM(AE53:AN53)</f>
        <v>0</v>
      </c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>
        <f t="shared" ref="AP53" si="195">AO53+AQ53</f>
        <v>0</v>
      </c>
      <c r="AQ53" s="163">
        <f t="shared" ref="AQ53" si="196">SUM(AR53:BA53)</f>
        <v>0</v>
      </c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81">
        <f t="shared" ref="BC53" si="197">BB53+BD53</f>
        <v>0</v>
      </c>
      <c r="BD53" s="98">
        <f t="shared" ref="BD53" si="198">SUM(BE53:BI53)</f>
        <v>0</v>
      </c>
      <c r="BE53" s="199"/>
      <c r="BF53" s="199"/>
      <c r="BG53" s="199"/>
      <c r="BH53" s="199"/>
      <c r="BI53" s="199"/>
      <c r="BJ53" s="163"/>
      <c r="BK53" s="81">
        <f t="shared" ref="BK53" si="199">BJ53+BL53</f>
        <v>0</v>
      </c>
      <c r="BL53" s="81">
        <f t="shared" ref="BL53" si="200">SUM(BM53:BW53)</f>
        <v>0</v>
      </c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220" t="s">
        <v>748</v>
      </c>
      <c r="BY53" s="200"/>
      <c r="BZ53" s="24"/>
    </row>
    <row r="54" spans="1:78" s="198" customFormat="1" ht="36" x14ac:dyDescent="0.2">
      <c r="A54" s="108"/>
      <c r="B54" s="243"/>
      <c r="C54" s="319" t="s">
        <v>764</v>
      </c>
      <c r="D54" s="80">
        <f t="shared" ref="D54" si="201">F54+AB54+AO54+BB54+BJ54</f>
        <v>0</v>
      </c>
      <c r="E54" s="295">
        <f t="shared" ref="E54" si="202">G54+AC54+AP54+BC54+BK54</f>
        <v>331567</v>
      </c>
      <c r="F54" s="163"/>
      <c r="G54" s="163">
        <f t="shared" ref="G54" si="203">F54+H54</f>
        <v>331567</v>
      </c>
      <c r="H54" s="163">
        <f t="shared" ref="H54" si="204">SUM(I54:AA54)</f>
        <v>331567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>
        <v>-251474</v>
      </c>
      <c r="R54" s="163"/>
      <c r="S54" s="163"/>
      <c r="T54" s="163"/>
      <c r="U54" s="163"/>
      <c r="V54" s="163"/>
      <c r="W54" s="163">
        <v>-529860</v>
      </c>
      <c r="X54" s="163"/>
      <c r="Y54" s="163"/>
      <c r="Z54" s="163"/>
      <c r="AA54" s="163"/>
      <c r="AB54" s="163"/>
      <c r="AC54" s="163">
        <f t="shared" ref="AC54" si="205">AB54+AD54</f>
        <v>0</v>
      </c>
      <c r="AD54" s="163">
        <f t="shared" ref="AD54" si="206">SUM(AE54:AN54)</f>
        <v>0</v>
      </c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>
        <f t="shared" ref="AP54" si="207">AO54+AQ54</f>
        <v>0</v>
      </c>
      <c r="AQ54" s="163">
        <f t="shared" ref="AQ54" si="208">SUM(AR54:BA54)</f>
        <v>0</v>
      </c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81">
        <f t="shared" ref="BC54" si="209">BB54+BD54</f>
        <v>0</v>
      </c>
      <c r="BD54" s="98">
        <f t="shared" ref="BD54" si="210">SUM(BE54:BI54)</f>
        <v>0</v>
      </c>
      <c r="BE54" s="199"/>
      <c r="BF54" s="199"/>
      <c r="BG54" s="199"/>
      <c r="BH54" s="199"/>
      <c r="BI54" s="199"/>
      <c r="BJ54" s="163"/>
      <c r="BK54" s="81">
        <f t="shared" ref="BK54" si="211">BJ54+BL54</f>
        <v>0</v>
      </c>
      <c r="BL54" s="81">
        <f t="shared" ref="BL54" si="212">SUM(BM54:BW54)</f>
        <v>0</v>
      </c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220" t="s">
        <v>763</v>
      </c>
      <c r="BY54" s="200"/>
      <c r="BZ54" s="24"/>
    </row>
    <row r="55" spans="1:78" s="198" customFormat="1" ht="24" x14ac:dyDescent="0.2">
      <c r="A55" s="108"/>
      <c r="B55" s="243"/>
      <c r="C55" s="319" t="s">
        <v>793</v>
      </c>
      <c r="D55" s="80">
        <f t="shared" ref="D55" si="213">F55+AB55+AO55+BB55+BJ55</f>
        <v>0</v>
      </c>
      <c r="E55" s="295">
        <f t="shared" ref="E55" si="214">G55+AC55+AP55+BC55+BK55</f>
        <v>1205889</v>
      </c>
      <c r="F55" s="163"/>
      <c r="G55" s="163">
        <f t="shared" ref="G55" si="215">F55+H55</f>
        <v>1205889</v>
      </c>
      <c r="H55" s="163">
        <f t="shared" ref="H55" si="216">SUM(I55:AA55)</f>
        <v>1205889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>
        <v>4665</v>
      </c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>
        <f t="shared" ref="AC55" si="217">AB55+AD55</f>
        <v>0</v>
      </c>
      <c r="AD55" s="163">
        <f t="shared" ref="AD55" si="218">SUM(AE55:AN55)</f>
        <v>0</v>
      </c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>
        <f t="shared" ref="AP55" si="219">AO55+AQ55</f>
        <v>0</v>
      </c>
      <c r="AQ55" s="163">
        <f t="shared" ref="AQ55" si="220">SUM(AR55:BA55)</f>
        <v>0</v>
      </c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81">
        <f t="shared" ref="BC55" si="221">BB55+BD55</f>
        <v>0</v>
      </c>
      <c r="BD55" s="98">
        <f t="shared" ref="BD55" si="222">SUM(BE55:BI55)</f>
        <v>0</v>
      </c>
      <c r="BE55" s="199"/>
      <c r="BF55" s="199"/>
      <c r="BG55" s="199"/>
      <c r="BH55" s="199"/>
      <c r="BI55" s="199"/>
      <c r="BJ55" s="163"/>
      <c r="BK55" s="81">
        <f t="shared" ref="BK55" si="223">BJ55+BL55</f>
        <v>0</v>
      </c>
      <c r="BL55" s="81">
        <f t="shared" ref="BL55" si="224">SUM(BM55:BW55)</f>
        <v>0</v>
      </c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220" t="s">
        <v>792</v>
      </c>
      <c r="BY55" s="200"/>
      <c r="BZ55" s="24"/>
    </row>
    <row r="56" spans="1:78" ht="24" customHeight="1" x14ac:dyDescent="0.2">
      <c r="A56" s="108">
        <v>90000518538</v>
      </c>
      <c r="B56" s="241" t="s">
        <v>298</v>
      </c>
      <c r="C56" s="285" t="s">
        <v>186</v>
      </c>
      <c r="D56" s="80">
        <f t="shared" si="167"/>
        <v>91353</v>
      </c>
      <c r="E56" s="295">
        <f t="shared" si="168"/>
        <v>91353</v>
      </c>
      <c r="F56" s="81">
        <v>91353</v>
      </c>
      <c r="G56" s="81">
        <f t="shared" si="169"/>
        <v>91353</v>
      </c>
      <c r="H56" s="81">
        <f t="shared" si="170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>
        <v>0</v>
      </c>
      <c r="AC56" s="81">
        <f t="shared" si="171"/>
        <v>0</v>
      </c>
      <c r="AD56" s="81">
        <f t="shared" si="172"/>
        <v>0</v>
      </c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>
        <v>0</v>
      </c>
      <c r="AP56" s="81">
        <f t="shared" si="173"/>
        <v>0</v>
      </c>
      <c r="AQ56" s="81">
        <f t="shared" si="174"/>
        <v>0</v>
      </c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>
        <v>0</v>
      </c>
      <c r="BC56" s="81">
        <f t="shared" si="175"/>
        <v>0</v>
      </c>
      <c r="BD56" s="98">
        <f t="shared" si="176"/>
        <v>0</v>
      </c>
      <c r="BE56" s="98"/>
      <c r="BF56" s="98"/>
      <c r="BG56" s="98"/>
      <c r="BH56" s="98"/>
      <c r="BI56" s="98"/>
      <c r="BJ56" s="81"/>
      <c r="BK56" s="81">
        <f t="shared" si="177"/>
        <v>0</v>
      </c>
      <c r="BL56" s="81">
        <f t="shared" si="178"/>
        <v>0</v>
      </c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82" t="s">
        <v>443</v>
      </c>
      <c r="BY56" s="85"/>
      <c r="BZ56" s="24"/>
    </row>
    <row r="57" spans="1:78" ht="39" customHeight="1" x14ac:dyDescent="0.2">
      <c r="A57" s="108"/>
      <c r="B57" s="241" t="s">
        <v>167</v>
      </c>
      <c r="C57" s="322" t="s">
        <v>168</v>
      </c>
      <c r="D57" s="80">
        <f t="shared" si="167"/>
        <v>231300</v>
      </c>
      <c r="E57" s="295">
        <f t="shared" si="168"/>
        <v>19905</v>
      </c>
      <c r="F57" s="81">
        <v>231300</v>
      </c>
      <c r="G57" s="81">
        <f t="shared" si="169"/>
        <v>19905</v>
      </c>
      <c r="H57" s="81">
        <f t="shared" si="170"/>
        <v>-211395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>
        <v>-9775</v>
      </c>
      <c r="R57" s="81"/>
      <c r="S57" s="81">
        <f>-3462-60196</f>
        <v>-63658</v>
      </c>
      <c r="T57" s="81"/>
      <c r="U57" s="81">
        <f>-5500-1355</f>
        <v>-6855</v>
      </c>
      <c r="V57" s="81"/>
      <c r="W57" s="81">
        <v>-657</v>
      </c>
      <c r="X57" s="81"/>
      <c r="Y57" s="81">
        <v>-720</v>
      </c>
      <c r="Z57" s="81">
        <v>-5050</v>
      </c>
      <c r="AA57" s="81"/>
      <c r="AB57" s="81"/>
      <c r="AC57" s="81">
        <f t="shared" si="171"/>
        <v>0</v>
      </c>
      <c r="AD57" s="81">
        <f t="shared" si="172"/>
        <v>0</v>
      </c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98">
        <f t="shared" si="173"/>
        <v>0</v>
      </c>
      <c r="AQ57" s="98">
        <f t="shared" si="174"/>
        <v>0</v>
      </c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81">
        <f t="shared" si="175"/>
        <v>0</v>
      </c>
      <c r="BD57" s="98">
        <f t="shared" si="176"/>
        <v>0</v>
      </c>
      <c r="BE57" s="98"/>
      <c r="BF57" s="98"/>
      <c r="BG57" s="98"/>
      <c r="BH57" s="98"/>
      <c r="BI57" s="98"/>
      <c r="BJ57" s="81"/>
      <c r="BK57" s="81">
        <f t="shared" si="177"/>
        <v>0</v>
      </c>
      <c r="BL57" s="81">
        <f t="shared" si="178"/>
        <v>0</v>
      </c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82" t="s">
        <v>326</v>
      </c>
      <c r="BY57" s="85"/>
      <c r="BZ57" s="24"/>
    </row>
    <row r="58" spans="1:78" ht="12.75" x14ac:dyDescent="0.2">
      <c r="A58" s="108"/>
      <c r="B58" s="243"/>
      <c r="C58" s="322" t="s">
        <v>195</v>
      </c>
      <c r="D58" s="80">
        <f t="shared" si="167"/>
        <v>16800</v>
      </c>
      <c r="E58" s="295">
        <f t="shared" si="168"/>
        <v>16800</v>
      </c>
      <c r="F58" s="81">
        <v>16800</v>
      </c>
      <c r="G58" s="81">
        <f t="shared" si="169"/>
        <v>16800</v>
      </c>
      <c r="H58" s="81">
        <f t="shared" si="170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>
        <v>0</v>
      </c>
      <c r="AC58" s="81">
        <f t="shared" si="171"/>
        <v>0</v>
      </c>
      <c r="AD58" s="81">
        <f t="shared" si="172"/>
        <v>0</v>
      </c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>
        <v>0</v>
      </c>
      <c r="AP58" s="81">
        <f t="shared" si="173"/>
        <v>0</v>
      </c>
      <c r="AQ58" s="81">
        <f t="shared" si="174"/>
        <v>0</v>
      </c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>
        <v>0</v>
      </c>
      <c r="BC58" s="81">
        <f t="shared" si="175"/>
        <v>0</v>
      </c>
      <c r="BD58" s="98">
        <f t="shared" si="176"/>
        <v>0</v>
      </c>
      <c r="BE58" s="98"/>
      <c r="BF58" s="98"/>
      <c r="BG58" s="98"/>
      <c r="BH58" s="98"/>
      <c r="BI58" s="98"/>
      <c r="BJ58" s="81"/>
      <c r="BK58" s="81">
        <f t="shared" si="177"/>
        <v>0</v>
      </c>
      <c r="BL58" s="81">
        <f t="shared" si="178"/>
        <v>0</v>
      </c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82" t="s">
        <v>327</v>
      </c>
      <c r="BY58" s="85"/>
      <c r="BZ58" s="24"/>
    </row>
    <row r="59" spans="1:78" ht="12.75" x14ac:dyDescent="0.2">
      <c r="A59" s="108"/>
      <c r="B59" s="243"/>
      <c r="C59" s="322" t="s">
        <v>181</v>
      </c>
      <c r="D59" s="80">
        <f t="shared" si="167"/>
        <v>150000</v>
      </c>
      <c r="E59" s="295">
        <f t="shared" si="168"/>
        <v>116000</v>
      </c>
      <c r="F59" s="81">
        <v>150000</v>
      </c>
      <c r="G59" s="81">
        <f t="shared" si="169"/>
        <v>116000</v>
      </c>
      <c r="H59" s="81">
        <f t="shared" si="170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>
        <f t="shared" si="171"/>
        <v>0</v>
      </c>
      <c r="AD59" s="81">
        <f t="shared" si="172"/>
        <v>0</v>
      </c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98">
        <f t="shared" si="173"/>
        <v>0</v>
      </c>
      <c r="AQ59" s="98">
        <f t="shared" si="174"/>
        <v>0</v>
      </c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81">
        <f t="shared" si="175"/>
        <v>0</v>
      </c>
      <c r="BD59" s="98">
        <f t="shared" si="176"/>
        <v>0</v>
      </c>
      <c r="BE59" s="98"/>
      <c r="BF59" s="98"/>
      <c r="BG59" s="98"/>
      <c r="BH59" s="98"/>
      <c r="BI59" s="98"/>
      <c r="BJ59" s="81"/>
      <c r="BK59" s="81">
        <f t="shared" si="177"/>
        <v>0</v>
      </c>
      <c r="BL59" s="81">
        <f t="shared" si="178"/>
        <v>0</v>
      </c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82" t="s">
        <v>328</v>
      </c>
      <c r="BY59" s="85"/>
      <c r="BZ59" s="24"/>
    </row>
    <row r="60" spans="1:78" s="168" customFormat="1" ht="24" x14ac:dyDescent="0.2">
      <c r="A60" s="108"/>
      <c r="B60" s="243"/>
      <c r="C60" s="322" t="s">
        <v>493</v>
      </c>
      <c r="D60" s="80">
        <f t="shared" si="167"/>
        <v>30000</v>
      </c>
      <c r="E60" s="295">
        <f t="shared" si="168"/>
        <v>30000</v>
      </c>
      <c r="F60" s="81">
        <v>30000</v>
      </c>
      <c r="G60" s="81">
        <f t="shared" si="169"/>
        <v>30000</v>
      </c>
      <c r="H60" s="81">
        <f t="shared" si="170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>
        <f t="shared" si="171"/>
        <v>0</v>
      </c>
      <c r="AD60" s="81">
        <f t="shared" si="172"/>
        <v>0</v>
      </c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98">
        <f t="shared" si="173"/>
        <v>0</v>
      </c>
      <c r="AQ60" s="98">
        <f t="shared" si="174"/>
        <v>0</v>
      </c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81">
        <f t="shared" si="175"/>
        <v>0</v>
      </c>
      <c r="BD60" s="98">
        <f t="shared" si="176"/>
        <v>0</v>
      </c>
      <c r="BE60" s="98"/>
      <c r="BF60" s="98"/>
      <c r="BG60" s="98"/>
      <c r="BH60" s="98"/>
      <c r="BI60" s="98"/>
      <c r="BJ60" s="81"/>
      <c r="BK60" s="81">
        <f t="shared" si="177"/>
        <v>0</v>
      </c>
      <c r="BL60" s="81">
        <f t="shared" si="178"/>
        <v>0</v>
      </c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82" t="s">
        <v>494</v>
      </c>
      <c r="BY60" s="85"/>
      <c r="BZ60" s="24"/>
    </row>
    <row r="61" spans="1:78" s="198" customFormat="1" ht="36" x14ac:dyDescent="0.2">
      <c r="A61" s="108"/>
      <c r="B61" s="243"/>
      <c r="C61" s="322" t="s">
        <v>646</v>
      </c>
      <c r="D61" s="80">
        <f t="shared" si="167"/>
        <v>6500</v>
      </c>
      <c r="E61" s="295">
        <f t="shared" si="168"/>
        <v>6500</v>
      </c>
      <c r="F61" s="81">
        <v>6500</v>
      </c>
      <c r="G61" s="81">
        <f t="shared" si="169"/>
        <v>6500</v>
      </c>
      <c r="H61" s="81">
        <f t="shared" si="170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>
        <v>0</v>
      </c>
      <c r="AC61" s="81">
        <f t="shared" si="171"/>
        <v>0</v>
      </c>
      <c r="AD61" s="81">
        <f t="shared" si="172"/>
        <v>0</v>
      </c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>
        <v>0</v>
      </c>
      <c r="AP61" s="81">
        <f t="shared" si="173"/>
        <v>0</v>
      </c>
      <c r="AQ61" s="81">
        <f t="shared" si="174"/>
        <v>0</v>
      </c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>
        <v>0</v>
      </c>
      <c r="BC61" s="81">
        <f t="shared" si="175"/>
        <v>0</v>
      </c>
      <c r="BD61" s="98">
        <f t="shared" si="176"/>
        <v>0</v>
      </c>
      <c r="BE61" s="98"/>
      <c r="BF61" s="98"/>
      <c r="BG61" s="98"/>
      <c r="BH61" s="98"/>
      <c r="BI61" s="98"/>
      <c r="BJ61" s="81"/>
      <c r="BK61" s="81">
        <f t="shared" si="177"/>
        <v>0</v>
      </c>
      <c r="BL61" s="81">
        <f t="shared" si="178"/>
        <v>0</v>
      </c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82" t="s">
        <v>663</v>
      </c>
      <c r="BY61" s="85"/>
      <c r="BZ61" s="24"/>
    </row>
    <row r="62" spans="1:78" s="198" customFormat="1" ht="36" x14ac:dyDescent="0.2">
      <c r="A62" s="137">
        <v>90000056554</v>
      </c>
      <c r="B62" s="405" t="s">
        <v>449</v>
      </c>
      <c r="C62" s="406" t="s">
        <v>812</v>
      </c>
      <c r="D62" s="139">
        <f t="shared" ref="D62" si="225">F62+AB62+AO62+BB62+BJ62</f>
        <v>0</v>
      </c>
      <c r="E62" s="299">
        <f t="shared" ref="E62" si="226">G62+AC62+AP62+BC62+BK62</f>
        <v>17455</v>
      </c>
      <c r="F62" s="72"/>
      <c r="G62" s="170">
        <f t="shared" ref="G62" si="227">F62+H62</f>
        <v>17455</v>
      </c>
      <c r="H62" s="170">
        <f t="shared" ref="H62" si="228">SUM(I62:AA62)</f>
        <v>17455</v>
      </c>
      <c r="I62" s="72"/>
      <c r="J62" s="72"/>
      <c r="K62" s="72"/>
      <c r="L62" s="72"/>
      <c r="M62" s="72"/>
      <c r="N62" s="72"/>
      <c r="O62" s="72"/>
      <c r="P62" s="72"/>
      <c r="Q62" s="72">
        <v>17455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170">
        <f t="shared" ref="AC62" si="229">AB62+AD62</f>
        <v>0</v>
      </c>
      <c r="AD62" s="170">
        <f t="shared" ref="AD62" si="230">SUM(AE62:AN62)</f>
        <v>0</v>
      </c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170">
        <f t="shared" ref="AP62" si="231">AO62+AQ62</f>
        <v>0</v>
      </c>
      <c r="AQ62" s="170">
        <f t="shared" ref="AQ62" si="232">SUM(AR62:BA62)</f>
        <v>0</v>
      </c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170">
        <f t="shared" ref="BC62" si="233">BB62+BD62</f>
        <v>0</v>
      </c>
      <c r="BD62" s="203">
        <f t="shared" ref="BD62" si="234">SUM(BE62:BI62)</f>
        <v>0</v>
      </c>
      <c r="BE62" s="97"/>
      <c r="BF62" s="97"/>
      <c r="BG62" s="97"/>
      <c r="BH62" s="97"/>
      <c r="BI62" s="97"/>
      <c r="BJ62" s="72"/>
      <c r="BK62" s="170">
        <f t="shared" ref="BK62" si="235">BJ62+BL62</f>
        <v>0</v>
      </c>
      <c r="BL62" s="170">
        <f t="shared" ref="BL62" si="236">SUM(BM62:BW62)</f>
        <v>0</v>
      </c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73" t="s">
        <v>813</v>
      </c>
      <c r="BY62" s="86"/>
      <c r="BZ62" s="24"/>
    </row>
    <row r="63" spans="1:78" s="198" customFormat="1" ht="24" x14ac:dyDescent="0.2">
      <c r="A63" s="108"/>
      <c r="B63" s="243"/>
      <c r="C63" s="322" t="s">
        <v>856</v>
      </c>
      <c r="D63" s="80">
        <f t="shared" ref="D63" si="237">F63+AB63+AO63+BB63+BJ63</f>
        <v>0</v>
      </c>
      <c r="E63" s="295">
        <f t="shared" ref="E63" si="238">G63+AC63+AP63+BC63+BK63</f>
        <v>8507</v>
      </c>
      <c r="F63" s="81"/>
      <c r="G63" s="81">
        <f t="shared" ref="G63" si="239">F63+H63</f>
        <v>8507</v>
      </c>
      <c r="H63" s="81">
        <f t="shared" ref="H63" si="240">SUM(I63:AA63)</f>
        <v>8507</v>
      </c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>
        <v>8507</v>
      </c>
      <c r="AA63" s="81"/>
      <c r="AB63" s="81"/>
      <c r="AC63" s="81">
        <f t="shared" ref="AC63" si="241">AB63+AD63</f>
        <v>0</v>
      </c>
      <c r="AD63" s="81">
        <f t="shared" ref="AD63" si="242">SUM(AE63:AN63)</f>
        <v>0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>
        <f t="shared" ref="AP63" si="243">AO63+AQ63</f>
        <v>0</v>
      </c>
      <c r="AQ63" s="81">
        <f t="shared" ref="AQ63" si="244">SUM(AR63:BA63)</f>
        <v>0</v>
      </c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81">
        <f t="shared" ref="BC63" si="245">BB63+BD63</f>
        <v>0</v>
      </c>
      <c r="BD63" s="98">
        <f t="shared" ref="BD63" si="246">SUM(BE63:BI63)</f>
        <v>0</v>
      </c>
      <c r="BE63" s="98"/>
      <c r="BF63" s="98"/>
      <c r="BG63" s="98"/>
      <c r="BH63" s="98"/>
      <c r="BI63" s="98"/>
      <c r="BJ63" s="81"/>
      <c r="BK63" s="81">
        <f t="shared" ref="BK63" si="247">BJ63+BL63</f>
        <v>0</v>
      </c>
      <c r="BL63" s="81">
        <f t="shared" ref="BL63" si="248">SUM(BM63:BW63)</f>
        <v>0</v>
      </c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82" t="s">
        <v>857</v>
      </c>
      <c r="BY63" s="85"/>
      <c r="BZ63" s="24"/>
    </row>
    <row r="64" spans="1:78" ht="10.5" customHeight="1" thickBot="1" x14ac:dyDescent="0.25">
      <c r="A64" s="126"/>
      <c r="B64" s="251"/>
      <c r="C64" s="323"/>
      <c r="D64" s="71"/>
      <c r="E64" s="296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72"/>
      <c r="BD64" s="97"/>
      <c r="BE64" s="97"/>
      <c r="BF64" s="97"/>
      <c r="BG64" s="97"/>
      <c r="BH64" s="97"/>
      <c r="BI64" s="97"/>
      <c r="BJ64" s="72"/>
      <c r="BK64" s="264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73"/>
      <c r="BY64" s="86"/>
      <c r="BZ64" s="24"/>
    </row>
    <row r="65" spans="1:78" ht="12.75" thickBot="1" x14ac:dyDescent="0.25">
      <c r="A65" s="215" t="s">
        <v>9</v>
      </c>
      <c r="B65" s="125" t="s">
        <v>10</v>
      </c>
      <c r="C65" s="321"/>
      <c r="D65" s="11">
        <f t="shared" ref="D65:E65" si="249">SUM(D66:D74)</f>
        <v>5323770</v>
      </c>
      <c r="E65" s="297">
        <f t="shared" si="249"/>
        <v>4943095</v>
      </c>
      <c r="F65" s="9">
        <f t="shared" ref="F65:BW65" si="250">SUM(F66:F74)</f>
        <v>4698388</v>
      </c>
      <c r="G65" s="9">
        <f t="shared" si="250"/>
        <v>4317713</v>
      </c>
      <c r="H65" s="9">
        <f t="shared" ref="H65" si="251">SUM(H66:H74)</f>
        <v>-380675</v>
      </c>
      <c r="I65" s="9">
        <f t="shared" si="250"/>
        <v>0</v>
      </c>
      <c r="J65" s="9">
        <f t="shared" ref="J65" si="252">SUM(J66:J74)</f>
        <v>0</v>
      </c>
      <c r="K65" s="9">
        <f t="shared" si="250"/>
        <v>25000</v>
      </c>
      <c r="L65" s="9">
        <f t="shared" si="250"/>
        <v>0</v>
      </c>
      <c r="M65" s="9">
        <f t="shared" si="250"/>
        <v>50000</v>
      </c>
      <c r="N65" s="9">
        <f t="shared" si="250"/>
        <v>0</v>
      </c>
      <c r="O65" s="9">
        <f t="shared" si="250"/>
        <v>0</v>
      </c>
      <c r="P65" s="9">
        <f t="shared" si="250"/>
        <v>0</v>
      </c>
      <c r="Q65" s="9">
        <f t="shared" si="250"/>
        <v>0</v>
      </c>
      <c r="R65" s="9">
        <f t="shared" si="250"/>
        <v>0</v>
      </c>
      <c r="S65" s="9">
        <f t="shared" si="250"/>
        <v>0</v>
      </c>
      <c r="T65" s="9"/>
      <c r="U65" s="9">
        <f t="shared" si="250"/>
        <v>0</v>
      </c>
      <c r="V65" s="9"/>
      <c r="W65" s="9">
        <f t="shared" si="250"/>
        <v>-455675</v>
      </c>
      <c r="X65" s="9">
        <f t="shared" ref="X65" si="253">SUM(X66:X74)</f>
        <v>0</v>
      </c>
      <c r="Y65" s="9">
        <f t="shared" si="250"/>
        <v>0</v>
      </c>
      <c r="Z65" s="9">
        <f t="shared" ref="Z65" si="254">SUM(Z66:Z74)</f>
        <v>0</v>
      </c>
      <c r="AA65" s="9">
        <f t="shared" si="250"/>
        <v>0</v>
      </c>
      <c r="AB65" s="9">
        <f t="shared" si="250"/>
        <v>625382</v>
      </c>
      <c r="AC65" s="9">
        <f t="shared" ref="AC65:AN65" si="255">SUM(AC66:AC74)</f>
        <v>625382</v>
      </c>
      <c r="AD65" s="9">
        <f t="shared" si="255"/>
        <v>0</v>
      </c>
      <c r="AE65" s="9">
        <f t="shared" si="255"/>
        <v>0</v>
      </c>
      <c r="AF65" s="9">
        <f t="shared" si="255"/>
        <v>0</v>
      </c>
      <c r="AG65" s="9">
        <f t="shared" si="255"/>
        <v>0</v>
      </c>
      <c r="AH65" s="9">
        <f t="shared" si="255"/>
        <v>0</v>
      </c>
      <c r="AI65" s="9">
        <f t="shared" si="255"/>
        <v>0</v>
      </c>
      <c r="AJ65" s="9">
        <f t="shared" si="255"/>
        <v>0</v>
      </c>
      <c r="AK65" s="9">
        <f t="shared" si="255"/>
        <v>0</v>
      </c>
      <c r="AL65" s="9">
        <f t="shared" si="255"/>
        <v>0</v>
      </c>
      <c r="AM65" s="9">
        <f t="shared" si="255"/>
        <v>0</v>
      </c>
      <c r="AN65" s="9">
        <f t="shared" si="255"/>
        <v>0</v>
      </c>
      <c r="AO65" s="9">
        <f t="shared" si="250"/>
        <v>0</v>
      </c>
      <c r="AP65" s="96">
        <f t="shared" si="250"/>
        <v>0</v>
      </c>
      <c r="AQ65" s="96">
        <f t="shared" si="250"/>
        <v>0</v>
      </c>
      <c r="AR65" s="96">
        <f t="shared" si="250"/>
        <v>0</v>
      </c>
      <c r="AS65" s="96">
        <f t="shared" si="250"/>
        <v>0</v>
      </c>
      <c r="AT65" s="96">
        <f t="shared" si="250"/>
        <v>0</v>
      </c>
      <c r="AU65" s="96">
        <f t="shared" si="250"/>
        <v>0</v>
      </c>
      <c r="AV65" s="96">
        <f t="shared" si="250"/>
        <v>0</v>
      </c>
      <c r="AW65" s="96">
        <f t="shared" si="250"/>
        <v>0</v>
      </c>
      <c r="AX65" s="96">
        <f t="shared" si="250"/>
        <v>0</v>
      </c>
      <c r="AY65" s="96">
        <f t="shared" si="250"/>
        <v>0</v>
      </c>
      <c r="AZ65" s="96">
        <f t="shared" si="250"/>
        <v>0</v>
      </c>
      <c r="BA65" s="96">
        <f t="shared" si="250"/>
        <v>0</v>
      </c>
      <c r="BB65" s="96">
        <f t="shared" si="250"/>
        <v>0</v>
      </c>
      <c r="BC65" s="9">
        <f t="shared" ref="BC65:BI65" si="256">SUM(BC66:BC74)</f>
        <v>0</v>
      </c>
      <c r="BD65" s="96">
        <f t="shared" si="256"/>
        <v>0</v>
      </c>
      <c r="BE65" s="96">
        <f t="shared" si="256"/>
        <v>0</v>
      </c>
      <c r="BF65" s="96">
        <f t="shared" si="256"/>
        <v>0</v>
      </c>
      <c r="BG65" s="96">
        <f t="shared" si="256"/>
        <v>0</v>
      </c>
      <c r="BH65" s="96">
        <f t="shared" si="256"/>
        <v>0</v>
      </c>
      <c r="BI65" s="96">
        <f t="shared" si="256"/>
        <v>0</v>
      </c>
      <c r="BJ65" s="9">
        <f t="shared" si="250"/>
        <v>0</v>
      </c>
      <c r="BK65" s="310">
        <f t="shared" si="250"/>
        <v>0</v>
      </c>
      <c r="BL65" s="96">
        <f t="shared" si="250"/>
        <v>0</v>
      </c>
      <c r="BM65" s="96">
        <f t="shared" si="250"/>
        <v>0</v>
      </c>
      <c r="BN65" s="96">
        <f t="shared" si="250"/>
        <v>0</v>
      </c>
      <c r="BO65" s="96">
        <f t="shared" si="250"/>
        <v>0</v>
      </c>
      <c r="BP65" s="96">
        <f t="shared" si="250"/>
        <v>0</v>
      </c>
      <c r="BQ65" s="96">
        <f t="shared" si="250"/>
        <v>0</v>
      </c>
      <c r="BR65" s="96">
        <f t="shared" si="250"/>
        <v>0</v>
      </c>
      <c r="BS65" s="96">
        <f t="shared" si="250"/>
        <v>0</v>
      </c>
      <c r="BT65" s="96">
        <f t="shared" si="250"/>
        <v>0</v>
      </c>
      <c r="BU65" s="96">
        <f t="shared" si="250"/>
        <v>0</v>
      </c>
      <c r="BV65" s="96">
        <f t="shared" ref="BV65" si="257">SUM(BV66:BV74)</f>
        <v>0</v>
      </c>
      <c r="BW65" s="96">
        <f t="shared" si="250"/>
        <v>0</v>
      </c>
      <c r="BX65" s="12"/>
      <c r="BY65" s="87"/>
      <c r="BZ65" s="24"/>
    </row>
    <row r="66" spans="1:78" ht="12.75" customHeight="1" thickTop="1" x14ac:dyDescent="0.2">
      <c r="A66" s="108">
        <v>90000056357</v>
      </c>
      <c r="B66" s="247" t="s">
        <v>5</v>
      </c>
      <c r="C66" s="324" t="s">
        <v>262</v>
      </c>
      <c r="D66" s="80">
        <f t="shared" ref="D66:D73" si="258">F66+AB66+AO66+BB66+BJ66</f>
        <v>35534</v>
      </c>
      <c r="E66" s="295">
        <f t="shared" ref="E66:E73" si="259">G66+AC66+AP66+BC66+BK66</f>
        <v>37734</v>
      </c>
      <c r="F66" s="164">
        <v>35534</v>
      </c>
      <c r="G66" s="164">
        <f t="shared" ref="G66:G73" si="260">F66+H66</f>
        <v>37734</v>
      </c>
      <c r="H66" s="164">
        <f t="shared" ref="H66:H73" si="261">SUM(I66:AA66)</f>
        <v>2200</v>
      </c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>
        <v>2200</v>
      </c>
      <c r="V66" s="164"/>
      <c r="W66" s="164"/>
      <c r="X66" s="164"/>
      <c r="Y66" s="164"/>
      <c r="Z66" s="164"/>
      <c r="AA66" s="164"/>
      <c r="AB66" s="164">
        <v>0</v>
      </c>
      <c r="AC66" s="164">
        <f t="shared" ref="AC66:AC73" si="262">AB66+AD66</f>
        <v>0</v>
      </c>
      <c r="AD66" s="164">
        <f t="shared" ref="AD66:AD73" si="263">SUM(AE66:AN66)</f>
        <v>0</v>
      </c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>
        <v>0</v>
      </c>
      <c r="AP66" s="164">
        <f t="shared" ref="AP66:AP73" si="264">AO66+AQ66</f>
        <v>0</v>
      </c>
      <c r="AQ66" s="164">
        <f t="shared" ref="AQ66:AQ73" si="265">SUM(AR66:BA66)</f>
        <v>0</v>
      </c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>
        <v>0</v>
      </c>
      <c r="BC66" s="81">
        <f t="shared" ref="BC66:BC73" si="266">BB66+BD66</f>
        <v>0</v>
      </c>
      <c r="BD66" s="98">
        <f t="shared" ref="BD66:BD73" si="267">SUM(BE66:BI66)</f>
        <v>0</v>
      </c>
      <c r="BE66" s="164"/>
      <c r="BF66" s="164"/>
      <c r="BG66" s="164"/>
      <c r="BH66" s="164"/>
      <c r="BI66" s="164"/>
      <c r="BJ66" s="164"/>
      <c r="BK66" s="81">
        <f t="shared" ref="BK66:BK73" si="268">BJ66+BL66</f>
        <v>0</v>
      </c>
      <c r="BL66" s="81">
        <f t="shared" ref="BL66:BL73" si="269">SUM(BM66:BW66)</f>
        <v>0</v>
      </c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205" t="s">
        <v>320</v>
      </c>
      <c r="BY66" s="206" t="s">
        <v>569</v>
      </c>
      <c r="BZ66" s="24"/>
    </row>
    <row r="67" spans="1:78" s="122" customFormat="1" ht="24" x14ac:dyDescent="0.2">
      <c r="A67" s="108"/>
      <c r="B67" s="242"/>
      <c r="C67" s="285" t="s">
        <v>263</v>
      </c>
      <c r="D67" s="80">
        <f t="shared" si="258"/>
        <v>38900</v>
      </c>
      <c r="E67" s="295">
        <f t="shared" si="259"/>
        <v>38900</v>
      </c>
      <c r="F67" s="81">
        <v>38900</v>
      </c>
      <c r="G67" s="81">
        <f t="shared" si="260"/>
        <v>38900</v>
      </c>
      <c r="H67" s="81">
        <f t="shared" si="261"/>
        <v>0</v>
      </c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>
        <v>0</v>
      </c>
      <c r="AC67" s="81">
        <f t="shared" si="262"/>
        <v>0</v>
      </c>
      <c r="AD67" s="81">
        <f t="shared" si="263"/>
        <v>0</v>
      </c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>
        <v>0</v>
      </c>
      <c r="AP67" s="81">
        <f t="shared" si="264"/>
        <v>0</v>
      </c>
      <c r="AQ67" s="81">
        <f t="shared" si="265"/>
        <v>0</v>
      </c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>
        <v>0</v>
      </c>
      <c r="BC67" s="81">
        <f t="shared" si="266"/>
        <v>0</v>
      </c>
      <c r="BD67" s="98">
        <f t="shared" si="267"/>
        <v>0</v>
      </c>
      <c r="BE67" s="81"/>
      <c r="BF67" s="81"/>
      <c r="BG67" s="81"/>
      <c r="BH67" s="81"/>
      <c r="BI67" s="81"/>
      <c r="BJ67" s="81"/>
      <c r="BK67" s="81">
        <f t="shared" si="268"/>
        <v>0</v>
      </c>
      <c r="BL67" s="81">
        <f t="shared" si="269"/>
        <v>0</v>
      </c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2" t="s">
        <v>321</v>
      </c>
      <c r="BY67" s="85" t="s">
        <v>569</v>
      </c>
      <c r="BZ67" s="24"/>
    </row>
    <row r="68" spans="1:78" s="122" customFormat="1" ht="24" x14ac:dyDescent="0.2">
      <c r="A68" s="108"/>
      <c r="B68" s="248"/>
      <c r="C68" s="319" t="s">
        <v>216</v>
      </c>
      <c r="D68" s="80">
        <f t="shared" si="258"/>
        <v>22712</v>
      </c>
      <c r="E68" s="295">
        <f t="shared" si="259"/>
        <v>20512</v>
      </c>
      <c r="F68" s="72">
        <v>22712</v>
      </c>
      <c r="G68" s="72">
        <f t="shared" si="260"/>
        <v>20512</v>
      </c>
      <c r="H68" s="72">
        <f t="shared" si="261"/>
        <v>-2200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>
        <v>-2200</v>
      </c>
      <c r="V68" s="72"/>
      <c r="W68" s="72"/>
      <c r="X68" s="72"/>
      <c r="Y68" s="72"/>
      <c r="Z68" s="72"/>
      <c r="AA68" s="72"/>
      <c r="AB68" s="72">
        <v>0</v>
      </c>
      <c r="AC68" s="72">
        <f t="shared" si="262"/>
        <v>0</v>
      </c>
      <c r="AD68" s="72">
        <f t="shared" si="263"/>
        <v>0</v>
      </c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>
        <v>0</v>
      </c>
      <c r="AP68" s="72">
        <f t="shared" si="264"/>
        <v>0</v>
      </c>
      <c r="AQ68" s="72">
        <f t="shared" si="265"/>
        <v>0</v>
      </c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>
        <v>0</v>
      </c>
      <c r="BC68" s="81">
        <f t="shared" si="266"/>
        <v>0</v>
      </c>
      <c r="BD68" s="98">
        <f t="shared" si="267"/>
        <v>0</v>
      </c>
      <c r="BE68" s="72"/>
      <c r="BF68" s="72"/>
      <c r="BG68" s="72"/>
      <c r="BH68" s="72"/>
      <c r="BI68" s="72"/>
      <c r="BJ68" s="72"/>
      <c r="BK68" s="81">
        <f t="shared" si="268"/>
        <v>0</v>
      </c>
      <c r="BL68" s="81">
        <f t="shared" si="269"/>
        <v>0</v>
      </c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82" t="s">
        <v>322</v>
      </c>
      <c r="BY68" s="85" t="s">
        <v>569</v>
      </c>
      <c r="BZ68" s="24"/>
    </row>
    <row r="69" spans="1:78" ht="24" x14ac:dyDescent="0.2">
      <c r="A69" s="108"/>
      <c r="B69" s="242"/>
      <c r="C69" s="285" t="s">
        <v>226</v>
      </c>
      <c r="D69" s="80">
        <f t="shared" si="258"/>
        <v>2642168</v>
      </c>
      <c r="E69" s="295">
        <f t="shared" si="259"/>
        <v>2731748</v>
      </c>
      <c r="F69" s="81">
        <v>2642168</v>
      </c>
      <c r="G69" s="81">
        <f t="shared" si="260"/>
        <v>2731748</v>
      </c>
      <c r="H69" s="81">
        <f t="shared" si="261"/>
        <v>89580</v>
      </c>
      <c r="I69" s="81"/>
      <c r="J69" s="81"/>
      <c r="K69" s="81">
        <f>25000-19033</f>
        <v>5967</v>
      </c>
      <c r="L69" s="81"/>
      <c r="M69" s="81">
        <v>50000</v>
      </c>
      <c r="N69" s="81"/>
      <c r="O69" s="81"/>
      <c r="P69" s="81"/>
      <c r="Q69" s="81"/>
      <c r="R69" s="81"/>
      <c r="S69" s="81"/>
      <c r="T69" s="81"/>
      <c r="U69" s="81"/>
      <c r="V69" s="81"/>
      <c r="W69" s="81">
        <f>34920-1307</f>
        <v>33613</v>
      </c>
      <c r="X69" s="81"/>
      <c r="Y69" s="81"/>
      <c r="Z69" s="81"/>
      <c r="AA69" s="81"/>
      <c r="AB69" s="81">
        <v>0</v>
      </c>
      <c r="AC69" s="81">
        <f t="shared" si="262"/>
        <v>0</v>
      </c>
      <c r="AD69" s="81">
        <f t="shared" si="263"/>
        <v>0</v>
      </c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>
        <v>0</v>
      </c>
      <c r="AP69" s="81">
        <f t="shared" si="264"/>
        <v>0</v>
      </c>
      <c r="AQ69" s="81">
        <f t="shared" si="265"/>
        <v>0</v>
      </c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>
        <v>0</v>
      </c>
      <c r="BC69" s="81">
        <f t="shared" si="266"/>
        <v>0</v>
      </c>
      <c r="BD69" s="98">
        <f t="shared" si="267"/>
        <v>0</v>
      </c>
      <c r="BE69" s="81"/>
      <c r="BF69" s="81"/>
      <c r="BG69" s="81"/>
      <c r="BH69" s="81"/>
      <c r="BI69" s="81"/>
      <c r="BJ69" s="81"/>
      <c r="BK69" s="81">
        <f t="shared" si="268"/>
        <v>0</v>
      </c>
      <c r="BL69" s="81">
        <f t="shared" si="269"/>
        <v>0</v>
      </c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2" t="s">
        <v>323</v>
      </c>
      <c r="BY69" s="85" t="s">
        <v>567</v>
      </c>
      <c r="BZ69" s="24"/>
    </row>
    <row r="70" spans="1:78" ht="24" x14ac:dyDescent="0.2">
      <c r="A70" s="108"/>
      <c r="B70" s="242"/>
      <c r="C70" s="285" t="s">
        <v>707</v>
      </c>
      <c r="D70" s="80">
        <f t="shared" si="258"/>
        <v>1421347</v>
      </c>
      <c r="E70" s="295">
        <f t="shared" si="259"/>
        <v>1421347</v>
      </c>
      <c r="F70" s="81">
        <v>795965</v>
      </c>
      <c r="G70" s="81">
        <f t="shared" si="260"/>
        <v>795965</v>
      </c>
      <c r="H70" s="81">
        <f t="shared" si="261"/>
        <v>0</v>
      </c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>
        <v>625382</v>
      </c>
      <c r="AC70" s="81">
        <f t="shared" si="262"/>
        <v>625382</v>
      </c>
      <c r="AD70" s="81">
        <f t="shared" si="263"/>
        <v>0</v>
      </c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>
        <v>0</v>
      </c>
      <c r="AP70" s="81">
        <f t="shared" si="264"/>
        <v>0</v>
      </c>
      <c r="AQ70" s="81">
        <f t="shared" si="265"/>
        <v>0</v>
      </c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>
        <v>0</v>
      </c>
      <c r="BC70" s="81">
        <f t="shared" si="266"/>
        <v>0</v>
      </c>
      <c r="BD70" s="98">
        <f t="shared" si="267"/>
        <v>0</v>
      </c>
      <c r="BE70" s="81"/>
      <c r="BF70" s="81"/>
      <c r="BG70" s="81"/>
      <c r="BH70" s="81"/>
      <c r="BI70" s="81"/>
      <c r="BJ70" s="81"/>
      <c r="BK70" s="81">
        <f t="shared" si="268"/>
        <v>0</v>
      </c>
      <c r="BL70" s="81">
        <f t="shared" si="269"/>
        <v>0</v>
      </c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2" t="s">
        <v>324</v>
      </c>
      <c r="BY70" s="85" t="s">
        <v>439</v>
      </c>
      <c r="BZ70" s="24"/>
    </row>
    <row r="71" spans="1:78" s="198" customFormat="1" ht="48" x14ac:dyDescent="0.2">
      <c r="A71" s="108"/>
      <c r="B71" s="242"/>
      <c r="C71" s="347" t="s">
        <v>774</v>
      </c>
      <c r="D71" s="80">
        <f t="shared" ref="D71" si="270">F71+AB71+AO71+BB71+BJ71</f>
        <v>0</v>
      </c>
      <c r="E71" s="295">
        <f t="shared" ref="E71" si="271">G71+AC71+AP71+BC71+BK71</f>
        <v>19033</v>
      </c>
      <c r="F71" s="81"/>
      <c r="G71" s="81">
        <f t="shared" ref="G71" si="272">F71+H71</f>
        <v>19033</v>
      </c>
      <c r="H71" s="81">
        <f t="shared" ref="H71" si="273">SUM(I71:AA71)</f>
        <v>19033</v>
      </c>
      <c r="I71" s="81"/>
      <c r="J71" s="81"/>
      <c r="K71" s="81">
        <v>19033</v>
      </c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>
        <f t="shared" ref="AC71" si="274">AB71+AD71</f>
        <v>0</v>
      </c>
      <c r="AD71" s="81">
        <f t="shared" ref="AD71" si="275">SUM(AE71:AN71)</f>
        <v>0</v>
      </c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>
        <f t="shared" ref="AP71" si="276">AO71+AQ71</f>
        <v>0</v>
      </c>
      <c r="AQ71" s="81">
        <f t="shared" ref="AQ71" si="277">SUM(AR71:BA71)</f>
        <v>0</v>
      </c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>
        <f t="shared" ref="BC71" si="278">BB71+BD71</f>
        <v>0</v>
      </c>
      <c r="BD71" s="98">
        <f t="shared" ref="BD71" si="279">SUM(BE71:BI71)</f>
        <v>0</v>
      </c>
      <c r="BE71" s="98"/>
      <c r="BF71" s="98"/>
      <c r="BG71" s="98"/>
      <c r="BH71" s="98"/>
      <c r="BI71" s="98"/>
      <c r="BJ71" s="81"/>
      <c r="BK71" s="81">
        <f t="shared" ref="BK71" si="280">BJ71+BL71</f>
        <v>0</v>
      </c>
      <c r="BL71" s="81">
        <f t="shared" ref="BL71" si="281">SUM(BM71:BW71)</f>
        <v>0</v>
      </c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82" t="s">
        <v>773</v>
      </c>
      <c r="BY71" s="85"/>
      <c r="BZ71" s="24"/>
    </row>
    <row r="72" spans="1:78" ht="24" customHeight="1" x14ac:dyDescent="0.2">
      <c r="A72" s="108">
        <v>40003275333</v>
      </c>
      <c r="B72" s="241" t="s">
        <v>306</v>
      </c>
      <c r="C72" s="285" t="s">
        <v>246</v>
      </c>
      <c r="D72" s="80">
        <f t="shared" si="258"/>
        <v>400579</v>
      </c>
      <c r="E72" s="295">
        <f t="shared" si="259"/>
        <v>400579</v>
      </c>
      <c r="F72" s="81">
        <v>400579</v>
      </c>
      <c r="G72" s="81">
        <f t="shared" si="260"/>
        <v>400579</v>
      </c>
      <c r="H72" s="81">
        <f t="shared" si="261"/>
        <v>0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>
        <v>0</v>
      </c>
      <c r="AC72" s="81">
        <f t="shared" si="262"/>
        <v>0</v>
      </c>
      <c r="AD72" s="81">
        <f t="shared" si="263"/>
        <v>0</v>
      </c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>
        <v>0</v>
      </c>
      <c r="AP72" s="81">
        <f t="shared" si="264"/>
        <v>0</v>
      </c>
      <c r="AQ72" s="81">
        <f t="shared" si="265"/>
        <v>0</v>
      </c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>
        <v>0</v>
      </c>
      <c r="BC72" s="81">
        <f t="shared" si="266"/>
        <v>0</v>
      </c>
      <c r="BD72" s="98">
        <f t="shared" si="267"/>
        <v>0</v>
      </c>
      <c r="BE72" s="98"/>
      <c r="BF72" s="98"/>
      <c r="BG72" s="98"/>
      <c r="BH72" s="98"/>
      <c r="BI72" s="98"/>
      <c r="BJ72" s="81"/>
      <c r="BK72" s="81">
        <f t="shared" si="268"/>
        <v>0</v>
      </c>
      <c r="BL72" s="81">
        <f t="shared" si="269"/>
        <v>0</v>
      </c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82" t="s">
        <v>325</v>
      </c>
      <c r="BY72" s="85"/>
      <c r="BZ72" s="24"/>
    </row>
    <row r="73" spans="1:78" ht="24" x14ac:dyDescent="0.2">
      <c r="A73" s="108"/>
      <c r="B73" s="243"/>
      <c r="C73" s="285" t="s">
        <v>307</v>
      </c>
      <c r="D73" s="80">
        <f t="shared" si="258"/>
        <v>762530</v>
      </c>
      <c r="E73" s="295">
        <f t="shared" si="259"/>
        <v>273242</v>
      </c>
      <c r="F73" s="81">
        <v>762530</v>
      </c>
      <c r="G73" s="81">
        <f t="shared" si="260"/>
        <v>273242</v>
      </c>
      <c r="H73" s="81">
        <f t="shared" si="261"/>
        <v>-489288</v>
      </c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>
        <v>-489288</v>
      </c>
      <c r="X73" s="81"/>
      <c r="Y73" s="81"/>
      <c r="Z73" s="81"/>
      <c r="AA73" s="81"/>
      <c r="AB73" s="81">
        <v>0</v>
      </c>
      <c r="AC73" s="81">
        <f t="shared" si="262"/>
        <v>0</v>
      </c>
      <c r="AD73" s="81">
        <f t="shared" si="263"/>
        <v>0</v>
      </c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>
        <v>0</v>
      </c>
      <c r="AP73" s="81">
        <f t="shared" si="264"/>
        <v>0</v>
      </c>
      <c r="AQ73" s="81">
        <f t="shared" si="265"/>
        <v>0</v>
      </c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>
        <v>0</v>
      </c>
      <c r="BC73" s="81">
        <f t="shared" si="266"/>
        <v>0</v>
      </c>
      <c r="BD73" s="98">
        <f t="shared" si="267"/>
        <v>0</v>
      </c>
      <c r="BE73" s="98"/>
      <c r="BF73" s="98"/>
      <c r="BG73" s="98"/>
      <c r="BH73" s="98"/>
      <c r="BI73" s="98"/>
      <c r="BJ73" s="81"/>
      <c r="BK73" s="81">
        <f t="shared" si="268"/>
        <v>0</v>
      </c>
      <c r="BL73" s="81">
        <f t="shared" si="269"/>
        <v>0</v>
      </c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82" t="s">
        <v>345</v>
      </c>
      <c r="BY73" s="85"/>
      <c r="BZ73" s="24"/>
    </row>
    <row r="74" spans="1:78" ht="12.75" thickBot="1" x14ac:dyDescent="0.25">
      <c r="A74" s="108"/>
      <c r="B74" s="216"/>
      <c r="C74" s="323"/>
      <c r="D74" s="71"/>
      <c r="E74" s="296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72"/>
      <c r="BD74" s="97"/>
      <c r="BE74" s="97"/>
      <c r="BF74" s="97"/>
      <c r="BG74" s="97"/>
      <c r="BH74" s="97"/>
      <c r="BI74" s="97"/>
      <c r="BJ74" s="72"/>
      <c r="BK74" s="264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73"/>
      <c r="BY74" s="86"/>
      <c r="BZ74" s="24"/>
    </row>
    <row r="75" spans="1:78" ht="27.75" customHeight="1" thickBot="1" x14ac:dyDescent="0.25">
      <c r="A75" s="215" t="s">
        <v>11</v>
      </c>
      <c r="B75" s="125" t="s">
        <v>166</v>
      </c>
      <c r="C75" s="321"/>
      <c r="D75" s="11">
        <f>SUM(D76:D86)</f>
        <v>7501042</v>
      </c>
      <c r="E75" s="297">
        <f>SUM(E76:E86)</f>
        <v>7562000</v>
      </c>
      <c r="F75" s="9">
        <f>SUM(F76:F86)</f>
        <v>7156610</v>
      </c>
      <c r="G75" s="9">
        <f t="shared" ref="G75:AA75" si="282">SUM(G76:G86)</f>
        <v>7252605</v>
      </c>
      <c r="H75" s="9">
        <f t="shared" si="282"/>
        <v>95995</v>
      </c>
      <c r="I75" s="9">
        <f t="shared" si="282"/>
        <v>19807</v>
      </c>
      <c r="J75" s="9">
        <f t="shared" ref="J75" si="283">SUM(J76:J86)</f>
        <v>1808</v>
      </c>
      <c r="K75" s="9">
        <f t="shared" si="282"/>
        <v>7073</v>
      </c>
      <c r="L75" s="9">
        <f t="shared" si="282"/>
        <v>84080</v>
      </c>
      <c r="M75" s="9">
        <f t="shared" si="282"/>
        <v>75280</v>
      </c>
      <c r="N75" s="9">
        <f t="shared" si="282"/>
        <v>0</v>
      </c>
      <c r="O75" s="9">
        <f t="shared" si="282"/>
        <v>0</v>
      </c>
      <c r="P75" s="9">
        <f t="shared" si="282"/>
        <v>0</v>
      </c>
      <c r="Q75" s="9">
        <f t="shared" si="282"/>
        <v>2018</v>
      </c>
      <c r="R75" s="9">
        <f t="shared" si="282"/>
        <v>0</v>
      </c>
      <c r="S75" s="9">
        <f t="shared" si="282"/>
        <v>45720</v>
      </c>
      <c r="T75" s="9"/>
      <c r="U75" s="9">
        <f t="shared" si="282"/>
        <v>12193</v>
      </c>
      <c r="V75" s="9"/>
      <c r="W75" s="9">
        <f t="shared" si="282"/>
        <v>-8789</v>
      </c>
      <c r="X75" s="9">
        <f t="shared" ref="X75" si="284">SUM(X76:X86)</f>
        <v>0</v>
      </c>
      <c r="Y75" s="9">
        <f t="shared" si="282"/>
        <v>-6907</v>
      </c>
      <c r="Z75" s="9">
        <f t="shared" ref="Z75" si="285">SUM(Z76:Z86)</f>
        <v>-136688</v>
      </c>
      <c r="AA75" s="9">
        <f t="shared" si="282"/>
        <v>0</v>
      </c>
      <c r="AB75" s="9">
        <f>SUM(AB76:AB86)</f>
        <v>0</v>
      </c>
      <c r="AC75" s="9">
        <f t="shared" ref="AC75" si="286">SUM(AC76:AC86)</f>
        <v>4000</v>
      </c>
      <c r="AD75" s="9">
        <f t="shared" ref="AD75" si="287">SUM(AD76:AD86)</f>
        <v>4000</v>
      </c>
      <c r="AE75" s="9">
        <f t="shared" ref="AE75" si="288">SUM(AE76:AE86)</f>
        <v>0</v>
      </c>
      <c r="AF75" s="9">
        <f t="shared" ref="AF75" si="289">SUM(AF76:AF86)</f>
        <v>4000</v>
      </c>
      <c r="AG75" s="9">
        <f t="shared" ref="AG75" si="290">SUM(AG76:AG86)</f>
        <v>0</v>
      </c>
      <c r="AH75" s="9">
        <f t="shared" ref="AH75" si="291">SUM(AH76:AH86)</f>
        <v>0</v>
      </c>
      <c r="AI75" s="9">
        <f t="shared" ref="AI75" si="292">SUM(AI76:AI86)</f>
        <v>0</v>
      </c>
      <c r="AJ75" s="9">
        <f t="shared" ref="AJ75" si="293">SUM(AJ76:AJ86)</f>
        <v>0</v>
      </c>
      <c r="AK75" s="9">
        <f t="shared" ref="AK75" si="294">SUM(AK76:AK86)</f>
        <v>0</v>
      </c>
      <c r="AL75" s="9">
        <f t="shared" ref="AL75" si="295">SUM(AL76:AL86)</f>
        <v>0</v>
      </c>
      <c r="AM75" s="9">
        <f t="shared" ref="AM75" si="296">SUM(AM76:AM86)</f>
        <v>0</v>
      </c>
      <c r="AN75" s="9">
        <f t="shared" ref="AN75" si="297">SUM(AN76:AN86)</f>
        <v>0</v>
      </c>
      <c r="AO75" s="9">
        <f>SUM(AO76:AO86)</f>
        <v>345542</v>
      </c>
      <c r="AP75" s="96">
        <f t="shared" ref="AP75" si="298">SUM(AP76:AP86)</f>
        <v>307656</v>
      </c>
      <c r="AQ75" s="96">
        <f t="shared" ref="AQ75" si="299">SUM(AQ76:AQ86)</f>
        <v>-37886</v>
      </c>
      <c r="AR75" s="96">
        <f t="shared" ref="AR75" si="300">SUM(AR76:AR86)</f>
        <v>48159</v>
      </c>
      <c r="AS75" s="96">
        <f t="shared" ref="AS75" si="301">SUM(AS76:AS86)</f>
        <v>-99908</v>
      </c>
      <c r="AT75" s="96">
        <f t="shared" ref="AT75" si="302">SUM(AT76:AT86)</f>
        <v>0</v>
      </c>
      <c r="AU75" s="96">
        <f t="shared" ref="AU75" si="303">SUM(AU76:AU86)</f>
        <v>2875</v>
      </c>
      <c r="AV75" s="96">
        <f t="shared" ref="AV75" si="304">SUM(AV76:AV86)</f>
        <v>0</v>
      </c>
      <c r="AW75" s="96">
        <f t="shared" ref="AW75" si="305">SUM(AW76:AW86)</f>
        <v>1300</v>
      </c>
      <c r="AX75" s="96">
        <f t="shared" ref="AX75" si="306">SUM(AX76:AX86)</f>
        <v>0</v>
      </c>
      <c r="AY75" s="96">
        <f t="shared" ref="AY75" si="307">SUM(AY76:AY86)</f>
        <v>0</v>
      </c>
      <c r="AZ75" s="96">
        <f t="shared" ref="AZ75" si="308">SUM(AZ76:AZ86)</f>
        <v>9688</v>
      </c>
      <c r="BA75" s="96">
        <f t="shared" ref="BA75" si="309">SUM(BA76:BA86)</f>
        <v>0</v>
      </c>
      <c r="BB75" s="96">
        <f>SUM(BB76:BB86)</f>
        <v>0</v>
      </c>
      <c r="BC75" s="9">
        <f t="shared" ref="BC75" si="310">SUM(BC76:BC86)</f>
        <v>0</v>
      </c>
      <c r="BD75" s="96">
        <f t="shared" ref="BD75" si="311">SUM(BD76:BD86)</f>
        <v>0</v>
      </c>
      <c r="BE75" s="96">
        <f t="shared" ref="BE75" si="312">SUM(BE76:BE86)</f>
        <v>0</v>
      </c>
      <c r="BF75" s="96">
        <f t="shared" ref="BF75" si="313">SUM(BF76:BF86)</f>
        <v>0</v>
      </c>
      <c r="BG75" s="96">
        <f t="shared" ref="BG75" si="314">SUM(BG76:BG86)</f>
        <v>0</v>
      </c>
      <c r="BH75" s="96">
        <f t="shared" ref="BH75" si="315">SUM(BH76:BH86)</f>
        <v>0</v>
      </c>
      <c r="BI75" s="96">
        <f t="shared" ref="BI75" si="316">SUM(BI76:BI86)</f>
        <v>0</v>
      </c>
      <c r="BJ75" s="9">
        <f>SUM(BJ76:BJ86)</f>
        <v>-1110</v>
      </c>
      <c r="BK75" s="310">
        <f t="shared" ref="BK75" si="317">SUM(BK76:BK86)</f>
        <v>-2261</v>
      </c>
      <c r="BL75" s="96">
        <f t="shared" ref="BL75" si="318">SUM(BL76:BL86)</f>
        <v>-1151</v>
      </c>
      <c r="BM75" s="96">
        <f t="shared" ref="BM75" si="319">SUM(BM76:BM86)</f>
        <v>0</v>
      </c>
      <c r="BN75" s="96">
        <f t="shared" ref="BN75" si="320">SUM(BN76:BN86)</f>
        <v>-113</v>
      </c>
      <c r="BO75" s="96">
        <f t="shared" ref="BO75" si="321">SUM(BO76:BO86)</f>
        <v>-1038</v>
      </c>
      <c r="BP75" s="96">
        <f t="shared" ref="BP75" si="322">SUM(BP76:BP86)</f>
        <v>0</v>
      </c>
      <c r="BQ75" s="96">
        <f t="shared" ref="BQ75" si="323">SUM(BQ76:BQ86)</f>
        <v>0</v>
      </c>
      <c r="BR75" s="96">
        <f t="shared" ref="BR75" si="324">SUM(BR76:BR86)</f>
        <v>0</v>
      </c>
      <c r="BS75" s="96">
        <f t="shared" ref="BS75" si="325">SUM(BS76:BS86)</f>
        <v>0</v>
      </c>
      <c r="BT75" s="96">
        <f t="shared" ref="BT75" si="326">SUM(BT76:BT86)</f>
        <v>0</v>
      </c>
      <c r="BU75" s="96">
        <f t="shared" ref="BU75" si="327">SUM(BU76:BU86)</f>
        <v>0</v>
      </c>
      <c r="BV75" s="96">
        <f t="shared" ref="BV75:BW75" si="328">SUM(BV76:BV86)</f>
        <v>0</v>
      </c>
      <c r="BW75" s="96">
        <f t="shared" si="328"/>
        <v>0</v>
      </c>
      <c r="BX75" s="12"/>
      <c r="BY75" s="87"/>
      <c r="BZ75" s="24"/>
    </row>
    <row r="76" spans="1:78" s="94" customFormat="1" ht="12.75" customHeight="1" thickTop="1" x14ac:dyDescent="0.2">
      <c r="A76" s="108">
        <v>90000056357</v>
      </c>
      <c r="B76" s="247" t="s">
        <v>5</v>
      </c>
      <c r="C76" s="324" t="s">
        <v>182</v>
      </c>
      <c r="D76" s="80">
        <f t="shared" ref="D76:D85" si="329">F76+AB76+AO76+BB76+BJ76</f>
        <v>2856577</v>
      </c>
      <c r="E76" s="295">
        <f t="shared" ref="E76:E85" si="330">G76+AC76+AP76+BC76+BK76</f>
        <v>2913045</v>
      </c>
      <c r="F76" s="164">
        <v>2669094</v>
      </c>
      <c r="G76" s="164">
        <f t="shared" ref="G76:G85" si="331">F76+H76</f>
        <v>2676694</v>
      </c>
      <c r="H76" s="164">
        <f t="shared" ref="H76:H85" si="332">SUM(I76:AA76)</f>
        <v>7600</v>
      </c>
      <c r="I76" s="164"/>
      <c r="J76" s="164"/>
      <c r="K76" s="164"/>
      <c r="L76" s="164"/>
      <c r="M76" s="164">
        <v>19100</v>
      </c>
      <c r="N76" s="164"/>
      <c r="O76" s="164"/>
      <c r="P76" s="164"/>
      <c r="Q76" s="164"/>
      <c r="R76" s="164"/>
      <c r="S76" s="164">
        <v>-5000</v>
      </c>
      <c r="T76" s="164"/>
      <c r="U76" s="164"/>
      <c r="V76" s="164"/>
      <c r="W76" s="164">
        <v>-6500</v>
      </c>
      <c r="X76" s="164"/>
      <c r="Y76" s="164"/>
      <c r="Z76" s="164"/>
      <c r="AA76" s="164"/>
      <c r="AB76" s="164">
        <v>0</v>
      </c>
      <c r="AC76" s="164">
        <f t="shared" ref="AC76:AC85" si="333">AB76+AD76</f>
        <v>0</v>
      </c>
      <c r="AD76" s="164">
        <f t="shared" ref="AD76:AD85" si="334">SUM(AE76:AN76)</f>
        <v>0</v>
      </c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>
        <v>188593</v>
      </c>
      <c r="AP76" s="164">
        <f t="shared" ref="AP76:AP85" si="335">AO76+AQ76</f>
        <v>237574</v>
      </c>
      <c r="AQ76" s="164">
        <f t="shared" ref="AQ76:AQ85" si="336">SUM(AR76:BA76)</f>
        <v>48981</v>
      </c>
      <c r="AR76" s="164">
        <v>48981</v>
      </c>
      <c r="AS76" s="164"/>
      <c r="AT76" s="164"/>
      <c r="AU76" s="164"/>
      <c r="AV76" s="164"/>
      <c r="AW76" s="164"/>
      <c r="AX76" s="164"/>
      <c r="AY76" s="164"/>
      <c r="AZ76" s="164"/>
      <c r="BA76" s="164"/>
      <c r="BB76" s="164">
        <v>0</v>
      </c>
      <c r="BC76" s="81">
        <f t="shared" ref="BC76:BC85" si="337">BB76+BD76</f>
        <v>0</v>
      </c>
      <c r="BD76" s="98">
        <f t="shared" ref="BD76:BD85" si="338">SUM(BE76:BI76)</f>
        <v>0</v>
      </c>
      <c r="BE76" s="305"/>
      <c r="BF76" s="305"/>
      <c r="BG76" s="305"/>
      <c r="BH76" s="305"/>
      <c r="BI76" s="305"/>
      <c r="BJ76" s="164">
        <v>-1110</v>
      </c>
      <c r="BK76" s="81">
        <f t="shared" ref="BK76:BK85" si="339">BJ76+BL76</f>
        <v>-1223</v>
      </c>
      <c r="BL76" s="81">
        <f t="shared" ref="BL76:BL85" si="340">SUM(BM76:BW76)</f>
        <v>-113</v>
      </c>
      <c r="BM76" s="305"/>
      <c r="BN76" s="305">
        <v>-113</v>
      </c>
      <c r="BO76" s="305"/>
      <c r="BP76" s="305"/>
      <c r="BQ76" s="305"/>
      <c r="BR76" s="305"/>
      <c r="BS76" s="305"/>
      <c r="BT76" s="305"/>
      <c r="BU76" s="305"/>
      <c r="BV76" s="305"/>
      <c r="BW76" s="305"/>
      <c r="BX76" s="229" t="s">
        <v>329</v>
      </c>
      <c r="BY76" s="206"/>
      <c r="BZ76" s="24"/>
    </row>
    <row r="77" spans="1:78" s="94" customFormat="1" x14ac:dyDescent="0.2">
      <c r="A77" s="108"/>
      <c r="B77" s="244"/>
      <c r="C77" s="319" t="s">
        <v>252</v>
      </c>
      <c r="D77" s="80">
        <f t="shared" si="329"/>
        <v>2300</v>
      </c>
      <c r="E77" s="295">
        <f t="shared" si="330"/>
        <v>2700</v>
      </c>
      <c r="F77" s="163">
        <v>2300</v>
      </c>
      <c r="G77" s="163">
        <f t="shared" si="331"/>
        <v>2700</v>
      </c>
      <c r="H77" s="163">
        <f t="shared" si="332"/>
        <v>400</v>
      </c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>
        <v>400</v>
      </c>
      <c r="U77" s="163"/>
      <c r="V77" s="163"/>
      <c r="W77" s="163"/>
      <c r="X77" s="163"/>
      <c r="Y77" s="163"/>
      <c r="Z77" s="163"/>
      <c r="AA77" s="163"/>
      <c r="AB77" s="163">
        <v>0</v>
      </c>
      <c r="AC77" s="163">
        <f t="shared" si="333"/>
        <v>0</v>
      </c>
      <c r="AD77" s="163">
        <f t="shared" si="334"/>
        <v>0</v>
      </c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>
        <v>0</v>
      </c>
      <c r="AP77" s="163">
        <f t="shared" si="335"/>
        <v>0</v>
      </c>
      <c r="AQ77" s="163">
        <f t="shared" si="336"/>
        <v>0</v>
      </c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>
        <v>0</v>
      </c>
      <c r="BC77" s="81">
        <f t="shared" si="337"/>
        <v>0</v>
      </c>
      <c r="BD77" s="98">
        <f t="shared" si="338"/>
        <v>0</v>
      </c>
      <c r="BE77" s="199"/>
      <c r="BF77" s="199"/>
      <c r="BG77" s="199"/>
      <c r="BH77" s="199"/>
      <c r="BI77" s="199"/>
      <c r="BJ77" s="163"/>
      <c r="BK77" s="81">
        <f t="shared" si="339"/>
        <v>0</v>
      </c>
      <c r="BL77" s="81">
        <f t="shared" si="340"/>
        <v>0</v>
      </c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82" t="s">
        <v>330</v>
      </c>
      <c r="BY77" s="200"/>
      <c r="BZ77" s="24"/>
    </row>
    <row r="78" spans="1:78" s="93" customFormat="1" ht="24" x14ac:dyDescent="0.2">
      <c r="A78" s="108"/>
      <c r="B78" s="242"/>
      <c r="C78" s="285" t="s">
        <v>277</v>
      </c>
      <c r="D78" s="80">
        <f t="shared" si="329"/>
        <v>755607</v>
      </c>
      <c r="E78" s="295">
        <f t="shared" si="330"/>
        <v>760928</v>
      </c>
      <c r="F78" s="81">
        <v>755607</v>
      </c>
      <c r="G78" s="81">
        <f t="shared" si="331"/>
        <v>756928</v>
      </c>
      <c r="H78" s="81">
        <f t="shared" si="332"/>
        <v>1321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>
        <f>-432-1857</f>
        <v>-2289</v>
      </c>
      <c r="X78" s="81"/>
      <c r="Y78" s="81">
        <v>3610</v>
      </c>
      <c r="Z78" s="81"/>
      <c r="AA78" s="81"/>
      <c r="AB78" s="81">
        <v>0</v>
      </c>
      <c r="AC78" s="81">
        <f t="shared" si="333"/>
        <v>4000</v>
      </c>
      <c r="AD78" s="81">
        <f t="shared" si="334"/>
        <v>4000</v>
      </c>
      <c r="AE78" s="81"/>
      <c r="AF78" s="81">
        <v>4000</v>
      </c>
      <c r="AG78" s="81"/>
      <c r="AH78" s="81"/>
      <c r="AI78" s="81"/>
      <c r="AJ78" s="81"/>
      <c r="AK78" s="81"/>
      <c r="AL78" s="81"/>
      <c r="AM78" s="81"/>
      <c r="AN78" s="81"/>
      <c r="AO78" s="81">
        <v>0</v>
      </c>
      <c r="AP78" s="81">
        <f t="shared" si="335"/>
        <v>0</v>
      </c>
      <c r="AQ78" s="81">
        <f t="shared" si="336"/>
        <v>0</v>
      </c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>
        <v>0</v>
      </c>
      <c r="BC78" s="81">
        <f t="shared" si="337"/>
        <v>0</v>
      </c>
      <c r="BD78" s="98">
        <f t="shared" si="338"/>
        <v>0</v>
      </c>
      <c r="BE78" s="81"/>
      <c r="BF78" s="81"/>
      <c r="BG78" s="81"/>
      <c r="BH78" s="81"/>
      <c r="BI78" s="81"/>
      <c r="BJ78" s="81"/>
      <c r="BK78" s="81">
        <f t="shared" si="339"/>
        <v>0</v>
      </c>
      <c r="BL78" s="81">
        <f t="shared" si="340"/>
        <v>0</v>
      </c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2" t="s">
        <v>332</v>
      </c>
      <c r="BY78" s="85" t="s">
        <v>666</v>
      </c>
      <c r="BZ78" s="24"/>
    </row>
    <row r="79" spans="1:78" s="93" customFormat="1" x14ac:dyDescent="0.2">
      <c r="A79" s="108"/>
      <c r="B79" s="242"/>
      <c r="C79" s="285" t="s">
        <v>223</v>
      </c>
      <c r="D79" s="80">
        <f t="shared" si="329"/>
        <v>186882</v>
      </c>
      <c r="E79" s="295">
        <f t="shared" si="330"/>
        <v>186882</v>
      </c>
      <c r="F79" s="81">
        <v>186882</v>
      </c>
      <c r="G79" s="81">
        <f t="shared" si="331"/>
        <v>186882</v>
      </c>
      <c r="H79" s="81">
        <f t="shared" si="332"/>
        <v>0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>
        <v>0</v>
      </c>
      <c r="AC79" s="81">
        <f t="shared" si="333"/>
        <v>0</v>
      </c>
      <c r="AD79" s="81">
        <f t="shared" si="334"/>
        <v>0</v>
      </c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>
        <v>0</v>
      </c>
      <c r="AP79" s="81">
        <f t="shared" si="335"/>
        <v>0</v>
      </c>
      <c r="AQ79" s="81">
        <f t="shared" si="336"/>
        <v>0</v>
      </c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>
        <v>0</v>
      </c>
      <c r="BC79" s="81">
        <f t="shared" si="337"/>
        <v>0</v>
      </c>
      <c r="BD79" s="98">
        <f t="shared" si="338"/>
        <v>0</v>
      </c>
      <c r="BE79" s="81"/>
      <c r="BF79" s="81"/>
      <c r="BG79" s="81"/>
      <c r="BH79" s="81"/>
      <c r="BI79" s="81"/>
      <c r="BJ79" s="81"/>
      <c r="BK79" s="81">
        <f t="shared" si="339"/>
        <v>0</v>
      </c>
      <c r="BL79" s="81">
        <f t="shared" si="340"/>
        <v>0</v>
      </c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2" t="s">
        <v>331</v>
      </c>
      <c r="BY79" s="85" t="s">
        <v>445</v>
      </c>
      <c r="BZ79" s="24"/>
    </row>
    <row r="80" spans="1:78" s="93" customFormat="1" ht="15" customHeight="1" x14ac:dyDescent="0.2">
      <c r="A80" s="108"/>
      <c r="B80" s="242"/>
      <c r="C80" s="285" t="s">
        <v>218</v>
      </c>
      <c r="D80" s="80">
        <f t="shared" si="329"/>
        <v>902294</v>
      </c>
      <c r="E80" s="295">
        <f t="shared" si="330"/>
        <v>777842</v>
      </c>
      <c r="F80" s="81">
        <v>865224</v>
      </c>
      <c r="G80" s="81">
        <f t="shared" si="331"/>
        <v>740772</v>
      </c>
      <c r="H80" s="81">
        <f t="shared" si="332"/>
        <v>-124452</v>
      </c>
      <c r="I80" s="81"/>
      <c r="J80" s="81">
        <v>1808</v>
      </c>
      <c r="K80" s="81"/>
      <c r="L80" s="81"/>
      <c r="M80" s="81"/>
      <c r="N80" s="81"/>
      <c r="O80" s="81"/>
      <c r="P80" s="81"/>
      <c r="Q80" s="81">
        <v>740</v>
      </c>
      <c r="R80" s="81"/>
      <c r="S80" s="81"/>
      <c r="T80" s="81"/>
      <c r="U80" s="81"/>
      <c r="V80" s="81"/>
      <c r="W80" s="81"/>
      <c r="X80" s="81"/>
      <c r="Y80" s="81"/>
      <c r="Z80" s="81">
        <v>-127000</v>
      </c>
      <c r="AA80" s="81"/>
      <c r="AB80" s="81">
        <v>0</v>
      </c>
      <c r="AC80" s="81">
        <f t="shared" si="333"/>
        <v>0</v>
      </c>
      <c r="AD80" s="81">
        <f t="shared" si="334"/>
        <v>0</v>
      </c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>
        <v>37070</v>
      </c>
      <c r="AP80" s="81">
        <f t="shared" si="335"/>
        <v>37070</v>
      </c>
      <c r="AQ80" s="81">
        <f t="shared" si="336"/>
        <v>0</v>
      </c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>
        <v>0</v>
      </c>
      <c r="BC80" s="81">
        <f t="shared" si="337"/>
        <v>0</v>
      </c>
      <c r="BD80" s="98">
        <f t="shared" si="338"/>
        <v>0</v>
      </c>
      <c r="BE80" s="81"/>
      <c r="BF80" s="81"/>
      <c r="BG80" s="81"/>
      <c r="BH80" s="81"/>
      <c r="BI80" s="81"/>
      <c r="BJ80" s="81"/>
      <c r="BK80" s="81">
        <f t="shared" si="339"/>
        <v>0</v>
      </c>
      <c r="BL80" s="81">
        <f t="shared" si="340"/>
        <v>0</v>
      </c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2" t="s">
        <v>333</v>
      </c>
      <c r="BY80" s="85" t="s">
        <v>667</v>
      </c>
      <c r="BZ80" s="24"/>
    </row>
    <row r="81" spans="1:78" s="94" customFormat="1" ht="24" x14ac:dyDescent="0.2">
      <c r="A81" s="108"/>
      <c r="B81" s="244"/>
      <c r="C81" s="319" t="s">
        <v>254</v>
      </c>
      <c r="D81" s="80">
        <f t="shared" si="329"/>
        <v>629977</v>
      </c>
      <c r="E81" s="295">
        <f t="shared" si="330"/>
        <v>700331</v>
      </c>
      <c r="F81" s="163">
        <v>629977</v>
      </c>
      <c r="G81" s="163">
        <f t="shared" si="331"/>
        <v>700331</v>
      </c>
      <c r="H81" s="163">
        <f t="shared" si="332"/>
        <v>70354</v>
      </c>
      <c r="I81" s="163"/>
      <c r="J81" s="163"/>
      <c r="K81" s="163">
        <f>-557-1222+8852</f>
        <v>7073</v>
      </c>
      <c r="L81" s="163">
        <v>2671</v>
      </c>
      <c r="M81" s="163">
        <v>56180</v>
      </c>
      <c r="N81" s="163"/>
      <c r="O81" s="163"/>
      <c r="P81" s="163"/>
      <c r="Q81" s="163">
        <v>1278</v>
      </c>
      <c r="R81" s="163"/>
      <c r="S81" s="163">
        <f>-18599+20075</f>
        <v>1476</v>
      </c>
      <c r="T81" s="163"/>
      <c r="U81" s="163">
        <v>12193</v>
      </c>
      <c r="V81" s="163"/>
      <c r="W81" s="163"/>
      <c r="X81" s="163"/>
      <c r="Y81" s="163">
        <f>-18650+8133</f>
        <v>-10517</v>
      </c>
      <c r="Z81" s="163"/>
      <c r="AA81" s="163"/>
      <c r="AB81" s="163">
        <v>0</v>
      </c>
      <c r="AC81" s="163">
        <f t="shared" si="333"/>
        <v>0</v>
      </c>
      <c r="AD81" s="163">
        <f t="shared" si="334"/>
        <v>0</v>
      </c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>
        <v>0</v>
      </c>
      <c r="AP81" s="163">
        <f t="shared" si="335"/>
        <v>0</v>
      </c>
      <c r="AQ81" s="163">
        <f t="shared" si="336"/>
        <v>0</v>
      </c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>
        <v>0</v>
      </c>
      <c r="BC81" s="81">
        <f t="shared" si="337"/>
        <v>0</v>
      </c>
      <c r="BD81" s="98">
        <f t="shared" si="338"/>
        <v>0</v>
      </c>
      <c r="BE81" s="163"/>
      <c r="BF81" s="163"/>
      <c r="BG81" s="163"/>
      <c r="BH81" s="163"/>
      <c r="BI81" s="163"/>
      <c r="BJ81" s="163"/>
      <c r="BK81" s="81">
        <f t="shared" si="339"/>
        <v>0</v>
      </c>
      <c r="BL81" s="81">
        <f t="shared" si="340"/>
        <v>0</v>
      </c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220" t="s">
        <v>664</v>
      </c>
      <c r="BY81" s="200" t="s">
        <v>672</v>
      </c>
      <c r="BZ81" s="24"/>
    </row>
    <row r="82" spans="1:78" s="192" customFormat="1" ht="24" x14ac:dyDescent="0.2">
      <c r="A82" s="108"/>
      <c r="B82" s="244"/>
      <c r="C82" s="319" t="s">
        <v>641</v>
      </c>
      <c r="D82" s="80">
        <f t="shared" si="329"/>
        <v>76560</v>
      </c>
      <c r="E82" s="295">
        <f t="shared" si="330"/>
        <v>76560</v>
      </c>
      <c r="F82" s="163">
        <v>76560</v>
      </c>
      <c r="G82" s="163">
        <f t="shared" si="331"/>
        <v>76560</v>
      </c>
      <c r="H82" s="163">
        <f t="shared" si="332"/>
        <v>0</v>
      </c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>
        <v>0</v>
      </c>
      <c r="AC82" s="163">
        <f t="shared" si="333"/>
        <v>0</v>
      </c>
      <c r="AD82" s="163">
        <f t="shared" si="334"/>
        <v>0</v>
      </c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>
        <v>0</v>
      </c>
      <c r="AP82" s="163">
        <f t="shared" si="335"/>
        <v>0</v>
      </c>
      <c r="AQ82" s="163">
        <f t="shared" si="336"/>
        <v>0</v>
      </c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>
        <v>0</v>
      </c>
      <c r="BC82" s="81">
        <f t="shared" si="337"/>
        <v>0</v>
      </c>
      <c r="BD82" s="98">
        <f t="shared" si="338"/>
        <v>0</v>
      </c>
      <c r="BE82" s="199"/>
      <c r="BF82" s="199"/>
      <c r="BG82" s="199"/>
      <c r="BH82" s="199"/>
      <c r="BI82" s="199"/>
      <c r="BJ82" s="163"/>
      <c r="BK82" s="81">
        <f t="shared" si="339"/>
        <v>0</v>
      </c>
      <c r="BL82" s="81">
        <f t="shared" si="340"/>
        <v>0</v>
      </c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82" t="s">
        <v>665</v>
      </c>
      <c r="BY82" s="200"/>
      <c r="BZ82" s="24"/>
    </row>
    <row r="83" spans="1:78" s="198" customFormat="1" ht="36" x14ac:dyDescent="0.2">
      <c r="A83" s="108"/>
      <c r="B83" s="244"/>
      <c r="C83" s="319" t="s">
        <v>745</v>
      </c>
      <c r="D83" s="80">
        <f t="shared" ref="D83" si="341">F83+AB83+AO83+BB83+BJ83</f>
        <v>0</v>
      </c>
      <c r="E83" s="295">
        <f t="shared" ref="E83" si="342">G83+AC83+AP83+BC83+BK83</f>
        <v>19807</v>
      </c>
      <c r="F83" s="163"/>
      <c r="G83" s="163">
        <f t="shared" ref="G83" si="343">F83+H83</f>
        <v>19807</v>
      </c>
      <c r="H83" s="163">
        <f t="shared" ref="H83" si="344">SUM(I83:AA83)</f>
        <v>19807</v>
      </c>
      <c r="I83" s="163">
        <v>19807</v>
      </c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>
        <f t="shared" ref="AC83" si="345">AB83+AD83</f>
        <v>0</v>
      </c>
      <c r="AD83" s="163">
        <f t="shared" ref="AD83" si="346">SUM(AE83:AN83)</f>
        <v>0</v>
      </c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>
        <f t="shared" ref="AP83" si="347">AO83+AQ83</f>
        <v>0</v>
      </c>
      <c r="AQ83" s="163">
        <f t="shared" ref="AQ83" si="348">SUM(AR83:BA83)</f>
        <v>0</v>
      </c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81">
        <f t="shared" ref="BC83" si="349">BB83+BD83</f>
        <v>0</v>
      </c>
      <c r="BD83" s="98">
        <f t="shared" ref="BD83" si="350">SUM(BE83:BI83)</f>
        <v>0</v>
      </c>
      <c r="BE83" s="199"/>
      <c r="BF83" s="199"/>
      <c r="BG83" s="199"/>
      <c r="BH83" s="199"/>
      <c r="BI83" s="199"/>
      <c r="BJ83" s="163"/>
      <c r="BK83" s="81">
        <f t="shared" ref="BK83" si="351">BJ83+BL83</f>
        <v>0</v>
      </c>
      <c r="BL83" s="81">
        <f t="shared" ref="BL83" si="352">SUM(BM83:BW83)</f>
        <v>0</v>
      </c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82" t="s">
        <v>746</v>
      </c>
      <c r="BY83" s="200"/>
      <c r="BZ83" s="24"/>
    </row>
    <row r="84" spans="1:78" ht="24" x14ac:dyDescent="0.2">
      <c r="A84" s="108">
        <v>42803002568</v>
      </c>
      <c r="B84" s="241" t="s">
        <v>299</v>
      </c>
      <c r="C84" s="285" t="s">
        <v>278</v>
      </c>
      <c r="D84" s="80">
        <f t="shared" si="329"/>
        <v>1704582</v>
      </c>
      <c r="E84" s="295">
        <f t="shared" si="330"/>
        <v>1704582</v>
      </c>
      <c r="F84" s="81">
        <v>1704582</v>
      </c>
      <c r="G84" s="81">
        <f t="shared" si="331"/>
        <v>1704582</v>
      </c>
      <c r="H84" s="81">
        <f t="shared" si="332"/>
        <v>0</v>
      </c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>
        <v>0</v>
      </c>
      <c r="AC84" s="81">
        <f t="shared" si="333"/>
        <v>0</v>
      </c>
      <c r="AD84" s="81">
        <f t="shared" si="334"/>
        <v>0</v>
      </c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>
        <v>0</v>
      </c>
      <c r="AP84" s="81">
        <f t="shared" si="335"/>
        <v>0</v>
      </c>
      <c r="AQ84" s="81">
        <f t="shared" si="336"/>
        <v>0</v>
      </c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>
        <v>0</v>
      </c>
      <c r="BC84" s="81">
        <f t="shared" si="337"/>
        <v>0</v>
      </c>
      <c r="BD84" s="98">
        <f t="shared" si="338"/>
        <v>0</v>
      </c>
      <c r="BE84" s="98"/>
      <c r="BF84" s="98"/>
      <c r="BG84" s="98"/>
      <c r="BH84" s="98"/>
      <c r="BI84" s="98"/>
      <c r="BJ84" s="81"/>
      <c r="BK84" s="81">
        <f t="shared" si="339"/>
        <v>0</v>
      </c>
      <c r="BL84" s="81">
        <f t="shared" si="340"/>
        <v>0</v>
      </c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82" t="s">
        <v>346</v>
      </c>
      <c r="BY84" s="85"/>
      <c r="BZ84" s="24"/>
    </row>
    <row r="85" spans="1:78" ht="24" x14ac:dyDescent="0.2">
      <c r="A85" s="108">
        <v>90010691331</v>
      </c>
      <c r="B85" s="249" t="s">
        <v>701</v>
      </c>
      <c r="C85" s="325" t="s">
        <v>187</v>
      </c>
      <c r="D85" s="80">
        <f t="shared" si="329"/>
        <v>386263</v>
      </c>
      <c r="E85" s="295">
        <f t="shared" si="330"/>
        <v>419323</v>
      </c>
      <c r="F85" s="158">
        <v>266384</v>
      </c>
      <c r="G85" s="158">
        <f t="shared" si="331"/>
        <v>387349</v>
      </c>
      <c r="H85" s="158">
        <f t="shared" si="332"/>
        <v>120965</v>
      </c>
      <c r="I85" s="158"/>
      <c r="J85" s="158"/>
      <c r="K85" s="158"/>
      <c r="L85" s="158">
        <v>81409</v>
      </c>
      <c r="M85" s="158"/>
      <c r="N85" s="158"/>
      <c r="O85" s="158"/>
      <c r="P85" s="158"/>
      <c r="Q85" s="158"/>
      <c r="R85" s="158"/>
      <c r="S85" s="158">
        <v>49244</v>
      </c>
      <c r="T85" s="158"/>
      <c r="U85" s="158"/>
      <c r="V85" s="158"/>
      <c r="W85" s="158"/>
      <c r="X85" s="158"/>
      <c r="Y85" s="158"/>
      <c r="Z85" s="158">
        <v>-9688</v>
      </c>
      <c r="AA85" s="158"/>
      <c r="AB85" s="158">
        <v>0</v>
      </c>
      <c r="AC85" s="158">
        <f t="shared" si="333"/>
        <v>0</v>
      </c>
      <c r="AD85" s="158">
        <f t="shared" si="334"/>
        <v>0</v>
      </c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>
        <v>119879</v>
      </c>
      <c r="AP85" s="158">
        <f t="shared" si="335"/>
        <v>33012</v>
      </c>
      <c r="AQ85" s="158">
        <f t="shared" si="336"/>
        <v>-86867</v>
      </c>
      <c r="AR85" s="158">
        <v>-822</v>
      </c>
      <c r="AS85" s="158">
        <v>-99908</v>
      </c>
      <c r="AT85" s="158"/>
      <c r="AU85" s="158">
        <v>2875</v>
      </c>
      <c r="AV85" s="158"/>
      <c r="AW85" s="158">
        <v>1300</v>
      </c>
      <c r="AX85" s="158"/>
      <c r="AY85" s="158"/>
      <c r="AZ85" s="158">
        <v>9688</v>
      </c>
      <c r="BA85" s="158"/>
      <c r="BB85" s="158">
        <v>0</v>
      </c>
      <c r="BC85" s="81">
        <f t="shared" si="337"/>
        <v>0</v>
      </c>
      <c r="BD85" s="98">
        <f t="shared" si="338"/>
        <v>0</v>
      </c>
      <c r="BE85" s="306"/>
      <c r="BF85" s="306"/>
      <c r="BG85" s="306"/>
      <c r="BH85" s="306"/>
      <c r="BI85" s="306"/>
      <c r="BJ85" s="158"/>
      <c r="BK85" s="81">
        <f t="shared" si="339"/>
        <v>-1038</v>
      </c>
      <c r="BL85" s="81">
        <f t="shared" si="340"/>
        <v>-1038</v>
      </c>
      <c r="BM85" s="306"/>
      <c r="BN85" s="306"/>
      <c r="BO85" s="306">
        <v>-1038</v>
      </c>
      <c r="BP85" s="306"/>
      <c r="BQ85" s="306"/>
      <c r="BR85" s="306"/>
      <c r="BS85" s="306"/>
      <c r="BT85" s="306"/>
      <c r="BU85" s="306"/>
      <c r="BV85" s="306"/>
      <c r="BW85" s="306"/>
      <c r="BX85" s="261" t="s">
        <v>347</v>
      </c>
      <c r="BY85" s="262"/>
      <c r="BZ85" s="24"/>
    </row>
    <row r="86" spans="1:78" ht="9" customHeight="1" thickBot="1" x14ac:dyDescent="0.25">
      <c r="A86" s="108"/>
      <c r="B86" s="216"/>
      <c r="C86" s="323"/>
      <c r="D86" s="71"/>
      <c r="E86" s="296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72"/>
      <c r="BD86" s="97"/>
      <c r="BE86" s="97"/>
      <c r="BF86" s="97"/>
      <c r="BG86" s="97"/>
      <c r="BH86" s="97"/>
      <c r="BI86" s="97"/>
      <c r="BJ86" s="72"/>
      <c r="BK86" s="264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73"/>
      <c r="BY86" s="86"/>
      <c r="BZ86" s="24"/>
    </row>
    <row r="87" spans="1:78" ht="12.75" thickBot="1" x14ac:dyDescent="0.25">
      <c r="A87" s="215" t="s">
        <v>12</v>
      </c>
      <c r="B87" s="125" t="s">
        <v>13</v>
      </c>
      <c r="C87" s="321"/>
      <c r="D87" s="11">
        <f t="shared" ref="D87:E87" si="353">SUM(D88:D93)</f>
        <v>488078</v>
      </c>
      <c r="E87" s="298">
        <f t="shared" si="353"/>
        <v>489515</v>
      </c>
      <c r="F87" s="96">
        <f t="shared" ref="F87:BW87" si="354">SUM(F88:F93)</f>
        <v>488078</v>
      </c>
      <c r="G87" s="96">
        <f t="shared" si="354"/>
        <v>489515</v>
      </c>
      <c r="H87" s="96">
        <f t="shared" ref="H87" si="355">SUM(H88:H93)</f>
        <v>1437</v>
      </c>
      <c r="I87" s="96">
        <f t="shared" si="354"/>
        <v>0</v>
      </c>
      <c r="J87" s="96">
        <f t="shared" ref="J87" si="356">SUM(J88:J93)</f>
        <v>0</v>
      </c>
      <c r="K87" s="96">
        <f t="shared" si="354"/>
        <v>0</v>
      </c>
      <c r="L87" s="96">
        <f t="shared" si="354"/>
        <v>0</v>
      </c>
      <c r="M87" s="96">
        <f t="shared" si="354"/>
        <v>0</v>
      </c>
      <c r="N87" s="96">
        <f t="shared" si="354"/>
        <v>0</v>
      </c>
      <c r="O87" s="96">
        <f t="shared" si="354"/>
        <v>0</v>
      </c>
      <c r="P87" s="96">
        <f t="shared" si="354"/>
        <v>0</v>
      </c>
      <c r="Q87" s="96">
        <f t="shared" si="354"/>
        <v>0</v>
      </c>
      <c r="R87" s="96">
        <f t="shared" si="354"/>
        <v>0</v>
      </c>
      <c r="S87" s="96">
        <f t="shared" si="354"/>
        <v>0</v>
      </c>
      <c r="T87" s="96"/>
      <c r="U87" s="96">
        <f t="shared" si="354"/>
        <v>0</v>
      </c>
      <c r="V87" s="96"/>
      <c r="W87" s="96">
        <f t="shared" si="354"/>
        <v>1437</v>
      </c>
      <c r="X87" s="96">
        <f t="shared" ref="X87" si="357">SUM(X88:X93)</f>
        <v>0</v>
      </c>
      <c r="Y87" s="96">
        <f t="shared" si="354"/>
        <v>0</v>
      </c>
      <c r="Z87" s="96">
        <f t="shared" ref="Z87" si="358">SUM(Z88:Z93)</f>
        <v>0</v>
      </c>
      <c r="AA87" s="96">
        <f t="shared" si="354"/>
        <v>0</v>
      </c>
      <c r="AB87" s="96">
        <f t="shared" si="354"/>
        <v>0</v>
      </c>
      <c r="AC87" s="96">
        <f t="shared" ref="AC87:AN87" si="359">SUM(AC88:AC93)</f>
        <v>0</v>
      </c>
      <c r="AD87" s="96">
        <f t="shared" si="359"/>
        <v>0</v>
      </c>
      <c r="AE87" s="96">
        <f t="shared" si="359"/>
        <v>0</v>
      </c>
      <c r="AF87" s="96">
        <f t="shared" si="359"/>
        <v>0</v>
      </c>
      <c r="AG87" s="96">
        <f t="shared" si="359"/>
        <v>0</v>
      </c>
      <c r="AH87" s="96">
        <f t="shared" si="359"/>
        <v>0</v>
      </c>
      <c r="AI87" s="96">
        <f t="shared" si="359"/>
        <v>0</v>
      </c>
      <c r="AJ87" s="96">
        <f t="shared" si="359"/>
        <v>0</v>
      </c>
      <c r="AK87" s="96">
        <f t="shared" si="359"/>
        <v>0</v>
      </c>
      <c r="AL87" s="96">
        <f t="shared" si="359"/>
        <v>0</v>
      </c>
      <c r="AM87" s="96">
        <f t="shared" si="359"/>
        <v>0</v>
      </c>
      <c r="AN87" s="96">
        <f t="shared" si="359"/>
        <v>0</v>
      </c>
      <c r="AO87" s="96">
        <f t="shared" si="354"/>
        <v>0</v>
      </c>
      <c r="AP87" s="96">
        <f t="shared" si="354"/>
        <v>0</v>
      </c>
      <c r="AQ87" s="96">
        <f t="shared" si="354"/>
        <v>0</v>
      </c>
      <c r="AR87" s="96">
        <f t="shared" si="354"/>
        <v>0</v>
      </c>
      <c r="AS87" s="96">
        <f t="shared" si="354"/>
        <v>0</v>
      </c>
      <c r="AT87" s="96">
        <f t="shared" si="354"/>
        <v>0</v>
      </c>
      <c r="AU87" s="96">
        <f t="shared" si="354"/>
        <v>0</v>
      </c>
      <c r="AV87" s="96">
        <f t="shared" si="354"/>
        <v>0</v>
      </c>
      <c r="AW87" s="96">
        <f t="shared" si="354"/>
        <v>0</v>
      </c>
      <c r="AX87" s="96">
        <f t="shared" si="354"/>
        <v>0</v>
      </c>
      <c r="AY87" s="96">
        <f t="shared" si="354"/>
        <v>0</v>
      </c>
      <c r="AZ87" s="96">
        <f t="shared" si="354"/>
        <v>0</v>
      </c>
      <c r="BA87" s="96">
        <f t="shared" si="354"/>
        <v>0</v>
      </c>
      <c r="BB87" s="96">
        <f t="shared" si="354"/>
        <v>0</v>
      </c>
      <c r="BC87" s="9">
        <f t="shared" ref="BC87:BI87" si="360">SUM(BC88:BC93)</f>
        <v>0</v>
      </c>
      <c r="BD87" s="96">
        <f t="shared" si="360"/>
        <v>0</v>
      </c>
      <c r="BE87" s="96">
        <f t="shared" si="360"/>
        <v>0</v>
      </c>
      <c r="BF87" s="96">
        <f t="shared" si="360"/>
        <v>0</v>
      </c>
      <c r="BG87" s="96">
        <f t="shared" si="360"/>
        <v>0</v>
      </c>
      <c r="BH87" s="96">
        <f t="shared" si="360"/>
        <v>0</v>
      </c>
      <c r="BI87" s="96">
        <f t="shared" si="360"/>
        <v>0</v>
      </c>
      <c r="BJ87" s="9">
        <f t="shared" si="354"/>
        <v>0</v>
      </c>
      <c r="BK87" s="310">
        <f t="shared" si="354"/>
        <v>0</v>
      </c>
      <c r="BL87" s="96">
        <f t="shared" si="354"/>
        <v>0</v>
      </c>
      <c r="BM87" s="96">
        <f t="shared" si="354"/>
        <v>0</v>
      </c>
      <c r="BN87" s="96">
        <f t="shared" si="354"/>
        <v>0</v>
      </c>
      <c r="BO87" s="96">
        <f t="shared" si="354"/>
        <v>0</v>
      </c>
      <c r="BP87" s="96">
        <f t="shared" si="354"/>
        <v>0</v>
      </c>
      <c r="BQ87" s="96">
        <f t="shared" si="354"/>
        <v>0</v>
      </c>
      <c r="BR87" s="96">
        <f t="shared" si="354"/>
        <v>0</v>
      </c>
      <c r="BS87" s="96">
        <f t="shared" si="354"/>
        <v>0</v>
      </c>
      <c r="BT87" s="96">
        <f t="shared" si="354"/>
        <v>0</v>
      </c>
      <c r="BU87" s="96">
        <f t="shared" si="354"/>
        <v>0</v>
      </c>
      <c r="BV87" s="96">
        <f t="shared" ref="BV87" si="361">SUM(BV88:BV93)</f>
        <v>0</v>
      </c>
      <c r="BW87" s="96">
        <f t="shared" si="354"/>
        <v>0</v>
      </c>
      <c r="BX87" s="12"/>
      <c r="BY87" s="87"/>
      <c r="BZ87" s="24"/>
    </row>
    <row r="88" spans="1:78" ht="24.75" customHeight="1" thickTop="1" x14ac:dyDescent="0.2">
      <c r="A88" s="108">
        <v>90000594245</v>
      </c>
      <c r="B88" s="247" t="s">
        <v>524</v>
      </c>
      <c r="C88" s="285" t="s">
        <v>188</v>
      </c>
      <c r="D88" s="80">
        <f t="shared" ref="D88:D92" si="362">F88+AB88+AO88+BB88+BJ88</f>
        <v>45712</v>
      </c>
      <c r="E88" s="295">
        <f t="shared" ref="E88:E92" si="363">G88+AC88+AP88+BC88+BK88</f>
        <v>45712</v>
      </c>
      <c r="F88" s="81">
        <v>45712</v>
      </c>
      <c r="G88" s="81">
        <f t="shared" ref="G88:G92" si="364">F88+H88</f>
        <v>45712</v>
      </c>
      <c r="H88" s="81">
        <f t="shared" ref="H88:H92" si="365">SUM(I88:AA88)</f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>
        <v>0</v>
      </c>
      <c r="AC88" s="81">
        <f t="shared" ref="AC88:AC92" si="366">AB88+AD88</f>
        <v>0</v>
      </c>
      <c r="AD88" s="81">
        <f t="shared" ref="AD88:AD92" si="367">SUM(AE88:AN88)</f>
        <v>0</v>
      </c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>
        <v>0</v>
      </c>
      <c r="AP88" s="81">
        <f t="shared" ref="AP88:AP92" si="368">AO88+AQ88</f>
        <v>0</v>
      </c>
      <c r="AQ88" s="81">
        <f t="shared" ref="AQ88:AQ92" si="369">SUM(AR88:BA88)</f>
        <v>0</v>
      </c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>
        <v>0</v>
      </c>
      <c r="BC88" s="81">
        <f t="shared" ref="BC88:BC92" si="370">BB88+BD88</f>
        <v>0</v>
      </c>
      <c r="BD88" s="98">
        <f t="shared" ref="BD88:BD92" si="371">SUM(BE88:BI88)</f>
        <v>0</v>
      </c>
      <c r="BE88" s="98"/>
      <c r="BF88" s="98"/>
      <c r="BG88" s="98"/>
      <c r="BH88" s="98"/>
      <c r="BI88" s="98"/>
      <c r="BJ88" s="81"/>
      <c r="BK88" s="81">
        <f t="shared" ref="BK88:BK92" si="372">BJ88+BL88</f>
        <v>0</v>
      </c>
      <c r="BL88" s="81">
        <f t="shared" ref="BL88:BL92" si="373">SUM(BM88:BW88)</f>
        <v>0</v>
      </c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82" t="s">
        <v>348</v>
      </c>
      <c r="BY88" s="85" t="s">
        <v>668</v>
      </c>
      <c r="BZ88" s="24"/>
    </row>
    <row r="89" spans="1:78" x14ac:dyDescent="0.2">
      <c r="A89" s="108"/>
      <c r="B89" s="242"/>
      <c r="C89" s="285" t="s">
        <v>209</v>
      </c>
      <c r="D89" s="80">
        <f t="shared" si="362"/>
        <v>28724</v>
      </c>
      <c r="E89" s="295">
        <f t="shared" si="363"/>
        <v>28909</v>
      </c>
      <c r="F89" s="81">
        <v>28724</v>
      </c>
      <c r="G89" s="81">
        <f t="shared" si="364"/>
        <v>28909</v>
      </c>
      <c r="H89" s="81">
        <f t="shared" si="365"/>
        <v>185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>
        <v>185</v>
      </c>
      <c r="X89" s="81"/>
      <c r="Y89" s="81"/>
      <c r="Z89" s="81"/>
      <c r="AA89" s="81"/>
      <c r="AB89" s="81">
        <v>0</v>
      </c>
      <c r="AC89" s="81">
        <f t="shared" si="366"/>
        <v>0</v>
      </c>
      <c r="AD89" s="81">
        <f t="shared" si="367"/>
        <v>0</v>
      </c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>
        <v>0</v>
      </c>
      <c r="AP89" s="81">
        <f t="shared" si="368"/>
        <v>0</v>
      </c>
      <c r="AQ89" s="81">
        <f t="shared" si="369"/>
        <v>0</v>
      </c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>
        <v>0</v>
      </c>
      <c r="BC89" s="81">
        <f t="shared" si="370"/>
        <v>0</v>
      </c>
      <c r="BD89" s="98">
        <f t="shared" si="371"/>
        <v>0</v>
      </c>
      <c r="BE89" s="98"/>
      <c r="BF89" s="98"/>
      <c r="BG89" s="98"/>
      <c r="BH89" s="98"/>
      <c r="BI89" s="98"/>
      <c r="BJ89" s="81"/>
      <c r="BK89" s="81">
        <f t="shared" si="372"/>
        <v>0</v>
      </c>
      <c r="BL89" s="81">
        <f t="shared" si="373"/>
        <v>0</v>
      </c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82" t="s">
        <v>349</v>
      </c>
      <c r="BY89" s="85" t="s">
        <v>668</v>
      </c>
      <c r="BZ89" s="24"/>
    </row>
    <row r="90" spans="1:78" ht="24" x14ac:dyDescent="0.2">
      <c r="A90" s="108"/>
      <c r="B90" s="242"/>
      <c r="C90" s="285" t="s">
        <v>203</v>
      </c>
      <c r="D90" s="80">
        <f t="shared" si="362"/>
        <v>62365</v>
      </c>
      <c r="E90" s="295">
        <f t="shared" si="363"/>
        <v>64365</v>
      </c>
      <c r="F90" s="81">
        <v>62365</v>
      </c>
      <c r="G90" s="81">
        <f t="shared" si="364"/>
        <v>64365</v>
      </c>
      <c r="H90" s="81">
        <f t="shared" si="365"/>
        <v>2000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>
        <v>2000</v>
      </c>
      <c r="X90" s="81"/>
      <c r="Y90" s="81"/>
      <c r="Z90" s="81"/>
      <c r="AA90" s="81"/>
      <c r="AB90" s="81">
        <v>0</v>
      </c>
      <c r="AC90" s="81">
        <f t="shared" si="366"/>
        <v>0</v>
      </c>
      <c r="AD90" s="81">
        <f t="shared" si="367"/>
        <v>0</v>
      </c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>
        <v>0</v>
      </c>
      <c r="AP90" s="81">
        <f t="shared" si="368"/>
        <v>0</v>
      </c>
      <c r="AQ90" s="81">
        <f t="shared" si="369"/>
        <v>0</v>
      </c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>
        <v>0</v>
      </c>
      <c r="BC90" s="81">
        <f t="shared" si="370"/>
        <v>0</v>
      </c>
      <c r="BD90" s="98">
        <f t="shared" si="371"/>
        <v>0</v>
      </c>
      <c r="BE90" s="98"/>
      <c r="BF90" s="98"/>
      <c r="BG90" s="98"/>
      <c r="BH90" s="98"/>
      <c r="BI90" s="98"/>
      <c r="BJ90" s="81"/>
      <c r="BK90" s="81">
        <f t="shared" si="372"/>
        <v>0</v>
      </c>
      <c r="BL90" s="81">
        <f t="shared" si="373"/>
        <v>0</v>
      </c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82" t="s">
        <v>350</v>
      </c>
      <c r="BY90" s="85" t="s">
        <v>668</v>
      </c>
      <c r="BZ90" s="24"/>
    </row>
    <row r="91" spans="1:78" s="192" customFormat="1" ht="27" customHeight="1" x14ac:dyDescent="0.2">
      <c r="A91" s="108"/>
      <c r="B91" s="242"/>
      <c r="C91" s="285" t="s">
        <v>537</v>
      </c>
      <c r="D91" s="80">
        <f t="shared" si="362"/>
        <v>241680</v>
      </c>
      <c r="E91" s="295">
        <f t="shared" si="363"/>
        <v>240932</v>
      </c>
      <c r="F91" s="81">
        <v>241680</v>
      </c>
      <c r="G91" s="81">
        <f t="shared" si="364"/>
        <v>240932</v>
      </c>
      <c r="H91" s="81">
        <f t="shared" si="365"/>
        <v>-748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>
        <f>657-1405</f>
        <v>-748</v>
      </c>
      <c r="X91" s="81"/>
      <c r="Y91" s="81"/>
      <c r="Z91" s="81"/>
      <c r="AA91" s="81"/>
      <c r="AB91" s="81">
        <v>0</v>
      </c>
      <c r="AC91" s="81">
        <f t="shared" si="366"/>
        <v>0</v>
      </c>
      <c r="AD91" s="81">
        <f t="shared" si="367"/>
        <v>0</v>
      </c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>
        <v>0</v>
      </c>
      <c r="AP91" s="81">
        <f t="shared" si="368"/>
        <v>0</v>
      </c>
      <c r="AQ91" s="81">
        <f t="shared" si="369"/>
        <v>0</v>
      </c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>
        <v>0</v>
      </c>
      <c r="BC91" s="81">
        <f t="shared" si="370"/>
        <v>0</v>
      </c>
      <c r="BD91" s="98">
        <f t="shared" si="371"/>
        <v>0</v>
      </c>
      <c r="BE91" s="98"/>
      <c r="BF91" s="98"/>
      <c r="BG91" s="98"/>
      <c r="BH91" s="98"/>
      <c r="BI91" s="98"/>
      <c r="BJ91" s="81"/>
      <c r="BK91" s="81">
        <f t="shared" si="372"/>
        <v>0</v>
      </c>
      <c r="BL91" s="81">
        <f t="shared" si="373"/>
        <v>0</v>
      </c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82" t="s">
        <v>550</v>
      </c>
      <c r="BY91" s="85"/>
      <c r="BZ91" s="24"/>
    </row>
    <row r="92" spans="1:78" ht="48" x14ac:dyDescent="0.2">
      <c r="A92" s="108">
        <v>90010991438</v>
      </c>
      <c r="B92" s="241" t="s">
        <v>472</v>
      </c>
      <c r="C92" s="285" t="s">
        <v>495</v>
      </c>
      <c r="D92" s="80">
        <f t="shared" si="362"/>
        <v>109597</v>
      </c>
      <c r="E92" s="295">
        <f t="shared" si="363"/>
        <v>109597</v>
      </c>
      <c r="F92" s="81">
        <v>109597</v>
      </c>
      <c r="G92" s="81">
        <f t="shared" si="364"/>
        <v>109597</v>
      </c>
      <c r="H92" s="81">
        <f t="shared" si="365"/>
        <v>0</v>
      </c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>
        <v>0</v>
      </c>
      <c r="AC92" s="81">
        <f t="shared" si="366"/>
        <v>0</v>
      </c>
      <c r="AD92" s="81">
        <f t="shared" si="367"/>
        <v>0</v>
      </c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>
        <v>0</v>
      </c>
      <c r="AP92" s="81">
        <f t="shared" si="368"/>
        <v>0</v>
      </c>
      <c r="AQ92" s="81">
        <f t="shared" si="369"/>
        <v>0</v>
      </c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>
        <v>0</v>
      </c>
      <c r="BC92" s="81">
        <f t="shared" si="370"/>
        <v>0</v>
      </c>
      <c r="BD92" s="98">
        <f t="shared" si="371"/>
        <v>0</v>
      </c>
      <c r="BE92" s="98"/>
      <c r="BF92" s="98"/>
      <c r="BG92" s="98"/>
      <c r="BH92" s="98"/>
      <c r="BI92" s="98"/>
      <c r="BJ92" s="81"/>
      <c r="BK92" s="81">
        <f t="shared" si="372"/>
        <v>0</v>
      </c>
      <c r="BL92" s="81">
        <f t="shared" si="373"/>
        <v>0</v>
      </c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82" t="s">
        <v>351</v>
      </c>
      <c r="BY92" s="85"/>
      <c r="BZ92" s="24"/>
    </row>
    <row r="93" spans="1:78" ht="9.75" customHeight="1" thickBot="1" x14ac:dyDescent="0.25">
      <c r="A93" s="108"/>
      <c r="B93" s="216"/>
      <c r="C93" s="323"/>
      <c r="D93" s="71"/>
      <c r="E93" s="296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72"/>
      <c r="BD93" s="97"/>
      <c r="BE93" s="97"/>
      <c r="BF93" s="97"/>
      <c r="BG93" s="97"/>
      <c r="BH93" s="97"/>
      <c r="BI93" s="97"/>
      <c r="BJ93" s="72"/>
      <c r="BK93" s="264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73"/>
      <c r="BY93" s="86"/>
      <c r="BZ93" s="24"/>
    </row>
    <row r="94" spans="1:78" ht="12.75" thickBot="1" x14ac:dyDescent="0.25">
      <c r="A94" s="215" t="s">
        <v>14</v>
      </c>
      <c r="B94" s="125" t="s">
        <v>15</v>
      </c>
      <c r="C94" s="321"/>
      <c r="D94" s="11">
        <f>SUM(D95:D135)</f>
        <v>9478586</v>
      </c>
      <c r="E94" s="297">
        <f>SUM(E95:E135)</f>
        <v>11660080</v>
      </c>
      <c r="F94" s="9">
        <f>SUM(F95:F135)</f>
        <v>9232349</v>
      </c>
      <c r="G94" s="9">
        <f t="shared" ref="G94:AA94" si="374">SUM(G95:G135)</f>
        <v>11405417</v>
      </c>
      <c r="H94" s="9">
        <f t="shared" si="374"/>
        <v>2173068</v>
      </c>
      <c r="I94" s="9">
        <f t="shared" si="374"/>
        <v>34000</v>
      </c>
      <c r="J94" s="9">
        <f t="shared" ref="J94" si="375">SUM(J95:J135)</f>
        <v>3591</v>
      </c>
      <c r="K94" s="9">
        <f t="shared" si="374"/>
        <v>100001</v>
      </c>
      <c r="L94" s="9">
        <f t="shared" si="374"/>
        <v>28829</v>
      </c>
      <c r="M94" s="9">
        <f t="shared" si="374"/>
        <v>25058</v>
      </c>
      <c r="N94" s="9">
        <f t="shared" si="374"/>
        <v>0</v>
      </c>
      <c r="O94" s="9">
        <f t="shared" si="374"/>
        <v>0</v>
      </c>
      <c r="P94" s="9">
        <f t="shared" si="374"/>
        <v>0</v>
      </c>
      <c r="Q94" s="9">
        <f t="shared" si="374"/>
        <v>107022</v>
      </c>
      <c r="R94" s="9">
        <f t="shared" si="374"/>
        <v>0</v>
      </c>
      <c r="S94" s="9">
        <f t="shared" si="374"/>
        <v>-22539</v>
      </c>
      <c r="T94" s="9"/>
      <c r="U94" s="9">
        <f t="shared" si="374"/>
        <v>1790920</v>
      </c>
      <c r="V94" s="9"/>
      <c r="W94" s="9">
        <f t="shared" si="374"/>
        <v>1167</v>
      </c>
      <c r="X94" s="9">
        <f t="shared" ref="X94" si="376">SUM(X95:X135)</f>
        <v>0</v>
      </c>
      <c r="Y94" s="9">
        <f t="shared" si="374"/>
        <v>19017</v>
      </c>
      <c r="Z94" s="9">
        <f t="shared" ref="Z94" si="377">SUM(Z95:Z135)</f>
        <v>86002</v>
      </c>
      <c r="AA94" s="9">
        <f t="shared" si="374"/>
        <v>0</v>
      </c>
      <c r="AB94" s="9">
        <f>SUM(AB95:AB135)</f>
        <v>9522</v>
      </c>
      <c r="AC94" s="9">
        <f t="shared" ref="AC94" si="378">SUM(AC95:AC135)</f>
        <v>10724</v>
      </c>
      <c r="AD94" s="9">
        <f t="shared" ref="AD94" si="379">SUM(AD95:AD135)</f>
        <v>1202</v>
      </c>
      <c r="AE94" s="9">
        <f t="shared" ref="AE94" si="380">SUM(AE95:AE135)</f>
        <v>0</v>
      </c>
      <c r="AF94" s="9">
        <f t="shared" ref="AF94" si="381">SUM(AF95:AF135)</f>
        <v>0</v>
      </c>
      <c r="AG94" s="9">
        <f t="shared" ref="AG94" si="382">SUM(AG95:AG135)</f>
        <v>0</v>
      </c>
      <c r="AH94" s="9">
        <f t="shared" ref="AH94" si="383">SUM(AH95:AH135)</f>
        <v>1202</v>
      </c>
      <c r="AI94" s="9">
        <f t="shared" ref="AI94" si="384">SUM(AI95:AI135)</f>
        <v>0</v>
      </c>
      <c r="AJ94" s="9">
        <f t="shared" ref="AJ94" si="385">SUM(AJ95:AJ135)</f>
        <v>0</v>
      </c>
      <c r="AK94" s="9">
        <f t="shared" ref="AK94" si="386">SUM(AK95:AK135)</f>
        <v>0</v>
      </c>
      <c r="AL94" s="9">
        <f t="shared" ref="AL94" si="387">SUM(AL95:AL135)</f>
        <v>0</v>
      </c>
      <c r="AM94" s="9">
        <f t="shared" ref="AM94" si="388">SUM(AM95:AM135)</f>
        <v>0</v>
      </c>
      <c r="AN94" s="9">
        <f t="shared" ref="AN94" si="389">SUM(AN95:AN135)</f>
        <v>0</v>
      </c>
      <c r="AO94" s="9">
        <f>SUM(AO95:AO135)</f>
        <v>236715</v>
      </c>
      <c r="AP94" s="96">
        <f t="shared" ref="AP94" si="390">SUM(AP95:AP135)</f>
        <v>243953</v>
      </c>
      <c r="AQ94" s="96">
        <f t="shared" ref="AQ94" si="391">SUM(AQ95:AQ135)</f>
        <v>7238</v>
      </c>
      <c r="AR94" s="96">
        <f t="shared" ref="AR94" si="392">SUM(AR95:AR135)</f>
        <v>6405</v>
      </c>
      <c r="AS94" s="96">
        <f t="shared" ref="AS94" si="393">SUM(AS95:AS135)</f>
        <v>0</v>
      </c>
      <c r="AT94" s="96">
        <f t="shared" ref="AT94" si="394">SUM(AT95:AT135)</f>
        <v>0</v>
      </c>
      <c r="AU94" s="96">
        <f t="shared" ref="AU94" si="395">SUM(AU95:AU135)</f>
        <v>0</v>
      </c>
      <c r="AV94" s="96">
        <f t="shared" ref="AV94" si="396">SUM(AV95:AV135)</f>
        <v>0</v>
      </c>
      <c r="AW94" s="96">
        <f t="shared" ref="AW94" si="397">SUM(AW95:AW135)</f>
        <v>214</v>
      </c>
      <c r="AX94" s="96">
        <f t="shared" ref="AX94" si="398">SUM(AX95:AX135)</f>
        <v>14</v>
      </c>
      <c r="AY94" s="96">
        <f t="shared" ref="AY94" si="399">SUM(AY95:AY135)</f>
        <v>531</v>
      </c>
      <c r="AZ94" s="96">
        <f t="shared" ref="AZ94" si="400">SUM(AZ95:AZ135)</f>
        <v>74</v>
      </c>
      <c r="BA94" s="96">
        <f t="shared" ref="BA94" si="401">SUM(BA95:BA135)</f>
        <v>0</v>
      </c>
      <c r="BB94" s="96">
        <f>SUM(BB95:BB135)</f>
        <v>0</v>
      </c>
      <c r="BC94" s="9">
        <f t="shared" ref="BC94" si="402">SUM(BC95:BC135)</f>
        <v>0</v>
      </c>
      <c r="BD94" s="96">
        <f t="shared" ref="BD94" si="403">SUM(BD95:BD135)</f>
        <v>0</v>
      </c>
      <c r="BE94" s="96">
        <f t="shared" ref="BE94" si="404">SUM(BE95:BE135)</f>
        <v>0</v>
      </c>
      <c r="BF94" s="96">
        <f t="shared" ref="BF94" si="405">SUM(BF95:BF135)</f>
        <v>0</v>
      </c>
      <c r="BG94" s="96">
        <f t="shared" ref="BG94" si="406">SUM(BG95:BG135)</f>
        <v>0</v>
      </c>
      <c r="BH94" s="96">
        <f t="shared" ref="BH94" si="407">SUM(BH95:BH135)</f>
        <v>0</v>
      </c>
      <c r="BI94" s="96">
        <f t="shared" ref="BI94" si="408">SUM(BI95:BI135)</f>
        <v>0</v>
      </c>
      <c r="BJ94" s="9">
        <f>SUM(BJ95:BJ135)</f>
        <v>0</v>
      </c>
      <c r="BK94" s="310">
        <f t="shared" ref="BK94" si="409">SUM(BK95:BK135)</f>
        <v>-14</v>
      </c>
      <c r="BL94" s="96">
        <f t="shared" ref="BL94" si="410">SUM(BL95:BL135)</f>
        <v>-14</v>
      </c>
      <c r="BM94" s="96">
        <f t="shared" ref="BM94" si="411">SUM(BM95:BM135)</f>
        <v>0</v>
      </c>
      <c r="BN94" s="96">
        <f t="shared" ref="BN94" si="412">SUM(BN95:BN135)</f>
        <v>0</v>
      </c>
      <c r="BO94" s="96">
        <f t="shared" ref="BO94" si="413">SUM(BO95:BO135)</f>
        <v>0</v>
      </c>
      <c r="BP94" s="96">
        <f t="shared" ref="BP94" si="414">SUM(BP95:BP135)</f>
        <v>0</v>
      </c>
      <c r="BQ94" s="96">
        <f t="shared" ref="BQ94" si="415">SUM(BQ95:BQ135)</f>
        <v>0</v>
      </c>
      <c r="BR94" s="96">
        <f t="shared" ref="BR94" si="416">SUM(BR95:BR135)</f>
        <v>0</v>
      </c>
      <c r="BS94" s="96">
        <f t="shared" ref="BS94" si="417">SUM(BS95:BS135)</f>
        <v>0</v>
      </c>
      <c r="BT94" s="96">
        <f t="shared" ref="BT94" si="418">SUM(BT95:BT135)</f>
        <v>-14</v>
      </c>
      <c r="BU94" s="96">
        <f t="shared" ref="BU94" si="419">SUM(BU95:BU135)</f>
        <v>0</v>
      </c>
      <c r="BV94" s="96">
        <f t="shared" ref="BV94:BW94" si="420">SUM(BV95:BV135)</f>
        <v>0</v>
      </c>
      <c r="BW94" s="96">
        <f t="shared" si="420"/>
        <v>0</v>
      </c>
      <c r="BX94" s="12"/>
      <c r="BY94" s="87"/>
      <c r="BZ94" s="24"/>
    </row>
    <row r="95" spans="1:78" ht="23.25" customHeight="1" thickTop="1" x14ac:dyDescent="0.2">
      <c r="A95" s="129">
        <v>90000056357</v>
      </c>
      <c r="B95" s="247" t="s">
        <v>5</v>
      </c>
      <c r="C95" s="285" t="s">
        <v>182</v>
      </c>
      <c r="D95" s="80">
        <f t="shared" ref="D95:D134" si="421">F95+AB95+AO95+BB95+BJ95</f>
        <v>708734</v>
      </c>
      <c r="E95" s="295">
        <f t="shared" ref="E95:E134" si="422">G95+AC95+AP95+BC95+BK95</f>
        <v>710734</v>
      </c>
      <c r="F95" s="164">
        <v>708734</v>
      </c>
      <c r="G95" s="164">
        <f t="shared" ref="G95:G134" si="423">F95+H95</f>
        <v>710734</v>
      </c>
      <c r="H95" s="164">
        <f t="shared" ref="H95:H134" si="424">SUM(I95:AA95)</f>
        <v>2000</v>
      </c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>
        <v>2000</v>
      </c>
      <c r="X95" s="164"/>
      <c r="Y95" s="164"/>
      <c r="Z95" s="164"/>
      <c r="AA95" s="164"/>
      <c r="AB95" s="164">
        <v>0</v>
      </c>
      <c r="AC95" s="164">
        <f t="shared" ref="AC95:AC134" si="425">AB95+AD95</f>
        <v>0</v>
      </c>
      <c r="AD95" s="164">
        <f t="shared" ref="AD95:AD134" si="426">SUM(AE95:AN95)</f>
        <v>0</v>
      </c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>
        <v>0</v>
      </c>
      <c r="AP95" s="164">
        <f t="shared" ref="AP95:AP134" si="427">AO95+AQ95</f>
        <v>0</v>
      </c>
      <c r="AQ95" s="164">
        <f t="shared" ref="AQ95:AQ134" si="428">SUM(AR95:BA95)</f>
        <v>0</v>
      </c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>
        <v>0</v>
      </c>
      <c r="BC95" s="81">
        <f t="shared" ref="BC95:BC134" si="429">BB95+BD95</f>
        <v>0</v>
      </c>
      <c r="BD95" s="98">
        <f t="shared" ref="BD95:BD134" si="430">SUM(BE95:BI95)</f>
        <v>0</v>
      </c>
      <c r="BE95" s="199"/>
      <c r="BF95" s="199"/>
      <c r="BG95" s="199"/>
      <c r="BH95" s="199"/>
      <c r="BI95" s="199"/>
      <c r="BJ95" s="163"/>
      <c r="BK95" s="81">
        <f t="shared" ref="BK95:BK134" si="431">BJ95+BL95</f>
        <v>0</v>
      </c>
      <c r="BL95" s="81">
        <f t="shared" ref="BL95:BL134" si="432">SUM(BM95:BW95)</f>
        <v>0</v>
      </c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82" t="s">
        <v>461</v>
      </c>
      <c r="BY95" s="85"/>
      <c r="BZ95" s="24"/>
    </row>
    <row r="96" spans="1:78" ht="24" x14ac:dyDescent="0.2">
      <c r="A96" s="108"/>
      <c r="B96" s="243"/>
      <c r="C96" s="285" t="s">
        <v>511</v>
      </c>
      <c r="D96" s="80">
        <f t="shared" si="421"/>
        <v>981862</v>
      </c>
      <c r="E96" s="295">
        <f t="shared" si="422"/>
        <v>933844</v>
      </c>
      <c r="F96" s="81">
        <v>981862</v>
      </c>
      <c r="G96" s="81">
        <f t="shared" si="423"/>
        <v>933844</v>
      </c>
      <c r="H96" s="81">
        <f t="shared" si="424"/>
        <v>-48018</v>
      </c>
      <c r="I96" s="81"/>
      <c r="J96" s="81"/>
      <c r="K96" s="81">
        <v>13063</v>
      </c>
      <c r="L96" s="81"/>
      <c r="M96" s="81">
        <v>-8591</v>
      </c>
      <c r="N96" s="81"/>
      <c r="O96" s="81"/>
      <c r="P96" s="81"/>
      <c r="Q96" s="81"/>
      <c r="R96" s="81">
        <v>-2104</v>
      </c>
      <c r="S96" s="81">
        <v>-25689</v>
      </c>
      <c r="T96" s="81"/>
      <c r="U96" s="81">
        <f>-12193-5549</f>
        <v>-17742</v>
      </c>
      <c r="V96" s="81"/>
      <c r="W96" s="81">
        <f>-17677-1057+4221</f>
        <v>-14513</v>
      </c>
      <c r="X96" s="81"/>
      <c r="Y96" s="81">
        <f>7558</f>
        <v>7558</v>
      </c>
      <c r="Z96" s="81"/>
      <c r="AA96" s="81"/>
      <c r="AB96" s="81">
        <v>0</v>
      </c>
      <c r="AC96" s="81">
        <f t="shared" si="425"/>
        <v>0</v>
      </c>
      <c r="AD96" s="81">
        <f t="shared" si="426"/>
        <v>0</v>
      </c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>
        <v>0</v>
      </c>
      <c r="AP96" s="81">
        <f t="shared" si="427"/>
        <v>0</v>
      </c>
      <c r="AQ96" s="81">
        <f t="shared" si="428"/>
        <v>0</v>
      </c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>
        <v>0</v>
      </c>
      <c r="BC96" s="81">
        <f t="shared" si="429"/>
        <v>0</v>
      </c>
      <c r="BD96" s="98">
        <f t="shared" si="430"/>
        <v>0</v>
      </c>
      <c r="BE96" s="81"/>
      <c r="BF96" s="81"/>
      <c r="BG96" s="81"/>
      <c r="BH96" s="81"/>
      <c r="BI96" s="81"/>
      <c r="BJ96" s="81"/>
      <c r="BK96" s="81">
        <f t="shared" si="431"/>
        <v>0</v>
      </c>
      <c r="BL96" s="81">
        <f t="shared" si="432"/>
        <v>0</v>
      </c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2" t="s">
        <v>334</v>
      </c>
      <c r="BY96" s="85" t="s">
        <v>670</v>
      </c>
      <c r="BZ96" s="24"/>
    </row>
    <row r="97" spans="1:78" ht="15" customHeight="1" x14ac:dyDescent="0.2">
      <c r="A97" s="108"/>
      <c r="B97" s="243"/>
      <c r="C97" s="285" t="s">
        <v>239</v>
      </c>
      <c r="D97" s="80">
        <f t="shared" si="421"/>
        <v>30000</v>
      </c>
      <c r="E97" s="295">
        <f t="shared" si="422"/>
        <v>64000</v>
      </c>
      <c r="F97" s="81">
        <v>30000</v>
      </c>
      <c r="G97" s="81">
        <f t="shared" si="423"/>
        <v>64000</v>
      </c>
      <c r="H97" s="81">
        <f t="shared" si="424"/>
        <v>34000</v>
      </c>
      <c r="I97" s="81">
        <v>34000</v>
      </c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>
        <v>0</v>
      </c>
      <c r="AC97" s="81">
        <f t="shared" si="425"/>
        <v>0</v>
      </c>
      <c r="AD97" s="81">
        <f t="shared" si="426"/>
        <v>0</v>
      </c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>
        <v>0</v>
      </c>
      <c r="AP97" s="81">
        <f t="shared" si="427"/>
        <v>0</v>
      </c>
      <c r="AQ97" s="81">
        <f t="shared" si="428"/>
        <v>0</v>
      </c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>
        <v>0</v>
      </c>
      <c r="BC97" s="81">
        <f t="shared" si="429"/>
        <v>0</v>
      </c>
      <c r="BD97" s="98">
        <f t="shared" si="430"/>
        <v>0</v>
      </c>
      <c r="BE97" s="81"/>
      <c r="BF97" s="81"/>
      <c r="BG97" s="81"/>
      <c r="BH97" s="81"/>
      <c r="BI97" s="81"/>
      <c r="BJ97" s="81"/>
      <c r="BK97" s="81">
        <f t="shared" si="431"/>
        <v>0</v>
      </c>
      <c r="BL97" s="81">
        <f t="shared" si="432"/>
        <v>0</v>
      </c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2" t="s">
        <v>335</v>
      </c>
      <c r="BY97" s="85" t="s">
        <v>445</v>
      </c>
      <c r="BZ97" s="24"/>
    </row>
    <row r="98" spans="1:78" ht="12.75" x14ac:dyDescent="0.2">
      <c r="A98" s="108"/>
      <c r="B98" s="243"/>
      <c r="C98" s="319" t="s">
        <v>471</v>
      </c>
      <c r="D98" s="80">
        <f t="shared" si="421"/>
        <v>986282</v>
      </c>
      <c r="E98" s="295">
        <f t="shared" si="422"/>
        <v>988825</v>
      </c>
      <c r="F98" s="81">
        <v>986282</v>
      </c>
      <c r="G98" s="81">
        <f t="shared" si="423"/>
        <v>988825</v>
      </c>
      <c r="H98" s="81">
        <f t="shared" si="424"/>
        <v>2543</v>
      </c>
      <c r="I98" s="81"/>
      <c r="J98" s="81"/>
      <c r="K98" s="81">
        <v>2400</v>
      </c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>
        <f>11459</f>
        <v>11459</v>
      </c>
      <c r="Z98" s="81">
        <f>-858-11316+471+24+363</f>
        <v>-11316</v>
      </c>
      <c r="AA98" s="81"/>
      <c r="AB98" s="81">
        <v>0</v>
      </c>
      <c r="AC98" s="81">
        <f t="shared" si="425"/>
        <v>0</v>
      </c>
      <c r="AD98" s="81">
        <f t="shared" si="426"/>
        <v>0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>
        <v>0</v>
      </c>
      <c r="AP98" s="81">
        <f t="shared" si="427"/>
        <v>0</v>
      </c>
      <c r="AQ98" s="81">
        <f t="shared" si="428"/>
        <v>0</v>
      </c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>
        <v>0</v>
      </c>
      <c r="BC98" s="81">
        <f t="shared" si="429"/>
        <v>0</v>
      </c>
      <c r="BD98" s="98">
        <f t="shared" si="430"/>
        <v>0</v>
      </c>
      <c r="BE98" s="81"/>
      <c r="BF98" s="81"/>
      <c r="BG98" s="81"/>
      <c r="BH98" s="81"/>
      <c r="BI98" s="81"/>
      <c r="BJ98" s="81"/>
      <c r="BK98" s="81">
        <f t="shared" si="431"/>
        <v>0</v>
      </c>
      <c r="BL98" s="81">
        <f t="shared" si="432"/>
        <v>0</v>
      </c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2" t="s">
        <v>336</v>
      </c>
      <c r="BY98" s="85" t="s">
        <v>566</v>
      </c>
      <c r="BZ98" s="24"/>
    </row>
    <row r="99" spans="1:78" ht="12.75" x14ac:dyDescent="0.2">
      <c r="A99" s="108"/>
      <c r="B99" s="243"/>
      <c r="C99" s="285" t="s">
        <v>261</v>
      </c>
      <c r="D99" s="80">
        <f t="shared" si="421"/>
        <v>174568</v>
      </c>
      <c r="E99" s="295">
        <f t="shared" si="422"/>
        <v>174568</v>
      </c>
      <c r="F99" s="81">
        <v>174568</v>
      </c>
      <c r="G99" s="81">
        <f t="shared" si="423"/>
        <v>174568</v>
      </c>
      <c r="H99" s="81">
        <f t="shared" si="424"/>
        <v>0</v>
      </c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>
        <v>0</v>
      </c>
      <c r="AC99" s="81">
        <f t="shared" si="425"/>
        <v>0</v>
      </c>
      <c r="AD99" s="81">
        <f t="shared" si="426"/>
        <v>0</v>
      </c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>
        <v>0</v>
      </c>
      <c r="AP99" s="81">
        <f t="shared" si="427"/>
        <v>0</v>
      </c>
      <c r="AQ99" s="81">
        <f t="shared" si="428"/>
        <v>0</v>
      </c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>
        <v>0</v>
      </c>
      <c r="BC99" s="81">
        <f t="shared" si="429"/>
        <v>0</v>
      </c>
      <c r="BD99" s="98">
        <f t="shared" si="430"/>
        <v>0</v>
      </c>
      <c r="BE99" s="81"/>
      <c r="BF99" s="81"/>
      <c r="BG99" s="81"/>
      <c r="BH99" s="81"/>
      <c r="BI99" s="81"/>
      <c r="BJ99" s="81"/>
      <c r="BK99" s="81">
        <f t="shared" si="431"/>
        <v>0</v>
      </c>
      <c r="BL99" s="81">
        <f t="shared" si="432"/>
        <v>0</v>
      </c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2" t="s">
        <v>337</v>
      </c>
      <c r="BY99" s="85" t="s">
        <v>671</v>
      </c>
      <c r="BZ99" s="24"/>
    </row>
    <row r="100" spans="1:78" s="162" customFormat="1" ht="12.75" x14ac:dyDescent="0.2">
      <c r="A100" s="108"/>
      <c r="B100" s="243"/>
      <c r="C100" s="285" t="s">
        <v>219</v>
      </c>
      <c r="D100" s="80">
        <f t="shared" si="421"/>
        <v>696192</v>
      </c>
      <c r="E100" s="295">
        <f t="shared" si="422"/>
        <v>692991</v>
      </c>
      <c r="F100" s="81">
        <v>696192</v>
      </c>
      <c r="G100" s="81">
        <f t="shared" si="423"/>
        <v>692991</v>
      </c>
      <c r="H100" s="81">
        <f t="shared" si="424"/>
        <v>-3201</v>
      </c>
      <c r="I100" s="81"/>
      <c r="J100" s="81">
        <v>1140</v>
      </c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>
        <v>-350</v>
      </c>
      <c r="X100" s="81"/>
      <c r="Y100" s="81"/>
      <c r="Z100" s="81">
        <v>-3991</v>
      </c>
      <c r="AA100" s="81"/>
      <c r="AB100" s="81">
        <v>0</v>
      </c>
      <c r="AC100" s="81">
        <f t="shared" si="425"/>
        <v>0</v>
      </c>
      <c r="AD100" s="81">
        <f t="shared" si="426"/>
        <v>0</v>
      </c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>
        <v>0</v>
      </c>
      <c r="AP100" s="81">
        <f t="shared" si="427"/>
        <v>0</v>
      </c>
      <c r="AQ100" s="81">
        <f t="shared" si="428"/>
        <v>0</v>
      </c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>
        <v>0</v>
      </c>
      <c r="BC100" s="81">
        <f t="shared" si="429"/>
        <v>0</v>
      </c>
      <c r="BD100" s="98">
        <f t="shared" si="430"/>
        <v>0</v>
      </c>
      <c r="BE100" s="81"/>
      <c r="BF100" s="81"/>
      <c r="BG100" s="81"/>
      <c r="BH100" s="81"/>
      <c r="BI100" s="81"/>
      <c r="BJ100" s="81"/>
      <c r="BK100" s="81">
        <f t="shared" si="431"/>
        <v>0</v>
      </c>
      <c r="BL100" s="81">
        <f t="shared" si="432"/>
        <v>0</v>
      </c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 t="s">
        <v>338</v>
      </c>
      <c r="BY100" s="85" t="s">
        <v>448</v>
      </c>
      <c r="BZ100" s="24"/>
    </row>
    <row r="101" spans="1:78" s="162" customFormat="1" ht="12.75" x14ac:dyDescent="0.2">
      <c r="A101" s="108"/>
      <c r="B101" s="243"/>
      <c r="C101" s="285" t="s">
        <v>478</v>
      </c>
      <c r="D101" s="80">
        <f t="shared" si="421"/>
        <v>375248</v>
      </c>
      <c r="E101" s="295">
        <f t="shared" si="422"/>
        <v>388209</v>
      </c>
      <c r="F101" s="81">
        <v>375248</v>
      </c>
      <c r="G101" s="81">
        <f t="shared" si="423"/>
        <v>388209</v>
      </c>
      <c r="H101" s="81">
        <f t="shared" si="424"/>
        <v>12961</v>
      </c>
      <c r="I101" s="81"/>
      <c r="J101" s="81">
        <v>2451</v>
      </c>
      <c r="K101" s="81">
        <v>6169</v>
      </c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>
        <v>350</v>
      </c>
      <c r="X101" s="81"/>
      <c r="Y101" s="81"/>
      <c r="Z101" s="81">
        <v>3991</v>
      </c>
      <c r="AA101" s="81"/>
      <c r="AB101" s="81">
        <v>0</v>
      </c>
      <c r="AC101" s="81">
        <f t="shared" si="425"/>
        <v>0</v>
      </c>
      <c r="AD101" s="81">
        <f t="shared" si="426"/>
        <v>0</v>
      </c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>
        <v>0</v>
      </c>
      <c r="AP101" s="81">
        <f t="shared" si="427"/>
        <v>0</v>
      </c>
      <c r="AQ101" s="81">
        <f t="shared" si="428"/>
        <v>0</v>
      </c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>
        <v>0</v>
      </c>
      <c r="BC101" s="81">
        <f t="shared" si="429"/>
        <v>0</v>
      </c>
      <c r="BD101" s="98">
        <f t="shared" si="430"/>
        <v>0</v>
      </c>
      <c r="BE101" s="81"/>
      <c r="BF101" s="81"/>
      <c r="BG101" s="81"/>
      <c r="BH101" s="81"/>
      <c r="BI101" s="81"/>
      <c r="BJ101" s="81"/>
      <c r="BK101" s="81">
        <f t="shared" si="431"/>
        <v>0</v>
      </c>
      <c r="BL101" s="81">
        <f t="shared" si="432"/>
        <v>0</v>
      </c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2" t="s">
        <v>483</v>
      </c>
      <c r="BY101" s="85" t="s">
        <v>448</v>
      </c>
      <c r="BZ101" s="24"/>
    </row>
    <row r="102" spans="1:78" s="140" customFormat="1" ht="12.75" x14ac:dyDescent="0.2">
      <c r="A102" s="108"/>
      <c r="B102" s="243"/>
      <c r="C102" s="285" t="s">
        <v>459</v>
      </c>
      <c r="D102" s="80">
        <f t="shared" si="421"/>
        <v>7000</v>
      </c>
      <c r="E102" s="295">
        <f t="shared" si="422"/>
        <v>7000</v>
      </c>
      <c r="F102" s="81">
        <v>7000</v>
      </c>
      <c r="G102" s="81">
        <f t="shared" si="423"/>
        <v>7000</v>
      </c>
      <c r="H102" s="81">
        <f t="shared" si="424"/>
        <v>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>
        <v>0</v>
      </c>
      <c r="AC102" s="81">
        <f t="shared" si="425"/>
        <v>0</v>
      </c>
      <c r="AD102" s="81">
        <f t="shared" si="426"/>
        <v>0</v>
      </c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>
        <v>0</v>
      </c>
      <c r="AP102" s="81">
        <f t="shared" si="427"/>
        <v>0</v>
      </c>
      <c r="AQ102" s="81">
        <f t="shared" si="428"/>
        <v>0</v>
      </c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>
        <v>0</v>
      </c>
      <c r="BC102" s="81">
        <f t="shared" si="429"/>
        <v>0</v>
      </c>
      <c r="BD102" s="98">
        <f t="shared" si="430"/>
        <v>0</v>
      </c>
      <c r="BE102" s="81"/>
      <c r="BF102" s="81"/>
      <c r="BG102" s="81"/>
      <c r="BH102" s="81"/>
      <c r="BI102" s="81"/>
      <c r="BJ102" s="81"/>
      <c r="BK102" s="81">
        <f t="shared" si="431"/>
        <v>0</v>
      </c>
      <c r="BL102" s="81">
        <f t="shared" si="432"/>
        <v>0</v>
      </c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2" t="s">
        <v>501</v>
      </c>
      <c r="BY102" s="85" t="s">
        <v>448</v>
      </c>
      <c r="BZ102" s="24"/>
    </row>
    <row r="103" spans="1:78" s="162" customFormat="1" ht="24.75" customHeight="1" x14ac:dyDescent="0.2">
      <c r="A103" s="108"/>
      <c r="B103" s="243"/>
      <c r="C103" s="285" t="s">
        <v>259</v>
      </c>
      <c r="D103" s="80">
        <f t="shared" si="421"/>
        <v>304004</v>
      </c>
      <c r="E103" s="295">
        <f t="shared" si="422"/>
        <v>304004</v>
      </c>
      <c r="F103" s="81">
        <v>304004</v>
      </c>
      <c r="G103" s="81">
        <f t="shared" si="423"/>
        <v>304004</v>
      </c>
      <c r="H103" s="81">
        <f t="shared" si="424"/>
        <v>0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>
        <v>0</v>
      </c>
      <c r="AC103" s="81">
        <f t="shared" si="425"/>
        <v>0</v>
      </c>
      <c r="AD103" s="81">
        <f t="shared" si="426"/>
        <v>0</v>
      </c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>
        <v>0</v>
      </c>
      <c r="AP103" s="81">
        <f t="shared" si="427"/>
        <v>0</v>
      </c>
      <c r="AQ103" s="81">
        <f t="shared" si="428"/>
        <v>0</v>
      </c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>
        <v>0</v>
      </c>
      <c r="BC103" s="81">
        <f t="shared" si="429"/>
        <v>0</v>
      </c>
      <c r="BD103" s="98">
        <f t="shared" si="430"/>
        <v>0</v>
      </c>
      <c r="BE103" s="81"/>
      <c r="BF103" s="81"/>
      <c r="BG103" s="81"/>
      <c r="BH103" s="81"/>
      <c r="BI103" s="81"/>
      <c r="BJ103" s="81"/>
      <c r="BK103" s="81">
        <f t="shared" si="431"/>
        <v>0</v>
      </c>
      <c r="BL103" s="81">
        <f t="shared" si="432"/>
        <v>0</v>
      </c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2" t="s">
        <v>496</v>
      </c>
      <c r="BY103" s="85" t="s">
        <v>442</v>
      </c>
      <c r="BZ103" s="24"/>
    </row>
    <row r="104" spans="1:78" s="162" customFormat="1" ht="24" x14ac:dyDescent="0.2">
      <c r="A104" s="108"/>
      <c r="B104" s="243"/>
      <c r="C104" s="285" t="s">
        <v>255</v>
      </c>
      <c r="D104" s="80">
        <f t="shared" si="421"/>
        <v>91758</v>
      </c>
      <c r="E104" s="295">
        <f t="shared" si="422"/>
        <v>222570</v>
      </c>
      <c r="F104" s="81">
        <v>91758</v>
      </c>
      <c r="G104" s="81">
        <f t="shared" si="423"/>
        <v>222570</v>
      </c>
      <c r="H104" s="81">
        <f t="shared" si="424"/>
        <v>130812</v>
      </c>
      <c r="I104" s="81"/>
      <c r="J104" s="81"/>
      <c r="K104" s="81">
        <v>5107</v>
      </c>
      <c r="L104" s="81">
        <v>-2671</v>
      </c>
      <c r="M104" s="81">
        <v>13785</v>
      </c>
      <c r="N104" s="81"/>
      <c r="O104" s="81"/>
      <c r="P104" s="81"/>
      <c r="Q104" s="81">
        <v>107022</v>
      </c>
      <c r="R104" s="81">
        <v>2104</v>
      </c>
      <c r="S104" s="81">
        <v>2550</v>
      </c>
      <c r="T104" s="81"/>
      <c r="U104" s="81"/>
      <c r="V104" s="81"/>
      <c r="W104" s="81">
        <v>2915</v>
      </c>
      <c r="X104" s="81"/>
      <c r="Y104" s="81"/>
      <c r="Z104" s="81"/>
      <c r="AA104" s="81"/>
      <c r="AB104" s="81">
        <v>0</v>
      </c>
      <c r="AC104" s="81">
        <f t="shared" si="425"/>
        <v>0</v>
      </c>
      <c r="AD104" s="81">
        <f t="shared" si="426"/>
        <v>0</v>
      </c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>
        <v>0</v>
      </c>
      <c r="AP104" s="81">
        <f t="shared" si="427"/>
        <v>0</v>
      </c>
      <c r="AQ104" s="81">
        <f t="shared" si="428"/>
        <v>0</v>
      </c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>
        <v>0</v>
      </c>
      <c r="BC104" s="81">
        <f t="shared" si="429"/>
        <v>0</v>
      </c>
      <c r="BD104" s="98">
        <f t="shared" si="430"/>
        <v>0</v>
      </c>
      <c r="BE104" s="81"/>
      <c r="BF104" s="81"/>
      <c r="BG104" s="81"/>
      <c r="BH104" s="81"/>
      <c r="BI104" s="81"/>
      <c r="BJ104" s="81"/>
      <c r="BK104" s="81">
        <f t="shared" si="431"/>
        <v>0</v>
      </c>
      <c r="BL104" s="81">
        <f t="shared" si="432"/>
        <v>0</v>
      </c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2" t="s">
        <v>499</v>
      </c>
      <c r="BY104" s="85" t="s">
        <v>672</v>
      </c>
      <c r="BZ104" s="24"/>
    </row>
    <row r="105" spans="1:78" s="162" customFormat="1" ht="24" x14ac:dyDescent="0.2">
      <c r="A105" s="108"/>
      <c r="B105" s="243"/>
      <c r="C105" s="285" t="s">
        <v>523</v>
      </c>
      <c r="D105" s="80">
        <f t="shared" si="421"/>
        <v>15161</v>
      </c>
      <c r="E105" s="295">
        <f t="shared" si="422"/>
        <v>15161</v>
      </c>
      <c r="F105" s="81">
        <v>15161</v>
      </c>
      <c r="G105" s="81">
        <f t="shared" si="423"/>
        <v>15161</v>
      </c>
      <c r="H105" s="81">
        <f t="shared" si="424"/>
        <v>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>
        <v>0</v>
      </c>
      <c r="AC105" s="81">
        <f t="shared" si="425"/>
        <v>0</v>
      </c>
      <c r="AD105" s="81">
        <f t="shared" si="426"/>
        <v>0</v>
      </c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>
        <v>0</v>
      </c>
      <c r="AP105" s="81">
        <f t="shared" si="427"/>
        <v>0</v>
      </c>
      <c r="AQ105" s="81">
        <f t="shared" si="428"/>
        <v>0</v>
      </c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>
        <v>0</v>
      </c>
      <c r="BC105" s="81">
        <f t="shared" si="429"/>
        <v>0</v>
      </c>
      <c r="BD105" s="98">
        <f t="shared" si="430"/>
        <v>0</v>
      </c>
      <c r="BE105" s="81"/>
      <c r="BF105" s="81"/>
      <c r="BG105" s="81"/>
      <c r="BH105" s="81"/>
      <c r="BI105" s="81"/>
      <c r="BJ105" s="81"/>
      <c r="BK105" s="81">
        <f t="shared" si="431"/>
        <v>0</v>
      </c>
      <c r="BL105" s="81">
        <f t="shared" si="432"/>
        <v>0</v>
      </c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2" t="s">
        <v>708</v>
      </c>
      <c r="BY105" s="85" t="s">
        <v>709</v>
      </c>
      <c r="BZ105" s="24"/>
    </row>
    <row r="106" spans="1:78" s="198" customFormat="1" ht="36" x14ac:dyDescent="0.2">
      <c r="A106" s="108"/>
      <c r="B106" s="243"/>
      <c r="C106" s="344" t="s">
        <v>771</v>
      </c>
      <c r="D106" s="80">
        <f t="shared" ref="D106" si="433">F106+AB106+AO106+BB106+BJ106</f>
        <v>0</v>
      </c>
      <c r="E106" s="295">
        <f t="shared" ref="E106" si="434">G106+AC106+AP106+BC106+BK106</f>
        <v>0</v>
      </c>
      <c r="F106" s="81"/>
      <c r="G106" s="81">
        <f t="shared" ref="G106" si="435">F106+H106</f>
        <v>0</v>
      </c>
      <c r="H106" s="81">
        <f t="shared" ref="H106" si="436">SUM(I106:AA106)</f>
        <v>0</v>
      </c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>
        <f t="shared" ref="AC106" si="437">AB106+AD106</f>
        <v>0</v>
      </c>
      <c r="AD106" s="81">
        <f t="shared" ref="AD106" si="438">SUM(AE106:AN106)</f>
        <v>0</v>
      </c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>
        <f t="shared" ref="AP106" si="439">AO106+AQ106</f>
        <v>0</v>
      </c>
      <c r="AQ106" s="81">
        <f t="shared" ref="AQ106" si="440">SUM(AR106:BA106)</f>
        <v>0</v>
      </c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>
        <f t="shared" ref="BC106" si="441">BB106+BD106</f>
        <v>0</v>
      </c>
      <c r="BD106" s="98">
        <f t="shared" ref="BD106" si="442">SUM(BE106:BI106)</f>
        <v>0</v>
      </c>
      <c r="BE106" s="98"/>
      <c r="BF106" s="98"/>
      <c r="BG106" s="98"/>
      <c r="BH106" s="98"/>
      <c r="BI106" s="98"/>
      <c r="BJ106" s="81"/>
      <c r="BK106" s="81">
        <f t="shared" ref="BK106" si="443">BJ106+BL106</f>
        <v>0</v>
      </c>
      <c r="BL106" s="81">
        <f t="shared" ref="BL106" si="444">SUM(BM106:BW106)</f>
        <v>0</v>
      </c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82" t="s">
        <v>770</v>
      </c>
      <c r="BY106" s="85"/>
      <c r="BZ106" s="24"/>
    </row>
    <row r="107" spans="1:78" s="198" customFormat="1" ht="36" x14ac:dyDescent="0.2">
      <c r="A107" s="108"/>
      <c r="B107" s="243"/>
      <c r="C107" s="355" t="s">
        <v>790</v>
      </c>
      <c r="D107" s="80">
        <f t="shared" ref="D107" si="445">F107+AB107+AO107+BB107+BJ107</f>
        <v>0</v>
      </c>
      <c r="E107" s="295">
        <f t="shared" ref="E107" si="446">G107+AC107+AP107+BC107+BK107</f>
        <v>31500</v>
      </c>
      <c r="F107" s="81"/>
      <c r="G107" s="81">
        <f t="shared" ref="G107" si="447">F107+H107</f>
        <v>31500</v>
      </c>
      <c r="H107" s="81">
        <f t="shared" ref="H107" si="448">SUM(I107:AA107)</f>
        <v>31500</v>
      </c>
      <c r="I107" s="81"/>
      <c r="J107" s="81"/>
      <c r="K107" s="81"/>
      <c r="L107" s="81">
        <v>31500</v>
      </c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>
        <f t="shared" ref="AC107" si="449">AB107+AD107</f>
        <v>0</v>
      </c>
      <c r="AD107" s="81">
        <f t="shared" ref="AD107" si="450">SUM(AE107:AN107)</f>
        <v>0</v>
      </c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>
        <f t="shared" ref="AP107" si="451">AO107+AQ107</f>
        <v>0</v>
      </c>
      <c r="AQ107" s="81">
        <f t="shared" ref="AQ107" si="452">SUM(AR107:BA107)</f>
        <v>0</v>
      </c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>
        <f t="shared" ref="BC107" si="453">BB107+BD107</f>
        <v>0</v>
      </c>
      <c r="BD107" s="98">
        <f t="shared" ref="BD107" si="454">SUM(BE107:BI107)</f>
        <v>0</v>
      </c>
      <c r="BE107" s="98"/>
      <c r="BF107" s="98"/>
      <c r="BG107" s="98"/>
      <c r="BH107" s="98"/>
      <c r="BI107" s="98"/>
      <c r="BJ107" s="81"/>
      <c r="BK107" s="81">
        <f t="shared" ref="BK107" si="455">BJ107+BL107</f>
        <v>0</v>
      </c>
      <c r="BL107" s="81">
        <f t="shared" ref="BL107" si="456">SUM(BM107:BW107)</f>
        <v>0</v>
      </c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82" t="s">
        <v>791</v>
      </c>
      <c r="BY107" s="85"/>
      <c r="BZ107" s="24"/>
    </row>
    <row r="108" spans="1:78" s="198" customFormat="1" ht="24.75" customHeight="1" x14ac:dyDescent="0.2">
      <c r="A108" s="108"/>
      <c r="B108" s="243"/>
      <c r="C108" s="378" t="s">
        <v>798</v>
      </c>
      <c r="D108" s="80">
        <f t="shared" ref="D108:D109" si="457">F108+AB108+AO108+BB108+BJ108</f>
        <v>0</v>
      </c>
      <c r="E108" s="295">
        <f t="shared" ref="E108:E109" si="458">G108+AC108+AP108+BC108+BK108</f>
        <v>6598</v>
      </c>
      <c r="F108" s="81"/>
      <c r="G108" s="81">
        <f t="shared" ref="G108:G109" si="459">F108+H108</f>
        <v>6598</v>
      </c>
      <c r="H108" s="81">
        <f t="shared" ref="H108:H109" si="460">SUM(I108:AA108)</f>
        <v>6598</v>
      </c>
      <c r="I108" s="81"/>
      <c r="J108" s="81"/>
      <c r="K108" s="81"/>
      <c r="L108" s="81"/>
      <c r="M108" s="81">
        <v>1357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>
        <v>5241</v>
      </c>
      <c r="X108" s="81"/>
      <c r="Y108" s="81"/>
      <c r="Z108" s="81"/>
      <c r="AA108" s="81"/>
      <c r="AB108" s="81"/>
      <c r="AC108" s="81">
        <f t="shared" ref="AC108:AC109" si="461">AB108+AD108</f>
        <v>0</v>
      </c>
      <c r="AD108" s="81">
        <f t="shared" ref="AD108:AD109" si="462">SUM(AE108:AN108)</f>
        <v>0</v>
      </c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>
        <f t="shared" ref="AP108:AP109" si="463">AO108+AQ108</f>
        <v>0</v>
      </c>
      <c r="AQ108" s="81">
        <f t="shared" ref="AQ108:AQ109" si="464">SUM(AR108:BA108)</f>
        <v>0</v>
      </c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>
        <f t="shared" ref="BC108:BC109" si="465">BB108+BD108</f>
        <v>0</v>
      </c>
      <c r="BD108" s="98">
        <f t="shared" ref="BD108:BD109" si="466">SUM(BE108:BI108)</f>
        <v>0</v>
      </c>
      <c r="BE108" s="98"/>
      <c r="BF108" s="98"/>
      <c r="BG108" s="98"/>
      <c r="BH108" s="98"/>
      <c r="BI108" s="98"/>
      <c r="BJ108" s="81"/>
      <c r="BK108" s="81">
        <f t="shared" ref="BK108:BK109" si="467">BJ108+BL108</f>
        <v>0</v>
      </c>
      <c r="BL108" s="81">
        <f t="shared" ref="BL108:BL109" si="468">SUM(BM108:BW108)</f>
        <v>0</v>
      </c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82" t="s">
        <v>799</v>
      </c>
      <c r="BY108" s="85" t="s">
        <v>442</v>
      </c>
      <c r="BZ108" s="24"/>
    </row>
    <row r="109" spans="1:78" s="198" customFormat="1" ht="15" customHeight="1" x14ac:dyDescent="0.2">
      <c r="A109" s="108"/>
      <c r="B109" s="243"/>
      <c r="C109" s="392" t="s">
        <v>828</v>
      </c>
      <c r="D109" s="80">
        <f t="shared" si="457"/>
        <v>0</v>
      </c>
      <c r="E109" s="295">
        <f t="shared" si="458"/>
        <v>1808662</v>
      </c>
      <c r="F109" s="81"/>
      <c r="G109" s="81">
        <f t="shared" si="459"/>
        <v>1808662</v>
      </c>
      <c r="H109" s="81">
        <f t="shared" si="460"/>
        <v>1808662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>
        <v>1808662</v>
      </c>
      <c r="V109" s="81"/>
      <c r="W109" s="81"/>
      <c r="X109" s="81"/>
      <c r="Y109" s="81"/>
      <c r="Z109" s="81"/>
      <c r="AA109" s="81"/>
      <c r="AB109" s="81"/>
      <c r="AC109" s="81">
        <f t="shared" si="461"/>
        <v>0</v>
      </c>
      <c r="AD109" s="81">
        <f t="shared" si="462"/>
        <v>0</v>
      </c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>
        <f t="shared" si="463"/>
        <v>0</v>
      </c>
      <c r="AQ109" s="81">
        <f t="shared" si="464"/>
        <v>0</v>
      </c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>
        <f t="shared" si="465"/>
        <v>0</v>
      </c>
      <c r="BD109" s="98">
        <f t="shared" si="466"/>
        <v>0</v>
      </c>
      <c r="BE109" s="98"/>
      <c r="BF109" s="98"/>
      <c r="BG109" s="98"/>
      <c r="BH109" s="98"/>
      <c r="BI109" s="98"/>
      <c r="BJ109" s="81"/>
      <c r="BK109" s="81">
        <f t="shared" si="467"/>
        <v>0</v>
      </c>
      <c r="BL109" s="81">
        <f t="shared" si="468"/>
        <v>0</v>
      </c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82" t="s">
        <v>829</v>
      </c>
      <c r="BY109" s="85"/>
      <c r="BZ109" s="24"/>
    </row>
    <row r="110" spans="1:78" ht="24.75" customHeight="1" x14ac:dyDescent="0.2">
      <c r="A110" s="108">
        <v>90000594245</v>
      </c>
      <c r="B110" s="241" t="s">
        <v>524</v>
      </c>
      <c r="C110" s="285" t="s">
        <v>204</v>
      </c>
      <c r="D110" s="80">
        <f t="shared" si="421"/>
        <v>33241</v>
      </c>
      <c r="E110" s="295">
        <f t="shared" si="422"/>
        <v>33241</v>
      </c>
      <c r="F110" s="81">
        <v>33241</v>
      </c>
      <c r="G110" s="81">
        <f t="shared" si="423"/>
        <v>33241</v>
      </c>
      <c r="H110" s="81">
        <f t="shared" si="424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>
        <v>0</v>
      </c>
      <c r="AC110" s="81">
        <f t="shared" si="425"/>
        <v>0</v>
      </c>
      <c r="AD110" s="81">
        <f t="shared" si="426"/>
        <v>0</v>
      </c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>
        <v>0</v>
      </c>
      <c r="AP110" s="81">
        <f t="shared" si="427"/>
        <v>0</v>
      </c>
      <c r="AQ110" s="81">
        <f t="shared" si="428"/>
        <v>0</v>
      </c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>
        <v>0</v>
      </c>
      <c r="BC110" s="81">
        <f t="shared" si="429"/>
        <v>0</v>
      </c>
      <c r="BD110" s="98">
        <f t="shared" si="430"/>
        <v>0</v>
      </c>
      <c r="BE110" s="98"/>
      <c r="BF110" s="98"/>
      <c r="BG110" s="98"/>
      <c r="BH110" s="98"/>
      <c r="BI110" s="98"/>
      <c r="BJ110" s="81"/>
      <c r="BK110" s="81">
        <f t="shared" si="431"/>
        <v>0</v>
      </c>
      <c r="BL110" s="81">
        <f t="shared" si="432"/>
        <v>0</v>
      </c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82" t="s">
        <v>352</v>
      </c>
      <c r="BY110" s="85" t="s">
        <v>673</v>
      </c>
      <c r="BZ110" s="24"/>
    </row>
    <row r="111" spans="1:78" s="122" customFormat="1" ht="15" customHeight="1" x14ac:dyDescent="0.2">
      <c r="A111" s="108"/>
      <c r="B111" s="242"/>
      <c r="C111" s="285" t="s">
        <v>266</v>
      </c>
      <c r="D111" s="80">
        <f t="shared" si="421"/>
        <v>4850</v>
      </c>
      <c r="E111" s="295">
        <f t="shared" si="422"/>
        <v>4850</v>
      </c>
      <c r="F111" s="81">
        <v>4850</v>
      </c>
      <c r="G111" s="81">
        <f t="shared" si="423"/>
        <v>4850</v>
      </c>
      <c r="H111" s="81">
        <f t="shared" si="424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>
        <v>0</v>
      </c>
      <c r="AC111" s="81">
        <f t="shared" si="425"/>
        <v>0</v>
      </c>
      <c r="AD111" s="81">
        <f t="shared" si="426"/>
        <v>0</v>
      </c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>
        <v>0</v>
      </c>
      <c r="AP111" s="81">
        <f t="shared" si="427"/>
        <v>0</v>
      </c>
      <c r="AQ111" s="81">
        <f t="shared" si="428"/>
        <v>0</v>
      </c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>
        <v>0</v>
      </c>
      <c r="BC111" s="81">
        <f t="shared" si="429"/>
        <v>0</v>
      </c>
      <c r="BD111" s="98">
        <f t="shared" si="430"/>
        <v>0</v>
      </c>
      <c r="BE111" s="98"/>
      <c r="BF111" s="98"/>
      <c r="BG111" s="98"/>
      <c r="BH111" s="98"/>
      <c r="BI111" s="98"/>
      <c r="BJ111" s="81"/>
      <c r="BK111" s="81">
        <f t="shared" si="431"/>
        <v>0</v>
      </c>
      <c r="BL111" s="81">
        <f t="shared" si="432"/>
        <v>0</v>
      </c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82" t="s">
        <v>353</v>
      </c>
      <c r="BY111" s="85" t="s">
        <v>673</v>
      </c>
      <c r="BZ111" s="24"/>
    </row>
    <row r="112" spans="1:78" s="122" customFormat="1" ht="15" customHeight="1" x14ac:dyDescent="0.2">
      <c r="A112" s="108"/>
      <c r="B112" s="242"/>
      <c r="C112" s="285" t="s">
        <v>267</v>
      </c>
      <c r="D112" s="80">
        <f t="shared" si="421"/>
        <v>11400</v>
      </c>
      <c r="E112" s="295">
        <f t="shared" si="422"/>
        <v>11400</v>
      </c>
      <c r="F112" s="81">
        <v>11400</v>
      </c>
      <c r="G112" s="81">
        <f t="shared" si="423"/>
        <v>11400</v>
      </c>
      <c r="H112" s="81">
        <f t="shared" si="424"/>
        <v>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>
        <v>0</v>
      </c>
      <c r="AC112" s="81">
        <f t="shared" si="425"/>
        <v>0</v>
      </c>
      <c r="AD112" s="81">
        <f t="shared" si="426"/>
        <v>0</v>
      </c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>
        <v>0</v>
      </c>
      <c r="AP112" s="81">
        <f t="shared" si="427"/>
        <v>0</v>
      </c>
      <c r="AQ112" s="81">
        <f t="shared" si="428"/>
        <v>0</v>
      </c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>
        <v>0</v>
      </c>
      <c r="BC112" s="81">
        <f t="shared" si="429"/>
        <v>0</v>
      </c>
      <c r="BD112" s="98">
        <f t="shared" si="430"/>
        <v>0</v>
      </c>
      <c r="BE112" s="98"/>
      <c r="BF112" s="98"/>
      <c r="BG112" s="98"/>
      <c r="BH112" s="98"/>
      <c r="BI112" s="98"/>
      <c r="BJ112" s="81"/>
      <c r="BK112" s="81">
        <f t="shared" si="431"/>
        <v>0</v>
      </c>
      <c r="BL112" s="81">
        <f t="shared" si="432"/>
        <v>0</v>
      </c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82" t="s">
        <v>354</v>
      </c>
      <c r="BY112" s="85" t="s">
        <v>673</v>
      </c>
      <c r="BZ112" s="24"/>
    </row>
    <row r="113" spans="1:78" s="122" customFormat="1" ht="15" customHeight="1" x14ac:dyDescent="0.2">
      <c r="A113" s="108"/>
      <c r="B113" s="242"/>
      <c r="C113" s="285" t="s">
        <v>268</v>
      </c>
      <c r="D113" s="80">
        <f t="shared" si="421"/>
        <v>5878</v>
      </c>
      <c r="E113" s="295">
        <f t="shared" si="422"/>
        <v>5478</v>
      </c>
      <c r="F113" s="81">
        <v>5878</v>
      </c>
      <c r="G113" s="81">
        <f t="shared" si="423"/>
        <v>5478</v>
      </c>
      <c r="H113" s="81">
        <f t="shared" si="424"/>
        <v>-400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>
        <v>-400</v>
      </c>
      <c r="X113" s="81"/>
      <c r="Y113" s="81"/>
      <c r="Z113" s="81"/>
      <c r="AA113" s="81"/>
      <c r="AB113" s="81">
        <v>0</v>
      </c>
      <c r="AC113" s="81">
        <f t="shared" si="425"/>
        <v>0</v>
      </c>
      <c r="AD113" s="81">
        <f t="shared" si="426"/>
        <v>0</v>
      </c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>
        <v>0</v>
      </c>
      <c r="AP113" s="81">
        <f t="shared" si="427"/>
        <v>0</v>
      </c>
      <c r="AQ113" s="81">
        <f t="shared" si="428"/>
        <v>0</v>
      </c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>
        <v>0</v>
      </c>
      <c r="BC113" s="81">
        <f t="shared" si="429"/>
        <v>0</v>
      </c>
      <c r="BD113" s="98">
        <f t="shared" si="430"/>
        <v>0</v>
      </c>
      <c r="BE113" s="98"/>
      <c r="BF113" s="98"/>
      <c r="BG113" s="98"/>
      <c r="BH113" s="98"/>
      <c r="BI113" s="98"/>
      <c r="BJ113" s="81"/>
      <c r="BK113" s="81">
        <f t="shared" si="431"/>
        <v>0</v>
      </c>
      <c r="BL113" s="81">
        <f t="shared" si="432"/>
        <v>0</v>
      </c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82" t="s">
        <v>355</v>
      </c>
      <c r="BY113" s="85" t="s">
        <v>673</v>
      </c>
      <c r="BZ113" s="24"/>
    </row>
    <row r="114" spans="1:78" s="122" customFormat="1" ht="15" customHeight="1" x14ac:dyDescent="0.2">
      <c r="A114" s="108"/>
      <c r="B114" s="242"/>
      <c r="C114" s="285" t="s">
        <v>269</v>
      </c>
      <c r="D114" s="80">
        <f t="shared" si="421"/>
        <v>50938</v>
      </c>
      <c r="E114" s="295">
        <f t="shared" si="422"/>
        <v>51338</v>
      </c>
      <c r="F114" s="81">
        <v>50938</v>
      </c>
      <c r="G114" s="81">
        <f t="shared" si="423"/>
        <v>51338</v>
      </c>
      <c r="H114" s="81">
        <f t="shared" si="424"/>
        <v>400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>
        <v>400</v>
      </c>
      <c r="X114" s="81"/>
      <c r="Y114" s="81"/>
      <c r="Z114" s="81"/>
      <c r="AA114" s="81"/>
      <c r="AB114" s="81">
        <v>0</v>
      </c>
      <c r="AC114" s="81">
        <f t="shared" si="425"/>
        <v>0</v>
      </c>
      <c r="AD114" s="81">
        <f t="shared" si="426"/>
        <v>0</v>
      </c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>
        <v>0</v>
      </c>
      <c r="AP114" s="81">
        <f t="shared" si="427"/>
        <v>0</v>
      </c>
      <c r="AQ114" s="81">
        <f t="shared" si="428"/>
        <v>0</v>
      </c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>
        <v>0</v>
      </c>
      <c r="BC114" s="81">
        <f t="shared" si="429"/>
        <v>0</v>
      </c>
      <c r="BD114" s="98">
        <f t="shared" si="430"/>
        <v>0</v>
      </c>
      <c r="BE114" s="98"/>
      <c r="BF114" s="98"/>
      <c r="BG114" s="98"/>
      <c r="BH114" s="98"/>
      <c r="BI114" s="98"/>
      <c r="BJ114" s="81"/>
      <c r="BK114" s="81">
        <f t="shared" si="431"/>
        <v>0</v>
      </c>
      <c r="BL114" s="81">
        <f t="shared" si="432"/>
        <v>0</v>
      </c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82" t="s">
        <v>356</v>
      </c>
      <c r="BY114" s="85" t="s">
        <v>673</v>
      </c>
      <c r="BZ114" s="24"/>
    </row>
    <row r="115" spans="1:78" s="122" customFormat="1" x14ac:dyDescent="0.2">
      <c r="A115" s="108"/>
      <c r="B115" s="242"/>
      <c r="C115" s="285" t="s">
        <v>270</v>
      </c>
      <c r="D115" s="80">
        <f t="shared" si="421"/>
        <v>1500</v>
      </c>
      <c r="E115" s="295">
        <f t="shared" si="422"/>
        <v>1500</v>
      </c>
      <c r="F115" s="81">
        <v>1500</v>
      </c>
      <c r="G115" s="81">
        <f t="shared" si="423"/>
        <v>1500</v>
      </c>
      <c r="H115" s="81">
        <f t="shared" si="424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>
        <v>0</v>
      </c>
      <c r="AC115" s="81">
        <f t="shared" si="425"/>
        <v>0</v>
      </c>
      <c r="AD115" s="81">
        <f t="shared" si="426"/>
        <v>0</v>
      </c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>
        <v>0</v>
      </c>
      <c r="AP115" s="81">
        <f t="shared" si="427"/>
        <v>0</v>
      </c>
      <c r="AQ115" s="81">
        <f t="shared" si="428"/>
        <v>0</v>
      </c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>
        <v>0</v>
      </c>
      <c r="BC115" s="81">
        <f t="shared" si="429"/>
        <v>0</v>
      </c>
      <c r="BD115" s="98">
        <f t="shared" si="430"/>
        <v>0</v>
      </c>
      <c r="BE115" s="98"/>
      <c r="BF115" s="98"/>
      <c r="BG115" s="98"/>
      <c r="BH115" s="98"/>
      <c r="BI115" s="98"/>
      <c r="BJ115" s="81"/>
      <c r="BK115" s="81">
        <f t="shared" si="431"/>
        <v>0</v>
      </c>
      <c r="BL115" s="81">
        <f t="shared" si="432"/>
        <v>0</v>
      </c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82" t="s">
        <v>357</v>
      </c>
      <c r="BY115" s="85" t="s">
        <v>673</v>
      </c>
      <c r="BZ115" s="24"/>
    </row>
    <row r="116" spans="1:78" s="122" customFormat="1" x14ac:dyDescent="0.2">
      <c r="A116" s="108"/>
      <c r="B116" s="242"/>
      <c r="C116" s="285" t="s">
        <v>271</v>
      </c>
      <c r="D116" s="80">
        <f t="shared" si="421"/>
        <v>2420</v>
      </c>
      <c r="E116" s="295">
        <f t="shared" si="422"/>
        <v>2420</v>
      </c>
      <c r="F116" s="81">
        <v>2420</v>
      </c>
      <c r="G116" s="81">
        <f t="shared" si="423"/>
        <v>2420</v>
      </c>
      <c r="H116" s="81">
        <f t="shared" si="424"/>
        <v>0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>
        <v>0</v>
      </c>
      <c r="AC116" s="81">
        <f t="shared" si="425"/>
        <v>0</v>
      </c>
      <c r="AD116" s="81">
        <f t="shared" si="426"/>
        <v>0</v>
      </c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>
        <v>0</v>
      </c>
      <c r="AP116" s="81">
        <f t="shared" si="427"/>
        <v>0</v>
      </c>
      <c r="AQ116" s="81">
        <f t="shared" si="428"/>
        <v>0</v>
      </c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>
        <v>0</v>
      </c>
      <c r="BC116" s="81">
        <f t="shared" si="429"/>
        <v>0</v>
      </c>
      <c r="BD116" s="98">
        <f t="shared" si="430"/>
        <v>0</v>
      </c>
      <c r="BE116" s="98"/>
      <c r="BF116" s="98"/>
      <c r="BG116" s="98"/>
      <c r="BH116" s="98"/>
      <c r="BI116" s="98"/>
      <c r="BJ116" s="81"/>
      <c r="BK116" s="81">
        <f t="shared" si="431"/>
        <v>0</v>
      </c>
      <c r="BL116" s="81">
        <f t="shared" si="432"/>
        <v>0</v>
      </c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82" t="s">
        <v>358</v>
      </c>
      <c r="BY116" s="85" t="s">
        <v>673</v>
      </c>
      <c r="BZ116" s="24"/>
    </row>
    <row r="117" spans="1:78" ht="24" customHeight="1" x14ac:dyDescent="0.2">
      <c r="A117" s="108">
        <v>90000056450</v>
      </c>
      <c r="B117" s="241" t="s">
        <v>196</v>
      </c>
      <c r="C117" s="285" t="s">
        <v>450</v>
      </c>
      <c r="D117" s="80">
        <f t="shared" si="421"/>
        <v>842399</v>
      </c>
      <c r="E117" s="295">
        <f t="shared" si="422"/>
        <v>843739</v>
      </c>
      <c r="F117" s="81">
        <v>835752</v>
      </c>
      <c r="G117" s="81">
        <f t="shared" si="423"/>
        <v>836721</v>
      </c>
      <c r="H117" s="81">
        <f t="shared" si="424"/>
        <v>969</v>
      </c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>
        <f>196+773</f>
        <v>969</v>
      </c>
      <c r="X117" s="81"/>
      <c r="Y117" s="81"/>
      <c r="Z117" s="81"/>
      <c r="AA117" s="81"/>
      <c r="AB117" s="81">
        <v>0</v>
      </c>
      <c r="AC117" s="81">
        <f t="shared" si="425"/>
        <v>0</v>
      </c>
      <c r="AD117" s="81">
        <f t="shared" si="426"/>
        <v>0</v>
      </c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>
        <v>6647</v>
      </c>
      <c r="AP117" s="81">
        <f t="shared" si="427"/>
        <v>7032</v>
      </c>
      <c r="AQ117" s="81">
        <f t="shared" si="428"/>
        <v>385</v>
      </c>
      <c r="AR117" s="81">
        <v>371</v>
      </c>
      <c r="AS117" s="81"/>
      <c r="AT117" s="81"/>
      <c r="AU117" s="81"/>
      <c r="AV117" s="81"/>
      <c r="AW117" s="81"/>
      <c r="AX117" s="81">
        <v>14</v>
      </c>
      <c r="AY117" s="81"/>
      <c r="AZ117" s="81"/>
      <c r="BA117" s="81"/>
      <c r="BB117" s="81">
        <v>0</v>
      </c>
      <c r="BC117" s="81">
        <f t="shared" si="429"/>
        <v>0</v>
      </c>
      <c r="BD117" s="98">
        <f t="shared" si="430"/>
        <v>0</v>
      </c>
      <c r="BE117" s="98"/>
      <c r="BF117" s="98"/>
      <c r="BG117" s="98"/>
      <c r="BH117" s="98"/>
      <c r="BI117" s="98"/>
      <c r="BJ117" s="81"/>
      <c r="BK117" s="81">
        <f t="shared" si="431"/>
        <v>-14</v>
      </c>
      <c r="BL117" s="81">
        <f t="shared" si="432"/>
        <v>-14</v>
      </c>
      <c r="BM117" s="98"/>
      <c r="BN117" s="98"/>
      <c r="BO117" s="98"/>
      <c r="BP117" s="98"/>
      <c r="BQ117" s="98"/>
      <c r="BR117" s="98"/>
      <c r="BS117" s="98"/>
      <c r="BT117" s="98">
        <v>-14</v>
      </c>
      <c r="BU117" s="98"/>
      <c r="BV117" s="98"/>
      <c r="BW117" s="98"/>
      <c r="BX117" s="82" t="s">
        <v>359</v>
      </c>
      <c r="BY117" s="85"/>
      <c r="BZ117" s="24"/>
    </row>
    <row r="118" spans="1:78" s="198" customFormat="1" x14ac:dyDescent="0.2">
      <c r="A118" s="108"/>
      <c r="B118" s="241"/>
      <c r="C118" s="359" t="s">
        <v>627</v>
      </c>
      <c r="D118" s="80">
        <f t="shared" si="421"/>
        <v>1200</v>
      </c>
      <c r="E118" s="295">
        <f t="shared" si="422"/>
        <v>1200</v>
      </c>
      <c r="F118" s="81">
        <v>1200</v>
      </c>
      <c r="G118" s="81">
        <f t="shared" si="423"/>
        <v>1200</v>
      </c>
      <c r="H118" s="81">
        <f t="shared" si="424"/>
        <v>0</v>
      </c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>
        <v>0</v>
      </c>
      <c r="AC118" s="81">
        <f t="shared" si="425"/>
        <v>0</v>
      </c>
      <c r="AD118" s="81">
        <f t="shared" si="426"/>
        <v>0</v>
      </c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>
        <v>0</v>
      </c>
      <c r="AP118" s="81">
        <f t="shared" si="427"/>
        <v>0</v>
      </c>
      <c r="AQ118" s="81">
        <f t="shared" si="428"/>
        <v>0</v>
      </c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>
        <v>0</v>
      </c>
      <c r="BC118" s="81">
        <f t="shared" si="429"/>
        <v>0</v>
      </c>
      <c r="BD118" s="98">
        <f t="shared" si="430"/>
        <v>0</v>
      </c>
      <c r="BE118" s="98"/>
      <c r="BF118" s="98"/>
      <c r="BG118" s="98"/>
      <c r="BH118" s="98"/>
      <c r="BI118" s="98"/>
      <c r="BJ118" s="81"/>
      <c r="BK118" s="81">
        <f t="shared" si="431"/>
        <v>0</v>
      </c>
      <c r="BL118" s="81">
        <f t="shared" si="432"/>
        <v>0</v>
      </c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82" t="s">
        <v>669</v>
      </c>
      <c r="BY118" s="85"/>
      <c r="BZ118" s="24"/>
    </row>
    <row r="119" spans="1:78" s="198" customFormat="1" x14ac:dyDescent="0.2">
      <c r="A119" s="108"/>
      <c r="B119" s="241"/>
      <c r="C119" s="356" t="s">
        <v>819</v>
      </c>
      <c r="D119" s="80">
        <f t="shared" ref="D119" si="469">F119+AB119+AO119+BB119+BJ119</f>
        <v>0</v>
      </c>
      <c r="E119" s="295">
        <f t="shared" ref="E119" si="470">G119+AC119+AP119+BC119+BK119</f>
        <v>600</v>
      </c>
      <c r="F119" s="163"/>
      <c r="G119" s="81">
        <f t="shared" ref="G119" si="471">F119+H119</f>
        <v>600</v>
      </c>
      <c r="H119" s="81">
        <f t="shared" ref="H119" si="472">SUM(I119:AA119)</f>
        <v>600</v>
      </c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>
        <v>600</v>
      </c>
      <c r="T119" s="163"/>
      <c r="U119" s="163"/>
      <c r="V119" s="163"/>
      <c r="W119" s="163"/>
      <c r="X119" s="163"/>
      <c r="Y119" s="163"/>
      <c r="Z119" s="163"/>
      <c r="AA119" s="163"/>
      <c r="AB119" s="163"/>
      <c r="AC119" s="81">
        <f t="shared" ref="AC119" si="473">AB119+AD119</f>
        <v>0</v>
      </c>
      <c r="AD119" s="81">
        <f t="shared" ref="AD119" si="474">SUM(AE119:AN119)</f>
        <v>0</v>
      </c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81">
        <f t="shared" ref="AP119" si="475">AO119+AQ119</f>
        <v>0</v>
      </c>
      <c r="AQ119" s="81">
        <f t="shared" ref="AQ119" si="476">SUM(AR119:BA119)</f>
        <v>0</v>
      </c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81">
        <f t="shared" ref="BC119" si="477">BB119+BD119</f>
        <v>0</v>
      </c>
      <c r="BD119" s="98">
        <f t="shared" ref="BD119" si="478">SUM(BE119:BI119)</f>
        <v>0</v>
      </c>
      <c r="BE119" s="199"/>
      <c r="BF119" s="199"/>
      <c r="BG119" s="199"/>
      <c r="BH119" s="199"/>
      <c r="BI119" s="199"/>
      <c r="BJ119" s="163"/>
      <c r="BK119" s="81">
        <f t="shared" ref="BK119" si="479">BJ119+BL119</f>
        <v>0</v>
      </c>
      <c r="BL119" s="81">
        <f t="shared" ref="BL119" si="480">SUM(BM119:BW119)</f>
        <v>0</v>
      </c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220" t="s">
        <v>820</v>
      </c>
      <c r="BY119" s="85"/>
      <c r="BZ119" s="24"/>
    </row>
    <row r="120" spans="1:78" ht="24" customHeight="1" x14ac:dyDescent="0.2">
      <c r="A120" s="108">
        <v>90009229680</v>
      </c>
      <c r="B120" s="241" t="s">
        <v>151</v>
      </c>
      <c r="C120" s="356" t="s">
        <v>451</v>
      </c>
      <c r="D120" s="357">
        <f t="shared" si="421"/>
        <v>1010966</v>
      </c>
      <c r="E120" s="358">
        <f t="shared" si="422"/>
        <v>1029317</v>
      </c>
      <c r="F120" s="163">
        <v>982877</v>
      </c>
      <c r="G120" s="163">
        <f t="shared" si="423"/>
        <v>998261</v>
      </c>
      <c r="H120" s="163">
        <f t="shared" si="424"/>
        <v>15384</v>
      </c>
      <c r="I120" s="163"/>
      <c r="J120" s="163"/>
      <c r="K120" s="163"/>
      <c r="L120" s="163"/>
      <c r="M120" s="163">
        <v>10804</v>
      </c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>
        <v>4580</v>
      </c>
      <c r="AA120" s="163"/>
      <c r="AB120" s="163">
        <v>9522</v>
      </c>
      <c r="AC120" s="163">
        <f t="shared" si="425"/>
        <v>10724</v>
      </c>
      <c r="AD120" s="163">
        <f t="shared" si="426"/>
        <v>1202</v>
      </c>
      <c r="AE120" s="163"/>
      <c r="AF120" s="163"/>
      <c r="AG120" s="163"/>
      <c r="AH120" s="163">
        <v>1202</v>
      </c>
      <c r="AI120" s="163"/>
      <c r="AJ120" s="163"/>
      <c r="AK120" s="163"/>
      <c r="AL120" s="163"/>
      <c r="AM120" s="163"/>
      <c r="AN120" s="163"/>
      <c r="AO120" s="163">
        <v>18567</v>
      </c>
      <c r="AP120" s="163">
        <f t="shared" si="427"/>
        <v>20332</v>
      </c>
      <c r="AQ120" s="163">
        <f t="shared" si="428"/>
        <v>1765</v>
      </c>
      <c r="AR120" s="163">
        <v>1551</v>
      </c>
      <c r="AS120" s="163"/>
      <c r="AT120" s="163"/>
      <c r="AU120" s="163"/>
      <c r="AV120" s="163"/>
      <c r="AW120" s="163">
        <v>214</v>
      </c>
      <c r="AX120" s="163"/>
      <c r="AY120" s="163"/>
      <c r="AZ120" s="163"/>
      <c r="BA120" s="163"/>
      <c r="BB120" s="163">
        <v>0</v>
      </c>
      <c r="BC120" s="163">
        <f t="shared" si="429"/>
        <v>0</v>
      </c>
      <c r="BD120" s="199">
        <f t="shared" si="430"/>
        <v>0</v>
      </c>
      <c r="BE120" s="199"/>
      <c r="BF120" s="199"/>
      <c r="BG120" s="199"/>
      <c r="BH120" s="199"/>
      <c r="BI120" s="199"/>
      <c r="BJ120" s="163"/>
      <c r="BK120" s="163">
        <f t="shared" si="431"/>
        <v>0</v>
      </c>
      <c r="BL120" s="163">
        <f t="shared" si="432"/>
        <v>0</v>
      </c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220" t="s">
        <v>360</v>
      </c>
      <c r="BY120" s="85"/>
      <c r="BZ120" s="24"/>
    </row>
    <row r="121" spans="1:78" x14ac:dyDescent="0.2">
      <c r="A121" s="108"/>
      <c r="B121" s="242"/>
      <c r="C121" s="285" t="s">
        <v>189</v>
      </c>
      <c r="D121" s="80">
        <f t="shared" si="421"/>
        <v>464128</v>
      </c>
      <c r="E121" s="295">
        <f t="shared" si="422"/>
        <v>534093</v>
      </c>
      <c r="F121" s="81">
        <v>440398</v>
      </c>
      <c r="G121" s="81">
        <f t="shared" si="423"/>
        <v>509228</v>
      </c>
      <c r="H121" s="81">
        <f t="shared" si="424"/>
        <v>68830</v>
      </c>
      <c r="I121" s="81"/>
      <c r="J121" s="81"/>
      <c r="K121" s="81">
        <v>72130</v>
      </c>
      <c r="L121" s="81"/>
      <c r="M121" s="81">
        <v>1280</v>
      </c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>
        <v>-4580</v>
      </c>
      <c r="AA121" s="81"/>
      <c r="AB121" s="81">
        <v>0</v>
      </c>
      <c r="AC121" s="81">
        <f t="shared" si="425"/>
        <v>0</v>
      </c>
      <c r="AD121" s="81">
        <f t="shared" si="426"/>
        <v>0</v>
      </c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>
        <v>23730</v>
      </c>
      <c r="AP121" s="81">
        <f t="shared" si="427"/>
        <v>24865</v>
      </c>
      <c r="AQ121" s="81">
        <f t="shared" si="428"/>
        <v>1135</v>
      </c>
      <c r="AR121" s="81">
        <v>1135</v>
      </c>
      <c r="AS121" s="81"/>
      <c r="AT121" s="81"/>
      <c r="AU121" s="81"/>
      <c r="AV121" s="81"/>
      <c r="AW121" s="81"/>
      <c r="AX121" s="81"/>
      <c r="AY121" s="81"/>
      <c r="AZ121" s="81"/>
      <c r="BA121" s="81"/>
      <c r="BB121" s="81">
        <v>0</v>
      </c>
      <c r="BC121" s="81">
        <f t="shared" si="429"/>
        <v>0</v>
      </c>
      <c r="BD121" s="98">
        <f t="shared" si="430"/>
        <v>0</v>
      </c>
      <c r="BE121" s="98"/>
      <c r="BF121" s="98"/>
      <c r="BG121" s="98"/>
      <c r="BH121" s="98"/>
      <c r="BI121" s="98"/>
      <c r="BJ121" s="81"/>
      <c r="BK121" s="81">
        <f t="shared" si="431"/>
        <v>0</v>
      </c>
      <c r="BL121" s="81">
        <f t="shared" si="432"/>
        <v>0</v>
      </c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82" t="s">
        <v>361</v>
      </c>
      <c r="BY121" s="85" t="s">
        <v>444</v>
      </c>
      <c r="BZ121" s="24"/>
    </row>
    <row r="122" spans="1:78" ht="12" customHeight="1" x14ac:dyDescent="0.2">
      <c r="A122" s="108">
        <v>90010478153</v>
      </c>
      <c r="B122" s="241" t="s">
        <v>447</v>
      </c>
      <c r="C122" s="354" t="s">
        <v>182</v>
      </c>
      <c r="D122" s="80">
        <f t="shared" si="421"/>
        <v>693059</v>
      </c>
      <c r="E122" s="295">
        <f t="shared" si="422"/>
        <v>693133</v>
      </c>
      <c r="F122" s="81">
        <v>668348</v>
      </c>
      <c r="G122" s="81">
        <f t="shared" si="423"/>
        <v>668348</v>
      </c>
      <c r="H122" s="81">
        <f t="shared" si="424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>
        <v>0</v>
      </c>
      <c r="AC122" s="81">
        <f t="shared" si="425"/>
        <v>0</v>
      </c>
      <c r="AD122" s="81">
        <f t="shared" si="426"/>
        <v>0</v>
      </c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>
        <v>24711</v>
      </c>
      <c r="AP122" s="81">
        <f t="shared" si="427"/>
        <v>24785</v>
      </c>
      <c r="AQ122" s="81">
        <f t="shared" si="428"/>
        <v>74</v>
      </c>
      <c r="AR122" s="81"/>
      <c r="AS122" s="81"/>
      <c r="AT122" s="81"/>
      <c r="AU122" s="81"/>
      <c r="AV122" s="81"/>
      <c r="AW122" s="81"/>
      <c r="AX122" s="81"/>
      <c r="AY122" s="81"/>
      <c r="AZ122" s="81">
        <v>74</v>
      </c>
      <c r="BA122" s="81"/>
      <c r="BB122" s="81">
        <v>0</v>
      </c>
      <c r="BC122" s="81">
        <f t="shared" si="429"/>
        <v>0</v>
      </c>
      <c r="BD122" s="98">
        <f t="shared" si="430"/>
        <v>0</v>
      </c>
      <c r="BE122" s="98"/>
      <c r="BF122" s="98"/>
      <c r="BG122" s="98"/>
      <c r="BH122" s="98"/>
      <c r="BI122" s="98"/>
      <c r="BJ122" s="81"/>
      <c r="BK122" s="81">
        <f t="shared" si="431"/>
        <v>0</v>
      </c>
      <c r="BL122" s="81">
        <f t="shared" si="432"/>
        <v>0</v>
      </c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82" t="s">
        <v>362</v>
      </c>
      <c r="BY122" s="85"/>
      <c r="BZ122" s="24"/>
    </row>
    <row r="123" spans="1:78" s="130" customFormat="1" x14ac:dyDescent="0.2">
      <c r="A123" s="108"/>
      <c r="B123" s="242"/>
      <c r="C123" s="285" t="s">
        <v>300</v>
      </c>
      <c r="D123" s="80">
        <f t="shared" si="421"/>
        <v>84488</v>
      </c>
      <c r="E123" s="295">
        <f t="shared" si="422"/>
        <v>84488</v>
      </c>
      <c r="F123" s="81">
        <v>55574</v>
      </c>
      <c r="G123" s="81">
        <f t="shared" si="423"/>
        <v>55574</v>
      </c>
      <c r="H123" s="81">
        <f t="shared" si="424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>
        <v>0</v>
      </c>
      <c r="AC123" s="81">
        <f t="shared" si="425"/>
        <v>0</v>
      </c>
      <c r="AD123" s="81">
        <f t="shared" si="426"/>
        <v>0</v>
      </c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>
        <v>28914</v>
      </c>
      <c r="AP123" s="81">
        <f t="shared" si="427"/>
        <v>28914</v>
      </c>
      <c r="AQ123" s="81">
        <f t="shared" si="428"/>
        <v>0</v>
      </c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>
        <v>0</v>
      </c>
      <c r="BC123" s="81">
        <f t="shared" si="429"/>
        <v>0</v>
      </c>
      <c r="BD123" s="98">
        <f t="shared" si="430"/>
        <v>0</v>
      </c>
      <c r="BE123" s="98"/>
      <c r="BF123" s="98"/>
      <c r="BG123" s="98"/>
      <c r="BH123" s="98"/>
      <c r="BI123" s="98"/>
      <c r="BJ123" s="81"/>
      <c r="BK123" s="81">
        <f t="shared" si="431"/>
        <v>0</v>
      </c>
      <c r="BL123" s="81">
        <f t="shared" si="432"/>
        <v>0</v>
      </c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82" t="s">
        <v>363</v>
      </c>
      <c r="BY123" s="85"/>
      <c r="BZ123" s="24"/>
    </row>
    <row r="124" spans="1:78" s="138" customFormat="1" ht="24" x14ac:dyDescent="0.2">
      <c r="A124" s="108"/>
      <c r="B124" s="242"/>
      <c r="C124" s="285" t="s">
        <v>446</v>
      </c>
      <c r="D124" s="80">
        <f t="shared" si="421"/>
        <v>99050</v>
      </c>
      <c r="E124" s="295">
        <f t="shared" si="422"/>
        <v>108320</v>
      </c>
      <c r="F124" s="81">
        <v>73405</v>
      </c>
      <c r="G124" s="81">
        <f t="shared" si="423"/>
        <v>81671</v>
      </c>
      <c r="H124" s="81">
        <f t="shared" si="424"/>
        <v>8266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>
        <v>8266</v>
      </c>
      <c r="AA124" s="81"/>
      <c r="AB124" s="81">
        <v>0</v>
      </c>
      <c r="AC124" s="81">
        <f t="shared" si="425"/>
        <v>0</v>
      </c>
      <c r="AD124" s="81">
        <f t="shared" si="426"/>
        <v>0</v>
      </c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>
        <v>25645</v>
      </c>
      <c r="AP124" s="81">
        <f t="shared" si="427"/>
        <v>26649</v>
      </c>
      <c r="AQ124" s="81">
        <f t="shared" si="428"/>
        <v>1004</v>
      </c>
      <c r="AR124" s="81">
        <v>1004</v>
      </c>
      <c r="AS124" s="81"/>
      <c r="AT124" s="81"/>
      <c r="AU124" s="81"/>
      <c r="AV124" s="81"/>
      <c r="AW124" s="81"/>
      <c r="AX124" s="81"/>
      <c r="AY124" s="81"/>
      <c r="AZ124" s="81"/>
      <c r="BA124" s="81"/>
      <c r="BB124" s="81">
        <v>0</v>
      </c>
      <c r="BC124" s="81">
        <f t="shared" si="429"/>
        <v>0</v>
      </c>
      <c r="BD124" s="98">
        <f t="shared" si="430"/>
        <v>0</v>
      </c>
      <c r="BE124" s="98"/>
      <c r="BF124" s="98"/>
      <c r="BG124" s="98"/>
      <c r="BH124" s="98"/>
      <c r="BI124" s="98"/>
      <c r="BJ124" s="81"/>
      <c r="BK124" s="81">
        <f t="shared" si="431"/>
        <v>0</v>
      </c>
      <c r="BL124" s="81">
        <f t="shared" si="432"/>
        <v>0</v>
      </c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82" t="s">
        <v>364</v>
      </c>
      <c r="BY124" s="85"/>
      <c r="BZ124" s="24"/>
    </row>
    <row r="125" spans="1:78" s="130" customFormat="1" x14ac:dyDescent="0.2">
      <c r="A125" s="108"/>
      <c r="B125" s="242"/>
      <c r="C125" s="285" t="s">
        <v>301</v>
      </c>
      <c r="D125" s="80">
        <f t="shared" si="421"/>
        <v>131617</v>
      </c>
      <c r="E125" s="295">
        <f t="shared" si="422"/>
        <v>131617</v>
      </c>
      <c r="F125" s="81">
        <v>74456</v>
      </c>
      <c r="G125" s="81">
        <f t="shared" si="423"/>
        <v>74456</v>
      </c>
      <c r="H125" s="81">
        <f t="shared" si="424"/>
        <v>0</v>
      </c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>
        <v>0</v>
      </c>
      <c r="AC125" s="81">
        <f t="shared" si="425"/>
        <v>0</v>
      </c>
      <c r="AD125" s="81">
        <f t="shared" si="426"/>
        <v>0</v>
      </c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>
        <v>57161</v>
      </c>
      <c r="AP125" s="81">
        <f t="shared" si="427"/>
        <v>57161</v>
      </c>
      <c r="AQ125" s="81">
        <f t="shared" si="428"/>
        <v>0</v>
      </c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>
        <v>0</v>
      </c>
      <c r="BC125" s="81">
        <f t="shared" si="429"/>
        <v>0</v>
      </c>
      <c r="BD125" s="98">
        <f t="shared" si="430"/>
        <v>0</v>
      </c>
      <c r="BE125" s="98"/>
      <c r="BF125" s="98"/>
      <c r="BG125" s="98"/>
      <c r="BH125" s="98"/>
      <c r="BI125" s="98"/>
      <c r="BJ125" s="81"/>
      <c r="BK125" s="81">
        <f t="shared" si="431"/>
        <v>0</v>
      </c>
      <c r="BL125" s="81">
        <f t="shared" si="432"/>
        <v>0</v>
      </c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82" t="s">
        <v>365</v>
      </c>
      <c r="BY125" s="85"/>
      <c r="BZ125" s="24"/>
    </row>
    <row r="126" spans="1:78" s="130" customFormat="1" x14ac:dyDescent="0.2">
      <c r="A126" s="108"/>
      <c r="B126" s="242"/>
      <c r="C126" s="285" t="s">
        <v>302</v>
      </c>
      <c r="D126" s="80">
        <f t="shared" si="421"/>
        <v>29426</v>
      </c>
      <c r="E126" s="295">
        <f t="shared" si="422"/>
        <v>33278</v>
      </c>
      <c r="F126" s="81">
        <v>12458</v>
      </c>
      <c r="G126" s="81">
        <f t="shared" si="423"/>
        <v>16310</v>
      </c>
      <c r="H126" s="81">
        <f t="shared" si="424"/>
        <v>3852</v>
      </c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>
        <v>3852</v>
      </c>
      <c r="AA126" s="81"/>
      <c r="AB126" s="81">
        <v>0</v>
      </c>
      <c r="AC126" s="81">
        <f t="shared" si="425"/>
        <v>0</v>
      </c>
      <c r="AD126" s="81">
        <f t="shared" si="426"/>
        <v>0</v>
      </c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>
        <v>16968</v>
      </c>
      <c r="AP126" s="81">
        <f t="shared" si="427"/>
        <v>16968</v>
      </c>
      <c r="AQ126" s="81">
        <f t="shared" si="428"/>
        <v>0</v>
      </c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>
        <v>0</v>
      </c>
      <c r="BC126" s="81">
        <f t="shared" si="429"/>
        <v>0</v>
      </c>
      <c r="BD126" s="98">
        <f t="shared" si="430"/>
        <v>0</v>
      </c>
      <c r="BE126" s="98"/>
      <c r="BF126" s="98"/>
      <c r="BG126" s="98"/>
      <c r="BH126" s="98"/>
      <c r="BI126" s="98"/>
      <c r="BJ126" s="81"/>
      <c r="BK126" s="81">
        <f t="shared" si="431"/>
        <v>0</v>
      </c>
      <c r="BL126" s="81">
        <f t="shared" si="432"/>
        <v>0</v>
      </c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82" t="s">
        <v>366</v>
      </c>
      <c r="BY126" s="85"/>
      <c r="BZ126" s="24"/>
    </row>
    <row r="127" spans="1:78" s="160" customFormat="1" x14ac:dyDescent="0.2">
      <c r="A127" s="108"/>
      <c r="B127" s="242"/>
      <c r="C127" s="285" t="s">
        <v>477</v>
      </c>
      <c r="D127" s="80">
        <f t="shared" si="421"/>
        <v>30041</v>
      </c>
      <c r="E127" s="295">
        <f t="shared" si="422"/>
        <v>31935</v>
      </c>
      <c r="F127" s="81">
        <v>16434</v>
      </c>
      <c r="G127" s="81">
        <f t="shared" si="423"/>
        <v>16434</v>
      </c>
      <c r="H127" s="81">
        <f t="shared" si="424"/>
        <v>0</v>
      </c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>
        <v>0</v>
      </c>
      <c r="AC127" s="81">
        <f t="shared" si="425"/>
        <v>0</v>
      </c>
      <c r="AD127" s="81">
        <f t="shared" si="426"/>
        <v>0</v>
      </c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>
        <v>13607</v>
      </c>
      <c r="AP127" s="81">
        <f t="shared" si="427"/>
        <v>15501</v>
      </c>
      <c r="AQ127" s="81">
        <f t="shared" si="428"/>
        <v>1894</v>
      </c>
      <c r="AR127" s="81">
        <v>1894</v>
      </c>
      <c r="AS127" s="81"/>
      <c r="AT127" s="81"/>
      <c r="AU127" s="81"/>
      <c r="AV127" s="81"/>
      <c r="AW127" s="81"/>
      <c r="AX127" s="81"/>
      <c r="AY127" s="81"/>
      <c r="AZ127" s="81"/>
      <c r="BA127" s="81"/>
      <c r="BB127" s="81">
        <v>0</v>
      </c>
      <c r="BC127" s="81">
        <f t="shared" si="429"/>
        <v>0</v>
      </c>
      <c r="BD127" s="98">
        <f t="shared" si="430"/>
        <v>0</v>
      </c>
      <c r="BE127" s="98"/>
      <c r="BF127" s="98"/>
      <c r="BG127" s="98"/>
      <c r="BH127" s="98"/>
      <c r="BI127" s="98"/>
      <c r="BJ127" s="81"/>
      <c r="BK127" s="81">
        <f t="shared" si="431"/>
        <v>0</v>
      </c>
      <c r="BL127" s="81">
        <f t="shared" si="432"/>
        <v>0</v>
      </c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82" t="s">
        <v>502</v>
      </c>
      <c r="BY127" s="85"/>
      <c r="BZ127" s="24"/>
    </row>
    <row r="128" spans="1:78" s="198" customFormat="1" ht="24" x14ac:dyDescent="0.2">
      <c r="A128" s="108"/>
      <c r="B128" s="242"/>
      <c r="C128" s="407" t="s">
        <v>511</v>
      </c>
      <c r="D128" s="80">
        <f t="shared" si="421"/>
        <v>0</v>
      </c>
      <c r="E128" s="295">
        <f t="shared" si="422"/>
        <v>83700</v>
      </c>
      <c r="F128" s="81"/>
      <c r="G128" s="81">
        <f t="shared" ref="G128" si="481">F128+H128</f>
        <v>83700</v>
      </c>
      <c r="H128" s="81">
        <f t="shared" ref="H128" si="482">SUM(I128:AA128)</f>
        <v>83700</v>
      </c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>
        <v>83700</v>
      </c>
      <c r="AA128" s="81"/>
      <c r="AB128" s="81"/>
      <c r="AC128" s="81">
        <f t="shared" ref="AC128" si="483">AB128+AD128</f>
        <v>0</v>
      </c>
      <c r="AD128" s="81">
        <f t="shared" ref="AD128" si="484">SUM(AE128:AN128)</f>
        <v>0</v>
      </c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>
        <f t="shared" ref="AP128" si="485">AO128+AQ128</f>
        <v>0</v>
      </c>
      <c r="AQ128" s="81">
        <f t="shared" ref="AQ128" si="486">SUM(AR128:BA128)</f>
        <v>0</v>
      </c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>
        <f t="shared" ref="BC128" si="487">BB128+BD128</f>
        <v>0</v>
      </c>
      <c r="BD128" s="98">
        <f t="shared" ref="BD128" si="488">SUM(BE128:BI128)</f>
        <v>0</v>
      </c>
      <c r="BE128" s="98"/>
      <c r="BF128" s="98"/>
      <c r="BG128" s="98"/>
      <c r="BH128" s="98"/>
      <c r="BI128" s="98"/>
      <c r="BJ128" s="81"/>
      <c r="BK128" s="81">
        <f t="shared" ref="BK128" si="489">BJ128+BL128</f>
        <v>0</v>
      </c>
      <c r="BL128" s="81">
        <f t="shared" ref="BL128" si="490">SUM(BM128:BW128)</f>
        <v>0</v>
      </c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82" t="s">
        <v>858</v>
      </c>
      <c r="BY128" s="85"/>
      <c r="BZ128" s="24"/>
    </row>
    <row r="129" spans="1:78" ht="24" customHeight="1" x14ac:dyDescent="0.2">
      <c r="A129" s="108">
        <v>90000056408</v>
      </c>
      <c r="B129" s="241" t="s">
        <v>16</v>
      </c>
      <c r="C129" s="285" t="s">
        <v>452</v>
      </c>
      <c r="D129" s="80">
        <f t="shared" si="421"/>
        <v>611988</v>
      </c>
      <c r="E129" s="295">
        <f t="shared" si="422"/>
        <v>617524</v>
      </c>
      <c r="F129" s="81">
        <v>592478</v>
      </c>
      <c r="G129" s="81">
        <f t="shared" si="423"/>
        <v>597033</v>
      </c>
      <c r="H129" s="81">
        <f t="shared" si="424"/>
        <v>4555</v>
      </c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>
        <v>4555</v>
      </c>
      <c r="X129" s="81"/>
      <c r="Y129" s="81"/>
      <c r="Z129" s="81"/>
      <c r="AA129" s="81"/>
      <c r="AB129" s="81">
        <v>0</v>
      </c>
      <c r="AC129" s="81">
        <f t="shared" si="425"/>
        <v>0</v>
      </c>
      <c r="AD129" s="81">
        <f t="shared" si="426"/>
        <v>0</v>
      </c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>
        <v>19510</v>
      </c>
      <c r="AP129" s="81">
        <f t="shared" si="427"/>
        <v>20491</v>
      </c>
      <c r="AQ129" s="81">
        <f t="shared" si="428"/>
        <v>981</v>
      </c>
      <c r="AR129" s="81">
        <v>450</v>
      </c>
      <c r="AS129" s="81"/>
      <c r="AT129" s="81"/>
      <c r="AU129" s="81"/>
      <c r="AV129" s="81"/>
      <c r="AW129" s="81"/>
      <c r="AX129" s="81"/>
      <c r="AY129" s="81">
        <v>531</v>
      </c>
      <c r="AZ129" s="81"/>
      <c r="BA129" s="81"/>
      <c r="BB129" s="81">
        <v>0</v>
      </c>
      <c r="BC129" s="81">
        <f t="shared" si="429"/>
        <v>0</v>
      </c>
      <c r="BD129" s="98">
        <f t="shared" si="430"/>
        <v>0</v>
      </c>
      <c r="BE129" s="98"/>
      <c r="BF129" s="98"/>
      <c r="BG129" s="98"/>
      <c r="BH129" s="98"/>
      <c r="BI129" s="98"/>
      <c r="BJ129" s="81"/>
      <c r="BK129" s="81">
        <f t="shared" si="431"/>
        <v>0</v>
      </c>
      <c r="BL129" s="81">
        <f t="shared" si="432"/>
        <v>0</v>
      </c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82" t="s">
        <v>367</v>
      </c>
      <c r="BY129" s="85"/>
      <c r="BZ129" s="24"/>
    </row>
    <row r="130" spans="1:78" ht="12.75" x14ac:dyDescent="0.2">
      <c r="A130" s="108"/>
      <c r="B130" s="243"/>
      <c r="C130" s="285" t="s">
        <v>279</v>
      </c>
      <c r="D130" s="80">
        <f t="shared" si="421"/>
        <v>45176</v>
      </c>
      <c r="E130" s="295">
        <f t="shared" si="422"/>
        <v>46308</v>
      </c>
      <c r="F130" s="81">
        <v>43921</v>
      </c>
      <c r="G130" s="81">
        <f t="shared" si="423"/>
        <v>45053</v>
      </c>
      <c r="H130" s="81">
        <f t="shared" si="424"/>
        <v>1132</v>
      </c>
      <c r="I130" s="81"/>
      <c r="J130" s="81"/>
      <c r="K130" s="81">
        <v>1132</v>
      </c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>
        <v>0</v>
      </c>
      <c r="AC130" s="81">
        <f t="shared" si="425"/>
        <v>0</v>
      </c>
      <c r="AD130" s="81">
        <f t="shared" si="426"/>
        <v>0</v>
      </c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>
        <v>1255</v>
      </c>
      <c r="AP130" s="81">
        <f t="shared" si="427"/>
        <v>1255</v>
      </c>
      <c r="AQ130" s="81">
        <f t="shared" si="428"/>
        <v>0</v>
      </c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>
        <v>0</v>
      </c>
      <c r="BC130" s="81">
        <f t="shared" si="429"/>
        <v>0</v>
      </c>
      <c r="BD130" s="98">
        <f t="shared" si="430"/>
        <v>0</v>
      </c>
      <c r="BE130" s="98"/>
      <c r="BF130" s="98"/>
      <c r="BG130" s="98"/>
      <c r="BH130" s="98"/>
      <c r="BI130" s="98"/>
      <c r="BJ130" s="81"/>
      <c r="BK130" s="81">
        <f t="shared" si="431"/>
        <v>0</v>
      </c>
      <c r="BL130" s="81">
        <f t="shared" si="432"/>
        <v>0</v>
      </c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82" t="s">
        <v>551</v>
      </c>
      <c r="BY130" s="85" t="s">
        <v>653</v>
      </c>
      <c r="BZ130" s="24"/>
    </row>
    <row r="131" spans="1:78" s="198" customFormat="1" ht="27.75" customHeight="1" x14ac:dyDescent="0.2">
      <c r="A131" s="108"/>
      <c r="B131" s="243"/>
      <c r="C131" s="378" t="s">
        <v>800</v>
      </c>
      <c r="D131" s="80">
        <f t="shared" ref="D131" si="491">F131+AB131+AO131+BB131+BJ131</f>
        <v>0</v>
      </c>
      <c r="E131" s="295">
        <f t="shared" ref="E131" si="492">G131+AC131+AP131+BC131+BK131</f>
        <v>4000</v>
      </c>
      <c r="F131" s="81"/>
      <c r="G131" s="81">
        <f t="shared" ref="G131" si="493">F131+H131</f>
        <v>4000</v>
      </c>
      <c r="H131" s="81">
        <f t="shared" ref="H131" si="494">SUM(I131:AA131)</f>
        <v>4000</v>
      </c>
      <c r="I131" s="81"/>
      <c r="J131" s="81"/>
      <c r="K131" s="81"/>
      <c r="L131" s="81"/>
      <c r="M131" s="81">
        <v>4000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>
        <f t="shared" ref="AC131" si="495">AB131+AD131</f>
        <v>0</v>
      </c>
      <c r="AD131" s="81">
        <f t="shared" ref="AD131" si="496">SUM(AE131:AN131)</f>
        <v>0</v>
      </c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>
        <f t="shared" ref="AP131" si="497">AO131+AQ131</f>
        <v>0</v>
      </c>
      <c r="AQ131" s="81">
        <f t="shared" ref="AQ131" si="498">SUM(AR131:BA131)</f>
        <v>0</v>
      </c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>
        <f t="shared" ref="BC131" si="499">BB131+BD131</f>
        <v>0</v>
      </c>
      <c r="BD131" s="98">
        <f t="shared" ref="BD131" si="500">SUM(BE131:BI131)</f>
        <v>0</v>
      </c>
      <c r="BE131" s="98"/>
      <c r="BF131" s="98"/>
      <c r="BG131" s="98"/>
      <c r="BH131" s="98"/>
      <c r="BI131" s="98"/>
      <c r="BJ131" s="81"/>
      <c r="BK131" s="81">
        <f t="shared" ref="BK131" si="501">BJ131+BL131</f>
        <v>0</v>
      </c>
      <c r="BL131" s="81">
        <f t="shared" ref="BL131" si="502">SUM(BM131:BW131)</f>
        <v>0</v>
      </c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82" t="s">
        <v>801</v>
      </c>
      <c r="BY131" s="85"/>
      <c r="BZ131" s="24"/>
    </row>
    <row r="132" spans="1:78" s="198" customFormat="1" ht="27.75" customHeight="1" x14ac:dyDescent="0.2">
      <c r="A132" s="108"/>
      <c r="B132" s="243"/>
      <c r="C132" s="378" t="s">
        <v>802</v>
      </c>
      <c r="D132" s="80">
        <f t="shared" ref="D132:D133" si="503">F132+AB132+AO132+BB132+BJ132</f>
        <v>0</v>
      </c>
      <c r="E132" s="295">
        <f t="shared" ref="E132:E133" si="504">G132+AC132+AP132+BC132+BK132</f>
        <v>2423</v>
      </c>
      <c r="F132" s="81"/>
      <c r="G132" s="81">
        <f t="shared" ref="G132" si="505">F132+H132</f>
        <v>2423</v>
      </c>
      <c r="H132" s="81">
        <f t="shared" ref="H132" si="506">SUM(I132:AA132)</f>
        <v>2423</v>
      </c>
      <c r="I132" s="81"/>
      <c r="J132" s="81"/>
      <c r="K132" s="81"/>
      <c r="L132" s="81"/>
      <c r="M132" s="81">
        <v>2423</v>
      </c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>
        <f t="shared" ref="AC132" si="507">AB132+AD132</f>
        <v>0</v>
      </c>
      <c r="AD132" s="81">
        <f t="shared" ref="AD132" si="508">SUM(AE132:AN132)</f>
        <v>0</v>
      </c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>
        <f t="shared" ref="AP132" si="509">AO132+AQ132</f>
        <v>0</v>
      </c>
      <c r="AQ132" s="81">
        <f t="shared" ref="AQ132" si="510">SUM(AR132:BA132)</f>
        <v>0</v>
      </c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>
        <f t="shared" ref="BC132" si="511">BB132+BD132</f>
        <v>0</v>
      </c>
      <c r="BD132" s="98">
        <f t="shared" ref="BD132" si="512">SUM(BE132:BI132)</f>
        <v>0</v>
      </c>
      <c r="BE132" s="98"/>
      <c r="BF132" s="98"/>
      <c r="BG132" s="98"/>
      <c r="BH132" s="98"/>
      <c r="BI132" s="98"/>
      <c r="BJ132" s="81"/>
      <c r="BK132" s="81">
        <f t="shared" ref="BK132" si="513">BJ132+BL132</f>
        <v>0</v>
      </c>
      <c r="BL132" s="81">
        <f t="shared" ref="BL132" si="514">SUM(BM132:BW132)</f>
        <v>0</v>
      </c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82" t="s">
        <v>803</v>
      </c>
      <c r="BY132" s="85"/>
      <c r="BZ132" s="24"/>
    </row>
    <row r="133" spans="1:78" s="198" customFormat="1" ht="36" x14ac:dyDescent="0.2">
      <c r="A133" s="108"/>
      <c r="B133" s="243"/>
      <c r="C133" s="404" t="s">
        <v>854</v>
      </c>
      <c r="D133" s="80">
        <f t="shared" si="503"/>
        <v>0</v>
      </c>
      <c r="E133" s="295">
        <f t="shared" si="504"/>
        <v>1500</v>
      </c>
      <c r="F133" s="81"/>
      <c r="G133" s="81">
        <f t="shared" ref="G133" si="515">F133+H133</f>
        <v>1500</v>
      </c>
      <c r="H133" s="81">
        <f t="shared" ref="H133" si="516">SUM(I133:AA133)</f>
        <v>1500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>
        <v>1500</v>
      </c>
      <c r="AA133" s="81"/>
      <c r="AB133" s="81"/>
      <c r="AC133" s="81">
        <f t="shared" ref="AC133" si="517">AB133+AD133</f>
        <v>0</v>
      </c>
      <c r="AD133" s="81">
        <f t="shared" ref="AD133" si="518">SUM(AE133:AN133)</f>
        <v>0</v>
      </c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>
        <f t="shared" ref="AP133" si="519">AO133+AQ133</f>
        <v>0</v>
      </c>
      <c r="AQ133" s="81">
        <f t="shared" ref="AQ133" si="520">SUM(AR133:BA133)</f>
        <v>0</v>
      </c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>
        <f t="shared" ref="BC133" si="521">BB133+BD133</f>
        <v>0</v>
      </c>
      <c r="BD133" s="98">
        <f t="shared" ref="BD133" si="522">SUM(BE133:BI133)</f>
        <v>0</v>
      </c>
      <c r="BE133" s="98"/>
      <c r="BF133" s="98"/>
      <c r="BG133" s="98"/>
      <c r="BH133" s="98"/>
      <c r="BI133" s="98"/>
      <c r="BJ133" s="81"/>
      <c r="BK133" s="81">
        <f t="shared" ref="BK133" si="523">BJ133+BL133</f>
        <v>0</v>
      </c>
      <c r="BL133" s="81">
        <f t="shared" ref="BL133" si="524">SUM(BM133:BW133)</f>
        <v>0</v>
      </c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82" t="s">
        <v>855</v>
      </c>
      <c r="BY133" s="85"/>
      <c r="BZ133" s="24"/>
    </row>
    <row r="134" spans="1:78" s="13" customFormat="1" ht="28.5" customHeight="1" x14ac:dyDescent="0.2">
      <c r="A134" s="109">
        <v>40003378932</v>
      </c>
      <c r="B134" s="241" t="s">
        <v>303</v>
      </c>
      <c r="C134" s="285" t="s">
        <v>460</v>
      </c>
      <c r="D134" s="80">
        <f t="shared" si="421"/>
        <v>954012</v>
      </c>
      <c r="E134" s="295">
        <f t="shared" si="422"/>
        <v>954012</v>
      </c>
      <c r="F134" s="81">
        <v>954012</v>
      </c>
      <c r="G134" s="81">
        <f t="shared" si="423"/>
        <v>954012</v>
      </c>
      <c r="H134" s="81">
        <f t="shared" si="424"/>
        <v>0</v>
      </c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>
        <v>0</v>
      </c>
      <c r="AC134" s="81">
        <f t="shared" si="425"/>
        <v>0</v>
      </c>
      <c r="AD134" s="81">
        <f t="shared" si="426"/>
        <v>0</v>
      </c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>
        <v>0</v>
      </c>
      <c r="AP134" s="81">
        <f t="shared" si="427"/>
        <v>0</v>
      </c>
      <c r="AQ134" s="81">
        <f t="shared" si="428"/>
        <v>0</v>
      </c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>
        <v>0</v>
      </c>
      <c r="BC134" s="81">
        <f t="shared" si="429"/>
        <v>0</v>
      </c>
      <c r="BD134" s="98">
        <f t="shared" si="430"/>
        <v>0</v>
      </c>
      <c r="BE134" s="98"/>
      <c r="BF134" s="98"/>
      <c r="BG134" s="98"/>
      <c r="BH134" s="98"/>
      <c r="BI134" s="98"/>
      <c r="BJ134" s="81"/>
      <c r="BK134" s="81">
        <f t="shared" si="431"/>
        <v>0</v>
      </c>
      <c r="BL134" s="81">
        <f t="shared" si="432"/>
        <v>0</v>
      </c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82" t="s">
        <v>368</v>
      </c>
      <c r="BY134" s="85"/>
      <c r="BZ134" s="24"/>
    </row>
    <row r="135" spans="1:78" ht="9" customHeight="1" thickBot="1" x14ac:dyDescent="0.25">
      <c r="A135" s="108"/>
      <c r="B135" s="216"/>
      <c r="C135" s="323"/>
      <c r="D135" s="71"/>
      <c r="E135" s="296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72"/>
      <c r="BD135" s="97"/>
      <c r="BE135" s="97"/>
      <c r="BF135" s="97"/>
      <c r="BG135" s="97"/>
      <c r="BH135" s="97"/>
      <c r="BI135" s="97"/>
      <c r="BJ135" s="72"/>
      <c r="BK135" s="264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73"/>
      <c r="BY135" s="86"/>
      <c r="BZ135" s="24"/>
    </row>
    <row r="136" spans="1:78" ht="12.75" thickBot="1" x14ac:dyDescent="0.25">
      <c r="A136" s="215" t="s">
        <v>17</v>
      </c>
      <c r="B136" s="125" t="s">
        <v>18</v>
      </c>
      <c r="C136" s="321"/>
      <c r="D136" s="11">
        <f>SUM(D137:D245)</f>
        <v>30693293</v>
      </c>
      <c r="E136" s="297">
        <f>SUM(E137:E245)</f>
        <v>32784189</v>
      </c>
      <c r="F136" s="9">
        <f>SUM(F137:F245)</f>
        <v>21453964</v>
      </c>
      <c r="G136" s="9">
        <f t="shared" ref="G136:AA136" si="525">SUM(G137:G245)</f>
        <v>22993835</v>
      </c>
      <c r="H136" s="9">
        <f t="shared" si="525"/>
        <v>1539871</v>
      </c>
      <c r="I136" s="9">
        <f t="shared" si="525"/>
        <v>51879</v>
      </c>
      <c r="J136" s="9">
        <f t="shared" ref="J136" si="526">SUM(J137:J245)</f>
        <v>7235</v>
      </c>
      <c r="K136" s="9">
        <f t="shared" si="525"/>
        <v>2695825</v>
      </c>
      <c r="L136" s="9">
        <f t="shared" si="525"/>
        <v>94686</v>
      </c>
      <c r="M136" s="9">
        <f t="shared" si="525"/>
        <v>18020</v>
      </c>
      <c r="N136" s="9">
        <f t="shared" si="525"/>
        <v>2025</v>
      </c>
      <c r="O136" s="9">
        <f t="shared" si="525"/>
        <v>0</v>
      </c>
      <c r="P136" s="9">
        <f t="shared" si="525"/>
        <v>0</v>
      </c>
      <c r="Q136" s="9">
        <f t="shared" si="525"/>
        <v>-119425</v>
      </c>
      <c r="R136" s="9">
        <f t="shared" si="525"/>
        <v>0</v>
      </c>
      <c r="S136" s="9">
        <f t="shared" si="525"/>
        <v>-1492064</v>
      </c>
      <c r="T136" s="9"/>
      <c r="U136" s="9">
        <f t="shared" si="525"/>
        <v>52333</v>
      </c>
      <c r="V136" s="9"/>
      <c r="W136" s="9">
        <f t="shared" si="525"/>
        <v>101208</v>
      </c>
      <c r="X136" s="9">
        <f t="shared" ref="X136" si="527">SUM(X137:X245)</f>
        <v>5100</v>
      </c>
      <c r="Y136" s="9">
        <f t="shared" si="525"/>
        <v>99617</v>
      </c>
      <c r="Z136" s="9">
        <f t="shared" ref="Z136" si="528">SUM(Z137:Z245)</f>
        <v>23432</v>
      </c>
      <c r="AA136" s="9">
        <f t="shared" si="525"/>
        <v>0</v>
      </c>
      <c r="AB136" s="9">
        <f>SUM(AB137:AB245)</f>
        <v>8765186</v>
      </c>
      <c r="AC136" s="9">
        <f t="shared" ref="AC136" si="529">SUM(AC137:AC245)</f>
        <v>9234271</v>
      </c>
      <c r="AD136" s="9">
        <f t="shared" ref="AD136" si="530">SUM(AD137:AD245)</f>
        <v>469085</v>
      </c>
      <c r="AE136" s="9">
        <f t="shared" ref="AE136" si="531">SUM(AE137:AE245)</f>
        <v>30354</v>
      </c>
      <c r="AF136" s="9">
        <f t="shared" ref="AF136" si="532">SUM(AF137:AF245)</f>
        <v>195405</v>
      </c>
      <c r="AG136" s="9">
        <f t="shared" ref="AG136" si="533">SUM(AG137:AG245)</f>
        <v>0</v>
      </c>
      <c r="AH136" s="9">
        <f t="shared" ref="AH136" si="534">SUM(AH137:AH245)</f>
        <v>642</v>
      </c>
      <c r="AI136" s="9">
        <f t="shared" ref="AI136" si="535">SUM(AI137:AI245)</f>
        <v>1806</v>
      </c>
      <c r="AJ136" s="9">
        <f t="shared" ref="AJ136" si="536">SUM(AJ137:AJ245)</f>
        <v>38122</v>
      </c>
      <c r="AK136" s="9">
        <f t="shared" ref="AK136" si="537">SUM(AK137:AK245)</f>
        <v>23307</v>
      </c>
      <c r="AL136" s="9">
        <f t="shared" ref="AL136" si="538">SUM(AL137:AL245)</f>
        <v>179449</v>
      </c>
      <c r="AM136" s="9">
        <f t="shared" ref="AM136" si="539">SUM(AM137:AM245)</f>
        <v>0</v>
      </c>
      <c r="AN136" s="9">
        <f t="shared" ref="AN136" si="540">SUM(AN137:AN245)</f>
        <v>0</v>
      </c>
      <c r="AO136" s="9">
        <f>SUM(AO137:AO245)</f>
        <v>494147</v>
      </c>
      <c r="AP136" s="96">
        <f t="shared" ref="AP136" si="541">SUM(AP137:AP245)</f>
        <v>583697</v>
      </c>
      <c r="AQ136" s="96">
        <f t="shared" ref="AQ136" si="542">SUM(AQ137:AQ245)</f>
        <v>89550</v>
      </c>
      <c r="AR136" s="96">
        <f t="shared" ref="AR136" si="543">SUM(AR137:AR245)</f>
        <v>52108</v>
      </c>
      <c r="AS136" s="96">
        <f t="shared" ref="AS136" si="544">SUM(AS137:AS245)</f>
        <v>0</v>
      </c>
      <c r="AT136" s="96">
        <f t="shared" ref="AT136" si="545">SUM(AT137:AT245)</f>
        <v>0</v>
      </c>
      <c r="AU136" s="96">
        <f t="shared" ref="AU136" si="546">SUM(AU137:AU245)</f>
        <v>0</v>
      </c>
      <c r="AV136" s="96">
        <f t="shared" ref="AV136" si="547">SUM(AV137:AV245)</f>
        <v>100</v>
      </c>
      <c r="AW136" s="96">
        <f t="shared" ref="AW136" si="548">SUM(AW137:AW245)</f>
        <v>0</v>
      </c>
      <c r="AX136" s="96">
        <f t="shared" ref="AX136" si="549">SUM(AX137:AX245)</f>
        <v>8922</v>
      </c>
      <c r="AY136" s="96">
        <f t="shared" ref="AY136" si="550">SUM(AY137:AY245)</f>
        <v>1475</v>
      </c>
      <c r="AZ136" s="96">
        <f t="shared" ref="AZ136" si="551">SUM(AZ137:AZ245)</f>
        <v>26945</v>
      </c>
      <c r="BA136" s="96">
        <f t="shared" ref="BA136" si="552">SUM(BA137:BA245)</f>
        <v>0</v>
      </c>
      <c r="BB136" s="96">
        <f>SUM(BB137:BB245)</f>
        <v>0</v>
      </c>
      <c r="BC136" s="9">
        <f t="shared" ref="BC136" si="553">SUM(BC137:BC245)</f>
        <v>31</v>
      </c>
      <c r="BD136" s="96">
        <f t="shared" ref="BD136" si="554">SUM(BD137:BD245)</f>
        <v>31</v>
      </c>
      <c r="BE136" s="96">
        <f t="shared" ref="BE136" si="555">SUM(BE137:BE245)</f>
        <v>31</v>
      </c>
      <c r="BF136" s="96">
        <f t="shared" ref="BF136" si="556">SUM(BF137:BF245)</f>
        <v>0</v>
      </c>
      <c r="BG136" s="96">
        <f t="shared" ref="BG136" si="557">SUM(BG137:BG245)</f>
        <v>0</v>
      </c>
      <c r="BH136" s="96">
        <f t="shared" ref="BH136" si="558">SUM(BH137:BH245)</f>
        <v>0</v>
      </c>
      <c r="BI136" s="96">
        <f t="shared" ref="BI136" si="559">SUM(BI137:BI245)</f>
        <v>0</v>
      </c>
      <c r="BJ136" s="9">
        <f>SUM(BJ137:BJ245)</f>
        <v>-20004</v>
      </c>
      <c r="BK136" s="310">
        <f t="shared" ref="BK136" si="560">SUM(BK137:BK245)</f>
        <v>-27645</v>
      </c>
      <c r="BL136" s="96">
        <f t="shared" ref="BL136" si="561">SUM(BL137:BL245)</f>
        <v>-7641</v>
      </c>
      <c r="BM136" s="96">
        <f t="shared" ref="BM136" si="562">SUM(BM137:BM245)</f>
        <v>0</v>
      </c>
      <c r="BN136" s="96">
        <f t="shared" ref="BN136" si="563">SUM(BN137:BN245)</f>
        <v>-6449</v>
      </c>
      <c r="BO136" s="96">
        <f t="shared" ref="BO136" si="564">SUM(BO137:BO245)</f>
        <v>0</v>
      </c>
      <c r="BP136" s="96">
        <f t="shared" ref="BP136" si="565">SUM(BP137:BP245)</f>
        <v>0</v>
      </c>
      <c r="BQ136" s="96">
        <f t="shared" ref="BQ136" si="566">SUM(BQ137:BQ245)</f>
        <v>0</v>
      </c>
      <c r="BR136" s="96">
        <f t="shared" ref="BR136" si="567">SUM(BR137:BR245)</f>
        <v>0</v>
      </c>
      <c r="BS136" s="96">
        <f t="shared" ref="BS136" si="568">SUM(BS137:BS245)</f>
        <v>0</v>
      </c>
      <c r="BT136" s="96">
        <f t="shared" ref="BT136" si="569">SUM(BT137:BT245)</f>
        <v>-49</v>
      </c>
      <c r="BU136" s="96">
        <f t="shared" ref="BU136" si="570">SUM(BU137:BU245)</f>
        <v>0</v>
      </c>
      <c r="BV136" s="96">
        <f t="shared" ref="BV136:BW136" si="571">SUM(BV137:BV245)</f>
        <v>-1143</v>
      </c>
      <c r="BW136" s="96">
        <f t="shared" si="571"/>
        <v>0</v>
      </c>
      <c r="BX136" s="12"/>
      <c r="BY136" s="87"/>
      <c r="BZ136" s="24"/>
    </row>
    <row r="137" spans="1:78" ht="12.75" customHeight="1" thickTop="1" x14ac:dyDescent="0.2">
      <c r="A137" s="108">
        <v>90000056357</v>
      </c>
      <c r="B137" s="247" t="s">
        <v>5</v>
      </c>
      <c r="C137" s="324" t="s">
        <v>182</v>
      </c>
      <c r="D137" s="80">
        <f t="shared" ref="D137:D211" si="572">F137+AB137+AO137+BB137+BJ137</f>
        <v>313321</v>
      </c>
      <c r="E137" s="295">
        <f t="shared" ref="E137:E211" si="573">G137+AC137+AP137+BC137+BK137</f>
        <v>332821</v>
      </c>
      <c r="F137" s="164">
        <v>313321</v>
      </c>
      <c r="G137" s="164">
        <f t="shared" ref="G137:G211" si="574">F137+H137</f>
        <v>332821</v>
      </c>
      <c r="H137" s="164">
        <f t="shared" ref="H137:H211" si="575">SUM(I137:AA137)</f>
        <v>19500</v>
      </c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>
        <v>5000</v>
      </c>
      <c r="T137" s="164"/>
      <c r="U137" s="164"/>
      <c r="V137" s="164"/>
      <c r="W137" s="164">
        <v>14500</v>
      </c>
      <c r="X137" s="164"/>
      <c r="Y137" s="164"/>
      <c r="Z137" s="164"/>
      <c r="AA137" s="164"/>
      <c r="AB137" s="164">
        <v>0</v>
      </c>
      <c r="AC137" s="164">
        <f t="shared" ref="AC137:AC211" si="576">AB137+AD137</f>
        <v>0</v>
      </c>
      <c r="AD137" s="164">
        <f t="shared" ref="AD137:AD211" si="577">SUM(AE137:AN137)</f>
        <v>0</v>
      </c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>
        <v>0</v>
      </c>
      <c r="AP137" s="164">
        <f t="shared" ref="AP137:AP211" si="578">AO137+AQ137</f>
        <v>0</v>
      </c>
      <c r="AQ137" s="164">
        <f t="shared" ref="AQ137:AQ211" si="579">SUM(AR137:BA137)</f>
        <v>0</v>
      </c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>
        <v>0</v>
      </c>
      <c r="BC137" s="81">
        <f t="shared" ref="BC137:BC211" si="580">BB137+BD137</f>
        <v>0</v>
      </c>
      <c r="BD137" s="98">
        <f t="shared" ref="BD137:BD211" si="581">SUM(BE137:BI137)</f>
        <v>0</v>
      </c>
      <c r="BE137" s="305"/>
      <c r="BF137" s="305"/>
      <c r="BG137" s="305"/>
      <c r="BH137" s="305"/>
      <c r="BI137" s="305"/>
      <c r="BJ137" s="164"/>
      <c r="BK137" s="81">
        <f t="shared" ref="BK137:BK211" si="582">BJ137+BL137</f>
        <v>0</v>
      </c>
      <c r="BL137" s="81">
        <f t="shared" ref="BL137:BL211" si="583">SUM(BM137:BW137)</f>
        <v>0</v>
      </c>
      <c r="BM137" s="305"/>
      <c r="BN137" s="305"/>
      <c r="BO137" s="305"/>
      <c r="BP137" s="305"/>
      <c r="BQ137" s="305"/>
      <c r="BR137" s="305"/>
      <c r="BS137" s="305"/>
      <c r="BT137" s="305"/>
      <c r="BU137" s="305"/>
      <c r="BV137" s="305"/>
      <c r="BW137" s="305"/>
      <c r="BX137" s="205" t="s">
        <v>339</v>
      </c>
      <c r="BY137" s="206"/>
      <c r="BZ137" s="24"/>
    </row>
    <row r="138" spans="1:78" s="162" customFormat="1" ht="15.75" customHeight="1" x14ac:dyDescent="0.2">
      <c r="A138" s="108"/>
      <c r="B138" s="244"/>
      <c r="C138" s="285" t="s">
        <v>217</v>
      </c>
      <c r="D138" s="80">
        <f t="shared" si="572"/>
        <v>8323</v>
      </c>
      <c r="E138" s="295">
        <f t="shared" si="573"/>
        <v>8323</v>
      </c>
      <c r="F138" s="81">
        <v>8323</v>
      </c>
      <c r="G138" s="81">
        <f t="shared" si="574"/>
        <v>8323</v>
      </c>
      <c r="H138" s="81">
        <f t="shared" si="575"/>
        <v>0</v>
      </c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>
        <v>0</v>
      </c>
      <c r="AC138" s="81">
        <f t="shared" si="576"/>
        <v>0</v>
      </c>
      <c r="AD138" s="81">
        <f t="shared" si="577"/>
        <v>0</v>
      </c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>
        <v>0</v>
      </c>
      <c r="AP138" s="81">
        <f t="shared" si="578"/>
        <v>0</v>
      </c>
      <c r="AQ138" s="81">
        <f t="shared" si="579"/>
        <v>0</v>
      </c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>
        <v>0</v>
      </c>
      <c r="BC138" s="81">
        <f t="shared" si="580"/>
        <v>0</v>
      </c>
      <c r="BD138" s="98">
        <f t="shared" si="581"/>
        <v>0</v>
      </c>
      <c r="BE138" s="199"/>
      <c r="BF138" s="199"/>
      <c r="BG138" s="199"/>
      <c r="BH138" s="199"/>
      <c r="BI138" s="199"/>
      <c r="BJ138" s="163"/>
      <c r="BK138" s="81">
        <f t="shared" si="582"/>
        <v>0</v>
      </c>
      <c r="BL138" s="81">
        <f t="shared" si="583"/>
        <v>0</v>
      </c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220" t="s">
        <v>340</v>
      </c>
      <c r="BY138" s="85" t="s">
        <v>684</v>
      </c>
      <c r="BZ138" s="24"/>
    </row>
    <row r="139" spans="1:78" ht="24" x14ac:dyDescent="0.2">
      <c r="A139" s="108"/>
      <c r="B139" s="244"/>
      <c r="C139" s="285" t="s">
        <v>238</v>
      </c>
      <c r="D139" s="80">
        <f t="shared" si="572"/>
        <v>250000</v>
      </c>
      <c r="E139" s="295">
        <f t="shared" si="573"/>
        <v>250000</v>
      </c>
      <c r="F139" s="81">
        <v>250000</v>
      </c>
      <c r="G139" s="81">
        <f t="shared" si="574"/>
        <v>250000</v>
      </c>
      <c r="H139" s="81">
        <f t="shared" si="575"/>
        <v>0</v>
      </c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>
        <v>0</v>
      </c>
      <c r="AC139" s="81">
        <f t="shared" si="576"/>
        <v>0</v>
      </c>
      <c r="AD139" s="81">
        <f t="shared" si="577"/>
        <v>0</v>
      </c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>
        <v>0</v>
      </c>
      <c r="AP139" s="81">
        <f t="shared" si="578"/>
        <v>0</v>
      </c>
      <c r="AQ139" s="81">
        <f t="shared" si="579"/>
        <v>0</v>
      </c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>
        <v>0</v>
      </c>
      <c r="BC139" s="81">
        <f t="shared" si="580"/>
        <v>0</v>
      </c>
      <c r="BD139" s="98">
        <f t="shared" si="581"/>
        <v>0</v>
      </c>
      <c r="BE139" s="81"/>
      <c r="BF139" s="81"/>
      <c r="BG139" s="81"/>
      <c r="BH139" s="81"/>
      <c r="BI139" s="81"/>
      <c r="BJ139" s="81"/>
      <c r="BK139" s="81">
        <f t="shared" si="582"/>
        <v>0</v>
      </c>
      <c r="BL139" s="81">
        <f t="shared" si="583"/>
        <v>0</v>
      </c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220" t="s">
        <v>341</v>
      </c>
      <c r="BY139" s="200" t="s">
        <v>567</v>
      </c>
      <c r="BZ139" s="24"/>
    </row>
    <row r="140" spans="1:78" s="161" customFormat="1" ht="14.25" customHeight="1" x14ac:dyDescent="0.2">
      <c r="A140" s="108"/>
      <c r="B140" s="244"/>
      <c r="C140" s="285" t="s">
        <v>479</v>
      </c>
      <c r="D140" s="80">
        <f t="shared" si="572"/>
        <v>160000</v>
      </c>
      <c r="E140" s="295">
        <f t="shared" si="573"/>
        <v>229594</v>
      </c>
      <c r="F140" s="81">
        <v>160000</v>
      </c>
      <c r="G140" s="81">
        <f t="shared" si="574"/>
        <v>229594</v>
      </c>
      <c r="H140" s="81">
        <f t="shared" si="575"/>
        <v>69594</v>
      </c>
      <c r="I140" s="81"/>
      <c r="J140" s="81"/>
      <c r="K140" s="81">
        <v>55134</v>
      </c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>
        <v>14460</v>
      </c>
      <c r="AA140" s="81"/>
      <c r="AB140" s="81">
        <v>0</v>
      </c>
      <c r="AC140" s="81">
        <f t="shared" si="576"/>
        <v>0</v>
      </c>
      <c r="AD140" s="81">
        <f t="shared" si="577"/>
        <v>0</v>
      </c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>
        <v>0</v>
      </c>
      <c r="AP140" s="81">
        <f t="shared" si="578"/>
        <v>0</v>
      </c>
      <c r="AQ140" s="81">
        <f t="shared" si="579"/>
        <v>0</v>
      </c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>
        <v>0</v>
      </c>
      <c r="BC140" s="81">
        <f t="shared" si="580"/>
        <v>0</v>
      </c>
      <c r="BD140" s="98">
        <f t="shared" si="581"/>
        <v>0</v>
      </c>
      <c r="BE140" s="81"/>
      <c r="BF140" s="81"/>
      <c r="BG140" s="81"/>
      <c r="BH140" s="81"/>
      <c r="BI140" s="81"/>
      <c r="BJ140" s="81"/>
      <c r="BK140" s="81">
        <f t="shared" si="582"/>
        <v>0</v>
      </c>
      <c r="BL140" s="81">
        <f t="shared" si="583"/>
        <v>0</v>
      </c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220" t="s">
        <v>342</v>
      </c>
      <c r="BY140" s="85" t="s">
        <v>684</v>
      </c>
      <c r="BZ140" s="24"/>
    </row>
    <row r="141" spans="1:78" s="161" customFormat="1" x14ac:dyDescent="0.2">
      <c r="A141" s="108"/>
      <c r="B141" s="244"/>
      <c r="C141" s="319" t="s">
        <v>480</v>
      </c>
      <c r="D141" s="80">
        <f t="shared" si="572"/>
        <v>38543</v>
      </c>
      <c r="E141" s="295">
        <f t="shared" si="573"/>
        <v>70567</v>
      </c>
      <c r="F141" s="163">
        <v>38543</v>
      </c>
      <c r="G141" s="163">
        <f t="shared" si="574"/>
        <v>70567</v>
      </c>
      <c r="H141" s="163">
        <f t="shared" si="575"/>
        <v>32024</v>
      </c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>
        <v>32024</v>
      </c>
      <c r="X141" s="163"/>
      <c r="Y141" s="163"/>
      <c r="Z141" s="163"/>
      <c r="AA141" s="163"/>
      <c r="AB141" s="163">
        <v>0</v>
      </c>
      <c r="AC141" s="163">
        <f t="shared" si="576"/>
        <v>0</v>
      </c>
      <c r="AD141" s="163">
        <f t="shared" si="577"/>
        <v>0</v>
      </c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>
        <v>0</v>
      </c>
      <c r="AP141" s="163">
        <f t="shared" si="578"/>
        <v>0</v>
      </c>
      <c r="AQ141" s="163">
        <f t="shared" si="579"/>
        <v>0</v>
      </c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>
        <v>0</v>
      </c>
      <c r="BC141" s="81">
        <f t="shared" si="580"/>
        <v>0</v>
      </c>
      <c r="BD141" s="98">
        <f t="shared" si="581"/>
        <v>0</v>
      </c>
      <c r="BE141" s="199"/>
      <c r="BF141" s="199"/>
      <c r="BG141" s="199"/>
      <c r="BH141" s="199"/>
      <c r="BI141" s="199"/>
      <c r="BJ141" s="163"/>
      <c r="BK141" s="81">
        <f t="shared" si="582"/>
        <v>0</v>
      </c>
      <c r="BL141" s="81">
        <f t="shared" si="583"/>
        <v>0</v>
      </c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220" t="s">
        <v>343</v>
      </c>
      <c r="BY141" s="85" t="s">
        <v>684</v>
      </c>
      <c r="BZ141" s="24"/>
    </row>
    <row r="142" spans="1:78" s="161" customFormat="1" x14ac:dyDescent="0.2">
      <c r="A142" s="108"/>
      <c r="B142" s="244"/>
      <c r="C142" s="285" t="s">
        <v>219</v>
      </c>
      <c r="D142" s="80">
        <f t="shared" si="572"/>
        <v>15520</v>
      </c>
      <c r="E142" s="295">
        <f t="shared" si="573"/>
        <v>17264</v>
      </c>
      <c r="F142" s="163">
        <v>15520</v>
      </c>
      <c r="G142" s="163">
        <f t="shared" si="574"/>
        <v>17264</v>
      </c>
      <c r="H142" s="163">
        <f t="shared" si="575"/>
        <v>1744</v>
      </c>
      <c r="I142" s="163"/>
      <c r="J142" s="163"/>
      <c r="K142" s="163"/>
      <c r="L142" s="163"/>
      <c r="M142" s="163"/>
      <c r="N142" s="163"/>
      <c r="O142" s="163"/>
      <c r="P142" s="163">
        <v>544</v>
      </c>
      <c r="Q142" s="163"/>
      <c r="R142" s="163"/>
      <c r="S142" s="163"/>
      <c r="T142" s="163"/>
      <c r="U142" s="163"/>
      <c r="V142" s="163"/>
      <c r="W142" s="163">
        <v>1200</v>
      </c>
      <c r="X142" s="163"/>
      <c r="Y142" s="163"/>
      <c r="Z142" s="163"/>
      <c r="AA142" s="163"/>
      <c r="AB142" s="163">
        <v>0</v>
      </c>
      <c r="AC142" s="163">
        <f t="shared" si="576"/>
        <v>0</v>
      </c>
      <c r="AD142" s="163">
        <f t="shared" si="577"/>
        <v>0</v>
      </c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>
        <v>0</v>
      </c>
      <c r="AP142" s="163">
        <f t="shared" si="578"/>
        <v>0</v>
      </c>
      <c r="AQ142" s="163">
        <f t="shared" si="579"/>
        <v>0</v>
      </c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>
        <v>0</v>
      </c>
      <c r="BC142" s="81">
        <f t="shared" si="580"/>
        <v>0</v>
      </c>
      <c r="BD142" s="98">
        <f t="shared" si="581"/>
        <v>0</v>
      </c>
      <c r="BE142" s="199"/>
      <c r="BF142" s="199"/>
      <c r="BG142" s="199"/>
      <c r="BH142" s="199"/>
      <c r="BI142" s="199"/>
      <c r="BJ142" s="163"/>
      <c r="BK142" s="81">
        <f t="shared" si="582"/>
        <v>0</v>
      </c>
      <c r="BL142" s="81">
        <f t="shared" si="583"/>
        <v>0</v>
      </c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220" t="s">
        <v>484</v>
      </c>
      <c r="BY142" s="85" t="s">
        <v>684</v>
      </c>
      <c r="BZ142" s="24"/>
    </row>
    <row r="143" spans="1:78" s="161" customFormat="1" ht="24" x14ac:dyDescent="0.2">
      <c r="A143" s="108"/>
      <c r="B143" s="244"/>
      <c r="C143" s="285" t="s">
        <v>506</v>
      </c>
      <c r="D143" s="80">
        <f t="shared" si="572"/>
        <v>140490</v>
      </c>
      <c r="E143" s="295">
        <f t="shared" si="573"/>
        <v>139887</v>
      </c>
      <c r="F143" s="163">
        <v>140490</v>
      </c>
      <c r="G143" s="163">
        <f t="shared" si="574"/>
        <v>139887</v>
      </c>
      <c r="H143" s="163">
        <f t="shared" si="575"/>
        <v>-603</v>
      </c>
      <c r="I143" s="163"/>
      <c r="J143" s="163"/>
      <c r="K143" s="163"/>
      <c r="L143" s="163"/>
      <c r="M143" s="163"/>
      <c r="N143" s="163"/>
      <c r="O143" s="163"/>
      <c r="P143" s="163">
        <v>-544</v>
      </c>
      <c r="Q143" s="163"/>
      <c r="R143" s="163"/>
      <c r="S143" s="163"/>
      <c r="T143" s="163"/>
      <c r="U143" s="163"/>
      <c r="V143" s="163"/>
      <c r="W143" s="163">
        <v>-59</v>
      </c>
      <c r="X143" s="163"/>
      <c r="Y143" s="163"/>
      <c r="Z143" s="163"/>
      <c r="AA143" s="163"/>
      <c r="AB143" s="163">
        <v>0</v>
      </c>
      <c r="AC143" s="163">
        <f t="shared" si="576"/>
        <v>0</v>
      </c>
      <c r="AD143" s="163">
        <f t="shared" si="577"/>
        <v>0</v>
      </c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>
        <v>0</v>
      </c>
      <c r="AP143" s="163">
        <f t="shared" si="578"/>
        <v>0</v>
      </c>
      <c r="AQ143" s="163">
        <f t="shared" si="579"/>
        <v>0</v>
      </c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>
        <v>0</v>
      </c>
      <c r="BC143" s="81">
        <f t="shared" si="580"/>
        <v>0</v>
      </c>
      <c r="BD143" s="98">
        <f t="shared" si="581"/>
        <v>0</v>
      </c>
      <c r="BE143" s="199"/>
      <c r="BF143" s="199"/>
      <c r="BG143" s="199"/>
      <c r="BH143" s="199"/>
      <c r="BI143" s="199"/>
      <c r="BJ143" s="163"/>
      <c r="BK143" s="81">
        <f t="shared" si="582"/>
        <v>0</v>
      </c>
      <c r="BL143" s="81">
        <f t="shared" si="583"/>
        <v>0</v>
      </c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220" t="s">
        <v>485</v>
      </c>
      <c r="BY143" s="85" t="s">
        <v>684</v>
      </c>
      <c r="BZ143" s="24"/>
    </row>
    <row r="144" spans="1:78" s="162" customFormat="1" ht="24" x14ac:dyDescent="0.2">
      <c r="A144" s="108"/>
      <c r="B144" s="244"/>
      <c r="C144" s="326" t="s">
        <v>256</v>
      </c>
      <c r="D144" s="80">
        <f t="shared" si="572"/>
        <v>1944678</v>
      </c>
      <c r="E144" s="295">
        <f t="shared" si="573"/>
        <v>426068</v>
      </c>
      <c r="F144" s="81">
        <v>1944678</v>
      </c>
      <c r="G144" s="81">
        <f t="shared" si="574"/>
        <v>426068</v>
      </c>
      <c r="H144" s="81">
        <f t="shared" si="575"/>
        <v>-1518610</v>
      </c>
      <c r="I144" s="81"/>
      <c r="J144" s="81"/>
      <c r="K144" s="81"/>
      <c r="L144" s="81"/>
      <c r="M144" s="81">
        <f>12541+14158</f>
        <v>26699</v>
      </c>
      <c r="N144" s="81"/>
      <c r="O144" s="81"/>
      <c r="P144" s="81"/>
      <c r="Q144" s="81"/>
      <c r="R144" s="81"/>
      <c r="S144" s="81">
        <v>-1596300</v>
      </c>
      <c r="T144" s="81"/>
      <c r="U144" s="81"/>
      <c r="V144" s="81"/>
      <c r="W144" s="81">
        <v>4826</v>
      </c>
      <c r="X144" s="81">
        <f>5100</f>
        <v>5100</v>
      </c>
      <c r="Y144" s="81">
        <f>41065</f>
        <v>41065</v>
      </c>
      <c r="Z144" s="81"/>
      <c r="AA144" s="81"/>
      <c r="AB144" s="81">
        <v>0</v>
      </c>
      <c r="AC144" s="81">
        <f t="shared" si="576"/>
        <v>0</v>
      </c>
      <c r="AD144" s="81">
        <f t="shared" si="577"/>
        <v>0</v>
      </c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>
        <v>0</v>
      </c>
      <c r="AP144" s="81">
        <f t="shared" si="578"/>
        <v>0</v>
      </c>
      <c r="AQ144" s="81">
        <f t="shared" si="579"/>
        <v>0</v>
      </c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>
        <v>0</v>
      </c>
      <c r="BC144" s="81">
        <f t="shared" si="580"/>
        <v>0</v>
      </c>
      <c r="BD144" s="98">
        <f t="shared" si="581"/>
        <v>0</v>
      </c>
      <c r="BE144" s="81"/>
      <c r="BF144" s="81"/>
      <c r="BG144" s="81"/>
      <c r="BH144" s="81"/>
      <c r="BI144" s="81"/>
      <c r="BJ144" s="81"/>
      <c r="BK144" s="81">
        <f t="shared" si="582"/>
        <v>0</v>
      </c>
      <c r="BL144" s="81">
        <f t="shared" si="583"/>
        <v>0</v>
      </c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220" t="s">
        <v>674</v>
      </c>
      <c r="BY144" s="200" t="s">
        <v>672</v>
      </c>
      <c r="BZ144" s="24"/>
    </row>
    <row r="145" spans="1:78" s="162" customFormat="1" ht="24" x14ac:dyDescent="0.2">
      <c r="A145" s="108"/>
      <c r="B145" s="244"/>
      <c r="C145" s="285" t="s">
        <v>257</v>
      </c>
      <c r="D145" s="80">
        <f t="shared" si="572"/>
        <v>1347428</v>
      </c>
      <c r="E145" s="295">
        <f t="shared" si="573"/>
        <v>725525</v>
      </c>
      <c r="F145" s="81">
        <v>1347428</v>
      </c>
      <c r="G145" s="81">
        <f t="shared" si="574"/>
        <v>725525</v>
      </c>
      <c r="H145" s="81">
        <f t="shared" si="575"/>
        <v>-621903</v>
      </c>
      <c r="I145" s="81"/>
      <c r="J145" s="81"/>
      <c r="K145" s="81">
        <f>3582-112869</f>
        <v>-109287</v>
      </c>
      <c r="L145" s="81"/>
      <c r="M145" s="81">
        <v>-5567</v>
      </c>
      <c r="N145" s="81"/>
      <c r="O145" s="81"/>
      <c r="P145" s="81"/>
      <c r="Q145" s="81"/>
      <c r="R145" s="81"/>
      <c r="S145" s="81">
        <f>-169645-300000-90000</f>
        <v>-559645</v>
      </c>
      <c r="T145" s="81"/>
      <c r="U145" s="81">
        <f>5549+27844</f>
        <v>33393</v>
      </c>
      <c r="V145" s="81"/>
      <c r="W145" s="81">
        <v>-1277</v>
      </c>
      <c r="X145" s="81"/>
      <c r="Y145" s="81">
        <f>20480</f>
        <v>20480</v>
      </c>
      <c r="Z145" s="81"/>
      <c r="AA145" s="81"/>
      <c r="AB145" s="81">
        <v>0</v>
      </c>
      <c r="AC145" s="81">
        <f t="shared" si="576"/>
        <v>0</v>
      </c>
      <c r="AD145" s="81">
        <f t="shared" si="577"/>
        <v>0</v>
      </c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>
        <v>0</v>
      </c>
      <c r="AP145" s="81">
        <f t="shared" si="578"/>
        <v>0</v>
      </c>
      <c r="AQ145" s="81">
        <f t="shared" si="579"/>
        <v>0</v>
      </c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>
        <v>0</v>
      </c>
      <c r="BC145" s="81">
        <f t="shared" si="580"/>
        <v>0</v>
      </c>
      <c r="BD145" s="98">
        <f t="shared" si="581"/>
        <v>0</v>
      </c>
      <c r="BE145" s="81"/>
      <c r="BF145" s="81"/>
      <c r="BG145" s="81"/>
      <c r="BH145" s="81"/>
      <c r="BI145" s="81"/>
      <c r="BJ145" s="81"/>
      <c r="BK145" s="81">
        <f t="shared" si="582"/>
        <v>0</v>
      </c>
      <c r="BL145" s="81">
        <f t="shared" si="583"/>
        <v>0</v>
      </c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220" t="s">
        <v>561</v>
      </c>
      <c r="BY145" s="200" t="s">
        <v>672</v>
      </c>
      <c r="BZ145" s="24"/>
    </row>
    <row r="146" spans="1:78" ht="24" x14ac:dyDescent="0.2">
      <c r="A146" s="108"/>
      <c r="B146" s="242"/>
      <c r="C146" s="285" t="s">
        <v>258</v>
      </c>
      <c r="D146" s="80">
        <f t="shared" si="572"/>
        <v>29206</v>
      </c>
      <c r="E146" s="295">
        <f t="shared" si="573"/>
        <v>36441</v>
      </c>
      <c r="F146" s="163">
        <v>29206</v>
      </c>
      <c r="G146" s="163">
        <f t="shared" si="574"/>
        <v>36441</v>
      </c>
      <c r="H146" s="163">
        <f t="shared" si="575"/>
        <v>7235</v>
      </c>
      <c r="I146" s="163"/>
      <c r="J146" s="163">
        <v>7235</v>
      </c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>
        <v>0</v>
      </c>
      <c r="AC146" s="163">
        <f t="shared" si="576"/>
        <v>0</v>
      </c>
      <c r="AD146" s="163">
        <f t="shared" si="577"/>
        <v>0</v>
      </c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>
        <v>0</v>
      </c>
      <c r="AP146" s="163">
        <f t="shared" si="578"/>
        <v>0</v>
      </c>
      <c r="AQ146" s="163">
        <f t="shared" si="579"/>
        <v>0</v>
      </c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>
        <v>0</v>
      </c>
      <c r="BC146" s="81">
        <f t="shared" si="580"/>
        <v>0</v>
      </c>
      <c r="BD146" s="98">
        <f t="shared" si="581"/>
        <v>0</v>
      </c>
      <c r="BE146" s="199"/>
      <c r="BF146" s="199"/>
      <c r="BG146" s="199"/>
      <c r="BH146" s="199"/>
      <c r="BI146" s="199"/>
      <c r="BJ146" s="81"/>
      <c r="BK146" s="81">
        <f t="shared" si="582"/>
        <v>0</v>
      </c>
      <c r="BL146" s="81">
        <f t="shared" si="583"/>
        <v>0</v>
      </c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82" t="s">
        <v>675</v>
      </c>
      <c r="BY146" s="200" t="s">
        <v>442</v>
      </c>
      <c r="BZ146" s="24"/>
    </row>
    <row r="147" spans="1:78" s="193" customFormat="1" ht="24" x14ac:dyDescent="0.2">
      <c r="A147" s="108"/>
      <c r="B147" s="242"/>
      <c r="C147" s="285" t="s">
        <v>543</v>
      </c>
      <c r="D147" s="80">
        <f t="shared" si="572"/>
        <v>14993</v>
      </c>
      <c r="E147" s="295">
        <f t="shared" si="573"/>
        <v>22793</v>
      </c>
      <c r="F147" s="163">
        <v>34272</v>
      </c>
      <c r="G147" s="163">
        <f t="shared" si="574"/>
        <v>49665</v>
      </c>
      <c r="H147" s="163">
        <f t="shared" si="575"/>
        <v>15393</v>
      </c>
      <c r="I147" s="163"/>
      <c r="J147" s="163"/>
      <c r="K147" s="163">
        <v>14250</v>
      </c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>
        <v>1143</v>
      </c>
      <c r="AA147" s="163"/>
      <c r="AB147" s="163">
        <v>0</v>
      </c>
      <c r="AC147" s="163">
        <f t="shared" si="576"/>
        <v>0</v>
      </c>
      <c r="AD147" s="163">
        <f t="shared" si="577"/>
        <v>0</v>
      </c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>
        <v>0</v>
      </c>
      <c r="AP147" s="163">
        <f t="shared" si="578"/>
        <v>0</v>
      </c>
      <c r="AQ147" s="163">
        <f t="shared" si="579"/>
        <v>0</v>
      </c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>
        <v>0</v>
      </c>
      <c r="BC147" s="81">
        <f t="shared" si="580"/>
        <v>0</v>
      </c>
      <c r="BD147" s="98">
        <f t="shared" si="581"/>
        <v>0</v>
      </c>
      <c r="BE147" s="199"/>
      <c r="BF147" s="199"/>
      <c r="BG147" s="199"/>
      <c r="BH147" s="199"/>
      <c r="BI147" s="199"/>
      <c r="BJ147" s="81">
        <v>-19279</v>
      </c>
      <c r="BK147" s="81">
        <f t="shared" si="582"/>
        <v>-26872</v>
      </c>
      <c r="BL147" s="81">
        <f t="shared" si="583"/>
        <v>-7593</v>
      </c>
      <c r="BM147" s="199"/>
      <c r="BN147" s="199">
        <v>-6450</v>
      </c>
      <c r="BO147" s="199"/>
      <c r="BP147" s="199"/>
      <c r="BQ147" s="199"/>
      <c r="BR147" s="199"/>
      <c r="BS147" s="199"/>
      <c r="BT147" s="199"/>
      <c r="BU147" s="199"/>
      <c r="BV147" s="199">
        <v>-1143</v>
      </c>
      <c r="BW147" s="199"/>
      <c r="BX147" s="82" t="s">
        <v>562</v>
      </c>
      <c r="BY147" s="200"/>
      <c r="BZ147" s="24"/>
    </row>
    <row r="148" spans="1:78" s="193" customFormat="1" ht="24" x14ac:dyDescent="0.2">
      <c r="A148" s="108"/>
      <c r="B148" s="242"/>
      <c r="C148" s="285" t="s">
        <v>544</v>
      </c>
      <c r="D148" s="80">
        <f t="shared" si="572"/>
        <v>167259</v>
      </c>
      <c r="E148" s="295">
        <f t="shared" si="573"/>
        <v>251277</v>
      </c>
      <c r="F148" s="163">
        <v>167259</v>
      </c>
      <c r="G148" s="163">
        <f t="shared" si="574"/>
        <v>251277</v>
      </c>
      <c r="H148" s="163">
        <f t="shared" si="575"/>
        <v>84018</v>
      </c>
      <c r="I148" s="163"/>
      <c r="J148" s="163"/>
      <c r="K148" s="163">
        <v>8047</v>
      </c>
      <c r="L148" s="163"/>
      <c r="M148" s="163"/>
      <c r="N148" s="163"/>
      <c r="O148" s="163"/>
      <c r="P148" s="163"/>
      <c r="Q148" s="163"/>
      <c r="R148" s="163"/>
      <c r="S148" s="163">
        <v>60839</v>
      </c>
      <c r="T148" s="163"/>
      <c r="U148" s="163"/>
      <c r="V148" s="163"/>
      <c r="W148" s="163"/>
      <c r="X148" s="163"/>
      <c r="Y148" s="163"/>
      <c r="Z148" s="163">
        <v>15132</v>
      </c>
      <c r="AA148" s="163"/>
      <c r="AB148" s="163">
        <v>0</v>
      </c>
      <c r="AC148" s="163">
        <f t="shared" si="576"/>
        <v>0</v>
      </c>
      <c r="AD148" s="163">
        <f t="shared" si="577"/>
        <v>0</v>
      </c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>
        <v>0</v>
      </c>
      <c r="AP148" s="163">
        <f t="shared" si="578"/>
        <v>0</v>
      </c>
      <c r="AQ148" s="163">
        <f t="shared" si="579"/>
        <v>0</v>
      </c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>
        <v>0</v>
      </c>
      <c r="BC148" s="81">
        <f t="shared" si="580"/>
        <v>0</v>
      </c>
      <c r="BD148" s="98">
        <f t="shared" si="581"/>
        <v>0</v>
      </c>
      <c r="BE148" s="199"/>
      <c r="BF148" s="199"/>
      <c r="BG148" s="199"/>
      <c r="BH148" s="199"/>
      <c r="BI148" s="199"/>
      <c r="BJ148" s="81"/>
      <c r="BK148" s="81">
        <f t="shared" si="582"/>
        <v>0</v>
      </c>
      <c r="BL148" s="81">
        <f t="shared" si="583"/>
        <v>0</v>
      </c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82" t="s">
        <v>563</v>
      </c>
      <c r="BY148" s="200"/>
      <c r="BZ148" s="24"/>
    </row>
    <row r="149" spans="1:78" s="198" customFormat="1" x14ac:dyDescent="0.2">
      <c r="A149" s="108"/>
      <c r="B149" s="242"/>
      <c r="C149" s="285" t="s">
        <v>628</v>
      </c>
      <c r="D149" s="80">
        <f t="shared" si="572"/>
        <v>1715</v>
      </c>
      <c r="E149" s="295">
        <f t="shared" si="573"/>
        <v>1715</v>
      </c>
      <c r="F149" s="163">
        <v>1715</v>
      </c>
      <c r="G149" s="163">
        <f t="shared" si="574"/>
        <v>1715</v>
      </c>
      <c r="H149" s="163">
        <f t="shared" si="575"/>
        <v>0</v>
      </c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>
        <v>0</v>
      </c>
      <c r="AC149" s="163">
        <f t="shared" si="576"/>
        <v>0</v>
      </c>
      <c r="AD149" s="163">
        <f t="shared" si="577"/>
        <v>0</v>
      </c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>
        <v>0</v>
      </c>
      <c r="AP149" s="163">
        <f t="shared" si="578"/>
        <v>0</v>
      </c>
      <c r="AQ149" s="163">
        <f t="shared" si="579"/>
        <v>0</v>
      </c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>
        <v>0</v>
      </c>
      <c r="BC149" s="81">
        <f t="shared" si="580"/>
        <v>0</v>
      </c>
      <c r="BD149" s="98">
        <f t="shared" si="581"/>
        <v>0</v>
      </c>
      <c r="BE149" s="199"/>
      <c r="BF149" s="199"/>
      <c r="BG149" s="199"/>
      <c r="BH149" s="199"/>
      <c r="BI149" s="199"/>
      <c r="BJ149" s="81"/>
      <c r="BK149" s="81">
        <f t="shared" si="582"/>
        <v>0</v>
      </c>
      <c r="BL149" s="81">
        <f t="shared" si="583"/>
        <v>0</v>
      </c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199"/>
      <c r="BW149" s="199"/>
      <c r="BX149" s="82" t="s">
        <v>676</v>
      </c>
      <c r="BY149" s="200"/>
      <c r="BZ149" s="24"/>
    </row>
    <row r="150" spans="1:78" s="198" customFormat="1" ht="36" x14ac:dyDescent="0.2">
      <c r="A150" s="108"/>
      <c r="B150" s="242"/>
      <c r="C150" s="285" t="s">
        <v>629</v>
      </c>
      <c r="D150" s="80">
        <f t="shared" si="572"/>
        <v>1076321</v>
      </c>
      <c r="E150" s="295">
        <f t="shared" si="573"/>
        <v>1080375</v>
      </c>
      <c r="F150" s="163">
        <v>1076321</v>
      </c>
      <c r="G150" s="163">
        <f t="shared" si="574"/>
        <v>1080375</v>
      </c>
      <c r="H150" s="163">
        <f t="shared" si="575"/>
        <v>4054</v>
      </c>
      <c r="I150" s="163"/>
      <c r="J150" s="163"/>
      <c r="K150" s="163">
        <v>9361</v>
      </c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>
        <v>-5307</v>
      </c>
      <c r="Z150" s="163"/>
      <c r="AA150" s="163"/>
      <c r="AB150" s="163">
        <v>0</v>
      </c>
      <c r="AC150" s="163">
        <f t="shared" si="576"/>
        <v>0</v>
      </c>
      <c r="AD150" s="163">
        <f t="shared" si="577"/>
        <v>0</v>
      </c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>
        <v>0</v>
      </c>
      <c r="AP150" s="163">
        <f t="shared" si="578"/>
        <v>0</v>
      </c>
      <c r="AQ150" s="163">
        <f t="shared" si="579"/>
        <v>0</v>
      </c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>
        <v>0</v>
      </c>
      <c r="BC150" s="81">
        <f t="shared" si="580"/>
        <v>0</v>
      </c>
      <c r="BD150" s="98">
        <f t="shared" si="581"/>
        <v>0</v>
      </c>
      <c r="BE150" s="199"/>
      <c r="BF150" s="199"/>
      <c r="BG150" s="199"/>
      <c r="BH150" s="199"/>
      <c r="BI150" s="199"/>
      <c r="BJ150" s="81"/>
      <c r="BK150" s="81">
        <f t="shared" si="582"/>
        <v>0</v>
      </c>
      <c r="BL150" s="81">
        <f t="shared" si="583"/>
        <v>0</v>
      </c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82" t="s">
        <v>677</v>
      </c>
      <c r="BY150" s="200"/>
      <c r="BZ150" s="24"/>
    </row>
    <row r="151" spans="1:78" s="198" customFormat="1" ht="36" x14ac:dyDescent="0.2">
      <c r="A151" s="108"/>
      <c r="B151" s="242"/>
      <c r="C151" s="285" t="s">
        <v>630</v>
      </c>
      <c r="D151" s="80">
        <f t="shared" si="572"/>
        <v>162981</v>
      </c>
      <c r="E151" s="295">
        <f t="shared" si="573"/>
        <v>168042</v>
      </c>
      <c r="F151" s="163">
        <v>162981</v>
      </c>
      <c r="G151" s="163">
        <f t="shared" si="574"/>
        <v>168042</v>
      </c>
      <c r="H151" s="163">
        <f t="shared" si="575"/>
        <v>5061</v>
      </c>
      <c r="I151" s="163"/>
      <c r="J151" s="163"/>
      <c r="K151" s="163">
        <v>5061</v>
      </c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>
        <v>0</v>
      </c>
      <c r="AC151" s="163">
        <f t="shared" si="576"/>
        <v>0</v>
      </c>
      <c r="AD151" s="163">
        <f t="shared" si="577"/>
        <v>0</v>
      </c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>
        <v>0</v>
      </c>
      <c r="AP151" s="163">
        <f t="shared" si="578"/>
        <v>0</v>
      </c>
      <c r="AQ151" s="163">
        <f t="shared" si="579"/>
        <v>0</v>
      </c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>
        <v>0</v>
      </c>
      <c r="BC151" s="81">
        <f t="shared" si="580"/>
        <v>0</v>
      </c>
      <c r="BD151" s="98">
        <f t="shared" si="581"/>
        <v>0</v>
      </c>
      <c r="BE151" s="199"/>
      <c r="BF151" s="199"/>
      <c r="BG151" s="199"/>
      <c r="BH151" s="199"/>
      <c r="BI151" s="199"/>
      <c r="BJ151" s="81"/>
      <c r="BK151" s="81">
        <f t="shared" si="582"/>
        <v>0</v>
      </c>
      <c r="BL151" s="81">
        <f t="shared" si="583"/>
        <v>0</v>
      </c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199"/>
      <c r="BX151" s="82" t="s">
        <v>678</v>
      </c>
      <c r="BY151" s="200"/>
      <c r="BZ151" s="24"/>
    </row>
    <row r="152" spans="1:78" s="198" customFormat="1" ht="27" customHeight="1" x14ac:dyDescent="0.2">
      <c r="A152" s="108"/>
      <c r="B152" s="242"/>
      <c r="C152" s="285" t="s">
        <v>631</v>
      </c>
      <c r="D152" s="80">
        <f t="shared" si="572"/>
        <v>1075004</v>
      </c>
      <c r="E152" s="295">
        <f t="shared" si="573"/>
        <v>1078358</v>
      </c>
      <c r="F152" s="163">
        <v>1075004</v>
      </c>
      <c r="G152" s="163">
        <f t="shared" si="574"/>
        <v>1078358</v>
      </c>
      <c r="H152" s="163">
        <f t="shared" si="575"/>
        <v>3354</v>
      </c>
      <c r="I152" s="163"/>
      <c r="J152" s="163"/>
      <c r="K152" s="163">
        <v>6466</v>
      </c>
      <c r="L152" s="163"/>
      <c r="M152" s="163">
        <v>-3112</v>
      </c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>
        <v>0</v>
      </c>
      <c r="AC152" s="163">
        <f t="shared" si="576"/>
        <v>0</v>
      </c>
      <c r="AD152" s="163">
        <f t="shared" si="577"/>
        <v>0</v>
      </c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>
        <v>0</v>
      </c>
      <c r="AP152" s="163">
        <f t="shared" si="578"/>
        <v>0</v>
      </c>
      <c r="AQ152" s="163">
        <f t="shared" si="579"/>
        <v>0</v>
      </c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>
        <v>0</v>
      </c>
      <c r="BC152" s="81">
        <f t="shared" si="580"/>
        <v>0</v>
      </c>
      <c r="BD152" s="98">
        <f t="shared" si="581"/>
        <v>0</v>
      </c>
      <c r="BE152" s="199"/>
      <c r="BF152" s="199"/>
      <c r="BG152" s="199"/>
      <c r="BH152" s="199"/>
      <c r="BI152" s="199"/>
      <c r="BJ152" s="81"/>
      <c r="BK152" s="81">
        <f t="shared" si="582"/>
        <v>0</v>
      </c>
      <c r="BL152" s="81">
        <f t="shared" si="583"/>
        <v>0</v>
      </c>
      <c r="BM152" s="199"/>
      <c r="BN152" s="199"/>
      <c r="BO152" s="199"/>
      <c r="BP152" s="199"/>
      <c r="BQ152" s="199"/>
      <c r="BR152" s="199"/>
      <c r="BS152" s="199"/>
      <c r="BT152" s="199"/>
      <c r="BU152" s="199"/>
      <c r="BV152" s="199"/>
      <c r="BW152" s="199"/>
      <c r="BX152" s="82" t="s">
        <v>679</v>
      </c>
      <c r="BY152" s="200"/>
      <c r="BZ152" s="24"/>
    </row>
    <row r="153" spans="1:78" s="198" customFormat="1" ht="25.5" customHeight="1" x14ac:dyDescent="0.2">
      <c r="A153" s="108"/>
      <c r="B153" s="242"/>
      <c r="C153" s="285" t="s">
        <v>632</v>
      </c>
      <c r="D153" s="80">
        <f t="shared" si="572"/>
        <v>58050</v>
      </c>
      <c r="E153" s="295">
        <f t="shared" si="573"/>
        <v>58050</v>
      </c>
      <c r="F153" s="163">
        <v>58050</v>
      </c>
      <c r="G153" s="163">
        <f t="shared" si="574"/>
        <v>58050</v>
      </c>
      <c r="H153" s="163">
        <f t="shared" si="575"/>
        <v>0</v>
      </c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>
        <v>0</v>
      </c>
      <c r="AC153" s="163">
        <f t="shared" si="576"/>
        <v>0</v>
      </c>
      <c r="AD153" s="163">
        <f t="shared" si="577"/>
        <v>0</v>
      </c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>
        <v>0</v>
      </c>
      <c r="AP153" s="163">
        <f t="shared" si="578"/>
        <v>0</v>
      </c>
      <c r="AQ153" s="163">
        <f t="shared" si="579"/>
        <v>0</v>
      </c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>
        <v>0</v>
      </c>
      <c r="BC153" s="81">
        <f t="shared" si="580"/>
        <v>0</v>
      </c>
      <c r="BD153" s="98">
        <f t="shared" si="581"/>
        <v>0</v>
      </c>
      <c r="BE153" s="199"/>
      <c r="BF153" s="199"/>
      <c r="BG153" s="199"/>
      <c r="BH153" s="199"/>
      <c r="BI153" s="199"/>
      <c r="BJ153" s="81"/>
      <c r="BK153" s="81">
        <f t="shared" si="582"/>
        <v>0</v>
      </c>
      <c r="BL153" s="81">
        <f t="shared" si="583"/>
        <v>0</v>
      </c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199"/>
      <c r="BW153" s="199"/>
      <c r="BX153" s="82" t="s">
        <v>680</v>
      </c>
      <c r="BY153" s="200"/>
      <c r="BZ153" s="24"/>
    </row>
    <row r="154" spans="1:78" s="198" customFormat="1" ht="24" x14ac:dyDescent="0.2">
      <c r="A154" s="108"/>
      <c r="B154" s="242"/>
      <c r="C154" s="285" t="s">
        <v>703</v>
      </c>
      <c r="D154" s="80">
        <f t="shared" si="572"/>
        <v>942</v>
      </c>
      <c r="E154" s="295">
        <f t="shared" si="573"/>
        <v>942</v>
      </c>
      <c r="F154" s="163">
        <v>942</v>
      </c>
      <c r="G154" s="163">
        <f t="shared" si="574"/>
        <v>942</v>
      </c>
      <c r="H154" s="163">
        <f t="shared" si="575"/>
        <v>0</v>
      </c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>
        <v>0</v>
      </c>
      <c r="AC154" s="163">
        <f t="shared" si="576"/>
        <v>0</v>
      </c>
      <c r="AD154" s="163">
        <f t="shared" si="577"/>
        <v>0</v>
      </c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>
        <v>0</v>
      </c>
      <c r="AP154" s="163">
        <f t="shared" si="578"/>
        <v>0</v>
      </c>
      <c r="AQ154" s="163">
        <f t="shared" si="579"/>
        <v>0</v>
      </c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>
        <v>0</v>
      </c>
      <c r="BC154" s="81">
        <f t="shared" si="580"/>
        <v>0</v>
      </c>
      <c r="BD154" s="98">
        <f t="shared" si="581"/>
        <v>0</v>
      </c>
      <c r="BE154" s="199"/>
      <c r="BF154" s="199"/>
      <c r="BG154" s="199"/>
      <c r="BH154" s="199"/>
      <c r="BI154" s="199"/>
      <c r="BJ154" s="81"/>
      <c r="BK154" s="81">
        <f t="shared" si="582"/>
        <v>0</v>
      </c>
      <c r="BL154" s="81">
        <f t="shared" si="583"/>
        <v>0</v>
      </c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199"/>
      <c r="BW154" s="199"/>
      <c r="BX154" s="82" t="s">
        <v>681</v>
      </c>
      <c r="BY154" s="200"/>
      <c r="BZ154" s="24"/>
    </row>
    <row r="155" spans="1:78" s="198" customFormat="1" ht="36" x14ac:dyDescent="0.2">
      <c r="A155" s="108"/>
      <c r="B155" s="242"/>
      <c r="C155" s="337" t="s">
        <v>743</v>
      </c>
      <c r="D155" s="80">
        <f t="shared" ref="D155" si="584">F155+AB155+AO155+BB155+BJ155</f>
        <v>0</v>
      </c>
      <c r="E155" s="295">
        <f t="shared" ref="E155" si="585">G155+AC155+AP155+BC155+BK155</f>
        <v>37880</v>
      </c>
      <c r="F155" s="163"/>
      <c r="G155" s="163">
        <f t="shared" ref="G155" si="586">F155+H155</f>
        <v>37880</v>
      </c>
      <c r="H155" s="163">
        <f t="shared" ref="H155" si="587">SUM(I155:AA155)</f>
        <v>37880</v>
      </c>
      <c r="I155" s="163">
        <v>37880</v>
      </c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>
        <f t="shared" ref="AC155" si="588">AB155+AD155</f>
        <v>0</v>
      </c>
      <c r="AD155" s="163">
        <f t="shared" ref="AD155" si="589">SUM(AE155:AN155)</f>
        <v>0</v>
      </c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>
        <f t="shared" ref="AP155" si="590">AO155+AQ155</f>
        <v>0</v>
      </c>
      <c r="AQ155" s="163">
        <f t="shared" ref="AQ155" si="591">SUM(AR155:BA155)</f>
        <v>0</v>
      </c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81">
        <f t="shared" ref="BC155" si="592">BB155+BD155</f>
        <v>0</v>
      </c>
      <c r="BD155" s="98">
        <f t="shared" ref="BD155" si="593">SUM(BE155:BI155)</f>
        <v>0</v>
      </c>
      <c r="BE155" s="199"/>
      <c r="BF155" s="199"/>
      <c r="BG155" s="199"/>
      <c r="BH155" s="199"/>
      <c r="BI155" s="199"/>
      <c r="BJ155" s="81"/>
      <c r="BK155" s="81">
        <f t="shared" ref="BK155" si="594">BJ155+BL155</f>
        <v>0</v>
      </c>
      <c r="BL155" s="81">
        <f t="shared" ref="BL155" si="595">SUM(BM155:BW155)</f>
        <v>0</v>
      </c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199"/>
      <c r="BW155" s="199"/>
      <c r="BX155" s="82" t="s">
        <v>744</v>
      </c>
      <c r="BY155" s="200"/>
      <c r="BZ155" s="24"/>
    </row>
    <row r="156" spans="1:78" s="198" customFormat="1" x14ac:dyDescent="0.2">
      <c r="A156" s="108"/>
      <c r="B156" s="242"/>
      <c r="C156" s="344" t="s">
        <v>768</v>
      </c>
      <c r="D156" s="80">
        <f t="shared" ref="D156" si="596">F156+AB156+AO156+BB156+BJ156</f>
        <v>0</v>
      </c>
      <c r="E156" s="295">
        <f t="shared" ref="E156" si="597">G156+AC156+AP156+BC156+BK156</f>
        <v>0</v>
      </c>
      <c r="F156" s="163"/>
      <c r="G156" s="163">
        <f t="shared" ref="G156" si="598">F156+H156</f>
        <v>0</v>
      </c>
      <c r="H156" s="163">
        <f t="shared" ref="H156" si="599">SUM(I156:AA156)</f>
        <v>0</v>
      </c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>
        <f t="shared" ref="AC156" si="600">AB156+AD156</f>
        <v>0</v>
      </c>
      <c r="AD156" s="163">
        <f t="shared" ref="AD156" si="601">SUM(AE156:AN156)</f>
        <v>0</v>
      </c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>
        <f t="shared" ref="AP156" si="602">AO156+AQ156</f>
        <v>0</v>
      </c>
      <c r="AQ156" s="163">
        <f t="shared" ref="AQ156" si="603">SUM(AR156:BA156)</f>
        <v>0</v>
      </c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81">
        <f t="shared" ref="BC156" si="604">BB156+BD156</f>
        <v>0</v>
      </c>
      <c r="BD156" s="98">
        <f t="shared" ref="BD156" si="605">SUM(BE156:BI156)</f>
        <v>0</v>
      </c>
      <c r="BE156" s="199"/>
      <c r="BF156" s="199"/>
      <c r="BG156" s="199"/>
      <c r="BH156" s="199"/>
      <c r="BI156" s="199"/>
      <c r="BJ156" s="81"/>
      <c r="BK156" s="81">
        <f t="shared" ref="BK156" si="606">BJ156+BL156</f>
        <v>0</v>
      </c>
      <c r="BL156" s="81">
        <f t="shared" ref="BL156" si="607">SUM(BM156:BW156)</f>
        <v>0</v>
      </c>
      <c r="BM156" s="199"/>
      <c r="BN156" s="199"/>
      <c r="BO156" s="199"/>
      <c r="BP156" s="199"/>
      <c r="BQ156" s="199"/>
      <c r="BR156" s="199"/>
      <c r="BS156" s="199"/>
      <c r="BT156" s="199"/>
      <c r="BU156" s="199"/>
      <c r="BV156" s="199"/>
      <c r="BW156" s="199"/>
      <c r="BX156" s="82" t="s">
        <v>769</v>
      </c>
      <c r="BY156" s="200"/>
      <c r="BZ156" s="24"/>
    </row>
    <row r="157" spans="1:78" s="198" customFormat="1" ht="36" x14ac:dyDescent="0.2">
      <c r="A157" s="108"/>
      <c r="B157" s="242"/>
      <c r="C157" s="348" t="s">
        <v>775</v>
      </c>
      <c r="D157" s="80">
        <f t="shared" ref="D157" si="608">F157+AB157+AO157+BB157+BJ157</f>
        <v>0</v>
      </c>
      <c r="E157" s="295">
        <f t="shared" ref="E157" si="609">G157+AC157+AP157+BC157+BK157</f>
        <v>1660231</v>
      </c>
      <c r="F157" s="163"/>
      <c r="G157" s="163">
        <f t="shared" ref="G157" si="610">F157+H157</f>
        <v>1660231</v>
      </c>
      <c r="H157" s="163">
        <f t="shared" ref="H157" si="611">SUM(I157:AA157)</f>
        <v>1660231</v>
      </c>
      <c r="I157" s="163"/>
      <c r="J157" s="163"/>
      <c r="K157" s="163">
        <v>1779656</v>
      </c>
      <c r="L157" s="163"/>
      <c r="M157" s="163"/>
      <c r="N157" s="163"/>
      <c r="O157" s="163"/>
      <c r="P157" s="163"/>
      <c r="Q157" s="163">
        <v>-119425</v>
      </c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>
        <f t="shared" ref="AC157" si="612">AB157+AD157</f>
        <v>0</v>
      </c>
      <c r="AD157" s="163">
        <f t="shared" ref="AD157" si="613">SUM(AE157:AN157)</f>
        <v>0</v>
      </c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>
        <f t="shared" ref="AP157" si="614">AO157+AQ157</f>
        <v>0</v>
      </c>
      <c r="AQ157" s="163">
        <f t="shared" ref="AQ157" si="615">SUM(AR157:BA157)</f>
        <v>0</v>
      </c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81">
        <f t="shared" ref="BC157" si="616">BB157+BD157</f>
        <v>0</v>
      </c>
      <c r="BD157" s="98">
        <f t="shared" ref="BD157" si="617">SUM(BE157:BI157)</f>
        <v>0</v>
      </c>
      <c r="BE157" s="199"/>
      <c r="BF157" s="199"/>
      <c r="BG157" s="199"/>
      <c r="BH157" s="199"/>
      <c r="BI157" s="199"/>
      <c r="BJ157" s="81"/>
      <c r="BK157" s="81">
        <f t="shared" ref="BK157" si="618">BJ157+BL157</f>
        <v>0</v>
      </c>
      <c r="BL157" s="81">
        <f t="shared" ref="BL157" si="619">SUM(BM157:BW157)</f>
        <v>0</v>
      </c>
      <c r="BM157" s="199"/>
      <c r="BN157" s="199"/>
      <c r="BO157" s="199"/>
      <c r="BP157" s="199"/>
      <c r="BQ157" s="199"/>
      <c r="BR157" s="199"/>
      <c r="BS157" s="199"/>
      <c r="BT157" s="199"/>
      <c r="BU157" s="199"/>
      <c r="BV157" s="199"/>
      <c r="BW157" s="199"/>
      <c r="BX157" s="82" t="s">
        <v>776</v>
      </c>
      <c r="BY157" s="200"/>
      <c r="BZ157" s="24"/>
    </row>
    <row r="158" spans="1:78" s="198" customFormat="1" ht="24.75" customHeight="1" x14ac:dyDescent="0.2">
      <c r="A158" s="108"/>
      <c r="B158" s="242"/>
      <c r="C158" s="349" t="s">
        <v>779</v>
      </c>
      <c r="D158" s="80">
        <f t="shared" ref="D158" si="620">F158+AB158+AO158+BB158+BJ158</f>
        <v>0</v>
      </c>
      <c r="E158" s="295">
        <f t="shared" ref="E158" si="621">G158+AC158+AP158+BC158+BK158</f>
        <v>863674</v>
      </c>
      <c r="F158" s="163"/>
      <c r="G158" s="163">
        <f t="shared" ref="G158" si="622">F158+H158</f>
        <v>863674</v>
      </c>
      <c r="H158" s="163">
        <f t="shared" ref="H158" si="623">SUM(I158:AA158)</f>
        <v>863674</v>
      </c>
      <c r="I158" s="163"/>
      <c r="J158" s="163"/>
      <c r="K158" s="163">
        <v>863674</v>
      </c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>
        <f t="shared" ref="AC158" si="624">AB158+AD158</f>
        <v>0</v>
      </c>
      <c r="AD158" s="163">
        <f t="shared" ref="AD158" si="625">SUM(AE158:AN158)</f>
        <v>0</v>
      </c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>
        <f t="shared" ref="AP158" si="626">AO158+AQ158</f>
        <v>0</v>
      </c>
      <c r="AQ158" s="163">
        <f t="shared" ref="AQ158" si="627">SUM(AR158:BA158)</f>
        <v>0</v>
      </c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81">
        <f t="shared" ref="BC158" si="628">BB158+BD158</f>
        <v>0</v>
      </c>
      <c r="BD158" s="98">
        <f t="shared" ref="BD158" si="629">SUM(BE158:BI158)</f>
        <v>0</v>
      </c>
      <c r="BE158" s="199"/>
      <c r="BF158" s="199"/>
      <c r="BG158" s="199"/>
      <c r="BH158" s="199"/>
      <c r="BI158" s="199"/>
      <c r="BJ158" s="81"/>
      <c r="BK158" s="81">
        <f t="shared" ref="BK158" si="630">BJ158+BL158</f>
        <v>0</v>
      </c>
      <c r="BL158" s="81">
        <f t="shared" ref="BL158" si="631">SUM(BM158:BW158)</f>
        <v>0</v>
      </c>
      <c r="BM158" s="199"/>
      <c r="BN158" s="199"/>
      <c r="BO158" s="199"/>
      <c r="BP158" s="199"/>
      <c r="BQ158" s="199"/>
      <c r="BR158" s="199"/>
      <c r="BS158" s="199"/>
      <c r="BT158" s="199"/>
      <c r="BU158" s="199"/>
      <c r="BV158" s="199"/>
      <c r="BW158" s="199"/>
      <c r="BX158" s="82" t="s">
        <v>780</v>
      </c>
      <c r="BY158" s="200"/>
      <c r="BZ158" s="24"/>
    </row>
    <row r="159" spans="1:78" s="198" customFormat="1" ht="38.25" customHeight="1" x14ac:dyDescent="0.2">
      <c r="A159" s="108"/>
      <c r="B159" s="242"/>
      <c r="C159" s="389" t="s">
        <v>835</v>
      </c>
      <c r="D159" s="80">
        <f t="shared" ref="D159:D160" si="632">F159+AB159+AO159+BB159+BJ159</f>
        <v>0</v>
      </c>
      <c r="E159" s="295">
        <f t="shared" ref="E159:E160" si="633">G159+AC159+AP159+BC159+BK159</f>
        <v>634319</v>
      </c>
      <c r="F159" s="163"/>
      <c r="G159" s="163">
        <f t="shared" ref="G159:G160" si="634">F159+H159</f>
        <v>634319</v>
      </c>
      <c r="H159" s="163">
        <f t="shared" ref="H159:H160" si="635">SUM(I159:AA159)</f>
        <v>634319</v>
      </c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>
        <v>580732</v>
      </c>
      <c r="T159" s="163"/>
      <c r="U159" s="163"/>
      <c r="V159" s="163"/>
      <c r="W159" s="163">
        <v>53587</v>
      </c>
      <c r="X159" s="163"/>
      <c r="Y159" s="163"/>
      <c r="Z159" s="163"/>
      <c r="AA159" s="163"/>
      <c r="AB159" s="163"/>
      <c r="AC159" s="163">
        <f t="shared" ref="AC159:AC160" si="636">AB159+AD159</f>
        <v>0</v>
      </c>
      <c r="AD159" s="163">
        <f t="shared" ref="AD159:AD160" si="637">SUM(AE159:AN159)</f>
        <v>0</v>
      </c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>
        <f t="shared" ref="AP159:AP160" si="638">AO159+AQ159</f>
        <v>0</v>
      </c>
      <c r="AQ159" s="163">
        <f t="shared" ref="AQ159:AQ160" si="639">SUM(AR159:BA159)</f>
        <v>0</v>
      </c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81">
        <f t="shared" ref="BC159:BC160" si="640">BB159+BD159</f>
        <v>0</v>
      </c>
      <c r="BD159" s="98">
        <f t="shared" ref="BD159:BD160" si="641">SUM(BE159:BI159)</f>
        <v>0</v>
      </c>
      <c r="BE159" s="199"/>
      <c r="BF159" s="199"/>
      <c r="BG159" s="199"/>
      <c r="BH159" s="199"/>
      <c r="BI159" s="199"/>
      <c r="BJ159" s="81"/>
      <c r="BK159" s="81">
        <f t="shared" ref="BK159:BK160" si="642">BJ159+BL159</f>
        <v>0</v>
      </c>
      <c r="BL159" s="81">
        <f t="shared" ref="BL159:BL160" si="643">SUM(BM159:BW159)</f>
        <v>0</v>
      </c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199"/>
      <c r="BW159" s="199"/>
      <c r="BX159" s="82" t="s">
        <v>822</v>
      </c>
      <c r="BY159" s="200"/>
      <c r="BZ159" s="24"/>
    </row>
    <row r="160" spans="1:78" s="198" customFormat="1" x14ac:dyDescent="0.2">
      <c r="A160" s="108"/>
      <c r="B160" s="242"/>
      <c r="C160" s="394" t="s">
        <v>831</v>
      </c>
      <c r="D160" s="80">
        <f t="shared" si="632"/>
        <v>0</v>
      </c>
      <c r="E160" s="295">
        <f t="shared" si="633"/>
        <v>1940</v>
      </c>
      <c r="F160" s="163"/>
      <c r="G160" s="163">
        <f t="shared" si="634"/>
        <v>1940</v>
      </c>
      <c r="H160" s="163">
        <f t="shared" si="635"/>
        <v>1940</v>
      </c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>
        <v>1940</v>
      </c>
      <c r="V160" s="163"/>
      <c r="W160" s="163"/>
      <c r="X160" s="163"/>
      <c r="Y160" s="163"/>
      <c r="Z160" s="163"/>
      <c r="AA160" s="163"/>
      <c r="AB160" s="163"/>
      <c r="AC160" s="163">
        <f t="shared" si="636"/>
        <v>0</v>
      </c>
      <c r="AD160" s="163">
        <f t="shared" si="637"/>
        <v>0</v>
      </c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>
        <f t="shared" si="638"/>
        <v>0</v>
      </c>
      <c r="AQ160" s="163">
        <f t="shared" si="639"/>
        <v>0</v>
      </c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81">
        <f t="shared" si="640"/>
        <v>0</v>
      </c>
      <c r="BD160" s="98">
        <f t="shared" si="641"/>
        <v>0</v>
      </c>
      <c r="BE160" s="199"/>
      <c r="BF160" s="199"/>
      <c r="BG160" s="199"/>
      <c r="BH160" s="199"/>
      <c r="BI160" s="199"/>
      <c r="BJ160" s="81"/>
      <c r="BK160" s="81">
        <f t="shared" si="642"/>
        <v>0</v>
      </c>
      <c r="BL160" s="81">
        <f t="shared" si="643"/>
        <v>0</v>
      </c>
      <c r="BM160" s="199"/>
      <c r="BN160" s="199"/>
      <c r="BO160" s="199"/>
      <c r="BP160" s="199"/>
      <c r="BQ160" s="199"/>
      <c r="BR160" s="199"/>
      <c r="BS160" s="199"/>
      <c r="BT160" s="199"/>
      <c r="BU160" s="199"/>
      <c r="BV160" s="199"/>
      <c r="BW160" s="199"/>
      <c r="BX160" s="82" t="s">
        <v>832</v>
      </c>
      <c r="BY160" s="200"/>
      <c r="BZ160" s="24"/>
    </row>
    <row r="161" spans="1:78" ht="24" customHeight="1" x14ac:dyDescent="0.2">
      <c r="A161" s="108">
        <v>90000051665</v>
      </c>
      <c r="B161" s="241" t="s">
        <v>245</v>
      </c>
      <c r="C161" s="285" t="s">
        <v>227</v>
      </c>
      <c r="D161" s="80">
        <f t="shared" si="572"/>
        <v>854860</v>
      </c>
      <c r="E161" s="295">
        <f t="shared" si="573"/>
        <v>908727</v>
      </c>
      <c r="F161" s="81">
        <v>604903</v>
      </c>
      <c r="G161" s="81">
        <f t="shared" si="574"/>
        <v>639695</v>
      </c>
      <c r="H161" s="81">
        <f t="shared" si="575"/>
        <v>34792</v>
      </c>
      <c r="I161" s="81"/>
      <c r="J161" s="81"/>
      <c r="K161" s="81"/>
      <c r="L161" s="81">
        <f>29999+100</f>
        <v>30099</v>
      </c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>
        <v>4693</v>
      </c>
      <c r="AA161" s="81"/>
      <c r="AB161" s="81">
        <v>223203</v>
      </c>
      <c r="AC161" s="81">
        <f t="shared" si="576"/>
        <v>236941</v>
      </c>
      <c r="AD161" s="81">
        <f t="shared" si="577"/>
        <v>13738</v>
      </c>
      <c r="AE161" s="81">
        <v>1183</v>
      </c>
      <c r="AF161" s="81">
        <v>3688</v>
      </c>
      <c r="AG161" s="81"/>
      <c r="AH161" s="81"/>
      <c r="AI161" s="81">
        <f>-63-1+1</f>
        <v>-63</v>
      </c>
      <c r="AJ161" s="81"/>
      <c r="AK161" s="81"/>
      <c r="AL161" s="81">
        <f>1183+3437+831+479+3000</f>
        <v>8930</v>
      </c>
      <c r="AM161" s="81"/>
      <c r="AN161" s="81"/>
      <c r="AO161" s="81">
        <v>26754</v>
      </c>
      <c r="AP161" s="81">
        <f t="shared" si="578"/>
        <v>32091</v>
      </c>
      <c r="AQ161" s="81">
        <f t="shared" si="579"/>
        <v>5337</v>
      </c>
      <c r="AR161" s="81">
        <v>5337</v>
      </c>
      <c r="AS161" s="81"/>
      <c r="AT161" s="81"/>
      <c r="AU161" s="81"/>
      <c r="AV161" s="81"/>
      <c r="AW161" s="81"/>
      <c r="AX161" s="81"/>
      <c r="AY161" s="81"/>
      <c r="AZ161" s="81"/>
      <c r="BA161" s="81"/>
      <c r="BB161" s="81">
        <v>0</v>
      </c>
      <c r="BC161" s="81">
        <f t="shared" si="580"/>
        <v>0</v>
      </c>
      <c r="BD161" s="98">
        <f t="shared" si="581"/>
        <v>0</v>
      </c>
      <c r="BE161" s="98"/>
      <c r="BF161" s="98"/>
      <c r="BG161" s="98"/>
      <c r="BH161" s="98"/>
      <c r="BI161" s="98"/>
      <c r="BJ161" s="81"/>
      <c r="BK161" s="81">
        <f t="shared" si="582"/>
        <v>0</v>
      </c>
      <c r="BL161" s="81">
        <f t="shared" si="583"/>
        <v>0</v>
      </c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82" t="s">
        <v>369</v>
      </c>
      <c r="BY161" s="85"/>
      <c r="BZ161" s="24"/>
    </row>
    <row r="162" spans="1:78" x14ac:dyDescent="0.2">
      <c r="A162" s="108"/>
      <c r="B162" s="242"/>
      <c r="C162" s="285" t="s">
        <v>240</v>
      </c>
      <c r="D162" s="80">
        <f t="shared" si="572"/>
        <v>65436</v>
      </c>
      <c r="E162" s="295">
        <f t="shared" si="573"/>
        <v>65436</v>
      </c>
      <c r="F162" s="81">
        <v>46771</v>
      </c>
      <c r="G162" s="81">
        <f t="shared" si="574"/>
        <v>46771</v>
      </c>
      <c r="H162" s="81">
        <f t="shared" si="575"/>
        <v>0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>
        <v>18665</v>
      </c>
      <c r="AC162" s="81">
        <f t="shared" si="576"/>
        <v>18665</v>
      </c>
      <c r="AD162" s="81">
        <f t="shared" si="577"/>
        <v>0</v>
      </c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>
        <v>0</v>
      </c>
      <c r="AP162" s="81">
        <f t="shared" si="578"/>
        <v>0</v>
      </c>
      <c r="AQ162" s="81">
        <f t="shared" si="579"/>
        <v>0</v>
      </c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>
        <v>0</v>
      </c>
      <c r="BC162" s="81">
        <f t="shared" si="580"/>
        <v>0</v>
      </c>
      <c r="BD162" s="98">
        <f t="shared" si="581"/>
        <v>0</v>
      </c>
      <c r="BE162" s="98"/>
      <c r="BF162" s="98"/>
      <c r="BG162" s="98"/>
      <c r="BH162" s="98"/>
      <c r="BI162" s="98"/>
      <c r="BJ162" s="81"/>
      <c r="BK162" s="81">
        <f t="shared" si="582"/>
        <v>0</v>
      </c>
      <c r="BL162" s="81">
        <f t="shared" si="583"/>
        <v>0</v>
      </c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82" t="s">
        <v>370</v>
      </c>
      <c r="BY162" s="85"/>
      <c r="BZ162" s="24"/>
    </row>
    <row r="163" spans="1:78" s="198" customFormat="1" ht="24" x14ac:dyDescent="0.2">
      <c r="A163" s="108"/>
      <c r="B163" s="242"/>
      <c r="C163" s="388" t="s">
        <v>817</v>
      </c>
      <c r="D163" s="80">
        <f t="shared" ref="D163" si="644">F163+AB163+AO163+BB163+BJ163</f>
        <v>0</v>
      </c>
      <c r="E163" s="295">
        <f t="shared" ref="E163" si="645">G163+AC163+AP163+BC163+BK163</f>
        <v>17310</v>
      </c>
      <c r="F163" s="81"/>
      <c r="G163" s="81">
        <f t="shared" ref="G163" si="646">F163+H163</f>
        <v>17310</v>
      </c>
      <c r="H163" s="81">
        <f t="shared" ref="H163" si="647">SUM(I163:AA163)</f>
        <v>17310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>
        <v>17310</v>
      </c>
      <c r="T163" s="81"/>
      <c r="U163" s="81"/>
      <c r="V163" s="81"/>
      <c r="W163" s="81"/>
      <c r="X163" s="81"/>
      <c r="Y163" s="81"/>
      <c r="Z163" s="81"/>
      <c r="AA163" s="81"/>
      <c r="AB163" s="81"/>
      <c r="AC163" s="81">
        <f t="shared" ref="AC163" si="648">AB163+AD163</f>
        <v>0</v>
      </c>
      <c r="AD163" s="81">
        <f t="shared" ref="AD163" si="649">SUM(AE163:AN163)</f>
        <v>0</v>
      </c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>
        <f t="shared" ref="AP163" si="650">AO163+AQ163</f>
        <v>0</v>
      </c>
      <c r="AQ163" s="81">
        <f t="shared" ref="AQ163" si="651">SUM(AR163:BA163)</f>
        <v>0</v>
      </c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>
        <f t="shared" ref="BC163" si="652">BB163+BD163</f>
        <v>0</v>
      </c>
      <c r="BD163" s="98">
        <f t="shared" ref="BD163" si="653">SUM(BE163:BI163)</f>
        <v>0</v>
      </c>
      <c r="BE163" s="98"/>
      <c r="BF163" s="98"/>
      <c r="BG163" s="98"/>
      <c r="BH163" s="98"/>
      <c r="BI163" s="98"/>
      <c r="BJ163" s="81"/>
      <c r="BK163" s="81">
        <f t="shared" ref="BK163" si="654">BJ163+BL163</f>
        <v>0</v>
      </c>
      <c r="BL163" s="81">
        <f t="shared" ref="BL163" si="655">SUM(BM163:BW163)</f>
        <v>0</v>
      </c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82" t="s">
        <v>818</v>
      </c>
      <c r="BY163" s="85"/>
      <c r="BZ163" s="24"/>
    </row>
    <row r="164" spans="1:78" ht="22.5" customHeight="1" x14ac:dyDescent="0.2">
      <c r="A164" s="108">
        <v>90000051561</v>
      </c>
      <c r="B164" s="241" t="s">
        <v>280</v>
      </c>
      <c r="C164" s="285" t="s">
        <v>227</v>
      </c>
      <c r="D164" s="80">
        <f t="shared" si="572"/>
        <v>715688</v>
      </c>
      <c r="E164" s="295">
        <f t="shared" si="573"/>
        <v>745510</v>
      </c>
      <c r="F164" s="81">
        <v>343518</v>
      </c>
      <c r="G164" s="81">
        <f t="shared" si="574"/>
        <v>333452</v>
      </c>
      <c r="H164" s="81">
        <f t="shared" si="575"/>
        <v>-10066</v>
      </c>
      <c r="I164" s="81"/>
      <c r="J164" s="81"/>
      <c r="K164" s="81">
        <v>-10066</v>
      </c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>
        <v>352962</v>
      </c>
      <c r="AC164" s="81">
        <f t="shared" si="576"/>
        <v>382784</v>
      </c>
      <c r="AD164" s="81">
        <f t="shared" si="577"/>
        <v>29822</v>
      </c>
      <c r="AE164" s="81">
        <v>2247</v>
      </c>
      <c r="AF164" s="81">
        <v>5919</v>
      </c>
      <c r="AG164" s="81"/>
      <c r="AH164" s="81"/>
      <c r="AI164" s="81">
        <f>-137-1+1</f>
        <v>-137</v>
      </c>
      <c r="AJ164" s="81"/>
      <c r="AK164" s="81"/>
      <c r="AL164" s="81">
        <f>2247+20318-772</f>
        <v>21793</v>
      </c>
      <c r="AM164" s="81"/>
      <c r="AN164" s="81"/>
      <c r="AO164" s="81">
        <v>19350</v>
      </c>
      <c r="AP164" s="81">
        <f t="shared" si="578"/>
        <v>29416</v>
      </c>
      <c r="AQ164" s="81">
        <f t="shared" si="579"/>
        <v>10066</v>
      </c>
      <c r="AR164" s="81">
        <v>10066</v>
      </c>
      <c r="AS164" s="81"/>
      <c r="AT164" s="81"/>
      <c r="AU164" s="81"/>
      <c r="AV164" s="81"/>
      <c r="AW164" s="81"/>
      <c r="AX164" s="81"/>
      <c r="AY164" s="81"/>
      <c r="AZ164" s="81"/>
      <c r="BA164" s="81"/>
      <c r="BB164" s="81">
        <v>0</v>
      </c>
      <c r="BC164" s="81">
        <f t="shared" si="580"/>
        <v>0</v>
      </c>
      <c r="BD164" s="98">
        <f t="shared" si="581"/>
        <v>0</v>
      </c>
      <c r="BE164" s="98"/>
      <c r="BF164" s="98"/>
      <c r="BG164" s="98"/>
      <c r="BH164" s="98"/>
      <c r="BI164" s="98"/>
      <c r="BJ164" s="81">
        <v>-142</v>
      </c>
      <c r="BK164" s="81">
        <f t="shared" si="582"/>
        <v>-142</v>
      </c>
      <c r="BL164" s="81">
        <f t="shared" si="583"/>
        <v>0</v>
      </c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82" t="s">
        <v>371</v>
      </c>
      <c r="BY164" s="85"/>
      <c r="BZ164" s="24"/>
    </row>
    <row r="165" spans="1:78" x14ac:dyDescent="0.2">
      <c r="A165" s="108"/>
      <c r="B165" s="242"/>
      <c r="C165" s="285" t="s">
        <v>240</v>
      </c>
      <c r="D165" s="80">
        <f t="shared" si="572"/>
        <v>84322</v>
      </c>
      <c r="E165" s="295">
        <f t="shared" si="573"/>
        <v>88985</v>
      </c>
      <c r="F165" s="81">
        <v>61512</v>
      </c>
      <c r="G165" s="81">
        <f t="shared" si="574"/>
        <v>61512</v>
      </c>
      <c r="H165" s="81">
        <f t="shared" si="575"/>
        <v>0</v>
      </c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>
        <v>22810</v>
      </c>
      <c r="AC165" s="81">
        <f t="shared" si="576"/>
        <v>27473</v>
      </c>
      <c r="AD165" s="81">
        <f t="shared" si="577"/>
        <v>4663</v>
      </c>
      <c r="AE165" s="81"/>
      <c r="AF165" s="81">
        <v>3879</v>
      </c>
      <c r="AG165" s="81"/>
      <c r="AH165" s="81"/>
      <c r="AI165" s="81"/>
      <c r="AJ165" s="81"/>
      <c r="AK165" s="81"/>
      <c r="AL165" s="81">
        <v>784</v>
      </c>
      <c r="AM165" s="81"/>
      <c r="AN165" s="81"/>
      <c r="AO165" s="81">
        <v>0</v>
      </c>
      <c r="AP165" s="81">
        <f t="shared" si="578"/>
        <v>0</v>
      </c>
      <c r="AQ165" s="81">
        <f t="shared" si="579"/>
        <v>0</v>
      </c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>
        <v>0</v>
      </c>
      <c r="BC165" s="81">
        <f t="shared" si="580"/>
        <v>0</v>
      </c>
      <c r="BD165" s="98">
        <f t="shared" si="581"/>
        <v>0</v>
      </c>
      <c r="BE165" s="98"/>
      <c r="BF165" s="98"/>
      <c r="BG165" s="98"/>
      <c r="BH165" s="98"/>
      <c r="BI165" s="98"/>
      <c r="BJ165" s="81"/>
      <c r="BK165" s="81">
        <f t="shared" si="582"/>
        <v>0</v>
      </c>
      <c r="BL165" s="81">
        <f t="shared" si="583"/>
        <v>0</v>
      </c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82" t="s">
        <v>372</v>
      </c>
      <c r="BY165" s="85"/>
      <c r="BZ165" s="24"/>
    </row>
    <row r="166" spans="1:78" ht="24" customHeight="1" x14ac:dyDescent="0.2">
      <c r="A166" s="108">
        <v>90009226256</v>
      </c>
      <c r="B166" s="241" t="s">
        <v>152</v>
      </c>
      <c r="C166" s="285" t="s">
        <v>453</v>
      </c>
      <c r="D166" s="80">
        <f t="shared" si="572"/>
        <v>368103</v>
      </c>
      <c r="E166" s="295">
        <f t="shared" si="573"/>
        <v>366517</v>
      </c>
      <c r="F166" s="81">
        <v>281391</v>
      </c>
      <c r="G166" s="81">
        <f t="shared" si="574"/>
        <v>283345</v>
      </c>
      <c r="H166" s="81">
        <f t="shared" si="575"/>
        <v>1954</v>
      </c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>
        <v>1954</v>
      </c>
      <c r="X166" s="81"/>
      <c r="Y166" s="81"/>
      <c r="Z166" s="81"/>
      <c r="AA166" s="81"/>
      <c r="AB166" s="81">
        <v>76102</v>
      </c>
      <c r="AC166" s="81">
        <f t="shared" si="576"/>
        <v>70692</v>
      </c>
      <c r="AD166" s="81">
        <f t="shared" si="577"/>
        <v>-5410</v>
      </c>
      <c r="AE166" s="81"/>
      <c r="AF166" s="81"/>
      <c r="AG166" s="81"/>
      <c r="AH166" s="81"/>
      <c r="AI166" s="81"/>
      <c r="AJ166" s="81"/>
      <c r="AK166" s="81"/>
      <c r="AL166" s="81">
        <v>-5410</v>
      </c>
      <c r="AM166" s="81"/>
      <c r="AN166" s="81"/>
      <c r="AO166" s="81">
        <v>10610</v>
      </c>
      <c r="AP166" s="81">
        <f t="shared" si="578"/>
        <v>12480</v>
      </c>
      <c r="AQ166" s="81">
        <f t="shared" si="579"/>
        <v>1870</v>
      </c>
      <c r="AR166" s="81">
        <v>737</v>
      </c>
      <c r="AS166" s="81"/>
      <c r="AT166" s="81"/>
      <c r="AU166" s="81"/>
      <c r="AV166" s="81"/>
      <c r="AW166" s="81"/>
      <c r="AX166" s="81">
        <v>923</v>
      </c>
      <c r="AY166" s="81"/>
      <c r="AZ166" s="81">
        <v>210</v>
      </c>
      <c r="BA166" s="81"/>
      <c r="BB166" s="81">
        <v>0</v>
      </c>
      <c r="BC166" s="81">
        <f t="shared" si="580"/>
        <v>0</v>
      </c>
      <c r="BD166" s="98">
        <f t="shared" si="581"/>
        <v>0</v>
      </c>
      <c r="BE166" s="98"/>
      <c r="BF166" s="98"/>
      <c r="BG166" s="98"/>
      <c r="BH166" s="98"/>
      <c r="BI166" s="98"/>
      <c r="BJ166" s="81"/>
      <c r="BK166" s="81">
        <f t="shared" si="582"/>
        <v>0</v>
      </c>
      <c r="BL166" s="81">
        <f t="shared" si="583"/>
        <v>0</v>
      </c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82" t="s">
        <v>373</v>
      </c>
      <c r="BY166" s="85"/>
      <c r="BZ166" s="24"/>
    </row>
    <row r="167" spans="1:78" s="130" customFormat="1" ht="12.75" x14ac:dyDescent="0.2">
      <c r="A167" s="110"/>
      <c r="B167" s="245"/>
      <c r="C167" s="285" t="s">
        <v>538</v>
      </c>
      <c r="D167" s="80">
        <f t="shared" si="572"/>
        <v>62734</v>
      </c>
      <c r="E167" s="295">
        <f t="shared" si="573"/>
        <v>71041</v>
      </c>
      <c r="F167" s="81">
        <v>62734</v>
      </c>
      <c r="G167" s="81">
        <f t="shared" si="574"/>
        <v>71041</v>
      </c>
      <c r="H167" s="81">
        <f t="shared" si="575"/>
        <v>8307</v>
      </c>
      <c r="I167" s="81"/>
      <c r="J167" s="81"/>
      <c r="K167" s="81">
        <v>8307</v>
      </c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>
        <v>0</v>
      </c>
      <c r="AC167" s="81">
        <f t="shared" si="576"/>
        <v>0</v>
      </c>
      <c r="AD167" s="81">
        <f t="shared" si="577"/>
        <v>0</v>
      </c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>
        <v>0</v>
      </c>
      <c r="AP167" s="81">
        <f t="shared" si="578"/>
        <v>0</v>
      </c>
      <c r="AQ167" s="81">
        <f t="shared" si="579"/>
        <v>0</v>
      </c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>
        <v>0</v>
      </c>
      <c r="BC167" s="81">
        <f t="shared" si="580"/>
        <v>0</v>
      </c>
      <c r="BD167" s="98">
        <f t="shared" si="581"/>
        <v>0</v>
      </c>
      <c r="BE167" s="98"/>
      <c r="BF167" s="98"/>
      <c r="BG167" s="98"/>
      <c r="BH167" s="98"/>
      <c r="BI167" s="98"/>
      <c r="BJ167" s="81"/>
      <c r="BK167" s="81">
        <f t="shared" si="582"/>
        <v>0</v>
      </c>
      <c r="BL167" s="81">
        <f t="shared" si="583"/>
        <v>0</v>
      </c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82" t="s">
        <v>682</v>
      </c>
      <c r="BY167" s="85"/>
      <c r="BZ167" s="24"/>
    </row>
    <row r="168" spans="1:78" s="198" customFormat="1" ht="12.75" x14ac:dyDescent="0.2">
      <c r="A168" s="110"/>
      <c r="B168" s="245"/>
      <c r="C168" s="285" t="s">
        <v>633</v>
      </c>
      <c r="D168" s="80">
        <f t="shared" si="572"/>
        <v>1803</v>
      </c>
      <c r="E168" s="295">
        <f t="shared" si="573"/>
        <v>1844</v>
      </c>
      <c r="F168" s="81">
        <v>1803</v>
      </c>
      <c r="G168" s="81">
        <f t="shared" si="574"/>
        <v>1844</v>
      </c>
      <c r="H168" s="81">
        <f t="shared" si="575"/>
        <v>41</v>
      </c>
      <c r="I168" s="81"/>
      <c r="J168" s="81"/>
      <c r="K168" s="81">
        <v>41</v>
      </c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>
        <v>0</v>
      </c>
      <c r="AC168" s="81">
        <f t="shared" si="576"/>
        <v>0</v>
      </c>
      <c r="AD168" s="81">
        <f t="shared" si="577"/>
        <v>0</v>
      </c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>
        <v>0</v>
      </c>
      <c r="AP168" s="81">
        <f t="shared" si="578"/>
        <v>0</v>
      </c>
      <c r="AQ168" s="81">
        <f t="shared" si="579"/>
        <v>0</v>
      </c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>
        <v>0</v>
      </c>
      <c r="BC168" s="81">
        <f t="shared" si="580"/>
        <v>0</v>
      </c>
      <c r="BD168" s="98">
        <f t="shared" si="581"/>
        <v>0</v>
      </c>
      <c r="BE168" s="98"/>
      <c r="BF168" s="98"/>
      <c r="BG168" s="98"/>
      <c r="BH168" s="98"/>
      <c r="BI168" s="98"/>
      <c r="BJ168" s="81"/>
      <c r="BK168" s="81">
        <f t="shared" si="582"/>
        <v>0</v>
      </c>
      <c r="BL168" s="81">
        <f t="shared" si="583"/>
        <v>0</v>
      </c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82" t="s">
        <v>683</v>
      </c>
      <c r="BY168" s="85"/>
      <c r="BZ168" s="24"/>
    </row>
    <row r="169" spans="1:78" s="198" customFormat="1" ht="24" x14ac:dyDescent="0.2">
      <c r="A169" s="110"/>
      <c r="B169" s="245"/>
      <c r="C169" s="285" t="s">
        <v>634</v>
      </c>
      <c r="D169" s="80">
        <f t="shared" si="572"/>
        <v>0</v>
      </c>
      <c r="E169" s="295">
        <f t="shared" si="573"/>
        <v>3</v>
      </c>
      <c r="F169" s="81">
        <v>582</v>
      </c>
      <c r="G169" s="81">
        <f t="shared" si="574"/>
        <v>584</v>
      </c>
      <c r="H169" s="81">
        <f t="shared" si="575"/>
        <v>2</v>
      </c>
      <c r="I169" s="81"/>
      <c r="J169" s="81"/>
      <c r="K169" s="81">
        <v>2</v>
      </c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>
        <f>1-1</f>
        <v>0</v>
      </c>
      <c r="X169" s="81"/>
      <c r="Y169" s="81"/>
      <c r="Z169" s="81"/>
      <c r="AA169" s="81"/>
      <c r="AB169" s="81">
        <v>0</v>
      </c>
      <c r="AC169" s="81">
        <f t="shared" si="576"/>
        <v>0</v>
      </c>
      <c r="AD169" s="81">
        <f t="shared" si="577"/>
        <v>0</v>
      </c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>
        <v>0</v>
      </c>
      <c r="AP169" s="81">
        <f t="shared" si="578"/>
        <v>0</v>
      </c>
      <c r="AQ169" s="81">
        <f t="shared" si="579"/>
        <v>0</v>
      </c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>
        <v>0</v>
      </c>
      <c r="BC169" s="81">
        <f t="shared" si="580"/>
        <v>0</v>
      </c>
      <c r="BD169" s="98">
        <f t="shared" si="581"/>
        <v>0</v>
      </c>
      <c r="BE169" s="98"/>
      <c r="BF169" s="98"/>
      <c r="BG169" s="98"/>
      <c r="BH169" s="98"/>
      <c r="BI169" s="98"/>
      <c r="BJ169" s="81">
        <v>-582</v>
      </c>
      <c r="BK169" s="81">
        <f t="shared" si="582"/>
        <v>-581</v>
      </c>
      <c r="BL169" s="81">
        <f t="shared" si="583"/>
        <v>1</v>
      </c>
      <c r="BM169" s="98"/>
      <c r="BN169" s="98"/>
      <c r="BO169" s="98"/>
      <c r="BP169" s="98"/>
      <c r="BQ169" s="98"/>
      <c r="BR169" s="98"/>
      <c r="BS169" s="98"/>
      <c r="BT169" s="98">
        <v>1</v>
      </c>
      <c r="BU169" s="98"/>
      <c r="BV169" s="98"/>
      <c r="BW169" s="98"/>
      <c r="BX169" s="82" t="s">
        <v>685</v>
      </c>
      <c r="BY169" s="85"/>
      <c r="BZ169" s="24"/>
    </row>
    <row r="170" spans="1:78" s="198" customFormat="1" ht="12.75" x14ac:dyDescent="0.2">
      <c r="A170" s="110"/>
      <c r="B170" s="245"/>
      <c r="C170" s="341" t="s">
        <v>767</v>
      </c>
      <c r="D170" s="80">
        <f t="shared" ref="D170" si="656">F170+AB170+AO170+BB170+BJ170</f>
        <v>0</v>
      </c>
      <c r="E170" s="295">
        <f t="shared" ref="E170" si="657">G170+AC170+AP170+BC170+BK170</f>
        <v>0</v>
      </c>
      <c r="F170" s="81"/>
      <c r="G170" s="81">
        <f t="shared" ref="G170" si="658">F170+H170</f>
        <v>0</v>
      </c>
      <c r="H170" s="81">
        <f t="shared" ref="H170" si="659">SUM(I170:AA170)</f>
        <v>0</v>
      </c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>
        <f t="shared" ref="AC170" si="660">AB170+AD170</f>
        <v>0</v>
      </c>
      <c r="AD170" s="81">
        <f t="shared" ref="AD170" si="661">SUM(AE170:AN170)</f>
        <v>0</v>
      </c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>
        <f t="shared" ref="AP170" si="662">AO170+AQ170</f>
        <v>0</v>
      </c>
      <c r="AQ170" s="81">
        <f t="shared" ref="AQ170" si="663">SUM(AR170:BA170)</f>
        <v>0</v>
      </c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>
        <f t="shared" ref="BC170" si="664">BB170+BD170</f>
        <v>0</v>
      </c>
      <c r="BD170" s="98">
        <f t="shared" ref="BD170" si="665">SUM(BE170:BI170)</f>
        <v>0</v>
      </c>
      <c r="BE170" s="98"/>
      <c r="BF170" s="98"/>
      <c r="BG170" s="98"/>
      <c r="BH170" s="98"/>
      <c r="BI170" s="98"/>
      <c r="BJ170" s="81"/>
      <c r="BK170" s="81">
        <f t="shared" ref="BK170" si="666">BJ170+BL170</f>
        <v>0</v>
      </c>
      <c r="BL170" s="81">
        <f t="shared" ref="BL170" si="667">SUM(BM170:BW170)</f>
        <v>0</v>
      </c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82" t="s">
        <v>766</v>
      </c>
      <c r="BY170" s="85"/>
      <c r="BZ170" s="24"/>
    </row>
    <row r="171" spans="1:78" ht="24" customHeight="1" x14ac:dyDescent="0.2">
      <c r="A171" s="108">
        <v>90000051487</v>
      </c>
      <c r="B171" s="241" t="s">
        <v>137</v>
      </c>
      <c r="C171" s="285" t="s">
        <v>227</v>
      </c>
      <c r="D171" s="80">
        <f t="shared" si="572"/>
        <v>931862</v>
      </c>
      <c r="E171" s="295">
        <f t="shared" si="573"/>
        <v>1231390</v>
      </c>
      <c r="F171" s="81">
        <v>407899</v>
      </c>
      <c r="G171" s="81">
        <f t="shared" si="574"/>
        <v>496669</v>
      </c>
      <c r="H171" s="81">
        <f t="shared" si="575"/>
        <v>88770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>
        <v>88770</v>
      </c>
      <c r="Z171" s="81"/>
      <c r="AA171" s="81"/>
      <c r="AB171" s="81">
        <v>513962</v>
      </c>
      <c r="AC171" s="81">
        <f t="shared" si="576"/>
        <v>716702</v>
      </c>
      <c r="AD171" s="81">
        <f t="shared" si="577"/>
        <v>202740</v>
      </c>
      <c r="AE171" s="81">
        <v>2226</v>
      </c>
      <c r="AF171" s="81">
        <v>5864</v>
      </c>
      <c r="AG171" s="81"/>
      <c r="AH171" s="81"/>
      <c r="AI171" s="81"/>
      <c r="AJ171" s="81"/>
      <c r="AK171" s="81">
        <f>4620+142173</f>
        <v>146793</v>
      </c>
      <c r="AL171" s="81">
        <v>47857</v>
      </c>
      <c r="AM171" s="81"/>
      <c r="AN171" s="81"/>
      <c r="AO171" s="81">
        <v>10001</v>
      </c>
      <c r="AP171" s="81">
        <f t="shared" si="578"/>
        <v>18019</v>
      </c>
      <c r="AQ171" s="81">
        <f t="shared" si="579"/>
        <v>8018</v>
      </c>
      <c r="AR171" s="81"/>
      <c r="AS171" s="81"/>
      <c r="AT171" s="81"/>
      <c r="AU171" s="81"/>
      <c r="AV171" s="81">
        <v>100</v>
      </c>
      <c r="AW171" s="81"/>
      <c r="AX171" s="81"/>
      <c r="AY171" s="81">
        <v>7918</v>
      </c>
      <c r="AZ171" s="81"/>
      <c r="BA171" s="81"/>
      <c r="BB171" s="81">
        <v>0</v>
      </c>
      <c r="BC171" s="81">
        <f t="shared" si="580"/>
        <v>0</v>
      </c>
      <c r="BD171" s="98">
        <f t="shared" si="581"/>
        <v>0</v>
      </c>
      <c r="BE171" s="98"/>
      <c r="BF171" s="98"/>
      <c r="BG171" s="98"/>
      <c r="BH171" s="98"/>
      <c r="BI171" s="98"/>
      <c r="BJ171" s="81"/>
      <c r="BK171" s="81">
        <f t="shared" si="582"/>
        <v>0</v>
      </c>
      <c r="BL171" s="81">
        <f t="shared" si="583"/>
        <v>0</v>
      </c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82" t="s">
        <v>374</v>
      </c>
      <c r="BY171" s="85"/>
      <c r="BZ171" s="24"/>
    </row>
    <row r="172" spans="1:78" s="103" customFormat="1" x14ac:dyDescent="0.2">
      <c r="A172" s="108"/>
      <c r="B172" s="242"/>
      <c r="C172" s="285" t="s">
        <v>240</v>
      </c>
      <c r="D172" s="80">
        <f t="shared" si="572"/>
        <v>89592</v>
      </c>
      <c r="E172" s="295">
        <f t="shared" si="573"/>
        <v>132948</v>
      </c>
      <c r="F172" s="81">
        <v>89592</v>
      </c>
      <c r="G172" s="81">
        <f t="shared" si="574"/>
        <v>104969</v>
      </c>
      <c r="H172" s="81">
        <f t="shared" si="575"/>
        <v>15377</v>
      </c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>
        <v>15377</v>
      </c>
      <c r="Z172" s="81"/>
      <c r="AA172" s="81"/>
      <c r="AB172" s="81">
        <v>0</v>
      </c>
      <c r="AC172" s="81">
        <f t="shared" si="576"/>
        <v>27979</v>
      </c>
      <c r="AD172" s="81">
        <f t="shared" si="577"/>
        <v>27979</v>
      </c>
      <c r="AE172" s="81"/>
      <c r="AF172" s="81"/>
      <c r="AG172" s="81"/>
      <c r="AH172" s="81"/>
      <c r="AI172" s="81"/>
      <c r="AJ172" s="81"/>
      <c r="AK172" s="81">
        <v>27979</v>
      </c>
      <c r="AL172" s="81"/>
      <c r="AM172" s="81"/>
      <c r="AN172" s="81"/>
      <c r="AO172" s="81">
        <v>0</v>
      </c>
      <c r="AP172" s="81">
        <f t="shared" si="578"/>
        <v>0</v>
      </c>
      <c r="AQ172" s="81">
        <f t="shared" si="579"/>
        <v>0</v>
      </c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>
        <v>0</v>
      </c>
      <c r="BC172" s="81">
        <f t="shared" si="580"/>
        <v>0</v>
      </c>
      <c r="BD172" s="98">
        <f t="shared" si="581"/>
        <v>0</v>
      </c>
      <c r="BE172" s="98"/>
      <c r="BF172" s="98"/>
      <c r="BG172" s="98"/>
      <c r="BH172" s="98"/>
      <c r="BI172" s="98"/>
      <c r="BJ172" s="81"/>
      <c r="BK172" s="81">
        <f t="shared" si="582"/>
        <v>0</v>
      </c>
      <c r="BL172" s="81">
        <f t="shared" si="583"/>
        <v>0</v>
      </c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82" t="s">
        <v>375</v>
      </c>
      <c r="BY172" s="85"/>
      <c r="BZ172" s="24"/>
    </row>
    <row r="173" spans="1:78" s="193" customFormat="1" ht="24" x14ac:dyDescent="0.2">
      <c r="A173" s="108"/>
      <c r="B173" s="242"/>
      <c r="C173" s="285" t="s">
        <v>543</v>
      </c>
      <c r="D173" s="80">
        <f t="shared" si="572"/>
        <v>4345</v>
      </c>
      <c r="E173" s="295">
        <f t="shared" si="573"/>
        <v>7622</v>
      </c>
      <c r="F173" s="81">
        <v>4345</v>
      </c>
      <c r="G173" s="81">
        <f t="shared" si="574"/>
        <v>7622</v>
      </c>
      <c r="H173" s="81">
        <f t="shared" si="575"/>
        <v>3277</v>
      </c>
      <c r="I173" s="81"/>
      <c r="J173" s="81"/>
      <c r="K173" s="81">
        <v>1447</v>
      </c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>
        <v>1830</v>
      </c>
      <c r="AA173" s="81"/>
      <c r="AB173" s="81">
        <v>0</v>
      </c>
      <c r="AC173" s="81">
        <f t="shared" si="576"/>
        <v>0</v>
      </c>
      <c r="AD173" s="81">
        <f t="shared" si="577"/>
        <v>0</v>
      </c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>
        <v>0</v>
      </c>
      <c r="AP173" s="81">
        <f t="shared" si="578"/>
        <v>0</v>
      </c>
      <c r="AQ173" s="81">
        <f t="shared" si="579"/>
        <v>0</v>
      </c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>
        <v>0</v>
      </c>
      <c r="BC173" s="81">
        <f t="shared" si="580"/>
        <v>0</v>
      </c>
      <c r="BD173" s="98">
        <f t="shared" si="581"/>
        <v>0</v>
      </c>
      <c r="BE173" s="98"/>
      <c r="BF173" s="98"/>
      <c r="BG173" s="98"/>
      <c r="BH173" s="98"/>
      <c r="BI173" s="98"/>
      <c r="BJ173" s="81"/>
      <c r="BK173" s="81">
        <f t="shared" si="582"/>
        <v>0</v>
      </c>
      <c r="BL173" s="81">
        <f t="shared" si="583"/>
        <v>0</v>
      </c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82" t="s">
        <v>686</v>
      </c>
      <c r="BY173" s="85"/>
      <c r="BZ173" s="24"/>
    </row>
    <row r="174" spans="1:78" s="198" customFormat="1" ht="24" x14ac:dyDescent="0.2">
      <c r="A174" s="108"/>
      <c r="B174" s="242"/>
      <c r="C174" s="285" t="s">
        <v>635</v>
      </c>
      <c r="D174" s="80">
        <f t="shared" si="572"/>
        <v>5660</v>
      </c>
      <c r="E174" s="295">
        <f t="shared" si="573"/>
        <v>2119</v>
      </c>
      <c r="F174" s="81">
        <v>5660</v>
      </c>
      <c r="G174" s="81">
        <f t="shared" si="574"/>
        <v>2119</v>
      </c>
      <c r="H174" s="81">
        <f t="shared" si="575"/>
        <v>-3541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>
        <v>-3541</v>
      </c>
      <c r="Z174" s="81"/>
      <c r="AA174" s="81"/>
      <c r="AB174" s="81">
        <v>0</v>
      </c>
      <c r="AC174" s="81">
        <f t="shared" si="576"/>
        <v>0</v>
      </c>
      <c r="AD174" s="81">
        <f t="shared" si="577"/>
        <v>0</v>
      </c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>
        <v>0</v>
      </c>
      <c r="AP174" s="81">
        <f t="shared" si="578"/>
        <v>0</v>
      </c>
      <c r="AQ174" s="81">
        <f t="shared" si="579"/>
        <v>0</v>
      </c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>
        <v>0</v>
      </c>
      <c r="BC174" s="81">
        <f t="shared" si="580"/>
        <v>0</v>
      </c>
      <c r="BD174" s="98">
        <f t="shared" si="581"/>
        <v>0</v>
      </c>
      <c r="BE174" s="98"/>
      <c r="BF174" s="98"/>
      <c r="BG174" s="98"/>
      <c r="BH174" s="98"/>
      <c r="BI174" s="98"/>
      <c r="BJ174" s="81"/>
      <c r="BK174" s="81">
        <f t="shared" si="582"/>
        <v>0</v>
      </c>
      <c r="BL174" s="81">
        <f t="shared" si="583"/>
        <v>0</v>
      </c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82" t="s">
        <v>687</v>
      </c>
      <c r="BY174" s="85"/>
      <c r="BZ174" s="24"/>
    </row>
    <row r="175" spans="1:78" s="198" customFormat="1" ht="24" x14ac:dyDescent="0.2">
      <c r="A175" s="108"/>
      <c r="B175" s="242"/>
      <c r="C175" s="401" t="s">
        <v>846</v>
      </c>
      <c r="D175" s="80">
        <f t="shared" si="572"/>
        <v>0</v>
      </c>
      <c r="E175" s="295">
        <f t="shared" si="573"/>
        <v>6356</v>
      </c>
      <c r="F175" s="81"/>
      <c r="G175" s="81">
        <f t="shared" si="574"/>
        <v>0</v>
      </c>
      <c r="H175" s="81">
        <f t="shared" si="575"/>
        <v>0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>
        <f t="shared" si="576"/>
        <v>6356</v>
      </c>
      <c r="AD175" s="81">
        <f t="shared" si="577"/>
        <v>6356</v>
      </c>
      <c r="AE175" s="81"/>
      <c r="AF175" s="81"/>
      <c r="AG175" s="81"/>
      <c r="AH175" s="81"/>
      <c r="AI175" s="81"/>
      <c r="AJ175" s="81"/>
      <c r="AK175" s="81">
        <v>6356</v>
      </c>
      <c r="AL175" s="81"/>
      <c r="AM175" s="81"/>
      <c r="AN175" s="81"/>
      <c r="AO175" s="81"/>
      <c r="AP175" s="81">
        <f t="shared" si="578"/>
        <v>0</v>
      </c>
      <c r="AQ175" s="81">
        <f t="shared" si="579"/>
        <v>0</v>
      </c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>
        <f t="shared" si="580"/>
        <v>0</v>
      </c>
      <c r="BD175" s="98">
        <f t="shared" si="581"/>
        <v>0</v>
      </c>
      <c r="BE175" s="98"/>
      <c r="BF175" s="98"/>
      <c r="BG175" s="98"/>
      <c r="BH175" s="98"/>
      <c r="BI175" s="98"/>
      <c r="BJ175" s="81"/>
      <c r="BK175" s="81">
        <f t="shared" si="582"/>
        <v>0</v>
      </c>
      <c r="BL175" s="81">
        <f t="shared" si="583"/>
        <v>0</v>
      </c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82" t="s">
        <v>845</v>
      </c>
      <c r="BY175" s="85"/>
      <c r="BZ175" s="24"/>
    </row>
    <row r="176" spans="1:78" ht="26.25" customHeight="1" x14ac:dyDescent="0.2">
      <c r="A176" s="108">
        <v>90000051519</v>
      </c>
      <c r="B176" s="241" t="s">
        <v>710</v>
      </c>
      <c r="C176" s="285" t="s">
        <v>227</v>
      </c>
      <c r="D176" s="80">
        <f t="shared" si="572"/>
        <v>1470093</v>
      </c>
      <c r="E176" s="295">
        <f t="shared" si="573"/>
        <v>1491825</v>
      </c>
      <c r="F176" s="81">
        <v>672007</v>
      </c>
      <c r="G176" s="81">
        <f t="shared" si="574"/>
        <v>658796</v>
      </c>
      <c r="H176" s="81">
        <f t="shared" si="575"/>
        <v>-13211</v>
      </c>
      <c r="I176" s="81"/>
      <c r="J176" s="81"/>
      <c r="K176" s="81">
        <v>-1583</v>
      </c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>
        <v>-6888</v>
      </c>
      <c r="Z176" s="81">
        <v>-4740</v>
      </c>
      <c r="AA176" s="81"/>
      <c r="AB176" s="81">
        <v>779637</v>
      </c>
      <c r="AC176" s="81">
        <f t="shared" si="576"/>
        <v>800889</v>
      </c>
      <c r="AD176" s="81">
        <f t="shared" si="577"/>
        <v>21252</v>
      </c>
      <c r="AE176" s="81">
        <v>4536</v>
      </c>
      <c r="AF176" s="81">
        <v>12648</v>
      </c>
      <c r="AG176" s="81"/>
      <c r="AH176" s="81"/>
      <c r="AI176" s="81">
        <v>-3</v>
      </c>
      <c r="AJ176" s="81"/>
      <c r="AK176" s="81">
        <v>4536</v>
      </c>
      <c r="AL176" s="81">
        <f>1654+360-2479</f>
        <v>-465</v>
      </c>
      <c r="AM176" s="81"/>
      <c r="AN176" s="81"/>
      <c r="AO176" s="81">
        <v>18449</v>
      </c>
      <c r="AP176" s="81">
        <f t="shared" si="578"/>
        <v>32140</v>
      </c>
      <c r="AQ176" s="81">
        <f t="shared" si="579"/>
        <v>13691</v>
      </c>
      <c r="AR176" s="81">
        <v>2063</v>
      </c>
      <c r="AS176" s="81"/>
      <c r="AT176" s="81"/>
      <c r="AU176" s="81"/>
      <c r="AV176" s="81"/>
      <c r="AW176" s="81"/>
      <c r="AX176" s="81"/>
      <c r="AY176" s="81">
        <v>6888</v>
      </c>
      <c r="AZ176" s="81">
        <v>4740</v>
      </c>
      <c r="BA176" s="81"/>
      <c r="BB176" s="81">
        <v>0</v>
      </c>
      <c r="BC176" s="81">
        <f t="shared" si="580"/>
        <v>0</v>
      </c>
      <c r="BD176" s="98">
        <f t="shared" si="581"/>
        <v>0</v>
      </c>
      <c r="BE176" s="98"/>
      <c r="BF176" s="98"/>
      <c r="BG176" s="98"/>
      <c r="BH176" s="98"/>
      <c r="BI176" s="98"/>
      <c r="BJ176" s="81"/>
      <c r="BK176" s="81">
        <f t="shared" si="582"/>
        <v>0</v>
      </c>
      <c r="BL176" s="81">
        <f t="shared" si="583"/>
        <v>0</v>
      </c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82" t="s">
        <v>376</v>
      </c>
      <c r="BY176" s="85"/>
      <c r="BZ176" s="24"/>
    </row>
    <row r="177" spans="1:78" x14ac:dyDescent="0.2">
      <c r="A177" s="108"/>
      <c r="B177" s="242"/>
      <c r="C177" s="285" t="s">
        <v>240</v>
      </c>
      <c r="D177" s="80">
        <f t="shared" si="572"/>
        <v>188524</v>
      </c>
      <c r="E177" s="295">
        <f t="shared" si="573"/>
        <v>186437</v>
      </c>
      <c r="F177" s="81">
        <v>121957</v>
      </c>
      <c r="G177" s="81">
        <f t="shared" si="574"/>
        <v>121957</v>
      </c>
      <c r="H177" s="81">
        <f t="shared" si="575"/>
        <v>0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>
        <v>66567</v>
      </c>
      <c r="AC177" s="81">
        <f t="shared" si="576"/>
        <v>64480</v>
      </c>
      <c r="AD177" s="81">
        <f t="shared" si="577"/>
        <v>-2087</v>
      </c>
      <c r="AE177" s="81"/>
      <c r="AF177" s="81">
        <v>817</v>
      </c>
      <c r="AG177" s="81"/>
      <c r="AH177" s="81"/>
      <c r="AI177" s="81"/>
      <c r="AJ177" s="81"/>
      <c r="AK177" s="81"/>
      <c r="AL177" s="81">
        <v>-2904</v>
      </c>
      <c r="AM177" s="81"/>
      <c r="AN177" s="81"/>
      <c r="AO177" s="81">
        <v>0</v>
      </c>
      <c r="AP177" s="81">
        <f t="shared" si="578"/>
        <v>0</v>
      </c>
      <c r="AQ177" s="81">
        <f t="shared" si="579"/>
        <v>0</v>
      </c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>
        <v>0</v>
      </c>
      <c r="BC177" s="81">
        <f t="shared" si="580"/>
        <v>0</v>
      </c>
      <c r="BD177" s="98">
        <f t="shared" si="581"/>
        <v>0</v>
      </c>
      <c r="BE177" s="98"/>
      <c r="BF177" s="98"/>
      <c r="BG177" s="98"/>
      <c r="BH177" s="98"/>
      <c r="BI177" s="98"/>
      <c r="BJ177" s="81"/>
      <c r="BK177" s="81">
        <f t="shared" si="582"/>
        <v>0</v>
      </c>
      <c r="BL177" s="81">
        <f t="shared" si="583"/>
        <v>0</v>
      </c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82" t="s">
        <v>377</v>
      </c>
      <c r="BY177" s="85"/>
      <c r="BZ177" s="24"/>
    </row>
    <row r="178" spans="1:78" ht="24" customHeight="1" x14ac:dyDescent="0.2">
      <c r="A178" s="108">
        <v>90009251338</v>
      </c>
      <c r="B178" s="241" t="s">
        <v>474</v>
      </c>
      <c r="C178" s="285" t="s">
        <v>227</v>
      </c>
      <c r="D178" s="80">
        <f t="shared" si="572"/>
        <v>418220</v>
      </c>
      <c r="E178" s="295">
        <f t="shared" si="573"/>
        <v>439998</v>
      </c>
      <c r="F178" s="81">
        <v>288028</v>
      </c>
      <c r="G178" s="81">
        <f t="shared" si="574"/>
        <v>289904</v>
      </c>
      <c r="H178" s="81">
        <f t="shared" si="575"/>
        <v>1876</v>
      </c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>
        <v>1876</v>
      </c>
      <c r="Z178" s="81"/>
      <c r="AA178" s="81"/>
      <c r="AB178" s="81">
        <v>126492</v>
      </c>
      <c r="AC178" s="81">
        <f t="shared" si="576"/>
        <v>141795</v>
      </c>
      <c r="AD178" s="81">
        <f t="shared" si="577"/>
        <v>15303</v>
      </c>
      <c r="AE178" s="81">
        <f>791+86</f>
        <v>877</v>
      </c>
      <c r="AF178" s="81">
        <f>2084+460</f>
        <v>2544</v>
      </c>
      <c r="AG178" s="81"/>
      <c r="AH178" s="81"/>
      <c r="AI178" s="81"/>
      <c r="AJ178" s="81"/>
      <c r="AK178" s="81">
        <v>791</v>
      </c>
      <c r="AL178" s="81">
        <f>5596+5495</f>
        <v>11091</v>
      </c>
      <c r="AM178" s="81"/>
      <c r="AN178" s="81"/>
      <c r="AO178" s="81">
        <v>3700</v>
      </c>
      <c r="AP178" s="81">
        <f t="shared" si="578"/>
        <v>8299</v>
      </c>
      <c r="AQ178" s="81">
        <f t="shared" si="579"/>
        <v>4599</v>
      </c>
      <c r="AR178" s="81"/>
      <c r="AS178" s="81"/>
      <c r="AT178" s="81"/>
      <c r="AU178" s="81"/>
      <c r="AV178" s="81"/>
      <c r="AW178" s="81"/>
      <c r="AX178" s="81"/>
      <c r="AY178" s="81">
        <v>4599</v>
      </c>
      <c r="AZ178" s="81"/>
      <c r="BA178" s="81"/>
      <c r="BB178" s="81">
        <v>0</v>
      </c>
      <c r="BC178" s="81">
        <f t="shared" si="580"/>
        <v>0</v>
      </c>
      <c r="BD178" s="98">
        <f t="shared" si="581"/>
        <v>0</v>
      </c>
      <c r="BE178" s="98"/>
      <c r="BF178" s="98"/>
      <c r="BG178" s="98"/>
      <c r="BH178" s="98"/>
      <c r="BI178" s="98"/>
      <c r="BJ178" s="81"/>
      <c r="BK178" s="81">
        <f t="shared" si="582"/>
        <v>0</v>
      </c>
      <c r="BL178" s="81">
        <f t="shared" si="583"/>
        <v>0</v>
      </c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82" t="s">
        <v>378</v>
      </c>
      <c r="BY178" s="85"/>
      <c r="BZ178" s="24"/>
    </row>
    <row r="179" spans="1:78" x14ac:dyDescent="0.2">
      <c r="A179" s="108"/>
      <c r="B179" s="242"/>
      <c r="C179" s="285" t="s">
        <v>240</v>
      </c>
      <c r="D179" s="80">
        <f t="shared" si="572"/>
        <v>29590</v>
      </c>
      <c r="E179" s="295">
        <f t="shared" si="573"/>
        <v>29590</v>
      </c>
      <c r="F179" s="81">
        <v>15321</v>
      </c>
      <c r="G179" s="81">
        <f t="shared" si="574"/>
        <v>15321</v>
      </c>
      <c r="H179" s="81">
        <f t="shared" si="575"/>
        <v>0</v>
      </c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>
        <v>14269</v>
      </c>
      <c r="AC179" s="81">
        <f t="shared" si="576"/>
        <v>14269</v>
      </c>
      <c r="AD179" s="81">
        <f t="shared" si="577"/>
        <v>0</v>
      </c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>
        <v>0</v>
      </c>
      <c r="AP179" s="81">
        <f t="shared" si="578"/>
        <v>0</v>
      </c>
      <c r="AQ179" s="81">
        <f t="shared" si="579"/>
        <v>0</v>
      </c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>
        <v>0</v>
      </c>
      <c r="BC179" s="81">
        <f t="shared" si="580"/>
        <v>0</v>
      </c>
      <c r="BD179" s="98">
        <f t="shared" si="581"/>
        <v>0</v>
      </c>
      <c r="BE179" s="98"/>
      <c r="BF179" s="98"/>
      <c r="BG179" s="98"/>
      <c r="BH179" s="98"/>
      <c r="BI179" s="98"/>
      <c r="BJ179" s="81"/>
      <c r="BK179" s="81">
        <f t="shared" si="582"/>
        <v>0</v>
      </c>
      <c r="BL179" s="81">
        <f t="shared" si="583"/>
        <v>0</v>
      </c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82" t="s">
        <v>379</v>
      </c>
      <c r="BY179" s="85"/>
      <c r="BZ179" s="24"/>
    </row>
    <row r="180" spans="1:78" ht="24" x14ac:dyDescent="0.2">
      <c r="A180" s="108">
        <v>90000051576</v>
      </c>
      <c r="B180" s="241" t="s">
        <v>473</v>
      </c>
      <c r="C180" s="285" t="s">
        <v>227</v>
      </c>
      <c r="D180" s="80">
        <f t="shared" si="572"/>
        <v>611306</v>
      </c>
      <c r="E180" s="295">
        <f t="shared" si="573"/>
        <v>632602</v>
      </c>
      <c r="F180" s="81">
        <v>425843</v>
      </c>
      <c r="G180" s="81">
        <f t="shared" si="574"/>
        <v>419582</v>
      </c>
      <c r="H180" s="81">
        <f t="shared" si="575"/>
        <v>-6261</v>
      </c>
      <c r="I180" s="81"/>
      <c r="J180" s="81"/>
      <c r="K180" s="81">
        <v>-4761</v>
      </c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>
        <v>-1500</v>
      </c>
      <c r="X180" s="81"/>
      <c r="Y180" s="81"/>
      <c r="Z180" s="81"/>
      <c r="AA180" s="81"/>
      <c r="AB180" s="81">
        <v>172004</v>
      </c>
      <c r="AC180" s="81">
        <f t="shared" si="576"/>
        <v>186746</v>
      </c>
      <c r="AD180" s="81">
        <f t="shared" si="577"/>
        <v>14742</v>
      </c>
      <c r="AE180" s="81">
        <v>973</v>
      </c>
      <c r="AF180" s="81">
        <v>3190</v>
      </c>
      <c r="AG180" s="81"/>
      <c r="AH180" s="81"/>
      <c r="AI180" s="81">
        <v>-4</v>
      </c>
      <c r="AJ180" s="81"/>
      <c r="AK180" s="81"/>
      <c r="AL180" s="81">
        <f>973+5650-529+119+4370</f>
        <v>10583</v>
      </c>
      <c r="AM180" s="81"/>
      <c r="AN180" s="81"/>
      <c r="AO180" s="81">
        <v>13459</v>
      </c>
      <c r="AP180" s="81">
        <f t="shared" si="578"/>
        <v>26274</v>
      </c>
      <c r="AQ180" s="81">
        <f t="shared" si="579"/>
        <v>12815</v>
      </c>
      <c r="AR180" s="81">
        <v>5456</v>
      </c>
      <c r="AS180" s="81"/>
      <c r="AT180" s="81"/>
      <c r="AU180" s="81"/>
      <c r="AV180" s="81"/>
      <c r="AW180" s="81"/>
      <c r="AX180" s="81">
        <v>6054</v>
      </c>
      <c r="AY180" s="81"/>
      <c r="AZ180" s="81">
        <v>1305</v>
      </c>
      <c r="BA180" s="81"/>
      <c r="BB180" s="81">
        <v>0</v>
      </c>
      <c r="BC180" s="81">
        <f t="shared" si="580"/>
        <v>0</v>
      </c>
      <c r="BD180" s="98">
        <f t="shared" si="581"/>
        <v>0</v>
      </c>
      <c r="BE180" s="98"/>
      <c r="BF180" s="98"/>
      <c r="BG180" s="98"/>
      <c r="BH180" s="98"/>
      <c r="BI180" s="98"/>
      <c r="BJ180" s="81"/>
      <c r="BK180" s="81">
        <f t="shared" si="582"/>
        <v>0</v>
      </c>
      <c r="BL180" s="81">
        <f t="shared" si="583"/>
        <v>0</v>
      </c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82" t="s">
        <v>380</v>
      </c>
      <c r="BY180" s="85"/>
      <c r="BZ180" s="24"/>
    </row>
    <row r="181" spans="1:78" x14ac:dyDescent="0.2">
      <c r="A181" s="108"/>
      <c r="B181" s="242"/>
      <c r="C181" s="285" t="s">
        <v>240</v>
      </c>
      <c r="D181" s="80">
        <f t="shared" si="572"/>
        <v>53862</v>
      </c>
      <c r="E181" s="295">
        <f t="shared" si="573"/>
        <v>54724</v>
      </c>
      <c r="F181" s="81">
        <v>36447</v>
      </c>
      <c r="G181" s="81">
        <f t="shared" si="574"/>
        <v>36447</v>
      </c>
      <c r="H181" s="81">
        <f t="shared" si="575"/>
        <v>0</v>
      </c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>
        <v>17415</v>
      </c>
      <c r="AC181" s="81">
        <f t="shared" si="576"/>
        <v>18277</v>
      </c>
      <c r="AD181" s="81">
        <f t="shared" si="577"/>
        <v>862</v>
      </c>
      <c r="AE181" s="81"/>
      <c r="AF181" s="81">
        <v>862</v>
      </c>
      <c r="AG181" s="81"/>
      <c r="AH181" s="81"/>
      <c r="AI181" s="81"/>
      <c r="AJ181" s="81"/>
      <c r="AK181" s="81"/>
      <c r="AL181" s="81"/>
      <c r="AM181" s="81"/>
      <c r="AN181" s="81"/>
      <c r="AO181" s="81">
        <v>0</v>
      </c>
      <c r="AP181" s="81">
        <f t="shared" si="578"/>
        <v>0</v>
      </c>
      <c r="AQ181" s="81">
        <f t="shared" si="579"/>
        <v>0</v>
      </c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>
        <v>0</v>
      </c>
      <c r="BC181" s="81">
        <f t="shared" si="580"/>
        <v>0</v>
      </c>
      <c r="BD181" s="98">
        <f t="shared" si="581"/>
        <v>0</v>
      </c>
      <c r="BE181" s="98"/>
      <c r="BF181" s="98"/>
      <c r="BG181" s="98"/>
      <c r="BH181" s="98"/>
      <c r="BI181" s="98"/>
      <c r="BJ181" s="81"/>
      <c r="BK181" s="81">
        <f t="shared" si="582"/>
        <v>0</v>
      </c>
      <c r="BL181" s="81">
        <f t="shared" si="583"/>
        <v>0</v>
      </c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82" t="s">
        <v>381</v>
      </c>
      <c r="BY181" s="85"/>
      <c r="BZ181" s="24"/>
    </row>
    <row r="182" spans="1:78" s="198" customFormat="1" ht="24" x14ac:dyDescent="0.2">
      <c r="A182" s="108"/>
      <c r="B182" s="242"/>
      <c r="C182" s="285" t="s">
        <v>636</v>
      </c>
      <c r="D182" s="80">
        <f t="shared" si="572"/>
        <v>8775</v>
      </c>
      <c r="E182" s="295">
        <f t="shared" si="573"/>
        <v>9087</v>
      </c>
      <c r="F182" s="81">
        <v>8775</v>
      </c>
      <c r="G182" s="81">
        <f t="shared" si="574"/>
        <v>9087</v>
      </c>
      <c r="H182" s="81">
        <f t="shared" si="575"/>
        <v>312</v>
      </c>
      <c r="I182" s="81"/>
      <c r="J182" s="81"/>
      <c r="K182" s="81">
        <v>312</v>
      </c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>
        <v>0</v>
      </c>
      <c r="AC182" s="81">
        <f t="shared" si="576"/>
        <v>0</v>
      </c>
      <c r="AD182" s="81">
        <f t="shared" si="577"/>
        <v>0</v>
      </c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>
        <v>0</v>
      </c>
      <c r="AP182" s="81">
        <f t="shared" si="578"/>
        <v>0</v>
      </c>
      <c r="AQ182" s="81">
        <f t="shared" si="579"/>
        <v>0</v>
      </c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>
        <v>0</v>
      </c>
      <c r="BC182" s="81">
        <f t="shared" si="580"/>
        <v>0</v>
      </c>
      <c r="BD182" s="98">
        <f t="shared" si="581"/>
        <v>0</v>
      </c>
      <c r="BE182" s="98"/>
      <c r="BF182" s="98"/>
      <c r="BG182" s="98"/>
      <c r="BH182" s="98"/>
      <c r="BI182" s="98"/>
      <c r="BJ182" s="81"/>
      <c r="BK182" s="81">
        <f t="shared" si="582"/>
        <v>0</v>
      </c>
      <c r="BL182" s="81">
        <f t="shared" si="583"/>
        <v>0</v>
      </c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82" t="s">
        <v>688</v>
      </c>
      <c r="BY182" s="85"/>
      <c r="BZ182" s="24"/>
    </row>
    <row r="183" spans="1:78" ht="24" customHeight="1" x14ac:dyDescent="0.2">
      <c r="A183" s="108">
        <v>90000051627</v>
      </c>
      <c r="B183" s="241" t="s">
        <v>198</v>
      </c>
      <c r="C183" s="285" t="s">
        <v>227</v>
      </c>
      <c r="D183" s="80">
        <f t="shared" si="572"/>
        <v>957855</v>
      </c>
      <c r="E183" s="295">
        <f t="shared" si="573"/>
        <v>997119</v>
      </c>
      <c r="F183" s="81">
        <v>467015</v>
      </c>
      <c r="G183" s="81">
        <f t="shared" si="574"/>
        <v>465505</v>
      </c>
      <c r="H183" s="81">
        <f t="shared" si="575"/>
        <v>-1510</v>
      </c>
      <c r="I183" s="81"/>
      <c r="J183" s="81"/>
      <c r="K183" s="81">
        <v>-1510</v>
      </c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>
        <v>475210</v>
      </c>
      <c r="AC183" s="81">
        <f t="shared" si="576"/>
        <v>511956</v>
      </c>
      <c r="AD183" s="81">
        <f t="shared" si="577"/>
        <v>36746</v>
      </c>
      <c r="AE183" s="81">
        <v>2968</v>
      </c>
      <c r="AF183" s="81">
        <v>7947</v>
      </c>
      <c r="AG183" s="81"/>
      <c r="AH183" s="81"/>
      <c r="AI183" s="81">
        <f>-1+1</f>
        <v>0</v>
      </c>
      <c r="AJ183" s="81">
        <f>51515+3153</f>
        <v>54668</v>
      </c>
      <c r="AK183" s="81"/>
      <c r="AL183" s="81">
        <f>-29683+846</f>
        <v>-28837</v>
      </c>
      <c r="AM183" s="81"/>
      <c r="AN183" s="81"/>
      <c r="AO183" s="81">
        <v>15630</v>
      </c>
      <c r="AP183" s="81">
        <f t="shared" si="578"/>
        <v>19708</v>
      </c>
      <c r="AQ183" s="81">
        <f t="shared" si="579"/>
        <v>4078</v>
      </c>
      <c r="AR183" s="81">
        <v>3608</v>
      </c>
      <c r="AS183" s="81"/>
      <c r="AT183" s="81"/>
      <c r="AU183" s="81"/>
      <c r="AV183" s="81"/>
      <c r="AW183" s="81"/>
      <c r="AX183" s="81">
        <v>50</v>
      </c>
      <c r="AY183" s="81"/>
      <c r="AZ183" s="81">
        <v>420</v>
      </c>
      <c r="BA183" s="81"/>
      <c r="BB183" s="81">
        <v>0</v>
      </c>
      <c r="BC183" s="81">
        <f t="shared" si="580"/>
        <v>0</v>
      </c>
      <c r="BD183" s="98">
        <f t="shared" si="581"/>
        <v>0</v>
      </c>
      <c r="BE183" s="98"/>
      <c r="BF183" s="98"/>
      <c r="BG183" s="98"/>
      <c r="BH183" s="98"/>
      <c r="BI183" s="98"/>
      <c r="BJ183" s="81"/>
      <c r="BK183" s="81">
        <f t="shared" si="582"/>
        <v>-50</v>
      </c>
      <c r="BL183" s="81">
        <f t="shared" si="583"/>
        <v>-50</v>
      </c>
      <c r="BM183" s="98"/>
      <c r="BN183" s="98"/>
      <c r="BO183" s="98"/>
      <c r="BP183" s="98"/>
      <c r="BQ183" s="98"/>
      <c r="BR183" s="98"/>
      <c r="BS183" s="98"/>
      <c r="BT183" s="98">
        <v>-50</v>
      </c>
      <c r="BU183" s="98"/>
      <c r="BV183" s="98"/>
      <c r="BW183" s="98"/>
      <c r="BX183" s="82" t="s">
        <v>382</v>
      </c>
      <c r="BY183" s="85"/>
      <c r="BZ183" s="24"/>
    </row>
    <row r="184" spans="1:78" x14ac:dyDescent="0.2">
      <c r="A184" s="108"/>
      <c r="B184" s="242"/>
      <c r="C184" s="285" t="s">
        <v>240</v>
      </c>
      <c r="D184" s="80">
        <f t="shared" si="572"/>
        <v>115811</v>
      </c>
      <c r="E184" s="295">
        <f t="shared" si="573"/>
        <v>118727</v>
      </c>
      <c r="F184" s="81">
        <v>75508</v>
      </c>
      <c r="G184" s="81">
        <f t="shared" si="574"/>
        <v>78424</v>
      </c>
      <c r="H184" s="81">
        <f t="shared" si="575"/>
        <v>2916</v>
      </c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>
        <v>2916</v>
      </c>
      <c r="AA184" s="81"/>
      <c r="AB184" s="81">
        <v>40303</v>
      </c>
      <c r="AC184" s="81">
        <f t="shared" si="576"/>
        <v>40303</v>
      </c>
      <c r="AD184" s="81">
        <f t="shared" si="577"/>
        <v>0</v>
      </c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>
        <v>0</v>
      </c>
      <c r="AP184" s="81">
        <f t="shared" si="578"/>
        <v>0</v>
      </c>
      <c r="AQ184" s="81">
        <f t="shared" si="579"/>
        <v>0</v>
      </c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>
        <v>0</v>
      </c>
      <c r="BC184" s="81">
        <f t="shared" si="580"/>
        <v>0</v>
      </c>
      <c r="BD184" s="98">
        <f t="shared" si="581"/>
        <v>0</v>
      </c>
      <c r="BE184" s="98"/>
      <c r="BF184" s="98"/>
      <c r="BG184" s="98"/>
      <c r="BH184" s="98"/>
      <c r="BI184" s="98"/>
      <c r="BJ184" s="81"/>
      <c r="BK184" s="81">
        <f t="shared" si="582"/>
        <v>0</v>
      </c>
      <c r="BL184" s="81">
        <f t="shared" si="583"/>
        <v>0</v>
      </c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82" t="s">
        <v>383</v>
      </c>
      <c r="BY184" s="85"/>
      <c r="BZ184" s="24"/>
    </row>
    <row r="185" spans="1:78" s="192" customFormat="1" x14ac:dyDescent="0.2">
      <c r="A185" s="108"/>
      <c r="B185" s="242"/>
      <c r="C185" s="285" t="s">
        <v>637</v>
      </c>
      <c r="D185" s="80">
        <f t="shared" si="572"/>
        <v>3069</v>
      </c>
      <c r="E185" s="295">
        <f t="shared" si="573"/>
        <v>3069</v>
      </c>
      <c r="F185" s="81">
        <v>3069</v>
      </c>
      <c r="G185" s="81">
        <f t="shared" si="574"/>
        <v>3069</v>
      </c>
      <c r="H185" s="81">
        <f t="shared" si="575"/>
        <v>0</v>
      </c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>
        <v>0</v>
      </c>
      <c r="AC185" s="81">
        <f t="shared" si="576"/>
        <v>0</v>
      </c>
      <c r="AD185" s="81">
        <f t="shared" si="577"/>
        <v>0</v>
      </c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>
        <v>0</v>
      </c>
      <c r="AP185" s="81">
        <f t="shared" si="578"/>
        <v>0</v>
      </c>
      <c r="AQ185" s="81">
        <f t="shared" si="579"/>
        <v>0</v>
      </c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>
        <v>0</v>
      </c>
      <c r="BC185" s="81">
        <f t="shared" si="580"/>
        <v>0</v>
      </c>
      <c r="BD185" s="98">
        <f t="shared" si="581"/>
        <v>0</v>
      </c>
      <c r="BE185" s="98"/>
      <c r="BF185" s="98"/>
      <c r="BG185" s="98"/>
      <c r="BH185" s="98"/>
      <c r="BI185" s="98"/>
      <c r="BJ185" s="81"/>
      <c r="BK185" s="81">
        <f t="shared" si="582"/>
        <v>0</v>
      </c>
      <c r="BL185" s="81">
        <f t="shared" si="583"/>
        <v>0</v>
      </c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82" t="s">
        <v>552</v>
      </c>
      <c r="BY185" s="85"/>
      <c r="BZ185" s="24"/>
    </row>
    <row r="186" spans="1:78" ht="24" customHeight="1" x14ac:dyDescent="0.2">
      <c r="A186" s="108">
        <v>90000053670</v>
      </c>
      <c r="B186" s="241" t="s">
        <v>281</v>
      </c>
      <c r="C186" s="285" t="s">
        <v>247</v>
      </c>
      <c r="D186" s="80">
        <f t="shared" si="572"/>
        <v>555675</v>
      </c>
      <c r="E186" s="295">
        <f t="shared" si="573"/>
        <v>580480</v>
      </c>
      <c r="F186" s="81">
        <v>322431</v>
      </c>
      <c r="G186" s="81">
        <f t="shared" si="574"/>
        <v>322431</v>
      </c>
      <c r="H186" s="81">
        <f t="shared" si="575"/>
        <v>0</v>
      </c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>
        <v>161796</v>
      </c>
      <c r="AC186" s="81">
        <f t="shared" si="576"/>
        <v>190110</v>
      </c>
      <c r="AD186" s="81">
        <f t="shared" si="577"/>
        <v>28314</v>
      </c>
      <c r="AE186" s="81"/>
      <c r="AF186" s="81">
        <f>24592+848</f>
        <v>25440</v>
      </c>
      <c r="AG186" s="81"/>
      <c r="AH186" s="81"/>
      <c r="AI186" s="81"/>
      <c r="AJ186" s="81"/>
      <c r="AK186" s="81"/>
      <c r="AL186" s="81">
        <f>2640-436+670</f>
        <v>2874</v>
      </c>
      <c r="AM186" s="81"/>
      <c r="AN186" s="81"/>
      <c r="AO186" s="81">
        <v>71448</v>
      </c>
      <c r="AP186" s="81">
        <f t="shared" si="578"/>
        <v>67939</v>
      </c>
      <c r="AQ186" s="81">
        <f t="shared" si="579"/>
        <v>-3509</v>
      </c>
      <c r="AR186" s="81">
        <v>-3957</v>
      </c>
      <c r="AS186" s="81"/>
      <c r="AT186" s="81"/>
      <c r="AU186" s="81"/>
      <c r="AV186" s="81"/>
      <c r="AW186" s="81"/>
      <c r="AX186" s="81">
        <v>448</v>
      </c>
      <c r="AY186" s="81"/>
      <c r="AZ186" s="81"/>
      <c r="BA186" s="81"/>
      <c r="BB186" s="81">
        <v>0</v>
      </c>
      <c r="BC186" s="81">
        <f t="shared" si="580"/>
        <v>0</v>
      </c>
      <c r="BD186" s="98">
        <f t="shared" si="581"/>
        <v>0</v>
      </c>
      <c r="BE186" s="98"/>
      <c r="BF186" s="98"/>
      <c r="BG186" s="98"/>
      <c r="BH186" s="98"/>
      <c r="BI186" s="98"/>
      <c r="BJ186" s="81"/>
      <c r="BK186" s="81">
        <f t="shared" si="582"/>
        <v>0</v>
      </c>
      <c r="BL186" s="81">
        <f t="shared" si="583"/>
        <v>0</v>
      </c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82" t="s">
        <v>384</v>
      </c>
      <c r="BY186" s="85"/>
      <c r="BZ186" s="24"/>
    </row>
    <row r="187" spans="1:78" s="130" customFormat="1" x14ac:dyDescent="0.2">
      <c r="A187" s="108"/>
      <c r="B187" s="242"/>
      <c r="C187" s="285" t="s">
        <v>240</v>
      </c>
      <c r="D187" s="80">
        <f t="shared" si="572"/>
        <v>16070</v>
      </c>
      <c r="E187" s="295">
        <f t="shared" si="573"/>
        <v>16070</v>
      </c>
      <c r="F187" s="81">
        <v>16070</v>
      </c>
      <c r="G187" s="81">
        <f t="shared" si="574"/>
        <v>16070</v>
      </c>
      <c r="H187" s="81">
        <f t="shared" si="575"/>
        <v>0</v>
      </c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>
        <v>0</v>
      </c>
      <c r="AC187" s="81">
        <f t="shared" si="576"/>
        <v>0</v>
      </c>
      <c r="AD187" s="81">
        <f t="shared" si="577"/>
        <v>0</v>
      </c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>
        <v>0</v>
      </c>
      <c r="AP187" s="81">
        <f t="shared" si="578"/>
        <v>0</v>
      </c>
      <c r="AQ187" s="81">
        <f t="shared" si="579"/>
        <v>0</v>
      </c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>
        <v>0</v>
      </c>
      <c r="BC187" s="81">
        <f t="shared" si="580"/>
        <v>0</v>
      </c>
      <c r="BD187" s="98">
        <f t="shared" si="581"/>
        <v>0</v>
      </c>
      <c r="BE187" s="98"/>
      <c r="BF187" s="98"/>
      <c r="BG187" s="98"/>
      <c r="BH187" s="98"/>
      <c r="BI187" s="98"/>
      <c r="BJ187" s="81"/>
      <c r="BK187" s="81">
        <f t="shared" si="582"/>
        <v>0</v>
      </c>
      <c r="BL187" s="81">
        <f t="shared" si="583"/>
        <v>0</v>
      </c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82" t="s">
        <v>386</v>
      </c>
      <c r="BY187" s="85"/>
      <c r="BZ187" s="24"/>
    </row>
    <row r="188" spans="1:78" s="198" customFormat="1" ht="48" x14ac:dyDescent="0.2">
      <c r="A188" s="108"/>
      <c r="B188" s="242"/>
      <c r="C188" s="353" t="s">
        <v>788</v>
      </c>
      <c r="D188" s="80">
        <f t="shared" ref="D188" si="668">F188+AB188+AO188+BB188+BJ188</f>
        <v>0</v>
      </c>
      <c r="E188" s="295">
        <f t="shared" ref="E188" si="669">G188+AC188+AP188+BC188+BK188</f>
        <v>1553</v>
      </c>
      <c r="F188" s="81"/>
      <c r="G188" s="81">
        <f t="shared" ref="G188" si="670">F188+H188</f>
        <v>1553</v>
      </c>
      <c r="H188" s="81">
        <f t="shared" ref="H188" si="671">SUM(I188:AA188)</f>
        <v>1553</v>
      </c>
      <c r="I188" s="81"/>
      <c r="J188" s="81"/>
      <c r="K188" s="81"/>
      <c r="L188" s="81">
        <v>1553</v>
      </c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>
        <f t="shared" ref="AC188" si="672">AB188+AD188</f>
        <v>0</v>
      </c>
      <c r="AD188" s="81">
        <f t="shared" ref="AD188" si="673">SUM(AE188:AN188)</f>
        <v>0</v>
      </c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>
        <f t="shared" ref="AP188" si="674">AO188+AQ188</f>
        <v>0</v>
      </c>
      <c r="AQ188" s="81">
        <f t="shared" ref="AQ188" si="675">SUM(AR188:BA188)</f>
        <v>0</v>
      </c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>
        <f t="shared" ref="BC188" si="676">BB188+BD188</f>
        <v>0</v>
      </c>
      <c r="BD188" s="98">
        <f t="shared" ref="BD188" si="677">SUM(BE188:BI188)</f>
        <v>0</v>
      </c>
      <c r="BE188" s="98"/>
      <c r="BF188" s="98"/>
      <c r="BG188" s="98"/>
      <c r="BH188" s="98"/>
      <c r="BI188" s="98"/>
      <c r="BJ188" s="81"/>
      <c r="BK188" s="81">
        <f t="shared" ref="BK188" si="678">BJ188+BL188</f>
        <v>0</v>
      </c>
      <c r="BL188" s="81">
        <f t="shared" ref="BL188" si="679">SUM(BM188:BW188)</f>
        <v>0</v>
      </c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82" t="s">
        <v>787</v>
      </c>
      <c r="BY188" s="85"/>
      <c r="BZ188" s="24"/>
    </row>
    <row r="189" spans="1:78" ht="24" x14ac:dyDescent="0.2">
      <c r="A189" s="108">
        <v>90000051595</v>
      </c>
      <c r="B189" s="241" t="s">
        <v>153</v>
      </c>
      <c r="C189" s="285" t="s">
        <v>227</v>
      </c>
      <c r="D189" s="80">
        <f t="shared" si="572"/>
        <v>1153842</v>
      </c>
      <c r="E189" s="295">
        <f t="shared" si="573"/>
        <v>1183680</v>
      </c>
      <c r="F189" s="81">
        <v>556776</v>
      </c>
      <c r="G189" s="81">
        <f t="shared" si="574"/>
        <v>549375</v>
      </c>
      <c r="H189" s="81">
        <f t="shared" si="575"/>
        <v>-7401</v>
      </c>
      <c r="I189" s="81"/>
      <c r="J189" s="81"/>
      <c r="K189" s="81">
        <v>-5401</v>
      </c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>
        <v>-2000</v>
      </c>
      <c r="AA189" s="81"/>
      <c r="AB189" s="81">
        <v>580160</v>
      </c>
      <c r="AC189" s="81">
        <f t="shared" si="576"/>
        <v>609878</v>
      </c>
      <c r="AD189" s="81">
        <f t="shared" si="577"/>
        <v>29718</v>
      </c>
      <c r="AE189" s="81">
        <f>3213+1291</f>
        <v>4504</v>
      </c>
      <c r="AF189" s="81">
        <v>9256</v>
      </c>
      <c r="AG189" s="81"/>
      <c r="AH189" s="81"/>
      <c r="AI189" s="81"/>
      <c r="AJ189" s="81"/>
      <c r="AK189" s="81"/>
      <c r="AL189" s="81">
        <f>12745+3213</f>
        <v>15958</v>
      </c>
      <c r="AM189" s="81"/>
      <c r="AN189" s="81"/>
      <c r="AO189" s="81">
        <v>16906</v>
      </c>
      <c r="AP189" s="81">
        <f t="shared" si="578"/>
        <v>24427</v>
      </c>
      <c r="AQ189" s="81">
        <f t="shared" si="579"/>
        <v>7521</v>
      </c>
      <c r="AR189" s="81">
        <v>5521</v>
      </c>
      <c r="AS189" s="81"/>
      <c r="AT189" s="81"/>
      <c r="AU189" s="81"/>
      <c r="AV189" s="81"/>
      <c r="AW189" s="81"/>
      <c r="AX189" s="81"/>
      <c r="AY189" s="81"/>
      <c r="AZ189" s="81">
        <v>2000</v>
      </c>
      <c r="BA189" s="81"/>
      <c r="BB189" s="81">
        <v>0</v>
      </c>
      <c r="BC189" s="81">
        <f t="shared" si="580"/>
        <v>0</v>
      </c>
      <c r="BD189" s="98">
        <f t="shared" si="581"/>
        <v>0</v>
      </c>
      <c r="BE189" s="98"/>
      <c r="BF189" s="98"/>
      <c r="BG189" s="98"/>
      <c r="BH189" s="98"/>
      <c r="BI189" s="98"/>
      <c r="BJ189" s="81"/>
      <c r="BK189" s="81">
        <f t="shared" si="582"/>
        <v>0</v>
      </c>
      <c r="BL189" s="81">
        <f t="shared" si="583"/>
        <v>0</v>
      </c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82" t="s">
        <v>387</v>
      </c>
      <c r="BY189" s="85"/>
      <c r="BZ189" s="24"/>
    </row>
    <row r="190" spans="1:78" x14ac:dyDescent="0.2">
      <c r="A190" s="108"/>
      <c r="B190" s="242"/>
      <c r="C190" s="285" t="s">
        <v>240</v>
      </c>
      <c r="D190" s="80">
        <f t="shared" si="572"/>
        <v>149962</v>
      </c>
      <c r="E190" s="295">
        <f t="shared" si="573"/>
        <v>149962</v>
      </c>
      <c r="F190" s="81">
        <v>109536</v>
      </c>
      <c r="G190" s="81">
        <f t="shared" si="574"/>
        <v>109536</v>
      </c>
      <c r="H190" s="81">
        <f t="shared" si="575"/>
        <v>0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>
        <v>40426</v>
      </c>
      <c r="AC190" s="81">
        <f t="shared" si="576"/>
        <v>40426</v>
      </c>
      <c r="AD190" s="81">
        <f t="shared" si="577"/>
        <v>0</v>
      </c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>
        <v>0</v>
      </c>
      <c r="AP190" s="81">
        <f t="shared" si="578"/>
        <v>0</v>
      </c>
      <c r="AQ190" s="81">
        <f t="shared" si="579"/>
        <v>0</v>
      </c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>
        <v>0</v>
      </c>
      <c r="BC190" s="81">
        <f t="shared" si="580"/>
        <v>0</v>
      </c>
      <c r="BD190" s="98">
        <f t="shared" si="581"/>
        <v>0</v>
      </c>
      <c r="BE190" s="98"/>
      <c r="BF190" s="98"/>
      <c r="BG190" s="98"/>
      <c r="BH190" s="98"/>
      <c r="BI190" s="98"/>
      <c r="BJ190" s="81"/>
      <c r="BK190" s="81">
        <f t="shared" si="582"/>
        <v>0</v>
      </c>
      <c r="BL190" s="81">
        <f t="shared" si="583"/>
        <v>0</v>
      </c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82" t="s">
        <v>385</v>
      </c>
      <c r="BY190" s="85"/>
      <c r="BZ190" s="24"/>
    </row>
    <row r="191" spans="1:78" s="198" customFormat="1" x14ac:dyDescent="0.2">
      <c r="A191" s="108"/>
      <c r="B191" s="242"/>
      <c r="C191" s="285" t="s">
        <v>638</v>
      </c>
      <c r="D191" s="80">
        <f t="shared" si="572"/>
        <v>9990</v>
      </c>
      <c r="E191" s="295">
        <f t="shared" si="573"/>
        <v>15703</v>
      </c>
      <c r="F191" s="81">
        <v>9990</v>
      </c>
      <c r="G191" s="81">
        <f t="shared" si="574"/>
        <v>15703</v>
      </c>
      <c r="H191" s="81">
        <f t="shared" si="575"/>
        <v>5713</v>
      </c>
      <c r="I191" s="81"/>
      <c r="J191" s="81"/>
      <c r="K191" s="81">
        <v>5713</v>
      </c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>
        <v>0</v>
      </c>
      <c r="AC191" s="81">
        <f t="shared" si="576"/>
        <v>0</v>
      </c>
      <c r="AD191" s="81">
        <f t="shared" si="577"/>
        <v>0</v>
      </c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>
        <v>0</v>
      </c>
      <c r="AP191" s="81">
        <f t="shared" si="578"/>
        <v>0</v>
      </c>
      <c r="AQ191" s="81">
        <f t="shared" si="579"/>
        <v>0</v>
      </c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>
        <v>0</v>
      </c>
      <c r="BC191" s="81">
        <f t="shared" si="580"/>
        <v>0</v>
      </c>
      <c r="BD191" s="98">
        <f t="shared" si="581"/>
        <v>0</v>
      </c>
      <c r="BE191" s="98"/>
      <c r="BF191" s="98"/>
      <c r="BG191" s="98"/>
      <c r="BH191" s="98"/>
      <c r="BI191" s="98"/>
      <c r="BJ191" s="81"/>
      <c r="BK191" s="81">
        <f t="shared" si="582"/>
        <v>0</v>
      </c>
      <c r="BL191" s="81">
        <f t="shared" si="583"/>
        <v>0</v>
      </c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82" t="s">
        <v>553</v>
      </c>
      <c r="BY191" s="85"/>
      <c r="BZ191" s="24"/>
    </row>
    <row r="192" spans="1:78" s="193" customFormat="1" ht="24" x14ac:dyDescent="0.2">
      <c r="A192" s="108"/>
      <c r="B192" s="243"/>
      <c r="C192" s="285" t="s">
        <v>543</v>
      </c>
      <c r="D192" s="80">
        <f t="shared" si="572"/>
        <v>6266</v>
      </c>
      <c r="E192" s="295">
        <f t="shared" si="573"/>
        <v>9523</v>
      </c>
      <c r="F192" s="81">
        <v>6266</v>
      </c>
      <c r="G192" s="81">
        <f t="shared" si="574"/>
        <v>9523</v>
      </c>
      <c r="H192" s="81">
        <f t="shared" si="575"/>
        <v>3257</v>
      </c>
      <c r="I192" s="81"/>
      <c r="J192" s="81"/>
      <c r="K192" s="81">
        <v>2088</v>
      </c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>
        <v>1169</v>
      </c>
      <c r="AA192" s="81"/>
      <c r="AB192" s="81">
        <v>0</v>
      </c>
      <c r="AC192" s="81">
        <f t="shared" si="576"/>
        <v>0</v>
      </c>
      <c r="AD192" s="81">
        <f t="shared" si="577"/>
        <v>0</v>
      </c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>
        <v>0</v>
      </c>
      <c r="AP192" s="81">
        <f t="shared" si="578"/>
        <v>0</v>
      </c>
      <c r="AQ192" s="81">
        <f t="shared" si="579"/>
        <v>0</v>
      </c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>
        <v>0</v>
      </c>
      <c r="BC192" s="81">
        <f t="shared" si="580"/>
        <v>0</v>
      </c>
      <c r="BD192" s="98">
        <f t="shared" si="581"/>
        <v>0</v>
      </c>
      <c r="BE192" s="98"/>
      <c r="BF192" s="98"/>
      <c r="BG192" s="98"/>
      <c r="BH192" s="98"/>
      <c r="BI192" s="98"/>
      <c r="BJ192" s="81"/>
      <c r="BK192" s="81">
        <f t="shared" si="582"/>
        <v>0</v>
      </c>
      <c r="BL192" s="81">
        <f t="shared" si="583"/>
        <v>0</v>
      </c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82" t="s">
        <v>689</v>
      </c>
      <c r="BY192" s="85"/>
      <c r="BZ192" s="24"/>
    </row>
    <row r="193" spans="1:78" s="198" customFormat="1" ht="24" x14ac:dyDescent="0.2">
      <c r="A193" s="108"/>
      <c r="B193" s="243"/>
      <c r="C193" s="285" t="s">
        <v>639</v>
      </c>
      <c r="D193" s="80">
        <f t="shared" si="572"/>
        <v>3590</v>
      </c>
      <c r="E193" s="295">
        <f t="shared" si="573"/>
        <v>4340</v>
      </c>
      <c r="F193" s="81">
        <v>3590</v>
      </c>
      <c r="G193" s="81">
        <f t="shared" si="574"/>
        <v>4340</v>
      </c>
      <c r="H193" s="81">
        <f t="shared" si="575"/>
        <v>750</v>
      </c>
      <c r="I193" s="81"/>
      <c r="J193" s="81"/>
      <c r="K193" s="81">
        <v>750</v>
      </c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>
        <v>0</v>
      </c>
      <c r="AC193" s="81">
        <f t="shared" si="576"/>
        <v>0</v>
      </c>
      <c r="AD193" s="81">
        <f t="shared" si="577"/>
        <v>0</v>
      </c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>
        <v>0</v>
      </c>
      <c r="AP193" s="81">
        <f t="shared" si="578"/>
        <v>0</v>
      </c>
      <c r="AQ193" s="81">
        <f t="shared" si="579"/>
        <v>0</v>
      </c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>
        <v>0</v>
      </c>
      <c r="BC193" s="81">
        <f t="shared" si="580"/>
        <v>0</v>
      </c>
      <c r="BD193" s="98">
        <f t="shared" si="581"/>
        <v>0</v>
      </c>
      <c r="BE193" s="98"/>
      <c r="BF193" s="98"/>
      <c r="BG193" s="98"/>
      <c r="BH193" s="98"/>
      <c r="BI193" s="98"/>
      <c r="BJ193" s="81"/>
      <c r="BK193" s="81">
        <f t="shared" si="582"/>
        <v>0</v>
      </c>
      <c r="BL193" s="81">
        <f t="shared" si="583"/>
        <v>0</v>
      </c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82" t="s">
        <v>690</v>
      </c>
      <c r="BY193" s="85"/>
      <c r="BZ193" s="24"/>
    </row>
    <row r="194" spans="1:78" ht="24" customHeight="1" x14ac:dyDescent="0.2">
      <c r="A194" s="108">
        <v>90000056465</v>
      </c>
      <c r="B194" s="241" t="s">
        <v>282</v>
      </c>
      <c r="C194" s="285" t="s">
        <v>242</v>
      </c>
      <c r="D194" s="80">
        <f t="shared" si="572"/>
        <v>1093712</v>
      </c>
      <c r="E194" s="295">
        <f t="shared" si="573"/>
        <v>1224328</v>
      </c>
      <c r="F194" s="81">
        <v>549670</v>
      </c>
      <c r="G194" s="81">
        <f t="shared" si="574"/>
        <v>600951</v>
      </c>
      <c r="H194" s="81">
        <f t="shared" si="575"/>
        <v>51281</v>
      </c>
      <c r="I194" s="81"/>
      <c r="J194" s="81"/>
      <c r="K194" s="81">
        <v>69281</v>
      </c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>
        <v>-18000</v>
      </c>
      <c r="X194" s="81"/>
      <c r="Y194" s="81"/>
      <c r="Z194" s="81"/>
      <c r="AA194" s="81"/>
      <c r="AB194" s="81">
        <v>446030</v>
      </c>
      <c r="AC194" s="81">
        <f t="shared" si="576"/>
        <v>506278</v>
      </c>
      <c r="AD194" s="81">
        <f t="shared" si="577"/>
        <v>60248</v>
      </c>
      <c r="AE194" s="81"/>
      <c r="AF194" s="81">
        <f>48097+7</f>
        <v>48104</v>
      </c>
      <c r="AG194" s="81"/>
      <c r="AH194" s="81">
        <v>642</v>
      </c>
      <c r="AI194" s="81"/>
      <c r="AJ194" s="81"/>
      <c r="AK194" s="81"/>
      <c r="AL194" s="81">
        <v>11502</v>
      </c>
      <c r="AM194" s="81"/>
      <c r="AN194" s="81"/>
      <c r="AO194" s="81">
        <v>98012</v>
      </c>
      <c r="AP194" s="81">
        <f t="shared" si="578"/>
        <v>117069</v>
      </c>
      <c r="AQ194" s="81">
        <f t="shared" si="579"/>
        <v>19057</v>
      </c>
      <c r="AR194" s="81">
        <v>6078</v>
      </c>
      <c r="AS194" s="81"/>
      <c r="AT194" s="81"/>
      <c r="AU194" s="81"/>
      <c r="AV194" s="81"/>
      <c r="AW194" s="81"/>
      <c r="AX194" s="81">
        <v>1559</v>
      </c>
      <c r="AY194" s="81"/>
      <c r="AZ194" s="81">
        <v>11420</v>
      </c>
      <c r="BA194" s="81"/>
      <c r="BB194" s="81">
        <v>0</v>
      </c>
      <c r="BC194" s="81">
        <f t="shared" si="580"/>
        <v>30</v>
      </c>
      <c r="BD194" s="98">
        <f t="shared" si="581"/>
        <v>30</v>
      </c>
      <c r="BE194" s="98">
        <v>30</v>
      </c>
      <c r="BF194" s="98"/>
      <c r="BG194" s="98"/>
      <c r="BH194" s="98"/>
      <c r="BI194" s="98"/>
      <c r="BJ194" s="81"/>
      <c r="BK194" s="81">
        <f t="shared" si="582"/>
        <v>0</v>
      </c>
      <c r="BL194" s="81">
        <f t="shared" si="583"/>
        <v>0</v>
      </c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82" t="s">
        <v>388</v>
      </c>
      <c r="BY194" s="85"/>
      <c r="BZ194" s="24"/>
    </row>
    <row r="195" spans="1:78" s="198" customFormat="1" ht="24" customHeight="1" x14ac:dyDescent="0.2">
      <c r="A195" s="108"/>
      <c r="B195" s="241"/>
      <c r="C195" s="353" t="s">
        <v>785</v>
      </c>
      <c r="D195" s="80">
        <f t="shared" ref="D195" si="680">F195+AB195+AO195+BB195+BJ195</f>
        <v>0</v>
      </c>
      <c r="E195" s="295">
        <f t="shared" ref="E195" si="681">G195+AC195+AP195+BC195+BK195</f>
        <v>1050</v>
      </c>
      <c r="F195" s="81"/>
      <c r="G195" s="81">
        <f t="shared" ref="G195" si="682">F195+H195</f>
        <v>1050</v>
      </c>
      <c r="H195" s="81">
        <f t="shared" ref="H195" si="683">SUM(I195:AA195)</f>
        <v>1050</v>
      </c>
      <c r="I195" s="81"/>
      <c r="J195" s="81"/>
      <c r="K195" s="81"/>
      <c r="L195" s="81">
        <v>1050</v>
      </c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>
        <f t="shared" ref="AC195" si="684">AB195+AD195</f>
        <v>0</v>
      </c>
      <c r="AD195" s="81">
        <f t="shared" ref="AD195" si="685">SUM(AE195:AN195)</f>
        <v>0</v>
      </c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>
        <f t="shared" ref="AP195" si="686">AO195+AQ195</f>
        <v>0</v>
      </c>
      <c r="AQ195" s="81">
        <f t="shared" ref="AQ195" si="687">SUM(AR195:BA195)</f>
        <v>0</v>
      </c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81">
        <f t="shared" ref="BC195" si="688">BB195+BD195</f>
        <v>0</v>
      </c>
      <c r="BD195" s="98">
        <f t="shared" ref="BD195" si="689">SUM(BE195:BI195)</f>
        <v>0</v>
      </c>
      <c r="BE195" s="98"/>
      <c r="BF195" s="98"/>
      <c r="BG195" s="98"/>
      <c r="BH195" s="98"/>
      <c r="BI195" s="98"/>
      <c r="BJ195" s="81"/>
      <c r="BK195" s="81">
        <f t="shared" ref="BK195" si="690">BJ195+BL195</f>
        <v>0</v>
      </c>
      <c r="BL195" s="81">
        <f t="shared" ref="BL195" si="691">SUM(BM195:BW195)</f>
        <v>0</v>
      </c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82" t="s">
        <v>786</v>
      </c>
      <c r="BY195" s="85"/>
      <c r="BZ195" s="24"/>
    </row>
    <row r="196" spans="1:78" ht="24" customHeight="1" x14ac:dyDescent="0.2">
      <c r="A196" s="108">
        <v>90009249140</v>
      </c>
      <c r="B196" s="241" t="s">
        <v>513</v>
      </c>
      <c r="C196" s="285" t="s">
        <v>228</v>
      </c>
      <c r="D196" s="80">
        <f t="shared" si="572"/>
        <v>352406</v>
      </c>
      <c r="E196" s="295">
        <f t="shared" si="573"/>
        <v>353118</v>
      </c>
      <c r="F196" s="81">
        <v>325959</v>
      </c>
      <c r="G196" s="81">
        <f t="shared" si="574"/>
        <v>325959</v>
      </c>
      <c r="H196" s="81">
        <f t="shared" si="575"/>
        <v>0</v>
      </c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>
        <v>25411</v>
      </c>
      <c r="AC196" s="81">
        <f t="shared" si="576"/>
        <v>26111</v>
      </c>
      <c r="AD196" s="81">
        <f t="shared" si="577"/>
        <v>700</v>
      </c>
      <c r="AE196" s="81"/>
      <c r="AF196" s="81">
        <v>627</v>
      </c>
      <c r="AG196" s="81"/>
      <c r="AH196" s="81"/>
      <c r="AI196" s="81"/>
      <c r="AJ196" s="81"/>
      <c r="AK196" s="81"/>
      <c r="AL196" s="81">
        <v>73</v>
      </c>
      <c r="AM196" s="81"/>
      <c r="AN196" s="81"/>
      <c r="AO196" s="81">
        <v>1036</v>
      </c>
      <c r="AP196" s="98">
        <f t="shared" si="578"/>
        <v>1048</v>
      </c>
      <c r="AQ196" s="98">
        <f t="shared" si="579"/>
        <v>12</v>
      </c>
      <c r="AR196" s="98">
        <v>12</v>
      </c>
      <c r="AS196" s="98"/>
      <c r="AT196" s="98"/>
      <c r="AU196" s="98"/>
      <c r="AV196" s="98"/>
      <c r="AW196" s="98"/>
      <c r="AX196" s="98"/>
      <c r="AY196" s="98"/>
      <c r="AZ196" s="98"/>
      <c r="BA196" s="98"/>
      <c r="BB196" s="98">
        <v>0</v>
      </c>
      <c r="BC196" s="81">
        <f t="shared" si="580"/>
        <v>0</v>
      </c>
      <c r="BD196" s="98">
        <f t="shared" si="581"/>
        <v>0</v>
      </c>
      <c r="BE196" s="98"/>
      <c r="BF196" s="98"/>
      <c r="BG196" s="98"/>
      <c r="BH196" s="98"/>
      <c r="BI196" s="98"/>
      <c r="BJ196" s="81"/>
      <c r="BK196" s="81">
        <f t="shared" si="582"/>
        <v>0</v>
      </c>
      <c r="BL196" s="81">
        <f t="shared" si="583"/>
        <v>0</v>
      </c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82" t="s">
        <v>389</v>
      </c>
      <c r="BY196" s="85"/>
      <c r="BZ196" s="24"/>
    </row>
    <row r="197" spans="1:78" x14ac:dyDescent="0.2">
      <c r="A197" s="108"/>
      <c r="B197" s="242"/>
      <c r="C197" s="285" t="s">
        <v>240</v>
      </c>
      <c r="D197" s="80">
        <f t="shared" si="572"/>
        <v>34395</v>
      </c>
      <c r="E197" s="295">
        <f t="shared" si="573"/>
        <v>34395</v>
      </c>
      <c r="F197" s="81">
        <v>34395</v>
      </c>
      <c r="G197" s="81">
        <f t="shared" si="574"/>
        <v>34395</v>
      </c>
      <c r="H197" s="81">
        <f t="shared" si="575"/>
        <v>0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>
        <v>0</v>
      </c>
      <c r="AC197" s="81">
        <f t="shared" si="576"/>
        <v>0</v>
      </c>
      <c r="AD197" s="81">
        <f t="shared" si="577"/>
        <v>0</v>
      </c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>
        <v>0</v>
      </c>
      <c r="AP197" s="81">
        <f t="shared" si="578"/>
        <v>0</v>
      </c>
      <c r="AQ197" s="81">
        <f t="shared" si="579"/>
        <v>0</v>
      </c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>
        <v>0</v>
      </c>
      <c r="BC197" s="81">
        <f t="shared" si="580"/>
        <v>0</v>
      </c>
      <c r="BD197" s="98">
        <f t="shared" si="581"/>
        <v>0</v>
      </c>
      <c r="BE197" s="98"/>
      <c r="BF197" s="98"/>
      <c r="BG197" s="98"/>
      <c r="BH197" s="98"/>
      <c r="BI197" s="98"/>
      <c r="BJ197" s="81"/>
      <c r="BK197" s="81">
        <f t="shared" si="582"/>
        <v>0</v>
      </c>
      <c r="BL197" s="81">
        <f t="shared" si="583"/>
        <v>0</v>
      </c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82" t="s">
        <v>390</v>
      </c>
      <c r="BY197" s="85"/>
      <c r="BZ197" s="24"/>
    </row>
    <row r="198" spans="1:78" ht="24" customHeight="1" x14ac:dyDescent="0.2">
      <c r="A198" s="108">
        <v>90009249210</v>
      </c>
      <c r="B198" s="241" t="s">
        <v>514</v>
      </c>
      <c r="C198" s="285" t="s">
        <v>228</v>
      </c>
      <c r="D198" s="80">
        <f t="shared" si="572"/>
        <v>428030</v>
      </c>
      <c r="E198" s="295">
        <f t="shared" si="573"/>
        <v>424759</v>
      </c>
      <c r="F198" s="81">
        <v>402703</v>
      </c>
      <c r="G198" s="81">
        <f t="shared" si="574"/>
        <v>402627</v>
      </c>
      <c r="H198" s="81">
        <f t="shared" si="575"/>
        <v>-76</v>
      </c>
      <c r="I198" s="81"/>
      <c r="J198" s="81"/>
      <c r="K198" s="81">
        <v>-76</v>
      </c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>
        <v>25327</v>
      </c>
      <c r="AC198" s="81">
        <f t="shared" si="576"/>
        <v>22056</v>
      </c>
      <c r="AD198" s="81">
        <f t="shared" si="577"/>
        <v>-3271</v>
      </c>
      <c r="AE198" s="81"/>
      <c r="AF198" s="81">
        <v>608</v>
      </c>
      <c r="AG198" s="81"/>
      <c r="AH198" s="81"/>
      <c r="AI198" s="81"/>
      <c r="AJ198" s="81"/>
      <c r="AK198" s="81"/>
      <c r="AL198" s="81">
        <v>-3879</v>
      </c>
      <c r="AM198" s="81"/>
      <c r="AN198" s="81"/>
      <c r="AO198" s="81">
        <v>0</v>
      </c>
      <c r="AP198" s="81">
        <f t="shared" si="578"/>
        <v>76</v>
      </c>
      <c r="AQ198" s="81">
        <f t="shared" si="579"/>
        <v>76</v>
      </c>
      <c r="AR198" s="81">
        <v>76</v>
      </c>
      <c r="AS198" s="81"/>
      <c r="AT198" s="81"/>
      <c r="AU198" s="81"/>
      <c r="AV198" s="81"/>
      <c r="AW198" s="81"/>
      <c r="AX198" s="81"/>
      <c r="AY198" s="81"/>
      <c r="AZ198" s="81"/>
      <c r="BA198" s="81"/>
      <c r="BB198" s="81">
        <v>0</v>
      </c>
      <c r="BC198" s="81">
        <f t="shared" si="580"/>
        <v>0</v>
      </c>
      <c r="BD198" s="98">
        <f t="shared" si="581"/>
        <v>0</v>
      </c>
      <c r="BE198" s="98"/>
      <c r="BF198" s="98"/>
      <c r="BG198" s="98"/>
      <c r="BH198" s="98"/>
      <c r="BI198" s="98"/>
      <c r="BJ198" s="81"/>
      <c r="BK198" s="81">
        <f t="shared" si="582"/>
        <v>0</v>
      </c>
      <c r="BL198" s="81">
        <f t="shared" si="583"/>
        <v>0</v>
      </c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82" t="s">
        <v>391</v>
      </c>
      <c r="BY198" s="85"/>
      <c r="BZ198" s="24"/>
    </row>
    <row r="199" spans="1:78" x14ac:dyDescent="0.2">
      <c r="A199" s="108"/>
      <c r="B199" s="242"/>
      <c r="C199" s="285" t="s">
        <v>240</v>
      </c>
      <c r="D199" s="80">
        <f t="shared" si="572"/>
        <v>40312</v>
      </c>
      <c r="E199" s="295">
        <f t="shared" si="573"/>
        <v>40312</v>
      </c>
      <c r="F199" s="81">
        <v>40312</v>
      </c>
      <c r="G199" s="81">
        <f t="shared" si="574"/>
        <v>40312</v>
      </c>
      <c r="H199" s="81">
        <f t="shared" si="575"/>
        <v>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>
        <v>0</v>
      </c>
      <c r="AC199" s="81">
        <f t="shared" si="576"/>
        <v>0</v>
      </c>
      <c r="AD199" s="81">
        <f t="shared" si="577"/>
        <v>0</v>
      </c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>
        <v>0</v>
      </c>
      <c r="AP199" s="81">
        <f t="shared" si="578"/>
        <v>0</v>
      </c>
      <c r="AQ199" s="81">
        <f t="shared" si="579"/>
        <v>0</v>
      </c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>
        <v>0</v>
      </c>
      <c r="BC199" s="81">
        <f t="shared" si="580"/>
        <v>0</v>
      </c>
      <c r="BD199" s="98">
        <f t="shared" si="581"/>
        <v>0</v>
      </c>
      <c r="BE199" s="98"/>
      <c r="BF199" s="98"/>
      <c r="BG199" s="98"/>
      <c r="BH199" s="98"/>
      <c r="BI199" s="98"/>
      <c r="BJ199" s="81"/>
      <c r="BK199" s="81">
        <f t="shared" si="582"/>
        <v>0</v>
      </c>
      <c r="BL199" s="81">
        <f t="shared" si="583"/>
        <v>0</v>
      </c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82" t="s">
        <v>392</v>
      </c>
      <c r="BY199" s="85"/>
      <c r="BZ199" s="24"/>
    </row>
    <row r="200" spans="1:78" ht="24" customHeight="1" x14ac:dyDescent="0.2">
      <c r="A200" s="108">
        <v>90009249155</v>
      </c>
      <c r="B200" s="241" t="s">
        <v>515</v>
      </c>
      <c r="C200" s="285" t="s">
        <v>228</v>
      </c>
      <c r="D200" s="80">
        <f t="shared" si="572"/>
        <v>379137</v>
      </c>
      <c r="E200" s="295">
        <f t="shared" si="573"/>
        <v>379892</v>
      </c>
      <c r="F200" s="81">
        <v>358203</v>
      </c>
      <c r="G200" s="81">
        <f t="shared" si="574"/>
        <v>358203</v>
      </c>
      <c r="H200" s="81">
        <f t="shared" si="575"/>
        <v>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>
        <v>20929</v>
      </c>
      <c r="AC200" s="81">
        <f t="shared" si="576"/>
        <v>21684</v>
      </c>
      <c r="AD200" s="81">
        <f t="shared" si="577"/>
        <v>755</v>
      </c>
      <c r="AE200" s="81"/>
      <c r="AF200" s="81">
        <v>516</v>
      </c>
      <c r="AG200" s="81"/>
      <c r="AH200" s="81"/>
      <c r="AI200" s="81"/>
      <c r="AJ200" s="81"/>
      <c r="AK200" s="81"/>
      <c r="AL200" s="81">
        <v>239</v>
      </c>
      <c r="AM200" s="81"/>
      <c r="AN200" s="81"/>
      <c r="AO200" s="81">
        <v>5</v>
      </c>
      <c r="AP200" s="81">
        <f t="shared" si="578"/>
        <v>5</v>
      </c>
      <c r="AQ200" s="81">
        <f t="shared" si="579"/>
        <v>0</v>
      </c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>
        <v>0</v>
      </c>
      <c r="BC200" s="81">
        <f t="shared" si="580"/>
        <v>0</v>
      </c>
      <c r="BD200" s="98">
        <f t="shared" si="581"/>
        <v>0</v>
      </c>
      <c r="BE200" s="98"/>
      <c r="BF200" s="98"/>
      <c r="BG200" s="98"/>
      <c r="BH200" s="98"/>
      <c r="BI200" s="98"/>
      <c r="BJ200" s="81"/>
      <c r="BK200" s="81">
        <f t="shared" si="582"/>
        <v>0</v>
      </c>
      <c r="BL200" s="81">
        <f t="shared" si="583"/>
        <v>0</v>
      </c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82" t="s">
        <v>393</v>
      </c>
      <c r="BY200" s="85"/>
      <c r="BZ200" s="24"/>
    </row>
    <row r="201" spans="1:78" x14ac:dyDescent="0.2">
      <c r="A201" s="108"/>
      <c r="B201" s="242"/>
      <c r="C201" s="285" t="s">
        <v>240</v>
      </c>
      <c r="D201" s="80">
        <f t="shared" si="572"/>
        <v>34395</v>
      </c>
      <c r="E201" s="295">
        <f t="shared" si="573"/>
        <v>34395</v>
      </c>
      <c r="F201" s="81">
        <v>34395</v>
      </c>
      <c r="G201" s="81">
        <f t="shared" si="574"/>
        <v>34395</v>
      </c>
      <c r="H201" s="81">
        <f t="shared" si="575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>
        <v>0</v>
      </c>
      <c r="AC201" s="81">
        <f t="shared" si="576"/>
        <v>0</v>
      </c>
      <c r="AD201" s="81">
        <f t="shared" si="577"/>
        <v>0</v>
      </c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>
        <v>0</v>
      </c>
      <c r="AP201" s="81">
        <f t="shared" si="578"/>
        <v>0</v>
      </c>
      <c r="AQ201" s="81">
        <f t="shared" si="579"/>
        <v>0</v>
      </c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>
        <v>0</v>
      </c>
      <c r="BC201" s="81">
        <f t="shared" si="580"/>
        <v>0</v>
      </c>
      <c r="BD201" s="98">
        <f t="shared" si="581"/>
        <v>0</v>
      </c>
      <c r="BE201" s="98"/>
      <c r="BF201" s="98"/>
      <c r="BG201" s="98"/>
      <c r="BH201" s="98"/>
      <c r="BI201" s="98"/>
      <c r="BJ201" s="81"/>
      <c r="BK201" s="81">
        <f t="shared" si="582"/>
        <v>0</v>
      </c>
      <c r="BL201" s="81">
        <f t="shared" si="583"/>
        <v>0</v>
      </c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82" t="s">
        <v>394</v>
      </c>
      <c r="BY201" s="85"/>
      <c r="BZ201" s="24"/>
    </row>
    <row r="202" spans="1:78" ht="24" customHeight="1" x14ac:dyDescent="0.2">
      <c r="A202" s="108">
        <v>90009249259</v>
      </c>
      <c r="B202" s="241" t="s">
        <v>516</v>
      </c>
      <c r="C202" s="285" t="s">
        <v>228</v>
      </c>
      <c r="D202" s="80">
        <f t="shared" si="572"/>
        <v>660915</v>
      </c>
      <c r="E202" s="295">
        <f t="shared" si="573"/>
        <v>665285</v>
      </c>
      <c r="F202" s="81">
        <v>591153</v>
      </c>
      <c r="G202" s="81">
        <f t="shared" si="574"/>
        <v>591153</v>
      </c>
      <c r="H202" s="81">
        <f t="shared" si="575"/>
        <v>0</v>
      </c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>
        <v>64030</v>
      </c>
      <c r="AC202" s="81">
        <f t="shared" si="576"/>
        <v>67808</v>
      </c>
      <c r="AD202" s="81">
        <f t="shared" si="577"/>
        <v>3778</v>
      </c>
      <c r="AE202" s="81"/>
      <c r="AF202" s="81">
        <v>1512</v>
      </c>
      <c r="AG202" s="81"/>
      <c r="AH202" s="81"/>
      <c r="AI202" s="81"/>
      <c r="AJ202" s="81"/>
      <c r="AK202" s="81"/>
      <c r="AL202" s="81">
        <f>1530+736</f>
        <v>2266</v>
      </c>
      <c r="AM202" s="81"/>
      <c r="AN202" s="81"/>
      <c r="AO202" s="81">
        <v>5732</v>
      </c>
      <c r="AP202" s="81">
        <f t="shared" si="578"/>
        <v>6324</v>
      </c>
      <c r="AQ202" s="81">
        <f t="shared" si="579"/>
        <v>592</v>
      </c>
      <c r="AR202" s="81">
        <v>592</v>
      </c>
      <c r="AS202" s="81"/>
      <c r="AT202" s="81"/>
      <c r="AU202" s="81"/>
      <c r="AV202" s="81"/>
      <c r="AW202" s="81"/>
      <c r="AX202" s="81"/>
      <c r="AY202" s="81"/>
      <c r="AZ202" s="81"/>
      <c r="BA202" s="81"/>
      <c r="BB202" s="81">
        <v>0</v>
      </c>
      <c r="BC202" s="81">
        <f t="shared" si="580"/>
        <v>0</v>
      </c>
      <c r="BD202" s="98">
        <f t="shared" si="581"/>
        <v>0</v>
      </c>
      <c r="BE202" s="98"/>
      <c r="BF202" s="98"/>
      <c r="BG202" s="98"/>
      <c r="BH202" s="98"/>
      <c r="BI202" s="98"/>
      <c r="BJ202" s="81"/>
      <c r="BK202" s="81">
        <f t="shared" si="582"/>
        <v>0</v>
      </c>
      <c r="BL202" s="81">
        <f t="shared" si="583"/>
        <v>0</v>
      </c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82" t="s">
        <v>395</v>
      </c>
      <c r="BY202" s="85"/>
      <c r="BZ202" s="24"/>
    </row>
    <row r="203" spans="1:78" x14ac:dyDescent="0.2">
      <c r="A203" s="108"/>
      <c r="B203" s="242"/>
      <c r="C203" s="285" t="s">
        <v>240</v>
      </c>
      <c r="D203" s="80">
        <f t="shared" si="572"/>
        <v>90451</v>
      </c>
      <c r="E203" s="295">
        <f t="shared" si="573"/>
        <v>90451</v>
      </c>
      <c r="F203" s="81">
        <v>83953</v>
      </c>
      <c r="G203" s="81">
        <f t="shared" si="574"/>
        <v>83953</v>
      </c>
      <c r="H203" s="81">
        <f t="shared" si="575"/>
        <v>0</v>
      </c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>
        <v>0</v>
      </c>
      <c r="AC203" s="81">
        <f t="shared" si="576"/>
        <v>0</v>
      </c>
      <c r="AD203" s="81">
        <f t="shared" si="577"/>
        <v>0</v>
      </c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>
        <v>6498</v>
      </c>
      <c r="AP203" s="81">
        <f t="shared" si="578"/>
        <v>6498</v>
      </c>
      <c r="AQ203" s="81">
        <f t="shared" si="579"/>
        <v>0</v>
      </c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>
        <v>0</v>
      </c>
      <c r="BC203" s="81">
        <f t="shared" si="580"/>
        <v>0</v>
      </c>
      <c r="BD203" s="98">
        <f t="shared" si="581"/>
        <v>0</v>
      </c>
      <c r="BE203" s="98"/>
      <c r="BF203" s="98"/>
      <c r="BG203" s="98"/>
      <c r="BH203" s="98"/>
      <c r="BI203" s="98"/>
      <c r="BJ203" s="81"/>
      <c r="BK203" s="81">
        <f t="shared" si="582"/>
        <v>0</v>
      </c>
      <c r="BL203" s="81">
        <f t="shared" si="583"/>
        <v>0</v>
      </c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82" t="s">
        <v>396</v>
      </c>
      <c r="BY203" s="85"/>
      <c r="BZ203" s="24"/>
    </row>
    <row r="204" spans="1:78" ht="24" customHeight="1" x14ac:dyDescent="0.2">
      <c r="A204" s="108">
        <v>90009249314</v>
      </c>
      <c r="B204" s="241" t="s">
        <v>517</v>
      </c>
      <c r="C204" s="285" t="s">
        <v>228</v>
      </c>
      <c r="D204" s="80">
        <f t="shared" si="572"/>
        <v>671803</v>
      </c>
      <c r="E204" s="295">
        <f t="shared" si="573"/>
        <v>679776</v>
      </c>
      <c r="F204" s="81">
        <v>580135</v>
      </c>
      <c r="G204" s="81">
        <f t="shared" si="574"/>
        <v>580135</v>
      </c>
      <c r="H204" s="81">
        <f t="shared" si="575"/>
        <v>0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>
        <v>83701</v>
      </c>
      <c r="AC204" s="81">
        <f t="shared" si="576"/>
        <v>91593</v>
      </c>
      <c r="AD204" s="81">
        <f t="shared" si="577"/>
        <v>7892</v>
      </c>
      <c r="AE204" s="81"/>
      <c r="AF204" s="81">
        <v>1641</v>
      </c>
      <c r="AG204" s="81"/>
      <c r="AH204" s="81"/>
      <c r="AI204" s="81"/>
      <c r="AJ204" s="81"/>
      <c r="AK204" s="81"/>
      <c r="AL204" s="81">
        <v>6251</v>
      </c>
      <c r="AM204" s="81"/>
      <c r="AN204" s="81"/>
      <c r="AO204" s="81">
        <v>7967</v>
      </c>
      <c r="AP204" s="81">
        <f t="shared" si="578"/>
        <v>8048</v>
      </c>
      <c r="AQ204" s="81">
        <f t="shared" si="579"/>
        <v>81</v>
      </c>
      <c r="AR204" s="81">
        <v>81</v>
      </c>
      <c r="AS204" s="81"/>
      <c r="AT204" s="81"/>
      <c r="AU204" s="81"/>
      <c r="AV204" s="81"/>
      <c r="AW204" s="81"/>
      <c r="AX204" s="81"/>
      <c r="AY204" s="81"/>
      <c r="AZ204" s="81"/>
      <c r="BA204" s="81"/>
      <c r="BB204" s="81">
        <v>0</v>
      </c>
      <c r="BC204" s="81">
        <f t="shared" si="580"/>
        <v>0</v>
      </c>
      <c r="BD204" s="98">
        <f t="shared" si="581"/>
        <v>0</v>
      </c>
      <c r="BE204" s="98"/>
      <c r="BF204" s="98"/>
      <c r="BG204" s="98"/>
      <c r="BH204" s="98"/>
      <c r="BI204" s="98"/>
      <c r="BJ204" s="81"/>
      <c r="BK204" s="81">
        <f t="shared" si="582"/>
        <v>0</v>
      </c>
      <c r="BL204" s="81">
        <f t="shared" si="583"/>
        <v>0</v>
      </c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82" t="s">
        <v>397</v>
      </c>
      <c r="BY204" s="85"/>
      <c r="BZ204" s="24"/>
    </row>
    <row r="205" spans="1:78" x14ac:dyDescent="0.2">
      <c r="A205" s="108"/>
      <c r="B205" s="242"/>
      <c r="C205" s="285" t="s">
        <v>240</v>
      </c>
      <c r="D205" s="80">
        <f t="shared" si="572"/>
        <v>85062</v>
      </c>
      <c r="E205" s="295">
        <f t="shared" si="573"/>
        <v>85062</v>
      </c>
      <c r="F205" s="81">
        <v>85062</v>
      </c>
      <c r="G205" s="81">
        <f t="shared" si="574"/>
        <v>85062</v>
      </c>
      <c r="H205" s="81">
        <f t="shared" si="575"/>
        <v>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>
        <v>0</v>
      </c>
      <c r="AC205" s="81">
        <f t="shared" si="576"/>
        <v>0</v>
      </c>
      <c r="AD205" s="81">
        <f t="shared" si="577"/>
        <v>0</v>
      </c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>
        <v>0</v>
      </c>
      <c r="AP205" s="81">
        <f t="shared" si="578"/>
        <v>0</v>
      </c>
      <c r="AQ205" s="81">
        <f t="shared" si="579"/>
        <v>0</v>
      </c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>
        <v>0</v>
      </c>
      <c r="BC205" s="81">
        <f t="shared" si="580"/>
        <v>0</v>
      </c>
      <c r="BD205" s="98">
        <f t="shared" si="581"/>
        <v>0</v>
      </c>
      <c r="BE205" s="98"/>
      <c r="BF205" s="98"/>
      <c r="BG205" s="98"/>
      <c r="BH205" s="98"/>
      <c r="BI205" s="98"/>
      <c r="BJ205" s="81"/>
      <c r="BK205" s="81">
        <f t="shared" si="582"/>
        <v>0</v>
      </c>
      <c r="BL205" s="81">
        <f t="shared" si="583"/>
        <v>0</v>
      </c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82" t="s">
        <v>398</v>
      </c>
      <c r="BY205" s="85"/>
      <c r="BZ205" s="24"/>
    </row>
    <row r="206" spans="1:78" ht="24" customHeight="1" x14ac:dyDescent="0.2">
      <c r="A206" s="108">
        <v>90009249189</v>
      </c>
      <c r="B206" s="241" t="s">
        <v>518</v>
      </c>
      <c r="C206" s="285" t="s">
        <v>228</v>
      </c>
      <c r="D206" s="80">
        <f t="shared" si="572"/>
        <v>644518</v>
      </c>
      <c r="E206" s="295">
        <f t="shared" si="573"/>
        <v>644341</v>
      </c>
      <c r="F206" s="81">
        <v>552680</v>
      </c>
      <c r="G206" s="81">
        <f t="shared" si="574"/>
        <v>552115</v>
      </c>
      <c r="H206" s="81">
        <f t="shared" si="575"/>
        <v>-565</v>
      </c>
      <c r="I206" s="81"/>
      <c r="J206" s="81"/>
      <c r="K206" s="81">
        <v>-565</v>
      </c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>
        <v>85804</v>
      </c>
      <c r="AC206" s="81">
        <f t="shared" si="576"/>
        <v>85627</v>
      </c>
      <c r="AD206" s="81">
        <f t="shared" si="577"/>
        <v>-177</v>
      </c>
      <c r="AE206" s="81"/>
      <c r="AF206" s="81">
        <v>1567</v>
      </c>
      <c r="AG206" s="81"/>
      <c r="AH206" s="81"/>
      <c r="AI206" s="81"/>
      <c r="AJ206" s="81"/>
      <c r="AK206" s="81"/>
      <c r="AL206" s="81">
        <v>-1744</v>
      </c>
      <c r="AM206" s="81"/>
      <c r="AN206" s="81"/>
      <c r="AO206" s="81">
        <v>6034</v>
      </c>
      <c r="AP206" s="81">
        <f t="shared" si="578"/>
        <v>6599</v>
      </c>
      <c r="AQ206" s="81">
        <f t="shared" si="579"/>
        <v>565</v>
      </c>
      <c r="AR206" s="81">
        <v>565</v>
      </c>
      <c r="AS206" s="81"/>
      <c r="AT206" s="81"/>
      <c r="AU206" s="81"/>
      <c r="AV206" s="81"/>
      <c r="AW206" s="81"/>
      <c r="AX206" s="81"/>
      <c r="AY206" s="81"/>
      <c r="AZ206" s="81"/>
      <c r="BA206" s="81"/>
      <c r="BB206" s="81">
        <v>0</v>
      </c>
      <c r="BC206" s="81">
        <f t="shared" si="580"/>
        <v>0</v>
      </c>
      <c r="BD206" s="98">
        <f t="shared" si="581"/>
        <v>0</v>
      </c>
      <c r="BE206" s="98"/>
      <c r="BF206" s="98"/>
      <c r="BG206" s="98"/>
      <c r="BH206" s="98"/>
      <c r="BI206" s="98"/>
      <c r="BJ206" s="81"/>
      <c r="BK206" s="81">
        <f t="shared" si="582"/>
        <v>0</v>
      </c>
      <c r="BL206" s="81">
        <f t="shared" si="583"/>
        <v>0</v>
      </c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82" t="s">
        <v>399</v>
      </c>
      <c r="BY206" s="85"/>
      <c r="BZ206" s="24"/>
    </row>
    <row r="207" spans="1:78" x14ac:dyDescent="0.2">
      <c r="A207" s="108"/>
      <c r="B207" s="242"/>
      <c r="C207" s="285" t="s">
        <v>240</v>
      </c>
      <c r="D207" s="80">
        <f t="shared" si="572"/>
        <v>84561</v>
      </c>
      <c r="E207" s="295">
        <f t="shared" si="573"/>
        <v>84561</v>
      </c>
      <c r="F207" s="81">
        <v>78405</v>
      </c>
      <c r="G207" s="81">
        <f t="shared" si="574"/>
        <v>78405</v>
      </c>
      <c r="H207" s="81">
        <f t="shared" si="575"/>
        <v>0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>
        <v>0</v>
      </c>
      <c r="AC207" s="81">
        <f t="shared" si="576"/>
        <v>0</v>
      </c>
      <c r="AD207" s="81">
        <f t="shared" si="577"/>
        <v>0</v>
      </c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>
        <v>6156</v>
      </c>
      <c r="AP207" s="81">
        <f t="shared" si="578"/>
        <v>6156</v>
      </c>
      <c r="AQ207" s="81">
        <f t="shared" si="579"/>
        <v>0</v>
      </c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>
        <v>0</v>
      </c>
      <c r="BC207" s="81">
        <f t="shared" si="580"/>
        <v>0</v>
      </c>
      <c r="BD207" s="98">
        <f t="shared" si="581"/>
        <v>0</v>
      </c>
      <c r="BE207" s="98"/>
      <c r="BF207" s="98"/>
      <c r="BG207" s="98"/>
      <c r="BH207" s="98"/>
      <c r="BI207" s="98"/>
      <c r="BJ207" s="81"/>
      <c r="BK207" s="81">
        <f t="shared" si="582"/>
        <v>0</v>
      </c>
      <c r="BL207" s="81">
        <f t="shared" si="583"/>
        <v>0</v>
      </c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82" t="s">
        <v>400</v>
      </c>
      <c r="BY207" s="85"/>
      <c r="BZ207" s="24"/>
    </row>
    <row r="208" spans="1:78" ht="24" customHeight="1" x14ac:dyDescent="0.2">
      <c r="A208" s="108">
        <v>90009249136</v>
      </c>
      <c r="B208" s="241" t="s">
        <v>519</v>
      </c>
      <c r="C208" s="285" t="s">
        <v>228</v>
      </c>
      <c r="D208" s="80">
        <f t="shared" si="572"/>
        <v>331285</v>
      </c>
      <c r="E208" s="295">
        <f t="shared" si="573"/>
        <v>332562</v>
      </c>
      <c r="F208" s="81">
        <v>314523</v>
      </c>
      <c r="G208" s="81">
        <f t="shared" si="574"/>
        <v>314483</v>
      </c>
      <c r="H208" s="81">
        <f t="shared" si="575"/>
        <v>-40</v>
      </c>
      <c r="I208" s="81"/>
      <c r="J208" s="81"/>
      <c r="K208" s="81">
        <v>-40</v>
      </c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>
        <v>16669</v>
      </c>
      <c r="AC208" s="81">
        <f t="shared" si="576"/>
        <v>17946</v>
      </c>
      <c r="AD208" s="81">
        <f t="shared" si="577"/>
        <v>1277</v>
      </c>
      <c r="AE208" s="81"/>
      <c r="AF208" s="81">
        <v>406</v>
      </c>
      <c r="AG208" s="81"/>
      <c r="AH208" s="81"/>
      <c r="AI208" s="81"/>
      <c r="AJ208" s="81"/>
      <c r="AK208" s="81"/>
      <c r="AL208" s="81">
        <v>871</v>
      </c>
      <c r="AM208" s="81"/>
      <c r="AN208" s="81"/>
      <c r="AO208" s="81">
        <v>93</v>
      </c>
      <c r="AP208" s="81">
        <f t="shared" si="578"/>
        <v>133</v>
      </c>
      <c r="AQ208" s="81">
        <f t="shared" si="579"/>
        <v>40</v>
      </c>
      <c r="AR208" s="81">
        <v>40</v>
      </c>
      <c r="AS208" s="81"/>
      <c r="AT208" s="81"/>
      <c r="AU208" s="81"/>
      <c r="AV208" s="81"/>
      <c r="AW208" s="81"/>
      <c r="AX208" s="81"/>
      <c r="AY208" s="81"/>
      <c r="AZ208" s="81"/>
      <c r="BA208" s="81"/>
      <c r="BB208" s="81">
        <v>0</v>
      </c>
      <c r="BC208" s="81">
        <f t="shared" si="580"/>
        <v>0</v>
      </c>
      <c r="BD208" s="98">
        <f t="shared" si="581"/>
        <v>0</v>
      </c>
      <c r="BE208" s="98"/>
      <c r="BF208" s="98"/>
      <c r="BG208" s="98"/>
      <c r="BH208" s="98"/>
      <c r="BI208" s="98"/>
      <c r="BJ208" s="81"/>
      <c r="BK208" s="81">
        <f t="shared" si="582"/>
        <v>0</v>
      </c>
      <c r="BL208" s="81">
        <f t="shared" si="583"/>
        <v>0</v>
      </c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82" t="s">
        <v>401</v>
      </c>
      <c r="BY208" s="85"/>
      <c r="BZ208" s="24"/>
    </row>
    <row r="209" spans="1:78" x14ac:dyDescent="0.2">
      <c r="A209" s="108"/>
      <c r="B209" s="242"/>
      <c r="C209" s="285" t="s">
        <v>240</v>
      </c>
      <c r="D209" s="80">
        <f t="shared" si="572"/>
        <v>31436</v>
      </c>
      <c r="E209" s="295">
        <f t="shared" si="573"/>
        <v>31436</v>
      </c>
      <c r="F209" s="81">
        <v>31436</v>
      </c>
      <c r="G209" s="81">
        <f t="shared" si="574"/>
        <v>31436</v>
      </c>
      <c r="H209" s="81">
        <f t="shared" si="575"/>
        <v>0</v>
      </c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>
        <v>0</v>
      </c>
      <c r="AC209" s="81">
        <f t="shared" si="576"/>
        <v>0</v>
      </c>
      <c r="AD209" s="81">
        <f t="shared" si="577"/>
        <v>0</v>
      </c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>
        <v>0</v>
      </c>
      <c r="AP209" s="81">
        <f t="shared" si="578"/>
        <v>0</v>
      </c>
      <c r="AQ209" s="81">
        <f t="shared" si="579"/>
        <v>0</v>
      </c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>
        <v>0</v>
      </c>
      <c r="BC209" s="81">
        <f t="shared" si="580"/>
        <v>0</v>
      </c>
      <c r="BD209" s="98">
        <f t="shared" si="581"/>
        <v>0</v>
      </c>
      <c r="BE209" s="98"/>
      <c r="BF209" s="98"/>
      <c r="BG209" s="98"/>
      <c r="BH209" s="98"/>
      <c r="BI209" s="98"/>
      <c r="BJ209" s="81"/>
      <c r="BK209" s="81">
        <f t="shared" si="582"/>
        <v>0</v>
      </c>
      <c r="BL209" s="81">
        <f t="shared" si="583"/>
        <v>0</v>
      </c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82" t="s">
        <v>402</v>
      </c>
      <c r="BY209" s="85"/>
      <c r="BZ209" s="24"/>
    </row>
    <row r="210" spans="1:78" ht="24" customHeight="1" x14ac:dyDescent="0.2">
      <c r="A210" s="108">
        <v>90009563202</v>
      </c>
      <c r="B210" s="241" t="s">
        <v>520</v>
      </c>
      <c r="C210" s="285" t="s">
        <v>228</v>
      </c>
      <c r="D210" s="80">
        <f t="shared" si="572"/>
        <v>335953</v>
      </c>
      <c r="E210" s="295">
        <f t="shared" si="573"/>
        <v>354070</v>
      </c>
      <c r="F210" s="81">
        <v>166947</v>
      </c>
      <c r="G210" s="81">
        <f t="shared" si="574"/>
        <v>175519</v>
      </c>
      <c r="H210" s="81">
        <f t="shared" si="575"/>
        <v>8572</v>
      </c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>
        <v>8572</v>
      </c>
      <c r="AA210" s="81"/>
      <c r="AB210" s="81">
        <v>168028</v>
      </c>
      <c r="AC210" s="81">
        <f t="shared" si="576"/>
        <v>177573</v>
      </c>
      <c r="AD210" s="81">
        <f t="shared" si="577"/>
        <v>9545</v>
      </c>
      <c r="AE210" s="81"/>
      <c r="AF210" s="81">
        <f>516+4682</f>
        <v>5198</v>
      </c>
      <c r="AG210" s="81"/>
      <c r="AH210" s="81"/>
      <c r="AI210" s="81"/>
      <c r="AJ210" s="81"/>
      <c r="AK210" s="81">
        <v>2135</v>
      </c>
      <c r="AL210" s="81">
        <v>2212</v>
      </c>
      <c r="AM210" s="81"/>
      <c r="AN210" s="81"/>
      <c r="AO210" s="81">
        <v>978</v>
      </c>
      <c r="AP210" s="81">
        <f t="shared" si="578"/>
        <v>978</v>
      </c>
      <c r="AQ210" s="81">
        <f t="shared" si="579"/>
        <v>0</v>
      </c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>
        <v>0</v>
      </c>
      <c r="BC210" s="81">
        <f t="shared" si="580"/>
        <v>0</v>
      </c>
      <c r="BD210" s="98">
        <f t="shared" si="581"/>
        <v>0</v>
      </c>
      <c r="BE210" s="98"/>
      <c r="BF210" s="98"/>
      <c r="BG210" s="98"/>
      <c r="BH210" s="98"/>
      <c r="BI210" s="98"/>
      <c r="BJ210" s="81"/>
      <c r="BK210" s="81">
        <f t="shared" si="582"/>
        <v>0</v>
      </c>
      <c r="BL210" s="81">
        <f t="shared" si="583"/>
        <v>0</v>
      </c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82" t="s">
        <v>403</v>
      </c>
      <c r="BY210" s="85"/>
      <c r="BZ210" s="24"/>
    </row>
    <row r="211" spans="1:78" s="169" customFormat="1" x14ac:dyDescent="0.2">
      <c r="A211" s="108"/>
      <c r="B211" s="242"/>
      <c r="C211" s="285" t="s">
        <v>240</v>
      </c>
      <c r="D211" s="80">
        <f t="shared" si="572"/>
        <v>21081</v>
      </c>
      <c r="E211" s="295">
        <f t="shared" si="573"/>
        <v>21081</v>
      </c>
      <c r="F211" s="81">
        <v>21081</v>
      </c>
      <c r="G211" s="81">
        <f t="shared" si="574"/>
        <v>21081</v>
      </c>
      <c r="H211" s="81">
        <f t="shared" si="575"/>
        <v>0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>
        <v>0</v>
      </c>
      <c r="AC211" s="81">
        <f t="shared" si="576"/>
        <v>0</v>
      </c>
      <c r="AD211" s="81">
        <f t="shared" si="577"/>
        <v>0</v>
      </c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>
        <v>0</v>
      </c>
      <c r="AP211" s="81">
        <f t="shared" si="578"/>
        <v>0</v>
      </c>
      <c r="AQ211" s="81">
        <f t="shared" si="579"/>
        <v>0</v>
      </c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>
        <v>0</v>
      </c>
      <c r="BC211" s="81">
        <f t="shared" si="580"/>
        <v>0</v>
      </c>
      <c r="BD211" s="98">
        <f t="shared" si="581"/>
        <v>0</v>
      </c>
      <c r="BE211" s="98"/>
      <c r="BF211" s="98"/>
      <c r="BG211" s="98"/>
      <c r="BH211" s="98"/>
      <c r="BI211" s="98"/>
      <c r="BJ211" s="81"/>
      <c r="BK211" s="81">
        <f t="shared" si="582"/>
        <v>0</v>
      </c>
      <c r="BL211" s="81">
        <f t="shared" si="583"/>
        <v>0</v>
      </c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82" t="s">
        <v>497</v>
      </c>
      <c r="BY211" s="85"/>
      <c r="BZ211" s="24"/>
    </row>
    <row r="212" spans="1:78" ht="24" customHeight="1" x14ac:dyDescent="0.2">
      <c r="A212" s="108">
        <v>90009249206</v>
      </c>
      <c r="B212" s="241" t="s">
        <v>521</v>
      </c>
      <c r="C212" s="285" t="s">
        <v>228</v>
      </c>
      <c r="D212" s="80">
        <f t="shared" ref="D212:D244" si="692">F212+AB212+AO212+BB212+BJ212</f>
        <v>662588</v>
      </c>
      <c r="E212" s="295">
        <f t="shared" ref="E212:E244" si="693">G212+AC212+AP212+BC212+BK212</f>
        <v>672585</v>
      </c>
      <c r="F212" s="81">
        <v>613785</v>
      </c>
      <c r="G212" s="81">
        <f t="shared" ref="G212:G244" si="694">F212+H212</f>
        <v>613625</v>
      </c>
      <c r="H212" s="81">
        <f t="shared" ref="H212:H244" si="695">SUM(I212:AA212)</f>
        <v>-160</v>
      </c>
      <c r="I212" s="81"/>
      <c r="J212" s="81"/>
      <c r="K212" s="81">
        <v>-160</v>
      </c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>
        <v>42602</v>
      </c>
      <c r="AC212" s="81">
        <f t="shared" ref="AC212:AC244" si="696">AB212+AD212</f>
        <v>52599</v>
      </c>
      <c r="AD212" s="81">
        <f t="shared" ref="AD212:AD244" si="697">SUM(AE212:AN212)</f>
        <v>9997</v>
      </c>
      <c r="AE212" s="81"/>
      <c r="AF212" s="81">
        <v>1051</v>
      </c>
      <c r="AG212" s="81"/>
      <c r="AH212" s="81"/>
      <c r="AI212" s="81"/>
      <c r="AJ212" s="81"/>
      <c r="AK212" s="81"/>
      <c r="AL212" s="81">
        <v>8946</v>
      </c>
      <c r="AM212" s="81"/>
      <c r="AN212" s="81"/>
      <c r="AO212" s="81">
        <v>6201</v>
      </c>
      <c r="AP212" s="81">
        <f t="shared" ref="AP212:AP244" si="698">AO212+AQ212</f>
        <v>6361</v>
      </c>
      <c r="AQ212" s="81">
        <f t="shared" ref="AQ212:AQ244" si="699">SUM(AR212:BA212)</f>
        <v>160</v>
      </c>
      <c r="AR212" s="81">
        <v>160</v>
      </c>
      <c r="AS212" s="81"/>
      <c r="AT212" s="81"/>
      <c r="AU212" s="81"/>
      <c r="AV212" s="81"/>
      <c r="AW212" s="81"/>
      <c r="AX212" s="81"/>
      <c r="AY212" s="81"/>
      <c r="AZ212" s="81"/>
      <c r="BA212" s="81"/>
      <c r="BB212" s="81">
        <v>0</v>
      </c>
      <c r="BC212" s="81">
        <f t="shared" ref="BC212:BC244" si="700">BB212+BD212</f>
        <v>0</v>
      </c>
      <c r="BD212" s="98">
        <f t="shared" ref="BD212:BD244" si="701">SUM(BE212:BI212)</f>
        <v>0</v>
      </c>
      <c r="BE212" s="98"/>
      <c r="BF212" s="98"/>
      <c r="BG212" s="98"/>
      <c r="BH212" s="98"/>
      <c r="BI212" s="98"/>
      <c r="BJ212" s="81"/>
      <c r="BK212" s="81">
        <f t="shared" ref="BK212:BK244" si="702">BJ212+BL212</f>
        <v>0</v>
      </c>
      <c r="BL212" s="81">
        <f t="shared" ref="BL212:BL244" si="703">SUM(BM212:BW212)</f>
        <v>0</v>
      </c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82" t="s">
        <v>404</v>
      </c>
      <c r="BY212" s="85"/>
      <c r="BZ212" s="24"/>
    </row>
    <row r="213" spans="1:78" x14ac:dyDescent="0.2">
      <c r="A213" s="108"/>
      <c r="B213" s="242"/>
      <c r="C213" s="285" t="s">
        <v>240</v>
      </c>
      <c r="D213" s="80">
        <f t="shared" si="692"/>
        <v>79884</v>
      </c>
      <c r="E213" s="295">
        <f t="shared" si="693"/>
        <v>79884</v>
      </c>
      <c r="F213" s="81">
        <v>79884</v>
      </c>
      <c r="G213" s="81">
        <f t="shared" si="694"/>
        <v>79884</v>
      </c>
      <c r="H213" s="81">
        <f t="shared" si="695"/>
        <v>0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>
        <v>0</v>
      </c>
      <c r="AC213" s="81">
        <f t="shared" si="696"/>
        <v>0</v>
      </c>
      <c r="AD213" s="81">
        <f t="shared" si="697"/>
        <v>0</v>
      </c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>
        <v>0</v>
      </c>
      <c r="AP213" s="81">
        <f t="shared" si="698"/>
        <v>0</v>
      </c>
      <c r="AQ213" s="81">
        <f t="shared" si="699"/>
        <v>0</v>
      </c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>
        <v>0</v>
      </c>
      <c r="BC213" s="81">
        <f t="shared" si="700"/>
        <v>0</v>
      </c>
      <c r="BD213" s="98">
        <f t="shared" si="701"/>
        <v>0</v>
      </c>
      <c r="BE213" s="98"/>
      <c r="BF213" s="98"/>
      <c r="BG213" s="98"/>
      <c r="BH213" s="98"/>
      <c r="BI213" s="98"/>
      <c r="BJ213" s="81"/>
      <c r="BK213" s="81">
        <f t="shared" si="702"/>
        <v>0</v>
      </c>
      <c r="BL213" s="81">
        <f t="shared" si="703"/>
        <v>0</v>
      </c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82" t="s">
        <v>405</v>
      </c>
      <c r="BY213" s="85"/>
      <c r="BZ213" s="24"/>
    </row>
    <row r="214" spans="1:78" s="198" customFormat="1" x14ac:dyDescent="0.2">
      <c r="A214" s="108"/>
      <c r="B214" s="242"/>
      <c r="C214" s="401" t="s">
        <v>843</v>
      </c>
      <c r="D214" s="80">
        <f t="shared" si="692"/>
        <v>0</v>
      </c>
      <c r="E214" s="295">
        <f t="shared" si="693"/>
        <v>3151</v>
      </c>
      <c r="F214" s="81"/>
      <c r="G214" s="81">
        <f t="shared" si="694"/>
        <v>3151</v>
      </c>
      <c r="H214" s="81">
        <f t="shared" si="695"/>
        <v>3151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>
        <v>3151</v>
      </c>
      <c r="Z214" s="81"/>
      <c r="AA214" s="81"/>
      <c r="AB214" s="81"/>
      <c r="AC214" s="81">
        <f t="shared" si="696"/>
        <v>0</v>
      </c>
      <c r="AD214" s="81">
        <f t="shared" si="697"/>
        <v>0</v>
      </c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>
        <f t="shared" si="698"/>
        <v>0</v>
      </c>
      <c r="AQ214" s="81">
        <f t="shared" si="699"/>
        <v>0</v>
      </c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>
        <f t="shared" si="700"/>
        <v>0</v>
      </c>
      <c r="BD214" s="98">
        <f t="shared" si="701"/>
        <v>0</v>
      </c>
      <c r="BE214" s="98"/>
      <c r="BF214" s="98"/>
      <c r="BG214" s="98"/>
      <c r="BH214" s="98"/>
      <c r="BI214" s="98"/>
      <c r="BJ214" s="81"/>
      <c r="BK214" s="81">
        <f t="shared" si="702"/>
        <v>0</v>
      </c>
      <c r="BL214" s="81">
        <f t="shared" si="703"/>
        <v>0</v>
      </c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82" t="s">
        <v>844</v>
      </c>
      <c r="BY214" s="85"/>
      <c r="BZ214" s="24"/>
    </row>
    <row r="215" spans="1:78" s="198" customFormat="1" ht="24" x14ac:dyDescent="0.2">
      <c r="A215" s="108"/>
      <c r="B215" s="242"/>
      <c r="C215" s="403" t="s">
        <v>850</v>
      </c>
      <c r="D215" s="80">
        <f t="shared" si="692"/>
        <v>0</v>
      </c>
      <c r="E215" s="295">
        <f t="shared" si="693"/>
        <v>2484</v>
      </c>
      <c r="F215" s="81"/>
      <c r="G215" s="81">
        <f t="shared" si="694"/>
        <v>2484</v>
      </c>
      <c r="H215" s="81">
        <f t="shared" si="695"/>
        <v>2484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>
        <v>2484</v>
      </c>
      <c r="AA215" s="81"/>
      <c r="AB215" s="81"/>
      <c r="AC215" s="81">
        <f t="shared" si="696"/>
        <v>0</v>
      </c>
      <c r="AD215" s="81">
        <f t="shared" si="697"/>
        <v>0</v>
      </c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>
        <f t="shared" ref="AP215" si="704">AO215+AQ215</f>
        <v>0</v>
      </c>
      <c r="AQ215" s="81">
        <f t="shared" ref="AQ215" si="705">SUM(AR215:BA215)</f>
        <v>0</v>
      </c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>
        <f t="shared" ref="BC215" si="706">BB215+BD215</f>
        <v>0</v>
      </c>
      <c r="BD215" s="98">
        <f t="shared" ref="BD215" si="707">SUM(BE215:BI215)</f>
        <v>0</v>
      </c>
      <c r="BE215" s="98"/>
      <c r="BF215" s="98"/>
      <c r="BG215" s="98"/>
      <c r="BH215" s="98"/>
      <c r="BI215" s="98"/>
      <c r="BJ215" s="81"/>
      <c r="BK215" s="81">
        <f t="shared" ref="BK215" si="708">BJ215+BL215</f>
        <v>0</v>
      </c>
      <c r="BL215" s="81">
        <f t="shared" ref="BL215" si="709">SUM(BM215:BW215)</f>
        <v>0</v>
      </c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82" t="s">
        <v>851</v>
      </c>
      <c r="BY215" s="85"/>
      <c r="BZ215" s="24"/>
    </row>
    <row r="216" spans="1:78" ht="24" customHeight="1" x14ac:dyDescent="0.2">
      <c r="A216" s="108">
        <v>90009251357</v>
      </c>
      <c r="B216" s="241" t="s">
        <v>522</v>
      </c>
      <c r="C216" s="285" t="s">
        <v>228</v>
      </c>
      <c r="D216" s="80">
        <f t="shared" si="692"/>
        <v>407798</v>
      </c>
      <c r="E216" s="295">
        <f t="shared" si="693"/>
        <v>413008</v>
      </c>
      <c r="F216" s="81">
        <v>375064</v>
      </c>
      <c r="G216" s="81">
        <f t="shared" si="694"/>
        <v>375064</v>
      </c>
      <c r="H216" s="81">
        <f t="shared" si="695"/>
        <v>0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>
        <v>30638</v>
      </c>
      <c r="AC216" s="81">
        <f t="shared" si="696"/>
        <v>35848</v>
      </c>
      <c r="AD216" s="81">
        <f t="shared" si="697"/>
        <v>5210</v>
      </c>
      <c r="AE216" s="81"/>
      <c r="AF216" s="81">
        <v>756</v>
      </c>
      <c r="AG216" s="81"/>
      <c r="AH216" s="81"/>
      <c r="AI216" s="81"/>
      <c r="AJ216" s="81"/>
      <c r="AK216" s="81"/>
      <c r="AL216" s="81">
        <v>4454</v>
      </c>
      <c r="AM216" s="81"/>
      <c r="AN216" s="81"/>
      <c r="AO216" s="81">
        <v>2096</v>
      </c>
      <c r="AP216" s="81">
        <f t="shared" si="698"/>
        <v>2096</v>
      </c>
      <c r="AQ216" s="81">
        <f t="shared" si="699"/>
        <v>0</v>
      </c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>
        <v>0</v>
      </c>
      <c r="BC216" s="81">
        <f t="shared" si="700"/>
        <v>0</v>
      </c>
      <c r="BD216" s="98">
        <f t="shared" si="701"/>
        <v>0</v>
      </c>
      <c r="BE216" s="98"/>
      <c r="BF216" s="98"/>
      <c r="BG216" s="98"/>
      <c r="BH216" s="98"/>
      <c r="BI216" s="98"/>
      <c r="BJ216" s="81"/>
      <c r="BK216" s="81">
        <f t="shared" si="702"/>
        <v>0</v>
      </c>
      <c r="BL216" s="81">
        <f t="shared" si="703"/>
        <v>0</v>
      </c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82" t="s">
        <v>406</v>
      </c>
      <c r="BY216" s="85"/>
      <c r="BZ216" s="24"/>
    </row>
    <row r="217" spans="1:78" ht="12.75" x14ac:dyDescent="0.2">
      <c r="A217" s="108"/>
      <c r="B217" s="243"/>
      <c r="C217" s="285" t="s">
        <v>240</v>
      </c>
      <c r="D217" s="80">
        <f t="shared" si="692"/>
        <v>49455</v>
      </c>
      <c r="E217" s="295">
        <f t="shared" si="693"/>
        <v>49981</v>
      </c>
      <c r="F217" s="81">
        <v>43641</v>
      </c>
      <c r="G217" s="81">
        <f t="shared" si="694"/>
        <v>43641</v>
      </c>
      <c r="H217" s="81">
        <f t="shared" si="695"/>
        <v>0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>
        <v>0</v>
      </c>
      <c r="AC217" s="81">
        <f t="shared" si="696"/>
        <v>0</v>
      </c>
      <c r="AD217" s="81">
        <f t="shared" si="697"/>
        <v>0</v>
      </c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>
        <v>5814</v>
      </c>
      <c r="AP217" s="81">
        <f t="shared" si="698"/>
        <v>6340</v>
      </c>
      <c r="AQ217" s="81">
        <f t="shared" si="699"/>
        <v>526</v>
      </c>
      <c r="AR217" s="81">
        <v>526</v>
      </c>
      <c r="AS217" s="81"/>
      <c r="AT217" s="81"/>
      <c r="AU217" s="81"/>
      <c r="AV217" s="81"/>
      <c r="AW217" s="81"/>
      <c r="AX217" s="81"/>
      <c r="AY217" s="81"/>
      <c r="AZ217" s="81"/>
      <c r="BA217" s="81"/>
      <c r="BB217" s="81">
        <v>0</v>
      </c>
      <c r="BC217" s="81">
        <f t="shared" si="700"/>
        <v>0</v>
      </c>
      <c r="BD217" s="98">
        <f t="shared" si="701"/>
        <v>0</v>
      </c>
      <c r="BE217" s="98"/>
      <c r="BF217" s="98"/>
      <c r="BG217" s="98"/>
      <c r="BH217" s="98"/>
      <c r="BI217" s="98"/>
      <c r="BJ217" s="81"/>
      <c r="BK217" s="81">
        <f t="shared" si="702"/>
        <v>0</v>
      </c>
      <c r="BL217" s="81">
        <f t="shared" si="703"/>
        <v>0</v>
      </c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82" t="s">
        <v>407</v>
      </c>
      <c r="BY217" s="85"/>
      <c r="BZ217" s="24"/>
    </row>
    <row r="218" spans="1:78" ht="24" customHeight="1" x14ac:dyDescent="0.2">
      <c r="A218" s="108">
        <v>90000051542</v>
      </c>
      <c r="B218" s="241" t="s">
        <v>20</v>
      </c>
      <c r="C218" s="285" t="s">
        <v>227</v>
      </c>
      <c r="D218" s="80">
        <f t="shared" si="692"/>
        <v>1500893</v>
      </c>
      <c r="E218" s="295">
        <f t="shared" si="693"/>
        <v>1565639</v>
      </c>
      <c r="F218" s="81">
        <v>506018</v>
      </c>
      <c r="G218" s="81">
        <f t="shared" si="694"/>
        <v>508856</v>
      </c>
      <c r="H218" s="81">
        <f t="shared" si="695"/>
        <v>2838</v>
      </c>
      <c r="I218" s="81"/>
      <c r="J218" s="81"/>
      <c r="K218" s="81">
        <v>-8429</v>
      </c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>
        <v>11267</v>
      </c>
      <c r="X218" s="81"/>
      <c r="Y218" s="81"/>
      <c r="Z218" s="81"/>
      <c r="AA218" s="81"/>
      <c r="AB218" s="81">
        <v>962055</v>
      </c>
      <c r="AC218" s="81">
        <f t="shared" si="696"/>
        <v>1015534</v>
      </c>
      <c r="AD218" s="81">
        <f t="shared" si="697"/>
        <v>53479</v>
      </c>
      <c r="AE218" s="81">
        <f>4130-1291</f>
        <v>2839</v>
      </c>
      <c r="AF218" s="81">
        <f>11580+855+599</f>
        <v>13034</v>
      </c>
      <c r="AG218" s="81"/>
      <c r="AH218" s="81"/>
      <c r="AI218" s="81">
        <v>-894</v>
      </c>
      <c r="AJ218" s="81"/>
      <c r="AK218" s="81">
        <v>4130</v>
      </c>
      <c r="AL218" s="81">
        <f>44435-459+2182-9499-2289</f>
        <v>34370</v>
      </c>
      <c r="AM218" s="81"/>
      <c r="AN218" s="81"/>
      <c r="AO218" s="81">
        <v>32820</v>
      </c>
      <c r="AP218" s="81">
        <f t="shared" si="698"/>
        <v>41249</v>
      </c>
      <c r="AQ218" s="81">
        <f t="shared" si="699"/>
        <v>8429</v>
      </c>
      <c r="AR218" s="81">
        <v>8429</v>
      </c>
      <c r="AS218" s="81"/>
      <c r="AT218" s="81"/>
      <c r="AU218" s="81"/>
      <c r="AV218" s="81"/>
      <c r="AW218" s="81"/>
      <c r="AX218" s="81"/>
      <c r="AY218" s="81"/>
      <c r="AZ218" s="81"/>
      <c r="BA218" s="81"/>
      <c r="BB218" s="81">
        <v>0</v>
      </c>
      <c r="BC218" s="81">
        <f t="shared" si="700"/>
        <v>0</v>
      </c>
      <c r="BD218" s="98">
        <f t="shared" si="701"/>
        <v>0</v>
      </c>
      <c r="BE218" s="98"/>
      <c r="BF218" s="98"/>
      <c r="BG218" s="98"/>
      <c r="BH218" s="98"/>
      <c r="BI218" s="98"/>
      <c r="BJ218" s="81"/>
      <c r="BK218" s="81">
        <f t="shared" si="702"/>
        <v>0</v>
      </c>
      <c r="BL218" s="81">
        <f t="shared" si="703"/>
        <v>0</v>
      </c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82" t="s">
        <v>408</v>
      </c>
      <c r="BY218" s="85"/>
      <c r="BZ218" s="24"/>
    </row>
    <row r="219" spans="1:78" x14ac:dyDescent="0.2">
      <c r="A219" s="108"/>
      <c r="B219" s="242"/>
      <c r="C219" s="285" t="s">
        <v>240</v>
      </c>
      <c r="D219" s="80">
        <f t="shared" si="692"/>
        <v>171927</v>
      </c>
      <c r="E219" s="295">
        <f t="shared" si="693"/>
        <v>192620</v>
      </c>
      <c r="F219" s="81">
        <v>123908</v>
      </c>
      <c r="G219" s="81">
        <f t="shared" si="694"/>
        <v>143061</v>
      </c>
      <c r="H219" s="81">
        <f t="shared" si="695"/>
        <v>19153</v>
      </c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>
        <v>19153</v>
      </c>
      <c r="AA219" s="81"/>
      <c r="AB219" s="81">
        <v>48019</v>
      </c>
      <c r="AC219" s="81">
        <f t="shared" si="696"/>
        <v>49559</v>
      </c>
      <c r="AD219" s="81">
        <f t="shared" si="697"/>
        <v>1540</v>
      </c>
      <c r="AE219" s="81"/>
      <c r="AF219" s="81"/>
      <c r="AG219" s="81"/>
      <c r="AH219" s="81"/>
      <c r="AI219" s="81"/>
      <c r="AJ219" s="81"/>
      <c r="AK219" s="81"/>
      <c r="AL219" s="81">
        <v>1540</v>
      </c>
      <c r="AM219" s="81"/>
      <c r="AN219" s="81"/>
      <c r="AO219" s="81">
        <v>0</v>
      </c>
      <c r="AP219" s="81">
        <f t="shared" si="698"/>
        <v>0</v>
      </c>
      <c r="AQ219" s="81">
        <f t="shared" si="699"/>
        <v>0</v>
      </c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>
        <v>0</v>
      </c>
      <c r="BC219" s="81">
        <f t="shared" si="700"/>
        <v>0</v>
      </c>
      <c r="BD219" s="98">
        <f t="shared" si="701"/>
        <v>0</v>
      </c>
      <c r="BE219" s="98"/>
      <c r="BF219" s="98"/>
      <c r="BG219" s="98"/>
      <c r="BH219" s="98"/>
      <c r="BI219" s="98"/>
      <c r="BJ219" s="81"/>
      <c r="BK219" s="81">
        <f t="shared" si="702"/>
        <v>0</v>
      </c>
      <c r="BL219" s="81">
        <f t="shared" si="703"/>
        <v>0</v>
      </c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82" t="s">
        <v>409</v>
      </c>
      <c r="BY219" s="85"/>
      <c r="BZ219" s="24"/>
    </row>
    <row r="220" spans="1:78" s="192" customFormat="1" x14ac:dyDescent="0.2">
      <c r="A220" s="108"/>
      <c r="B220" s="242"/>
      <c r="C220" s="285" t="s">
        <v>539</v>
      </c>
      <c r="D220" s="80">
        <f t="shared" si="692"/>
        <v>0</v>
      </c>
      <c r="E220" s="295">
        <f t="shared" si="693"/>
        <v>0</v>
      </c>
      <c r="F220" s="81">
        <v>1</v>
      </c>
      <c r="G220" s="81">
        <f t="shared" si="694"/>
        <v>0</v>
      </c>
      <c r="H220" s="81">
        <f t="shared" si="695"/>
        <v>-1</v>
      </c>
      <c r="I220" s="81"/>
      <c r="J220" s="81"/>
      <c r="K220" s="81">
        <v>-1</v>
      </c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>
        <v>0</v>
      </c>
      <c r="AC220" s="81">
        <f t="shared" si="696"/>
        <v>0</v>
      </c>
      <c r="AD220" s="81">
        <f t="shared" si="697"/>
        <v>0</v>
      </c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>
        <v>0</v>
      </c>
      <c r="AP220" s="81">
        <f t="shared" si="698"/>
        <v>0</v>
      </c>
      <c r="AQ220" s="81">
        <f t="shared" si="699"/>
        <v>0</v>
      </c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>
        <v>0</v>
      </c>
      <c r="BC220" s="81">
        <f t="shared" si="700"/>
        <v>0</v>
      </c>
      <c r="BD220" s="98">
        <f t="shared" si="701"/>
        <v>0</v>
      </c>
      <c r="BE220" s="98"/>
      <c r="BF220" s="98"/>
      <c r="BG220" s="98"/>
      <c r="BH220" s="98"/>
      <c r="BI220" s="98"/>
      <c r="BJ220" s="81">
        <v>-1</v>
      </c>
      <c r="BK220" s="81">
        <f t="shared" si="702"/>
        <v>0</v>
      </c>
      <c r="BL220" s="81">
        <f t="shared" si="703"/>
        <v>1</v>
      </c>
      <c r="BM220" s="98"/>
      <c r="BN220" s="98">
        <v>1</v>
      </c>
      <c r="BO220" s="98"/>
      <c r="BP220" s="98"/>
      <c r="BQ220" s="98"/>
      <c r="BR220" s="98"/>
      <c r="BS220" s="98"/>
      <c r="BT220" s="98"/>
      <c r="BU220" s="98"/>
      <c r="BV220" s="98"/>
      <c r="BW220" s="98"/>
      <c r="BX220" s="82" t="s">
        <v>691</v>
      </c>
      <c r="BY220" s="85"/>
      <c r="BZ220" s="24"/>
    </row>
    <row r="221" spans="1:78" s="198" customFormat="1" x14ac:dyDescent="0.2">
      <c r="A221" s="108"/>
      <c r="B221" s="242"/>
      <c r="C221" s="285" t="s">
        <v>640</v>
      </c>
      <c r="D221" s="80">
        <f t="shared" si="692"/>
        <v>12640</v>
      </c>
      <c r="E221" s="295">
        <f t="shared" si="693"/>
        <v>12640</v>
      </c>
      <c r="F221" s="81">
        <v>12640</v>
      </c>
      <c r="G221" s="81">
        <f t="shared" si="694"/>
        <v>12640</v>
      </c>
      <c r="H221" s="81">
        <f t="shared" si="695"/>
        <v>0</v>
      </c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>
        <v>0</v>
      </c>
      <c r="AC221" s="81">
        <f t="shared" si="696"/>
        <v>0</v>
      </c>
      <c r="AD221" s="81">
        <f t="shared" si="697"/>
        <v>0</v>
      </c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>
        <v>0</v>
      </c>
      <c r="AP221" s="81">
        <f t="shared" si="698"/>
        <v>0</v>
      </c>
      <c r="AQ221" s="81">
        <f t="shared" si="699"/>
        <v>0</v>
      </c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>
        <v>0</v>
      </c>
      <c r="BC221" s="81">
        <f t="shared" si="700"/>
        <v>0</v>
      </c>
      <c r="BD221" s="98">
        <f t="shared" si="701"/>
        <v>0</v>
      </c>
      <c r="BE221" s="98"/>
      <c r="BF221" s="98"/>
      <c r="BG221" s="98"/>
      <c r="BH221" s="98"/>
      <c r="BI221" s="98"/>
      <c r="BJ221" s="81"/>
      <c r="BK221" s="81">
        <f t="shared" si="702"/>
        <v>0</v>
      </c>
      <c r="BL221" s="81">
        <f t="shared" si="703"/>
        <v>0</v>
      </c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82" t="s">
        <v>554</v>
      </c>
      <c r="BY221" s="85"/>
      <c r="BZ221" s="24"/>
    </row>
    <row r="222" spans="1:78" s="198" customFormat="1" x14ac:dyDescent="0.2">
      <c r="A222" s="108"/>
      <c r="B222" s="242"/>
      <c r="C222" s="391" t="s">
        <v>827</v>
      </c>
      <c r="D222" s="80">
        <f t="shared" si="692"/>
        <v>0</v>
      </c>
      <c r="E222" s="295">
        <f t="shared" si="693"/>
        <v>17000</v>
      </c>
      <c r="F222" s="81"/>
      <c r="G222" s="81">
        <f t="shared" si="694"/>
        <v>17000</v>
      </c>
      <c r="H222" s="81">
        <f t="shared" si="695"/>
        <v>17000</v>
      </c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>
        <v>17000</v>
      </c>
      <c r="V222" s="81"/>
      <c r="W222" s="81"/>
      <c r="X222" s="81"/>
      <c r="Y222" s="81"/>
      <c r="Z222" s="81"/>
      <c r="AA222" s="81"/>
      <c r="AB222" s="81"/>
      <c r="AC222" s="81">
        <f t="shared" si="696"/>
        <v>0</v>
      </c>
      <c r="AD222" s="81">
        <f t="shared" si="697"/>
        <v>0</v>
      </c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>
        <f t="shared" si="698"/>
        <v>0</v>
      </c>
      <c r="AQ222" s="81">
        <f t="shared" si="699"/>
        <v>0</v>
      </c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>
        <f t="shared" si="700"/>
        <v>0</v>
      </c>
      <c r="BD222" s="98">
        <f t="shared" si="701"/>
        <v>0</v>
      </c>
      <c r="BE222" s="98"/>
      <c r="BF222" s="98"/>
      <c r="BG222" s="98"/>
      <c r="BH222" s="98"/>
      <c r="BI222" s="98"/>
      <c r="BJ222" s="81"/>
      <c r="BK222" s="81">
        <f t="shared" si="702"/>
        <v>0</v>
      </c>
      <c r="BL222" s="81">
        <f t="shared" si="703"/>
        <v>0</v>
      </c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82" t="s">
        <v>826</v>
      </c>
      <c r="BY222" s="85"/>
      <c r="BZ222" s="24"/>
    </row>
    <row r="223" spans="1:78" s="198" customFormat="1" ht="36" x14ac:dyDescent="0.2">
      <c r="A223" s="108"/>
      <c r="B223" s="242"/>
      <c r="C223" s="401" t="s">
        <v>841</v>
      </c>
      <c r="D223" s="80">
        <f t="shared" si="692"/>
        <v>0</v>
      </c>
      <c r="E223" s="295">
        <f t="shared" si="693"/>
        <v>6560</v>
      </c>
      <c r="F223" s="81"/>
      <c r="G223" s="81">
        <f t="shared" si="694"/>
        <v>6560</v>
      </c>
      <c r="H223" s="81">
        <f t="shared" si="695"/>
        <v>6560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>
        <v>6560</v>
      </c>
      <c r="Z223" s="81"/>
      <c r="AA223" s="81"/>
      <c r="AB223" s="81"/>
      <c r="AC223" s="81">
        <f t="shared" si="696"/>
        <v>0</v>
      </c>
      <c r="AD223" s="81">
        <f t="shared" si="697"/>
        <v>0</v>
      </c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>
        <f t="shared" si="698"/>
        <v>0</v>
      </c>
      <c r="AQ223" s="81">
        <f t="shared" si="699"/>
        <v>0</v>
      </c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>
        <f t="shared" si="700"/>
        <v>0</v>
      </c>
      <c r="BD223" s="98">
        <f t="shared" si="701"/>
        <v>0</v>
      </c>
      <c r="BE223" s="98"/>
      <c r="BF223" s="98"/>
      <c r="BG223" s="98"/>
      <c r="BH223" s="98"/>
      <c r="BI223" s="98"/>
      <c r="BJ223" s="81"/>
      <c r="BK223" s="81">
        <f t="shared" si="702"/>
        <v>0</v>
      </c>
      <c r="BL223" s="81">
        <f t="shared" si="703"/>
        <v>0</v>
      </c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82" t="s">
        <v>842</v>
      </c>
      <c r="BY223" s="85"/>
      <c r="BZ223" s="24"/>
    </row>
    <row r="224" spans="1:78" ht="24" customHeight="1" x14ac:dyDescent="0.2">
      <c r="A224" s="108">
        <v>90001175873</v>
      </c>
      <c r="B224" s="241" t="s">
        <v>154</v>
      </c>
      <c r="C224" s="285" t="s">
        <v>227</v>
      </c>
      <c r="D224" s="80">
        <f t="shared" si="692"/>
        <v>733944</v>
      </c>
      <c r="E224" s="295">
        <f t="shared" si="693"/>
        <v>503782</v>
      </c>
      <c r="F224" s="81">
        <v>311113</v>
      </c>
      <c r="G224" s="81">
        <f t="shared" si="694"/>
        <v>221524</v>
      </c>
      <c r="H224" s="81">
        <f t="shared" si="695"/>
        <v>-89589</v>
      </c>
      <c r="I224" s="81"/>
      <c r="J224" s="81"/>
      <c r="K224" s="81">
        <v>-832</v>
      </c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>
        <v>-88757</v>
      </c>
      <c r="Z224" s="81"/>
      <c r="AA224" s="81"/>
      <c r="AB224" s="81">
        <v>410406</v>
      </c>
      <c r="AC224" s="81">
        <f t="shared" si="696"/>
        <v>276919</v>
      </c>
      <c r="AD224" s="81">
        <f t="shared" si="697"/>
        <v>-133487</v>
      </c>
      <c r="AE224" s="81">
        <v>2394</v>
      </c>
      <c r="AF224" s="81">
        <v>6306</v>
      </c>
      <c r="AG224" s="81"/>
      <c r="AH224" s="81"/>
      <c r="AI224" s="81">
        <v>-18</v>
      </c>
      <c r="AJ224" s="81"/>
      <c r="AK224" s="81">
        <v>-142169</v>
      </c>
      <c r="AL224" s="81"/>
      <c r="AM224" s="81"/>
      <c r="AN224" s="81"/>
      <c r="AO224" s="81">
        <v>12425</v>
      </c>
      <c r="AP224" s="81">
        <f t="shared" si="698"/>
        <v>5339</v>
      </c>
      <c r="AQ224" s="81">
        <f t="shared" si="699"/>
        <v>-7086</v>
      </c>
      <c r="AR224" s="81">
        <v>832</v>
      </c>
      <c r="AS224" s="81"/>
      <c r="AT224" s="81"/>
      <c r="AU224" s="81"/>
      <c r="AV224" s="81"/>
      <c r="AW224" s="81"/>
      <c r="AX224" s="81"/>
      <c r="AY224" s="81">
        <v>-7918</v>
      </c>
      <c r="AZ224" s="81"/>
      <c r="BA224" s="81"/>
      <c r="BB224" s="81">
        <v>0</v>
      </c>
      <c r="BC224" s="81">
        <f t="shared" si="700"/>
        <v>0</v>
      </c>
      <c r="BD224" s="98">
        <f t="shared" si="701"/>
        <v>0</v>
      </c>
      <c r="BE224" s="98"/>
      <c r="BF224" s="98"/>
      <c r="BG224" s="98"/>
      <c r="BH224" s="98"/>
      <c r="BI224" s="98"/>
      <c r="BJ224" s="81"/>
      <c r="BK224" s="81">
        <f t="shared" si="702"/>
        <v>0</v>
      </c>
      <c r="BL224" s="81">
        <f t="shared" si="703"/>
        <v>0</v>
      </c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82" t="s">
        <v>410</v>
      </c>
      <c r="BY224" s="85"/>
      <c r="BZ224" s="24"/>
    </row>
    <row r="225" spans="1:78" x14ac:dyDescent="0.2">
      <c r="A225" s="108"/>
      <c r="B225" s="242"/>
      <c r="C225" s="285" t="s">
        <v>240</v>
      </c>
      <c r="D225" s="80">
        <f t="shared" si="692"/>
        <v>89615</v>
      </c>
      <c r="E225" s="295">
        <f t="shared" si="693"/>
        <v>50643</v>
      </c>
      <c r="F225" s="81">
        <v>33816</v>
      </c>
      <c r="G225" s="81">
        <f t="shared" si="694"/>
        <v>18440</v>
      </c>
      <c r="H225" s="81">
        <f t="shared" si="695"/>
        <v>-15376</v>
      </c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>
        <v>-15376</v>
      </c>
      <c r="Z225" s="81"/>
      <c r="AA225" s="81"/>
      <c r="AB225" s="81">
        <v>55799</v>
      </c>
      <c r="AC225" s="81">
        <f t="shared" si="696"/>
        <v>32203</v>
      </c>
      <c r="AD225" s="81">
        <f t="shared" si="697"/>
        <v>-23596</v>
      </c>
      <c r="AE225" s="81"/>
      <c r="AF225" s="81">
        <v>4383</v>
      </c>
      <c r="AG225" s="81"/>
      <c r="AH225" s="81"/>
      <c r="AI225" s="81"/>
      <c r="AJ225" s="81"/>
      <c r="AK225" s="81">
        <v>-27979</v>
      </c>
      <c r="AL225" s="81"/>
      <c r="AM225" s="81"/>
      <c r="AN225" s="81"/>
      <c r="AO225" s="81">
        <v>0</v>
      </c>
      <c r="AP225" s="81">
        <f t="shared" si="698"/>
        <v>0</v>
      </c>
      <c r="AQ225" s="81">
        <f t="shared" si="699"/>
        <v>0</v>
      </c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>
        <v>0</v>
      </c>
      <c r="BC225" s="81">
        <f t="shared" si="700"/>
        <v>0</v>
      </c>
      <c r="BD225" s="98">
        <f t="shared" si="701"/>
        <v>0</v>
      </c>
      <c r="BE225" s="98"/>
      <c r="BF225" s="98"/>
      <c r="BG225" s="98"/>
      <c r="BH225" s="98"/>
      <c r="BI225" s="98"/>
      <c r="BJ225" s="81"/>
      <c r="BK225" s="81">
        <f t="shared" si="702"/>
        <v>0</v>
      </c>
      <c r="BL225" s="81">
        <f t="shared" si="703"/>
        <v>0</v>
      </c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82" t="s">
        <v>411</v>
      </c>
      <c r="BY225" s="85"/>
      <c r="BZ225" s="24"/>
    </row>
    <row r="226" spans="1:78" s="193" customFormat="1" ht="24" x14ac:dyDescent="0.2">
      <c r="A226" s="108"/>
      <c r="B226" s="242"/>
      <c r="C226" s="285" t="s">
        <v>543</v>
      </c>
      <c r="D226" s="80">
        <f t="shared" si="692"/>
        <v>4731</v>
      </c>
      <c r="E226" s="295">
        <f t="shared" si="693"/>
        <v>4451</v>
      </c>
      <c r="F226" s="81">
        <v>4731</v>
      </c>
      <c r="G226" s="81">
        <f t="shared" si="694"/>
        <v>4451</v>
      </c>
      <c r="H226" s="81">
        <f t="shared" si="695"/>
        <v>-280</v>
      </c>
      <c r="I226" s="81"/>
      <c r="J226" s="81"/>
      <c r="K226" s="81">
        <v>1576</v>
      </c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>
        <v>-1856</v>
      </c>
      <c r="AA226" s="81"/>
      <c r="AB226" s="81">
        <v>0</v>
      </c>
      <c r="AC226" s="81">
        <f t="shared" si="696"/>
        <v>0</v>
      </c>
      <c r="AD226" s="81">
        <f t="shared" si="697"/>
        <v>0</v>
      </c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>
        <v>0</v>
      </c>
      <c r="AP226" s="81">
        <f t="shared" si="698"/>
        <v>0</v>
      </c>
      <c r="AQ226" s="81">
        <f t="shared" si="699"/>
        <v>0</v>
      </c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>
        <v>0</v>
      </c>
      <c r="BC226" s="81">
        <f t="shared" si="700"/>
        <v>0</v>
      </c>
      <c r="BD226" s="98">
        <f t="shared" si="701"/>
        <v>0</v>
      </c>
      <c r="BE226" s="98"/>
      <c r="BF226" s="98"/>
      <c r="BG226" s="98"/>
      <c r="BH226" s="98"/>
      <c r="BI226" s="98"/>
      <c r="BJ226" s="81"/>
      <c r="BK226" s="81">
        <f t="shared" si="702"/>
        <v>0</v>
      </c>
      <c r="BL226" s="81">
        <f t="shared" si="703"/>
        <v>0</v>
      </c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82" t="s">
        <v>555</v>
      </c>
      <c r="BY226" s="85"/>
      <c r="BZ226" s="24"/>
    </row>
    <row r="227" spans="1:78" ht="24" customHeight="1" x14ac:dyDescent="0.2">
      <c r="A227" s="108">
        <v>90009251361</v>
      </c>
      <c r="B227" s="241" t="s">
        <v>199</v>
      </c>
      <c r="C227" s="285" t="s">
        <v>227</v>
      </c>
      <c r="D227" s="80">
        <f t="shared" si="692"/>
        <v>718678</v>
      </c>
      <c r="E227" s="295">
        <f t="shared" si="693"/>
        <v>727047</v>
      </c>
      <c r="F227" s="81">
        <v>529234</v>
      </c>
      <c r="G227" s="81">
        <f t="shared" si="694"/>
        <v>529234</v>
      </c>
      <c r="H227" s="81">
        <f t="shared" si="695"/>
        <v>0</v>
      </c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>
        <v>170083</v>
      </c>
      <c r="AC227" s="81">
        <f t="shared" si="696"/>
        <v>175674</v>
      </c>
      <c r="AD227" s="81">
        <f t="shared" si="697"/>
        <v>5591</v>
      </c>
      <c r="AE227" s="81">
        <v>679</v>
      </c>
      <c r="AF227" s="81">
        <v>2969</v>
      </c>
      <c r="AG227" s="81"/>
      <c r="AH227" s="81"/>
      <c r="AI227" s="81">
        <v>-45</v>
      </c>
      <c r="AJ227" s="81"/>
      <c r="AK227" s="81"/>
      <c r="AL227" s="81">
        <f>679+2175+31-897</f>
        <v>1988</v>
      </c>
      <c r="AM227" s="81"/>
      <c r="AN227" s="81"/>
      <c r="AO227" s="81">
        <v>19361</v>
      </c>
      <c r="AP227" s="81">
        <f t="shared" si="698"/>
        <v>22139</v>
      </c>
      <c r="AQ227" s="81">
        <f t="shared" si="699"/>
        <v>2778</v>
      </c>
      <c r="AR227" s="81">
        <v>2778</v>
      </c>
      <c r="AS227" s="81"/>
      <c r="AT227" s="81"/>
      <c r="AU227" s="81"/>
      <c r="AV227" s="81"/>
      <c r="AW227" s="81"/>
      <c r="AX227" s="81"/>
      <c r="AY227" s="81"/>
      <c r="AZ227" s="81"/>
      <c r="BA227" s="81"/>
      <c r="BB227" s="81">
        <v>0</v>
      </c>
      <c r="BC227" s="81">
        <f t="shared" si="700"/>
        <v>0</v>
      </c>
      <c r="BD227" s="98">
        <f t="shared" si="701"/>
        <v>0</v>
      </c>
      <c r="BE227" s="98"/>
      <c r="BF227" s="98"/>
      <c r="BG227" s="98"/>
      <c r="BH227" s="98"/>
      <c r="BI227" s="98"/>
      <c r="BJ227" s="81"/>
      <c r="BK227" s="81">
        <f t="shared" si="702"/>
        <v>0</v>
      </c>
      <c r="BL227" s="81">
        <f t="shared" si="703"/>
        <v>0</v>
      </c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82" t="s">
        <v>412</v>
      </c>
      <c r="BY227" s="85"/>
      <c r="BZ227" s="24"/>
    </row>
    <row r="228" spans="1:78" x14ac:dyDescent="0.2">
      <c r="A228" s="108"/>
      <c r="B228" s="242"/>
      <c r="C228" s="285" t="s">
        <v>240</v>
      </c>
      <c r="D228" s="80">
        <f t="shared" si="692"/>
        <v>78286</v>
      </c>
      <c r="E228" s="295">
        <f t="shared" si="693"/>
        <v>78286</v>
      </c>
      <c r="F228" s="81">
        <v>54736</v>
      </c>
      <c r="G228" s="81">
        <f t="shared" si="694"/>
        <v>54736</v>
      </c>
      <c r="H228" s="81">
        <f t="shared" si="695"/>
        <v>0</v>
      </c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>
        <v>23550</v>
      </c>
      <c r="AC228" s="81">
        <f t="shared" si="696"/>
        <v>23550</v>
      </c>
      <c r="AD228" s="81">
        <f t="shared" si="697"/>
        <v>0</v>
      </c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>
        <v>0</v>
      </c>
      <c r="AP228" s="81">
        <f t="shared" si="698"/>
        <v>0</v>
      </c>
      <c r="AQ228" s="81">
        <f t="shared" si="699"/>
        <v>0</v>
      </c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>
        <v>0</v>
      </c>
      <c r="BC228" s="81">
        <f t="shared" si="700"/>
        <v>0</v>
      </c>
      <c r="BD228" s="98">
        <f t="shared" si="701"/>
        <v>0</v>
      </c>
      <c r="BE228" s="98"/>
      <c r="BF228" s="98"/>
      <c r="BG228" s="98"/>
      <c r="BH228" s="98"/>
      <c r="BI228" s="98"/>
      <c r="BJ228" s="81"/>
      <c r="BK228" s="81">
        <f t="shared" si="702"/>
        <v>0</v>
      </c>
      <c r="BL228" s="81">
        <f t="shared" si="703"/>
        <v>0</v>
      </c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82" t="s">
        <v>413</v>
      </c>
      <c r="BY228" s="85"/>
      <c r="BZ228" s="24"/>
    </row>
    <row r="229" spans="1:78" ht="24" x14ac:dyDescent="0.2">
      <c r="A229" s="108">
        <v>90000051699</v>
      </c>
      <c r="B229" s="241" t="s">
        <v>200</v>
      </c>
      <c r="C229" s="285" t="s">
        <v>227</v>
      </c>
      <c r="D229" s="80">
        <f t="shared" si="692"/>
        <v>723915</v>
      </c>
      <c r="E229" s="295">
        <f t="shared" si="693"/>
        <v>724282</v>
      </c>
      <c r="F229" s="81">
        <v>481090</v>
      </c>
      <c r="G229" s="81">
        <f t="shared" si="694"/>
        <v>481090</v>
      </c>
      <c r="H229" s="81">
        <f t="shared" si="695"/>
        <v>0</v>
      </c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>
        <v>214249</v>
      </c>
      <c r="AC229" s="81">
        <f t="shared" si="696"/>
        <v>212600</v>
      </c>
      <c r="AD229" s="81">
        <f t="shared" si="697"/>
        <v>-1649</v>
      </c>
      <c r="AE229" s="81">
        <v>987</v>
      </c>
      <c r="AF229" s="81">
        <v>3430</v>
      </c>
      <c r="AG229" s="81"/>
      <c r="AH229" s="81"/>
      <c r="AI229" s="81"/>
      <c r="AJ229" s="81"/>
      <c r="AK229" s="81"/>
      <c r="AL229" s="81">
        <f>987-7053</f>
        <v>-6066</v>
      </c>
      <c r="AM229" s="81"/>
      <c r="AN229" s="81"/>
      <c r="AO229" s="81">
        <v>28576</v>
      </c>
      <c r="AP229" s="81">
        <f t="shared" si="698"/>
        <v>30592</v>
      </c>
      <c r="AQ229" s="81">
        <f t="shared" si="699"/>
        <v>2016</v>
      </c>
      <c r="AR229" s="81">
        <v>166</v>
      </c>
      <c r="AS229" s="81"/>
      <c r="AT229" s="81"/>
      <c r="AU229" s="81"/>
      <c r="AV229" s="81"/>
      <c r="AW229" s="81"/>
      <c r="AX229" s="81"/>
      <c r="AY229" s="81"/>
      <c r="AZ229" s="81">
        <v>1850</v>
      </c>
      <c r="BA229" s="81"/>
      <c r="BB229" s="81">
        <v>0</v>
      </c>
      <c r="BC229" s="81">
        <f t="shared" si="700"/>
        <v>0</v>
      </c>
      <c r="BD229" s="98">
        <f t="shared" si="701"/>
        <v>0</v>
      </c>
      <c r="BE229" s="98"/>
      <c r="BF229" s="98"/>
      <c r="BG229" s="98"/>
      <c r="BH229" s="98"/>
      <c r="BI229" s="98"/>
      <c r="BJ229" s="81"/>
      <c r="BK229" s="81">
        <f t="shared" si="702"/>
        <v>0</v>
      </c>
      <c r="BL229" s="81">
        <f t="shared" si="703"/>
        <v>0</v>
      </c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82" t="s">
        <v>414</v>
      </c>
      <c r="BY229" s="85"/>
      <c r="BZ229" s="24"/>
    </row>
    <row r="230" spans="1:78" x14ac:dyDescent="0.2">
      <c r="A230" s="108"/>
      <c r="B230" s="242"/>
      <c r="C230" s="285" t="s">
        <v>240</v>
      </c>
      <c r="D230" s="80">
        <f t="shared" si="692"/>
        <v>77345</v>
      </c>
      <c r="E230" s="295">
        <f t="shared" si="693"/>
        <v>77345</v>
      </c>
      <c r="F230" s="81">
        <v>54793</v>
      </c>
      <c r="G230" s="81">
        <f t="shared" si="694"/>
        <v>54793</v>
      </c>
      <c r="H230" s="81">
        <f t="shared" si="695"/>
        <v>0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>
        <v>22552</v>
      </c>
      <c r="AC230" s="81">
        <f t="shared" si="696"/>
        <v>22552</v>
      </c>
      <c r="AD230" s="81">
        <f t="shared" si="697"/>
        <v>0</v>
      </c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>
        <v>0</v>
      </c>
      <c r="AP230" s="81">
        <f t="shared" si="698"/>
        <v>0</v>
      </c>
      <c r="AQ230" s="81">
        <f t="shared" si="699"/>
        <v>0</v>
      </c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>
        <v>0</v>
      </c>
      <c r="BC230" s="81">
        <f t="shared" si="700"/>
        <v>0</v>
      </c>
      <c r="BD230" s="98">
        <f t="shared" si="701"/>
        <v>0</v>
      </c>
      <c r="BE230" s="98"/>
      <c r="BF230" s="98"/>
      <c r="BG230" s="98"/>
      <c r="BH230" s="98"/>
      <c r="BI230" s="98"/>
      <c r="BJ230" s="81"/>
      <c r="BK230" s="81">
        <f t="shared" si="702"/>
        <v>0</v>
      </c>
      <c r="BL230" s="81">
        <f t="shared" si="703"/>
        <v>0</v>
      </c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82" t="s">
        <v>415</v>
      </c>
      <c r="BY230" s="85"/>
      <c r="BZ230" s="24"/>
    </row>
    <row r="231" spans="1:78" ht="24" x14ac:dyDescent="0.2">
      <c r="A231" s="108">
        <v>90000051612</v>
      </c>
      <c r="B231" s="241" t="s">
        <v>201</v>
      </c>
      <c r="C231" s="285" t="s">
        <v>227</v>
      </c>
      <c r="D231" s="80">
        <f t="shared" si="692"/>
        <v>679780</v>
      </c>
      <c r="E231" s="295">
        <f t="shared" si="693"/>
        <v>695518</v>
      </c>
      <c r="F231" s="81">
        <v>348549</v>
      </c>
      <c r="G231" s="81">
        <f t="shared" si="694"/>
        <v>348549</v>
      </c>
      <c r="H231" s="81">
        <f t="shared" si="695"/>
        <v>0</v>
      </c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>
        <v>320525</v>
      </c>
      <c r="AC231" s="81">
        <f t="shared" si="696"/>
        <v>334243</v>
      </c>
      <c r="AD231" s="81">
        <f t="shared" si="697"/>
        <v>13718</v>
      </c>
      <c r="AE231" s="81">
        <v>1995</v>
      </c>
      <c r="AF231" s="81">
        <f>5255+562</f>
        <v>5817</v>
      </c>
      <c r="AG231" s="81"/>
      <c r="AH231" s="81"/>
      <c r="AI231" s="81">
        <v>-22</v>
      </c>
      <c r="AJ231" s="81"/>
      <c r="AK231" s="81"/>
      <c r="AL231" s="81">
        <f>942+236+1995+2755</f>
        <v>5928</v>
      </c>
      <c r="AM231" s="81"/>
      <c r="AN231" s="81"/>
      <c r="AO231" s="81">
        <v>10706</v>
      </c>
      <c r="AP231" s="81">
        <f t="shared" si="698"/>
        <v>12726</v>
      </c>
      <c r="AQ231" s="81">
        <f t="shared" si="699"/>
        <v>2020</v>
      </c>
      <c r="AR231" s="81">
        <v>2020</v>
      </c>
      <c r="AS231" s="81"/>
      <c r="AT231" s="81"/>
      <c r="AU231" s="81"/>
      <c r="AV231" s="81"/>
      <c r="AW231" s="81"/>
      <c r="AX231" s="81"/>
      <c r="AY231" s="81"/>
      <c r="AZ231" s="81"/>
      <c r="BA231" s="81"/>
      <c r="BB231" s="81">
        <v>0</v>
      </c>
      <c r="BC231" s="81">
        <f t="shared" si="700"/>
        <v>0</v>
      </c>
      <c r="BD231" s="98">
        <f t="shared" si="701"/>
        <v>0</v>
      </c>
      <c r="BE231" s="98"/>
      <c r="BF231" s="98"/>
      <c r="BG231" s="98"/>
      <c r="BH231" s="98"/>
      <c r="BI231" s="98"/>
      <c r="BJ231" s="81"/>
      <c r="BK231" s="81">
        <f t="shared" si="702"/>
        <v>0</v>
      </c>
      <c r="BL231" s="81">
        <f t="shared" si="703"/>
        <v>0</v>
      </c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82" t="s">
        <v>416</v>
      </c>
      <c r="BY231" s="85"/>
      <c r="BZ231" s="24"/>
    </row>
    <row r="232" spans="1:78" x14ac:dyDescent="0.2">
      <c r="A232" s="108"/>
      <c r="B232" s="242"/>
      <c r="C232" s="285" t="s">
        <v>240</v>
      </c>
      <c r="D232" s="80">
        <f t="shared" si="692"/>
        <v>74836</v>
      </c>
      <c r="E232" s="295">
        <f t="shared" si="693"/>
        <v>78378</v>
      </c>
      <c r="F232" s="81">
        <v>45934</v>
      </c>
      <c r="G232" s="81">
        <f t="shared" si="694"/>
        <v>45934</v>
      </c>
      <c r="H232" s="81">
        <f t="shared" si="695"/>
        <v>0</v>
      </c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>
        <v>28902</v>
      </c>
      <c r="AC232" s="81">
        <f t="shared" si="696"/>
        <v>32444</v>
      </c>
      <c r="AD232" s="81">
        <f t="shared" si="697"/>
        <v>3542</v>
      </c>
      <c r="AE232" s="81"/>
      <c r="AF232" s="81">
        <v>3542</v>
      </c>
      <c r="AG232" s="81"/>
      <c r="AH232" s="81"/>
      <c r="AI232" s="81"/>
      <c r="AJ232" s="81"/>
      <c r="AK232" s="81"/>
      <c r="AL232" s="81"/>
      <c r="AM232" s="81"/>
      <c r="AN232" s="81"/>
      <c r="AO232" s="81">
        <v>0</v>
      </c>
      <c r="AP232" s="81">
        <f t="shared" si="698"/>
        <v>0</v>
      </c>
      <c r="AQ232" s="81">
        <f t="shared" si="699"/>
        <v>0</v>
      </c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>
        <v>0</v>
      </c>
      <c r="BC232" s="81">
        <f t="shared" si="700"/>
        <v>0</v>
      </c>
      <c r="BD232" s="98">
        <f t="shared" si="701"/>
        <v>0</v>
      </c>
      <c r="BE232" s="98"/>
      <c r="BF232" s="98"/>
      <c r="BG232" s="98"/>
      <c r="BH232" s="98"/>
      <c r="BI232" s="98"/>
      <c r="BJ232" s="81"/>
      <c r="BK232" s="81">
        <f t="shared" si="702"/>
        <v>0</v>
      </c>
      <c r="BL232" s="81">
        <f t="shared" si="703"/>
        <v>0</v>
      </c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82" t="s">
        <v>417</v>
      </c>
      <c r="BY232" s="85"/>
      <c r="BZ232" s="24"/>
    </row>
    <row r="233" spans="1:78" s="193" customFormat="1" ht="24" x14ac:dyDescent="0.2">
      <c r="A233" s="108"/>
      <c r="B233" s="242"/>
      <c r="C233" s="285" t="s">
        <v>543</v>
      </c>
      <c r="D233" s="80">
        <f t="shared" si="692"/>
        <v>3937</v>
      </c>
      <c r="E233" s="295">
        <f t="shared" si="693"/>
        <v>5277</v>
      </c>
      <c r="F233" s="81">
        <v>3937</v>
      </c>
      <c r="G233" s="81">
        <f t="shared" si="694"/>
        <v>5277</v>
      </c>
      <c r="H233" s="81">
        <f t="shared" si="695"/>
        <v>1340</v>
      </c>
      <c r="I233" s="81"/>
      <c r="J233" s="81"/>
      <c r="K233" s="81">
        <v>1340</v>
      </c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>
        <v>0</v>
      </c>
      <c r="AC233" s="81">
        <f t="shared" si="696"/>
        <v>0</v>
      </c>
      <c r="AD233" s="81">
        <f t="shared" si="697"/>
        <v>0</v>
      </c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>
        <v>0</v>
      </c>
      <c r="AP233" s="81">
        <f t="shared" si="698"/>
        <v>0</v>
      </c>
      <c r="AQ233" s="81">
        <f t="shared" si="699"/>
        <v>0</v>
      </c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>
        <v>0</v>
      </c>
      <c r="BC233" s="81">
        <f t="shared" si="700"/>
        <v>0</v>
      </c>
      <c r="BD233" s="98">
        <f t="shared" si="701"/>
        <v>0</v>
      </c>
      <c r="BE233" s="98"/>
      <c r="BF233" s="98"/>
      <c r="BG233" s="98"/>
      <c r="BH233" s="98"/>
      <c r="BI233" s="98"/>
      <c r="BJ233" s="81"/>
      <c r="BK233" s="81">
        <f t="shared" si="702"/>
        <v>0</v>
      </c>
      <c r="BL233" s="81">
        <f t="shared" si="703"/>
        <v>0</v>
      </c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82" t="s">
        <v>556</v>
      </c>
      <c r="BY233" s="85"/>
      <c r="BZ233" s="24"/>
    </row>
    <row r="234" spans="1:78" ht="24" x14ac:dyDescent="0.2">
      <c r="A234" s="108">
        <v>90009251342</v>
      </c>
      <c r="B234" s="241" t="s">
        <v>824</v>
      </c>
      <c r="C234" s="285" t="s">
        <v>227</v>
      </c>
      <c r="D234" s="80">
        <f t="shared" si="692"/>
        <v>882099</v>
      </c>
      <c r="E234" s="295">
        <f t="shared" si="693"/>
        <v>890438</v>
      </c>
      <c r="F234" s="81">
        <v>53302</v>
      </c>
      <c r="G234" s="81">
        <f t="shared" si="694"/>
        <v>53302</v>
      </c>
      <c r="H234" s="81">
        <f t="shared" si="695"/>
        <v>0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>
        <v>824224</v>
      </c>
      <c r="AC234" s="81">
        <f t="shared" si="696"/>
        <v>832563</v>
      </c>
      <c r="AD234" s="81">
        <f t="shared" si="697"/>
        <v>8339</v>
      </c>
      <c r="AE234" s="81">
        <v>735</v>
      </c>
      <c r="AF234" s="81">
        <v>1003</v>
      </c>
      <c r="AG234" s="81"/>
      <c r="AH234" s="81"/>
      <c r="AI234" s="81">
        <f>3688-486</f>
        <v>3202</v>
      </c>
      <c r="AJ234" s="81"/>
      <c r="AK234" s="81">
        <v>735</v>
      </c>
      <c r="AL234" s="81">
        <f>3731-1067</f>
        <v>2664</v>
      </c>
      <c r="AM234" s="81"/>
      <c r="AN234" s="81"/>
      <c r="AO234" s="81">
        <v>4573</v>
      </c>
      <c r="AP234" s="81">
        <f t="shared" si="698"/>
        <v>4573</v>
      </c>
      <c r="AQ234" s="81">
        <f t="shared" si="699"/>
        <v>0</v>
      </c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>
        <v>0</v>
      </c>
      <c r="BC234" s="81">
        <f t="shared" si="700"/>
        <v>0</v>
      </c>
      <c r="BD234" s="98">
        <f t="shared" si="701"/>
        <v>0</v>
      </c>
      <c r="BE234" s="98"/>
      <c r="BF234" s="98"/>
      <c r="BG234" s="98"/>
      <c r="BH234" s="98"/>
      <c r="BI234" s="98"/>
      <c r="BJ234" s="81"/>
      <c r="BK234" s="81">
        <f t="shared" si="702"/>
        <v>0</v>
      </c>
      <c r="BL234" s="81">
        <f t="shared" si="703"/>
        <v>0</v>
      </c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82" t="s">
        <v>418</v>
      </c>
      <c r="BY234" s="85"/>
      <c r="BZ234" s="24"/>
    </row>
    <row r="235" spans="1:78" ht="24" customHeight="1" x14ac:dyDescent="0.2">
      <c r="A235" s="108">
        <v>90009249367</v>
      </c>
      <c r="B235" s="241" t="s">
        <v>283</v>
      </c>
      <c r="C235" s="285" t="s">
        <v>241</v>
      </c>
      <c r="D235" s="80">
        <f t="shared" si="692"/>
        <v>1449676</v>
      </c>
      <c r="E235" s="295">
        <f t="shared" si="693"/>
        <v>1511605</v>
      </c>
      <c r="F235" s="81">
        <v>959808</v>
      </c>
      <c r="G235" s="81">
        <f t="shared" si="694"/>
        <v>1002015</v>
      </c>
      <c r="H235" s="81">
        <f t="shared" si="695"/>
        <v>42207</v>
      </c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>
        <v>42207</v>
      </c>
      <c r="Z235" s="81"/>
      <c r="AA235" s="81"/>
      <c r="AB235" s="81">
        <v>460786</v>
      </c>
      <c r="AC235" s="81">
        <f t="shared" si="696"/>
        <v>484698</v>
      </c>
      <c r="AD235" s="81">
        <f t="shared" si="697"/>
        <v>23912</v>
      </c>
      <c r="AE235" s="81"/>
      <c r="AF235" s="81">
        <f>11004+2361</f>
        <v>13365</v>
      </c>
      <c r="AG235" s="81"/>
      <c r="AH235" s="81"/>
      <c r="AI235" s="81"/>
      <c r="AJ235" s="81"/>
      <c r="AK235" s="81"/>
      <c r="AL235" s="81">
        <v>10547</v>
      </c>
      <c r="AM235" s="81"/>
      <c r="AN235" s="81"/>
      <c r="AO235" s="81">
        <v>29082</v>
      </c>
      <c r="AP235" s="81">
        <f t="shared" si="698"/>
        <v>24892</v>
      </c>
      <c r="AQ235" s="81">
        <f t="shared" si="699"/>
        <v>-4190</v>
      </c>
      <c r="AR235" s="81">
        <v>822</v>
      </c>
      <c r="AS235" s="81"/>
      <c r="AT235" s="81"/>
      <c r="AU235" s="81"/>
      <c r="AV235" s="81"/>
      <c r="AW235" s="81"/>
      <c r="AX235" s="81"/>
      <c r="AY235" s="81">
        <v>-10012</v>
      </c>
      <c r="AZ235" s="81">
        <v>5000</v>
      </c>
      <c r="BA235" s="81"/>
      <c r="BB235" s="81">
        <v>0</v>
      </c>
      <c r="BC235" s="81">
        <f t="shared" si="700"/>
        <v>0</v>
      </c>
      <c r="BD235" s="98">
        <f t="shared" si="701"/>
        <v>0</v>
      </c>
      <c r="BE235" s="98"/>
      <c r="BF235" s="98"/>
      <c r="BG235" s="98"/>
      <c r="BH235" s="98"/>
      <c r="BI235" s="98"/>
      <c r="BJ235" s="81"/>
      <c r="BK235" s="81">
        <f t="shared" si="702"/>
        <v>0</v>
      </c>
      <c r="BL235" s="81">
        <f t="shared" si="703"/>
        <v>0</v>
      </c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82" t="s">
        <v>419</v>
      </c>
      <c r="BY235" s="85"/>
      <c r="BZ235" s="24"/>
    </row>
    <row r="236" spans="1:78" s="104" customFormat="1" x14ac:dyDescent="0.2">
      <c r="A236" s="108"/>
      <c r="B236" s="242"/>
      <c r="C236" s="285" t="s">
        <v>248</v>
      </c>
      <c r="D236" s="80">
        <f t="shared" si="692"/>
        <v>186939</v>
      </c>
      <c r="E236" s="295">
        <f t="shared" si="693"/>
        <v>274767</v>
      </c>
      <c r="F236" s="81">
        <v>186939</v>
      </c>
      <c r="G236" s="81">
        <f t="shared" si="694"/>
        <v>274767</v>
      </c>
      <c r="H236" s="81">
        <f>SUM(I236:AA236)</f>
        <v>87828</v>
      </c>
      <c r="I236" s="81">
        <v>407</v>
      </c>
      <c r="J236" s="81"/>
      <c r="K236" s="81">
        <v>1516</v>
      </c>
      <c r="L236" s="81">
        <v>60780</v>
      </c>
      <c r="M236" s="81"/>
      <c r="N236" s="81">
        <v>2025</v>
      </c>
      <c r="O236" s="81"/>
      <c r="P236" s="81"/>
      <c r="Q236" s="81"/>
      <c r="R236" s="81"/>
      <c r="S236" s="81"/>
      <c r="T236" s="81"/>
      <c r="U236" s="81"/>
      <c r="V236" s="81"/>
      <c r="W236" s="81">
        <v>23100</v>
      </c>
      <c r="X236" s="81"/>
      <c r="Y236" s="81"/>
      <c r="Z236" s="81"/>
      <c r="AA236" s="81"/>
      <c r="AB236" s="81">
        <v>0</v>
      </c>
      <c r="AC236" s="81">
        <f t="shared" si="696"/>
        <v>0</v>
      </c>
      <c r="AD236" s="81">
        <f t="shared" si="697"/>
        <v>0</v>
      </c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>
        <v>0</v>
      </c>
      <c r="AP236" s="81">
        <f t="shared" si="698"/>
        <v>0</v>
      </c>
      <c r="AQ236" s="81">
        <f t="shared" si="699"/>
        <v>0</v>
      </c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>
        <v>0</v>
      </c>
      <c r="BC236" s="81">
        <f t="shared" si="700"/>
        <v>0</v>
      </c>
      <c r="BD236" s="98">
        <f t="shared" si="701"/>
        <v>0</v>
      </c>
      <c r="BE236" s="98"/>
      <c r="BF236" s="98"/>
      <c r="BG236" s="98"/>
      <c r="BH236" s="98"/>
      <c r="BI236" s="98"/>
      <c r="BJ236" s="81"/>
      <c r="BK236" s="81">
        <f t="shared" si="702"/>
        <v>0</v>
      </c>
      <c r="BL236" s="81">
        <f t="shared" si="703"/>
        <v>0</v>
      </c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82" t="s">
        <v>420</v>
      </c>
      <c r="BY236" s="85" t="s">
        <v>505</v>
      </c>
      <c r="BZ236" s="24"/>
    </row>
    <row r="237" spans="1:78" ht="24" customHeight="1" x14ac:dyDescent="0.2">
      <c r="A237" s="108">
        <v>90000783949</v>
      </c>
      <c r="B237" s="241" t="s">
        <v>19</v>
      </c>
      <c r="C237" s="285" t="s">
        <v>227</v>
      </c>
      <c r="D237" s="80">
        <f t="shared" si="692"/>
        <v>655619</v>
      </c>
      <c r="E237" s="295">
        <f t="shared" si="693"/>
        <v>680965</v>
      </c>
      <c r="F237" s="81">
        <v>317042</v>
      </c>
      <c r="G237" s="81">
        <f t="shared" si="694"/>
        <v>319598</v>
      </c>
      <c r="H237" s="81">
        <f t="shared" si="695"/>
        <v>2556</v>
      </c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>
        <v>2556</v>
      </c>
      <c r="X237" s="81"/>
      <c r="Y237" s="81"/>
      <c r="Z237" s="81"/>
      <c r="AA237" s="81"/>
      <c r="AB237" s="81">
        <v>334942</v>
      </c>
      <c r="AC237" s="81">
        <f t="shared" si="696"/>
        <v>357743</v>
      </c>
      <c r="AD237" s="81">
        <f t="shared" si="697"/>
        <v>22801</v>
      </c>
      <c r="AE237" s="81">
        <v>1001</v>
      </c>
      <c r="AF237" s="81">
        <f>3061+3+4283</f>
        <v>7347</v>
      </c>
      <c r="AG237" s="81"/>
      <c r="AH237" s="81"/>
      <c r="AI237" s="81"/>
      <c r="AJ237" s="81"/>
      <c r="AK237" s="81"/>
      <c r="AL237" s="81">
        <f>1001+13708-620+364</f>
        <v>14453</v>
      </c>
      <c r="AM237" s="81"/>
      <c r="AN237" s="81"/>
      <c r="AO237" s="81">
        <v>3635</v>
      </c>
      <c r="AP237" s="81">
        <f t="shared" si="698"/>
        <v>3623</v>
      </c>
      <c r="AQ237" s="81">
        <f t="shared" si="699"/>
        <v>-12</v>
      </c>
      <c r="AR237" s="81">
        <v>100</v>
      </c>
      <c r="AS237" s="81"/>
      <c r="AT237" s="81"/>
      <c r="AU237" s="81"/>
      <c r="AV237" s="81"/>
      <c r="AW237" s="81"/>
      <c r="AX237" s="81">
        <v>-112</v>
      </c>
      <c r="AY237" s="81"/>
      <c r="AZ237" s="81"/>
      <c r="BA237" s="81"/>
      <c r="BB237" s="81">
        <v>0</v>
      </c>
      <c r="BC237" s="81">
        <f t="shared" si="700"/>
        <v>1</v>
      </c>
      <c r="BD237" s="98">
        <f t="shared" si="701"/>
        <v>1</v>
      </c>
      <c r="BE237" s="98">
        <v>1</v>
      </c>
      <c r="BF237" s="98"/>
      <c r="BG237" s="98"/>
      <c r="BH237" s="98"/>
      <c r="BI237" s="98"/>
      <c r="BJ237" s="81"/>
      <c r="BK237" s="81">
        <f t="shared" si="702"/>
        <v>0</v>
      </c>
      <c r="BL237" s="81">
        <f t="shared" si="703"/>
        <v>0</v>
      </c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82" t="s">
        <v>697</v>
      </c>
      <c r="BY237" s="85"/>
      <c r="BZ237" s="24"/>
    </row>
    <row r="238" spans="1:78" ht="12.75" x14ac:dyDescent="0.2">
      <c r="A238" s="108"/>
      <c r="B238" s="243"/>
      <c r="C238" s="285" t="s">
        <v>240</v>
      </c>
      <c r="D238" s="80">
        <f t="shared" si="692"/>
        <v>52319</v>
      </c>
      <c r="E238" s="295">
        <f t="shared" si="693"/>
        <v>52899</v>
      </c>
      <c r="F238" s="81">
        <v>38971</v>
      </c>
      <c r="G238" s="81">
        <f t="shared" si="694"/>
        <v>38971</v>
      </c>
      <c r="H238" s="81">
        <f t="shared" si="695"/>
        <v>0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>
        <v>13348</v>
      </c>
      <c r="AC238" s="81">
        <f t="shared" si="696"/>
        <v>13928</v>
      </c>
      <c r="AD238" s="81">
        <f t="shared" si="697"/>
        <v>580</v>
      </c>
      <c r="AE238" s="81"/>
      <c r="AF238" s="81"/>
      <c r="AG238" s="81"/>
      <c r="AH238" s="81"/>
      <c r="AI238" s="81"/>
      <c r="AJ238" s="81"/>
      <c r="AK238" s="81"/>
      <c r="AL238" s="81">
        <v>580</v>
      </c>
      <c r="AM238" s="81"/>
      <c r="AN238" s="81"/>
      <c r="AO238" s="81">
        <v>0</v>
      </c>
      <c r="AP238" s="81">
        <f t="shared" si="698"/>
        <v>0</v>
      </c>
      <c r="AQ238" s="81">
        <f t="shared" si="699"/>
        <v>0</v>
      </c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>
        <v>0</v>
      </c>
      <c r="BC238" s="81">
        <f t="shared" si="700"/>
        <v>0</v>
      </c>
      <c r="BD238" s="98">
        <f t="shared" si="701"/>
        <v>0</v>
      </c>
      <c r="BE238" s="98"/>
      <c r="BF238" s="98"/>
      <c r="BG238" s="98"/>
      <c r="BH238" s="98"/>
      <c r="BI238" s="98"/>
      <c r="BJ238" s="81"/>
      <c r="BK238" s="81">
        <f t="shared" si="702"/>
        <v>0</v>
      </c>
      <c r="BL238" s="81">
        <f t="shared" si="703"/>
        <v>0</v>
      </c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82" t="s">
        <v>698</v>
      </c>
      <c r="BY238" s="85"/>
      <c r="BZ238" s="24"/>
    </row>
    <row r="239" spans="1:78" s="192" customFormat="1" ht="36" x14ac:dyDescent="0.2">
      <c r="A239" s="108"/>
      <c r="B239" s="243"/>
      <c r="C239" s="285" t="s">
        <v>540</v>
      </c>
      <c r="D239" s="80">
        <f t="shared" si="692"/>
        <v>13004</v>
      </c>
      <c r="E239" s="295">
        <f t="shared" si="693"/>
        <v>13007</v>
      </c>
      <c r="F239" s="81">
        <v>13004</v>
      </c>
      <c r="G239" s="81">
        <f t="shared" si="694"/>
        <v>13007</v>
      </c>
      <c r="H239" s="81">
        <f t="shared" si="695"/>
        <v>3</v>
      </c>
      <c r="I239" s="81"/>
      <c r="J239" s="81"/>
      <c r="K239" s="81">
        <v>3</v>
      </c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>
        <v>0</v>
      </c>
      <c r="AC239" s="81">
        <f t="shared" si="696"/>
        <v>0</v>
      </c>
      <c r="AD239" s="81">
        <f t="shared" si="697"/>
        <v>0</v>
      </c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>
        <v>0</v>
      </c>
      <c r="AP239" s="81">
        <f t="shared" si="698"/>
        <v>0</v>
      </c>
      <c r="AQ239" s="81">
        <f t="shared" si="699"/>
        <v>0</v>
      </c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>
        <v>0</v>
      </c>
      <c r="BC239" s="81">
        <f t="shared" si="700"/>
        <v>0</v>
      </c>
      <c r="BD239" s="98">
        <f t="shared" si="701"/>
        <v>0</v>
      </c>
      <c r="BE239" s="98"/>
      <c r="BF239" s="98"/>
      <c r="BG239" s="98"/>
      <c r="BH239" s="98"/>
      <c r="BI239" s="98"/>
      <c r="BJ239" s="81"/>
      <c r="BK239" s="81">
        <f t="shared" si="702"/>
        <v>0</v>
      </c>
      <c r="BL239" s="81">
        <f t="shared" si="703"/>
        <v>0</v>
      </c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82" t="s">
        <v>699</v>
      </c>
      <c r="BY239" s="85"/>
      <c r="BZ239" s="24"/>
    </row>
    <row r="240" spans="1:78" s="198" customFormat="1" ht="24" x14ac:dyDescent="0.2">
      <c r="A240" s="108"/>
      <c r="B240" s="243"/>
      <c r="C240" s="334" t="s">
        <v>735</v>
      </c>
      <c r="D240" s="80">
        <f t="shared" ref="D240" si="710">F240+AB240+AO240+BB240+BJ240</f>
        <v>0</v>
      </c>
      <c r="E240" s="295">
        <f t="shared" ref="E240" si="711">G240+AC240+AP240+BC240+BK240</f>
        <v>13592</v>
      </c>
      <c r="F240" s="81"/>
      <c r="G240" s="81">
        <f t="shared" ref="G240:G241" si="712">F240+H240</f>
        <v>13592</v>
      </c>
      <c r="H240" s="81">
        <f t="shared" ref="H240:H241" si="713">SUM(I240:AA240)</f>
        <v>13592</v>
      </c>
      <c r="I240" s="81">
        <v>13592</v>
      </c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>
        <f t="shared" ref="AC240" si="714">AB240+AD240</f>
        <v>0</v>
      </c>
      <c r="AD240" s="81">
        <f t="shared" ref="AD240" si="715">SUM(AE240:AN240)</f>
        <v>0</v>
      </c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>
        <f t="shared" ref="AP240" si="716">AO240+AQ240</f>
        <v>0</v>
      </c>
      <c r="AQ240" s="81">
        <f t="shared" ref="AQ240" si="717">SUM(AR240:BA240)</f>
        <v>0</v>
      </c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>
        <f t="shared" ref="BC240" si="718">BB240+BD240</f>
        <v>0</v>
      </c>
      <c r="BD240" s="98">
        <f t="shared" ref="BD240" si="719">SUM(BE240:BI240)</f>
        <v>0</v>
      </c>
      <c r="BE240" s="98"/>
      <c r="BF240" s="98"/>
      <c r="BG240" s="98"/>
      <c r="BH240" s="98"/>
      <c r="BI240" s="98"/>
      <c r="BJ240" s="81"/>
      <c r="BK240" s="81">
        <f t="shared" ref="BK240:BK241" si="720">BJ240+BL240</f>
        <v>0</v>
      </c>
      <c r="BL240" s="81">
        <f t="shared" ref="BL240:BL241" si="721">SUM(BM240:BW240)</f>
        <v>0</v>
      </c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82" t="s">
        <v>736</v>
      </c>
      <c r="BY240" s="85"/>
      <c r="BZ240" s="24"/>
    </row>
    <row r="241" spans="1:78" s="198" customFormat="1" ht="24" x14ac:dyDescent="0.2">
      <c r="A241" s="108"/>
      <c r="B241" s="243"/>
      <c r="C241" s="353" t="s">
        <v>783</v>
      </c>
      <c r="D241" s="80">
        <f t="shared" ref="D241" si="722">F241+AB241+AO241+BB241+BJ241</f>
        <v>0</v>
      </c>
      <c r="E241" s="295">
        <f t="shared" ref="E241" si="723">G241+AC241+AP241+BC241+BK241</f>
        <v>1204</v>
      </c>
      <c r="F241" s="81"/>
      <c r="G241" s="81">
        <f t="shared" si="712"/>
        <v>1204</v>
      </c>
      <c r="H241" s="81">
        <f t="shared" si="713"/>
        <v>1204</v>
      </c>
      <c r="I241" s="81"/>
      <c r="J241" s="81"/>
      <c r="K241" s="81"/>
      <c r="L241" s="81">
        <v>1204</v>
      </c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>
        <f t="shared" ref="AC241" si="724">AB241+AD241</f>
        <v>0</v>
      </c>
      <c r="AD241" s="81">
        <f t="shared" ref="AD241" si="725">SUM(AE241:AN241)</f>
        <v>0</v>
      </c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>
        <f t="shared" ref="AP241" si="726">AO241+AQ241</f>
        <v>0</v>
      </c>
      <c r="AQ241" s="81">
        <f t="shared" ref="AQ241" si="727">SUM(AR241:BA241)</f>
        <v>0</v>
      </c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>
        <f t="shared" ref="BC241" si="728">BB241+BD241</f>
        <v>0</v>
      </c>
      <c r="BD241" s="98">
        <f t="shared" ref="BD241" si="729">SUM(BE241:BI241)</f>
        <v>0</v>
      </c>
      <c r="BE241" s="98"/>
      <c r="BF241" s="98"/>
      <c r="BG241" s="98"/>
      <c r="BH241" s="98"/>
      <c r="BI241" s="98"/>
      <c r="BJ241" s="81"/>
      <c r="BK241" s="81">
        <f t="shared" si="720"/>
        <v>0</v>
      </c>
      <c r="BL241" s="81">
        <f t="shared" si="721"/>
        <v>0</v>
      </c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82" t="s">
        <v>784</v>
      </c>
      <c r="BY241" s="85"/>
      <c r="BZ241" s="24"/>
    </row>
    <row r="242" spans="1:78" ht="24" customHeight="1" x14ac:dyDescent="0.2">
      <c r="A242" s="108">
        <v>90000051646</v>
      </c>
      <c r="B242" s="241" t="s">
        <v>155</v>
      </c>
      <c r="C242" s="285" t="s">
        <v>227</v>
      </c>
      <c r="D242" s="80">
        <f t="shared" si="692"/>
        <v>247167</v>
      </c>
      <c r="E242" s="295">
        <f t="shared" si="693"/>
        <v>202331</v>
      </c>
      <c r="F242" s="81">
        <v>92620</v>
      </c>
      <c r="G242" s="81">
        <f t="shared" si="694"/>
        <v>74161</v>
      </c>
      <c r="H242" s="81">
        <f t="shared" si="695"/>
        <v>-18459</v>
      </c>
      <c r="I242" s="81"/>
      <c r="J242" s="81"/>
      <c r="K242" s="81">
        <v>4511</v>
      </c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>
        <v>-22970</v>
      </c>
      <c r="X242" s="81"/>
      <c r="Y242" s="81"/>
      <c r="Z242" s="81"/>
      <c r="AA242" s="81"/>
      <c r="AB242" s="81">
        <v>154507</v>
      </c>
      <c r="AC242" s="81">
        <f t="shared" si="696"/>
        <v>128130</v>
      </c>
      <c r="AD242" s="81">
        <f t="shared" si="697"/>
        <v>-26377</v>
      </c>
      <c r="AE242" s="81">
        <v>210</v>
      </c>
      <c r="AF242" s="81">
        <f>3153-12984</f>
        <v>-9831</v>
      </c>
      <c r="AG242" s="81"/>
      <c r="AH242" s="81"/>
      <c r="AI242" s="81">
        <v>-210</v>
      </c>
      <c r="AJ242" s="81">
        <v>-16546</v>
      </c>
      <c r="AK242" s="81"/>
      <c r="AL242" s="81"/>
      <c r="AM242" s="81"/>
      <c r="AN242" s="81"/>
      <c r="AO242" s="81">
        <v>40</v>
      </c>
      <c r="AP242" s="81">
        <f t="shared" si="698"/>
        <v>40</v>
      </c>
      <c r="AQ242" s="81">
        <f t="shared" si="699"/>
        <v>0</v>
      </c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>
        <v>0</v>
      </c>
      <c r="BC242" s="81">
        <f t="shared" si="700"/>
        <v>0</v>
      </c>
      <c r="BD242" s="98">
        <f t="shared" si="701"/>
        <v>0</v>
      </c>
      <c r="BE242" s="98"/>
      <c r="BF242" s="98"/>
      <c r="BG242" s="98"/>
      <c r="BH242" s="98"/>
      <c r="BI242" s="98"/>
      <c r="BJ242" s="81"/>
      <c r="BK242" s="81">
        <f t="shared" si="702"/>
        <v>0</v>
      </c>
      <c r="BL242" s="81">
        <f t="shared" si="703"/>
        <v>0</v>
      </c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82" t="s">
        <v>421</v>
      </c>
      <c r="BY242" s="85"/>
      <c r="BZ242" s="24"/>
    </row>
    <row r="243" spans="1:78" s="103" customFormat="1" x14ac:dyDescent="0.2">
      <c r="A243" s="108"/>
      <c r="B243" s="242"/>
      <c r="C243" s="285" t="s">
        <v>240</v>
      </c>
      <c r="D243" s="80">
        <f t="shared" si="692"/>
        <v>45000</v>
      </c>
      <c r="E243" s="295">
        <f t="shared" si="693"/>
        <v>5476</v>
      </c>
      <c r="F243" s="81">
        <v>45000</v>
      </c>
      <c r="G243" s="81">
        <f t="shared" si="694"/>
        <v>5476</v>
      </c>
      <c r="H243" s="81">
        <f t="shared" si="695"/>
        <v>-39524</v>
      </c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>
        <v>-39524</v>
      </c>
      <c r="AA243" s="81"/>
      <c r="AB243" s="81">
        <v>0</v>
      </c>
      <c r="AC243" s="81">
        <f t="shared" si="696"/>
        <v>0</v>
      </c>
      <c r="AD243" s="81">
        <f t="shared" si="697"/>
        <v>0</v>
      </c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>
        <v>0</v>
      </c>
      <c r="AP243" s="81">
        <f t="shared" si="698"/>
        <v>0</v>
      </c>
      <c r="AQ243" s="81">
        <f t="shared" si="699"/>
        <v>0</v>
      </c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>
        <v>0</v>
      </c>
      <c r="BC243" s="81">
        <f t="shared" si="700"/>
        <v>0</v>
      </c>
      <c r="BD243" s="98">
        <f t="shared" si="701"/>
        <v>0</v>
      </c>
      <c r="BE243" s="98"/>
      <c r="BF243" s="98"/>
      <c r="BG243" s="98"/>
      <c r="BH243" s="98"/>
      <c r="BI243" s="98"/>
      <c r="BJ243" s="81"/>
      <c r="BK243" s="81">
        <f t="shared" si="702"/>
        <v>0</v>
      </c>
      <c r="BL243" s="81">
        <f t="shared" si="703"/>
        <v>0</v>
      </c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82" t="s">
        <v>422</v>
      </c>
      <c r="BY243" s="85"/>
      <c r="BZ243" s="24"/>
    </row>
    <row r="244" spans="1:78" s="107" customFormat="1" ht="24" x14ac:dyDescent="0.2">
      <c r="A244" s="108">
        <v>40008006745</v>
      </c>
      <c r="B244" s="241" t="s">
        <v>304</v>
      </c>
      <c r="C244" s="285" t="s">
        <v>240</v>
      </c>
      <c r="D244" s="80">
        <f t="shared" si="692"/>
        <v>30087</v>
      </c>
      <c r="E244" s="295">
        <f t="shared" si="693"/>
        <v>30087</v>
      </c>
      <c r="F244" s="81">
        <v>0</v>
      </c>
      <c r="G244" s="81">
        <f t="shared" si="694"/>
        <v>0</v>
      </c>
      <c r="H244" s="81">
        <f t="shared" si="695"/>
        <v>0</v>
      </c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>
        <v>30087</v>
      </c>
      <c r="AC244" s="81">
        <f t="shared" si="696"/>
        <v>30087</v>
      </c>
      <c r="AD244" s="81">
        <f t="shared" si="697"/>
        <v>0</v>
      </c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>
        <v>0</v>
      </c>
      <c r="AP244" s="81">
        <f t="shared" si="698"/>
        <v>0</v>
      </c>
      <c r="AQ244" s="81">
        <f t="shared" si="699"/>
        <v>0</v>
      </c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>
        <v>0</v>
      </c>
      <c r="BC244" s="81">
        <f t="shared" si="700"/>
        <v>0</v>
      </c>
      <c r="BD244" s="98">
        <f t="shared" si="701"/>
        <v>0</v>
      </c>
      <c r="BE244" s="98"/>
      <c r="BF244" s="98"/>
      <c r="BG244" s="98"/>
      <c r="BH244" s="98"/>
      <c r="BI244" s="98"/>
      <c r="BJ244" s="81"/>
      <c r="BK244" s="81">
        <f t="shared" si="702"/>
        <v>0</v>
      </c>
      <c r="BL244" s="81">
        <f t="shared" si="703"/>
        <v>0</v>
      </c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82" t="s">
        <v>423</v>
      </c>
      <c r="BY244" s="85"/>
      <c r="BZ244" s="24"/>
    </row>
    <row r="245" spans="1:78" ht="16.5" customHeight="1" thickBot="1" x14ac:dyDescent="0.25">
      <c r="A245" s="368"/>
      <c r="B245" s="217"/>
      <c r="C245" s="369"/>
      <c r="D245" s="370"/>
      <c r="E245" s="371"/>
      <c r="F245" s="372"/>
      <c r="G245" s="372"/>
      <c r="H245" s="372"/>
      <c r="I245" s="372"/>
      <c r="J245" s="372"/>
      <c r="K245" s="372"/>
      <c r="L245" s="372"/>
      <c r="M245" s="372"/>
      <c r="N245" s="372"/>
      <c r="O245" s="372"/>
      <c r="P245" s="372"/>
      <c r="Q245" s="372"/>
      <c r="R245" s="372"/>
      <c r="S245" s="372"/>
      <c r="T245" s="372"/>
      <c r="U245" s="372"/>
      <c r="V245" s="372"/>
      <c r="W245" s="372"/>
      <c r="X245" s="372"/>
      <c r="Y245" s="372"/>
      <c r="Z245" s="372"/>
      <c r="AA245" s="372"/>
      <c r="AB245" s="372"/>
      <c r="AC245" s="372"/>
      <c r="AD245" s="372"/>
      <c r="AE245" s="372"/>
      <c r="AF245" s="372"/>
      <c r="AG245" s="372"/>
      <c r="AH245" s="372"/>
      <c r="AI245" s="372"/>
      <c r="AJ245" s="372"/>
      <c r="AK245" s="372"/>
      <c r="AL245" s="372"/>
      <c r="AM245" s="372"/>
      <c r="AN245" s="372"/>
      <c r="AO245" s="372"/>
      <c r="AP245" s="373"/>
      <c r="AQ245" s="373"/>
      <c r="AR245" s="373"/>
      <c r="AS245" s="373"/>
      <c r="AT245" s="373"/>
      <c r="AU245" s="373"/>
      <c r="AV245" s="373"/>
      <c r="AW245" s="373"/>
      <c r="AX245" s="373"/>
      <c r="AY245" s="373"/>
      <c r="AZ245" s="373"/>
      <c r="BA245" s="373"/>
      <c r="BB245" s="373"/>
      <c r="BC245" s="372"/>
      <c r="BD245" s="373"/>
      <c r="BE245" s="373"/>
      <c r="BF245" s="373"/>
      <c r="BG245" s="373"/>
      <c r="BH245" s="373"/>
      <c r="BI245" s="373"/>
      <c r="BJ245" s="372"/>
      <c r="BK245" s="374"/>
      <c r="BL245" s="373"/>
      <c r="BM245" s="373"/>
      <c r="BN245" s="373"/>
      <c r="BO245" s="373"/>
      <c r="BP245" s="373"/>
      <c r="BQ245" s="373"/>
      <c r="BR245" s="373"/>
      <c r="BS245" s="373"/>
      <c r="BT245" s="373"/>
      <c r="BU245" s="373"/>
      <c r="BV245" s="373"/>
      <c r="BW245" s="373"/>
      <c r="BX245" s="375"/>
      <c r="BY245" s="376"/>
      <c r="BZ245" s="24"/>
    </row>
    <row r="246" spans="1:78" ht="16.5" customHeight="1" thickBot="1" x14ac:dyDescent="0.25">
      <c r="A246" s="214">
        <v>10</v>
      </c>
      <c r="B246" s="125" t="s">
        <v>21</v>
      </c>
      <c r="C246" s="321"/>
      <c r="D246" s="11">
        <f>SUM(D247:D268)</f>
        <v>8070154</v>
      </c>
      <c r="E246" s="297">
        <f>SUM(E247:E268)</f>
        <v>7897563</v>
      </c>
      <c r="F246" s="9">
        <f>SUM(F247:F268)</f>
        <v>7166248</v>
      </c>
      <c r="G246" s="9">
        <f t="shared" ref="G246:AA246" si="730">SUM(G247:G268)</f>
        <v>6964501</v>
      </c>
      <c r="H246" s="9">
        <f t="shared" si="730"/>
        <v>-201747</v>
      </c>
      <c r="I246" s="9">
        <f t="shared" si="730"/>
        <v>0</v>
      </c>
      <c r="J246" s="9">
        <f t="shared" ref="J246" si="731">SUM(J247:J268)</f>
        <v>0</v>
      </c>
      <c r="K246" s="9">
        <f t="shared" si="730"/>
        <v>71263</v>
      </c>
      <c r="L246" s="9">
        <f t="shared" si="730"/>
        <v>0</v>
      </c>
      <c r="M246" s="9">
        <f t="shared" si="730"/>
        <v>14835</v>
      </c>
      <c r="N246" s="9">
        <f t="shared" si="730"/>
        <v>0</v>
      </c>
      <c r="O246" s="9">
        <f t="shared" si="730"/>
        <v>0</v>
      </c>
      <c r="P246" s="9">
        <f t="shared" si="730"/>
        <v>0</v>
      </c>
      <c r="Q246" s="9">
        <f t="shared" si="730"/>
        <v>4029</v>
      </c>
      <c r="R246" s="9">
        <f t="shared" si="730"/>
        <v>0</v>
      </c>
      <c r="S246" s="9">
        <f t="shared" si="730"/>
        <v>-36075</v>
      </c>
      <c r="T246" s="9"/>
      <c r="U246" s="9">
        <f t="shared" si="730"/>
        <v>0</v>
      </c>
      <c r="V246" s="9"/>
      <c r="W246" s="9">
        <f t="shared" si="730"/>
        <v>-160289</v>
      </c>
      <c r="X246" s="9">
        <f t="shared" ref="X246" si="732">SUM(X247:X268)</f>
        <v>0</v>
      </c>
      <c r="Y246" s="9">
        <f t="shared" si="730"/>
        <v>-95510</v>
      </c>
      <c r="Z246" s="9">
        <f t="shared" ref="Z246" si="733">SUM(Z247:Z268)</f>
        <v>0</v>
      </c>
      <c r="AA246" s="9">
        <f t="shared" si="730"/>
        <v>0</v>
      </c>
      <c r="AB246" s="9">
        <f>SUM(AB247:AB268)</f>
        <v>302033</v>
      </c>
      <c r="AC246" s="9">
        <f t="shared" ref="AC246" si="734">SUM(AC247:AC268)</f>
        <v>340269</v>
      </c>
      <c r="AD246" s="9">
        <f t="shared" ref="AD246" si="735">SUM(AD247:AD268)</f>
        <v>38236</v>
      </c>
      <c r="AE246" s="9">
        <f t="shared" ref="AE246" si="736">SUM(AE247:AE268)</f>
        <v>0</v>
      </c>
      <c r="AF246" s="9">
        <f t="shared" ref="AF246" si="737">SUM(AF247:AF268)</f>
        <v>3196</v>
      </c>
      <c r="AG246" s="9">
        <f t="shared" ref="AG246" si="738">SUM(AG247:AG268)</f>
        <v>0</v>
      </c>
      <c r="AH246" s="9">
        <f t="shared" ref="AH246" si="739">SUM(AH247:AH268)</f>
        <v>0</v>
      </c>
      <c r="AI246" s="9">
        <f t="shared" ref="AI246" si="740">SUM(AI247:AI268)</f>
        <v>0</v>
      </c>
      <c r="AJ246" s="9">
        <f t="shared" ref="AJ246" si="741">SUM(AJ247:AJ268)</f>
        <v>35040</v>
      </c>
      <c r="AK246" s="9">
        <f t="shared" ref="AK246" si="742">SUM(AK247:AK268)</f>
        <v>0</v>
      </c>
      <c r="AL246" s="9">
        <f t="shared" ref="AL246" si="743">SUM(AL247:AL268)</f>
        <v>0</v>
      </c>
      <c r="AM246" s="9">
        <f t="shared" ref="AM246" si="744">SUM(AM247:AM268)</f>
        <v>0</v>
      </c>
      <c r="AN246" s="9">
        <f t="shared" ref="AN246" si="745">SUM(AN247:AN268)</f>
        <v>0</v>
      </c>
      <c r="AO246" s="9">
        <f>SUM(AO247:AO268)</f>
        <v>601335</v>
      </c>
      <c r="AP246" s="96">
        <f t="shared" ref="AP246" si="746">SUM(AP247:AP268)</f>
        <v>618497</v>
      </c>
      <c r="AQ246" s="96">
        <f t="shared" ref="AQ246" si="747">SUM(AQ247:AQ268)</f>
        <v>17162</v>
      </c>
      <c r="AR246" s="96">
        <f t="shared" ref="AR246" si="748">SUM(AR247:AR268)</f>
        <v>25255</v>
      </c>
      <c r="AS246" s="96">
        <f t="shared" ref="AS246" si="749">SUM(AS247:AS268)</f>
        <v>0</v>
      </c>
      <c r="AT246" s="96">
        <f t="shared" ref="AT246" si="750">SUM(AT247:AT268)</f>
        <v>111</v>
      </c>
      <c r="AU246" s="96">
        <f t="shared" ref="AU246" si="751">SUM(AU247:AU268)</f>
        <v>0</v>
      </c>
      <c r="AV246" s="96">
        <f t="shared" ref="AV246" si="752">SUM(AV247:AV268)</f>
        <v>0</v>
      </c>
      <c r="AW246" s="96">
        <f t="shared" ref="AW246" si="753">SUM(AW247:AW268)</f>
        <v>0</v>
      </c>
      <c r="AX246" s="96">
        <f t="shared" ref="AX246" si="754">SUM(AX247:AX268)</f>
        <v>-8205</v>
      </c>
      <c r="AY246" s="96">
        <f t="shared" ref="AY246" si="755">SUM(AY247:AY268)</f>
        <v>0</v>
      </c>
      <c r="AZ246" s="96">
        <f t="shared" ref="AZ246" si="756">SUM(AZ247:AZ268)</f>
        <v>1</v>
      </c>
      <c r="BA246" s="96">
        <f t="shared" ref="BA246" si="757">SUM(BA247:BA268)</f>
        <v>0</v>
      </c>
      <c r="BB246" s="96">
        <f>SUM(BB247:BB268)</f>
        <v>538</v>
      </c>
      <c r="BC246" s="9">
        <f t="shared" ref="BC246" si="758">SUM(BC247:BC268)</f>
        <v>538</v>
      </c>
      <c r="BD246" s="96">
        <f t="shared" ref="BD246" si="759">SUM(BD247:BD268)</f>
        <v>0</v>
      </c>
      <c r="BE246" s="96">
        <f t="shared" ref="BE246" si="760">SUM(BE247:BE268)</f>
        <v>0</v>
      </c>
      <c r="BF246" s="96">
        <f t="shared" ref="BF246" si="761">SUM(BF247:BF268)</f>
        <v>0</v>
      </c>
      <c r="BG246" s="96">
        <f t="shared" ref="BG246" si="762">SUM(BG247:BG268)</f>
        <v>0</v>
      </c>
      <c r="BH246" s="96">
        <f t="shared" ref="BH246" si="763">SUM(BH247:BH268)</f>
        <v>0</v>
      </c>
      <c r="BI246" s="96">
        <f t="shared" ref="BI246" si="764">SUM(BI247:BI268)</f>
        <v>0</v>
      </c>
      <c r="BJ246" s="9">
        <f>SUM(BJ247:BJ268)</f>
        <v>0</v>
      </c>
      <c r="BK246" s="310">
        <f t="shared" ref="BK246" si="765">SUM(BK247:BK268)</f>
        <v>-26242</v>
      </c>
      <c r="BL246" s="96">
        <f t="shared" ref="BL246" si="766">SUM(BL247:BL268)</f>
        <v>-26242</v>
      </c>
      <c r="BM246" s="96">
        <f t="shared" ref="BM246" si="767">SUM(BM247:BM268)</f>
        <v>0</v>
      </c>
      <c r="BN246" s="96">
        <f t="shared" ref="BN246" si="768">SUM(BN247:BN268)</f>
        <v>-25858</v>
      </c>
      <c r="BO246" s="96">
        <f t="shared" ref="BO246" si="769">SUM(BO247:BO268)</f>
        <v>0</v>
      </c>
      <c r="BP246" s="96">
        <f t="shared" ref="BP246" si="770">SUM(BP247:BP268)</f>
        <v>-111</v>
      </c>
      <c r="BQ246" s="96">
        <f t="shared" ref="BQ246" si="771">SUM(BQ247:BQ268)</f>
        <v>0</v>
      </c>
      <c r="BR246" s="96">
        <f t="shared" ref="BR246" si="772">SUM(BR247:BR268)</f>
        <v>0</v>
      </c>
      <c r="BS246" s="96">
        <f t="shared" ref="BS246" si="773">SUM(BS247:BS268)</f>
        <v>0</v>
      </c>
      <c r="BT246" s="96">
        <f t="shared" ref="BT246" si="774">SUM(BT247:BT268)</f>
        <v>-272</v>
      </c>
      <c r="BU246" s="96">
        <f t="shared" ref="BU246" si="775">SUM(BU247:BU268)</f>
        <v>0</v>
      </c>
      <c r="BV246" s="96">
        <f t="shared" ref="BV246:BW246" si="776">SUM(BV247:BV268)</f>
        <v>-1</v>
      </c>
      <c r="BW246" s="96">
        <f t="shared" si="776"/>
        <v>0</v>
      </c>
      <c r="BX246" s="12"/>
      <c r="BY246" s="87"/>
      <c r="BZ246" s="24"/>
    </row>
    <row r="247" spans="1:78" s="122" customFormat="1" ht="24.75" customHeight="1" thickTop="1" x14ac:dyDescent="0.2">
      <c r="A247" s="108">
        <v>90000056357</v>
      </c>
      <c r="B247" s="247" t="s">
        <v>5</v>
      </c>
      <c r="C247" s="324" t="s">
        <v>457</v>
      </c>
      <c r="D247" s="80">
        <f t="shared" ref="D247:D267" si="777">F247+AB247+AO247+BB247+BJ247</f>
        <v>1040651</v>
      </c>
      <c r="E247" s="295">
        <f t="shared" ref="E247:E267" si="778">G247+AC247+AP247+BC247+BK247</f>
        <v>921965</v>
      </c>
      <c r="F247" s="170">
        <v>1040651</v>
      </c>
      <c r="G247" s="170">
        <f t="shared" ref="G247:G267" si="779">F247+H247</f>
        <v>921965</v>
      </c>
      <c r="H247" s="170">
        <f t="shared" ref="H247:H267" si="780">SUM(I247:AA247)</f>
        <v>-118686</v>
      </c>
      <c r="I247" s="170"/>
      <c r="J247" s="170"/>
      <c r="K247" s="170">
        <v>8897</v>
      </c>
      <c r="L247" s="170"/>
      <c r="M247" s="170">
        <f>11665+1646</f>
        <v>13311</v>
      </c>
      <c r="N247" s="170"/>
      <c r="O247" s="170"/>
      <c r="P247" s="170"/>
      <c r="Q247" s="170">
        <f>-10479+14508</f>
        <v>4029</v>
      </c>
      <c r="R247" s="170"/>
      <c r="S247" s="170">
        <v>-47775</v>
      </c>
      <c r="T247" s="170"/>
      <c r="U247" s="170"/>
      <c r="V247" s="170"/>
      <c r="W247" s="170">
        <v>-1638</v>
      </c>
      <c r="X247" s="170"/>
      <c r="Y247" s="170">
        <v>-95510</v>
      </c>
      <c r="Z247" s="170"/>
      <c r="AA247" s="170"/>
      <c r="AB247" s="170">
        <v>0</v>
      </c>
      <c r="AC247" s="170">
        <f t="shared" ref="AC247:AC267" si="781">AB247+AD247</f>
        <v>0</v>
      </c>
      <c r="AD247" s="170">
        <f t="shared" ref="AD247:AD267" si="782">SUM(AE247:AN247)</f>
        <v>0</v>
      </c>
      <c r="AE247" s="170"/>
      <c r="AF247" s="170"/>
      <c r="AG247" s="170"/>
      <c r="AH247" s="170"/>
      <c r="AI247" s="170"/>
      <c r="AJ247" s="170"/>
      <c r="AK247" s="170"/>
      <c r="AL247" s="170"/>
      <c r="AM247" s="170"/>
      <c r="AN247" s="170"/>
      <c r="AO247" s="170">
        <v>0</v>
      </c>
      <c r="AP247" s="170">
        <f t="shared" ref="AP247:AP267" si="783">AO247+AQ247</f>
        <v>0</v>
      </c>
      <c r="AQ247" s="170">
        <f t="shared" ref="AQ247:AQ267" si="784">SUM(AR247:BA247)</f>
        <v>0</v>
      </c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>
        <v>0</v>
      </c>
      <c r="BC247" s="81">
        <f t="shared" ref="BC247:BC267" si="785">BB247+BD247</f>
        <v>0</v>
      </c>
      <c r="BD247" s="98">
        <f t="shared" ref="BD247:BD267" si="786">SUM(BE247:BI247)</f>
        <v>0</v>
      </c>
      <c r="BE247" s="203"/>
      <c r="BF247" s="203"/>
      <c r="BG247" s="203"/>
      <c r="BH247" s="203"/>
      <c r="BI247" s="203"/>
      <c r="BJ247" s="170"/>
      <c r="BK247" s="81">
        <f t="shared" ref="BK247:BK267" si="787">BJ247+BL247</f>
        <v>0</v>
      </c>
      <c r="BL247" s="81">
        <f t="shared" ref="BL247:BL267" si="788">SUM(BM247:BW247)</f>
        <v>0</v>
      </c>
      <c r="BM247" s="203"/>
      <c r="BN247" s="203"/>
      <c r="BO247" s="203"/>
      <c r="BP247" s="203"/>
      <c r="BQ247" s="203"/>
      <c r="BR247" s="203"/>
      <c r="BS247" s="203"/>
      <c r="BT247" s="203"/>
      <c r="BU247" s="203"/>
      <c r="BV247" s="203"/>
      <c r="BW247" s="203"/>
      <c r="BX247" s="204" t="s">
        <v>565</v>
      </c>
      <c r="BY247" s="86" t="s">
        <v>672</v>
      </c>
      <c r="BZ247" s="24"/>
    </row>
    <row r="248" spans="1:78" ht="25.5" customHeight="1" x14ac:dyDescent="0.2">
      <c r="A248" s="108">
        <v>90000594245</v>
      </c>
      <c r="B248" s="241" t="s">
        <v>524</v>
      </c>
      <c r="C248" s="285" t="s">
        <v>182</v>
      </c>
      <c r="D248" s="80">
        <f t="shared" si="777"/>
        <v>820099</v>
      </c>
      <c r="E248" s="295">
        <f t="shared" si="778"/>
        <v>831799</v>
      </c>
      <c r="F248" s="81">
        <v>815668</v>
      </c>
      <c r="G248" s="81">
        <f t="shared" si="779"/>
        <v>827368</v>
      </c>
      <c r="H248" s="81">
        <f t="shared" si="780"/>
        <v>11700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>
        <v>11700</v>
      </c>
      <c r="T248" s="81"/>
      <c r="U248" s="81"/>
      <c r="V248" s="81"/>
      <c r="W248" s="81"/>
      <c r="X248" s="81"/>
      <c r="Y248" s="81"/>
      <c r="Z248" s="81"/>
      <c r="AA248" s="81"/>
      <c r="AB248" s="81">
        <v>4371</v>
      </c>
      <c r="AC248" s="81">
        <f t="shared" si="781"/>
        <v>4371</v>
      </c>
      <c r="AD248" s="81">
        <f t="shared" si="782"/>
        <v>0</v>
      </c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>
        <v>60</v>
      </c>
      <c r="AP248" s="81">
        <f t="shared" si="783"/>
        <v>171</v>
      </c>
      <c r="AQ248" s="81">
        <f t="shared" si="784"/>
        <v>111</v>
      </c>
      <c r="AR248" s="81"/>
      <c r="AS248" s="81"/>
      <c r="AT248" s="81">
        <v>111</v>
      </c>
      <c r="AU248" s="81"/>
      <c r="AV248" s="81"/>
      <c r="AW248" s="81"/>
      <c r="AX248" s="81"/>
      <c r="AY248" s="81"/>
      <c r="AZ248" s="81"/>
      <c r="BA248" s="81"/>
      <c r="BB248" s="81">
        <v>0</v>
      </c>
      <c r="BC248" s="81">
        <f t="shared" si="785"/>
        <v>0</v>
      </c>
      <c r="BD248" s="98">
        <f t="shared" si="786"/>
        <v>0</v>
      </c>
      <c r="BE248" s="98"/>
      <c r="BF248" s="98"/>
      <c r="BG248" s="98"/>
      <c r="BH248" s="98"/>
      <c r="BI248" s="98"/>
      <c r="BJ248" s="81"/>
      <c r="BK248" s="81">
        <f t="shared" si="787"/>
        <v>-111</v>
      </c>
      <c r="BL248" s="81">
        <f t="shared" si="788"/>
        <v>-111</v>
      </c>
      <c r="BM248" s="98"/>
      <c r="BN248" s="98"/>
      <c r="BO248" s="98"/>
      <c r="BP248" s="98">
        <v>-111</v>
      </c>
      <c r="BQ248" s="98"/>
      <c r="BR248" s="98"/>
      <c r="BS248" s="98"/>
      <c r="BT248" s="98"/>
      <c r="BU248" s="98"/>
      <c r="BV248" s="98"/>
      <c r="BW248" s="98"/>
      <c r="BX248" s="82" t="s">
        <v>424</v>
      </c>
      <c r="BY248" s="85"/>
      <c r="BZ248" s="24"/>
    </row>
    <row r="249" spans="1:78" s="122" customFormat="1" ht="20.25" customHeight="1" x14ac:dyDescent="0.2">
      <c r="A249" s="108"/>
      <c r="B249" s="242"/>
      <c r="C249" s="285" t="s">
        <v>205</v>
      </c>
      <c r="D249" s="80">
        <f t="shared" si="777"/>
        <v>224841</v>
      </c>
      <c r="E249" s="295">
        <f t="shared" si="778"/>
        <v>245320</v>
      </c>
      <c r="F249" s="81">
        <v>13834</v>
      </c>
      <c r="G249" s="81">
        <f t="shared" si="779"/>
        <v>14624</v>
      </c>
      <c r="H249" s="81">
        <f t="shared" si="780"/>
        <v>790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>
        <v>790</v>
      </c>
      <c r="X249" s="81"/>
      <c r="Y249" s="81"/>
      <c r="Z249" s="81"/>
      <c r="AA249" s="81"/>
      <c r="AB249" s="81">
        <v>211007</v>
      </c>
      <c r="AC249" s="81">
        <f t="shared" si="781"/>
        <v>230696</v>
      </c>
      <c r="AD249" s="81">
        <f t="shared" si="782"/>
        <v>19689</v>
      </c>
      <c r="AE249" s="81"/>
      <c r="AF249" s="81"/>
      <c r="AG249" s="81"/>
      <c r="AH249" s="81"/>
      <c r="AI249" s="81"/>
      <c r="AJ249" s="81">
        <v>19689</v>
      </c>
      <c r="AK249" s="81"/>
      <c r="AL249" s="81"/>
      <c r="AM249" s="81"/>
      <c r="AN249" s="81"/>
      <c r="AO249" s="81">
        <v>0</v>
      </c>
      <c r="AP249" s="81">
        <f t="shared" si="783"/>
        <v>0</v>
      </c>
      <c r="AQ249" s="81">
        <f t="shared" si="784"/>
        <v>0</v>
      </c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>
        <v>0</v>
      </c>
      <c r="BC249" s="81">
        <f t="shared" si="785"/>
        <v>0</v>
      </c>
      <c r="BD249" s="98">
        <f t="shared" si="786"/>
        <v>0</v>
      </c>
      <c r="BE249" s="98"/>
      <c r="BF249" s="98"/>
      <c r="BG249" s="98"/>
      <c r="BH249" s="98"/>
      <c r="BI249" s="98"/>
      <c r="BJ249" s="81"/>
      <c r="BK249" s="81">
        <f t="shared" si="787"/>
        <v>0</v>
      </c>
      <c r="BL249" s="81">
        <f t="shared" si="788"/>
        <v>0</v>
      </c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82" t="s">
        <v>425</v>
      </c>
      <c r="BY249" s="85" t="s">
        <v>693</v>
      </c>
      <c r="BZ249" s="24"/>
    </row>
    <row r="250" spans="1:78" ht="18" customHeight="1" x14ac:dyDescent="0.2">
      <c r="A250" s="108"/>
      <c r="B250" s="242"/>
      <c r="C250" s="285" t="s">
        <v>206</v>
      </c>
      <c r="D250" s="80">
        <f t="shared" si="777"/>
        <v>680382</v>
      </c>
      <c r="E250" s="295">
        <f t="shared" si="778"/>
        <v>688032</v>
      </c>
      <c r="F250" s="81">
        <v>676112</v>
      </c>
      <c r="G250" s="81">
        <f t="shared" si="779"/>
        <v>682812</v>
      </c>
      <c r="H250" s="81">
        <f t="shared" si="780"/>
        <v>6700</v>
      </c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>
        <v>6700</v>
      </c>
      <c r="X250" s="81"/>
      <c r="Y250" s="81"/>
      <c r="Z250" s="81"/>
      <c r="AA250" s="81"/>
      <c r="AB250" s="81">
        <v>4270</v>
      </c>
      <c r="AC250" s="81">
        <f t="shared" si="781"/>
        <v>5220</v>
      </c>
      <c r="AD250" s="81">
        <f t="shared" si="782"/>
        <v>950</v>
      </c>
      <c r="AE250" s="81"/>
      <c r="AF250" s="81"/>
      <c r="AG250" s="81"/>
      <c r="AH250" s="81"/>
      <c r="AI250" s="81"/>
      <c r="AJ250" s="81">
        <v>950</v>
      </c>
      <c r="AK250" s="81"/>
      <c r="AL250" s="81"/>
      <c r="AM250" s="81"/>
      <c r="AN250" s="81"/>
      <c r="AO250" s="81">
        <v>0</v>
      </c>
      <c r="AP250" s="81">
        <f t="shared" si="783"/>
        <v>0</v>
      </c>
      <c r="AQ250" s="81">
        <f t="shared" si="784"/>
        <v>0</v>
      </c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>
        <v>0</v>
      </c>
      <c r="BC250" s="81">
        <f t="shared" si="785"/>
        <v>0</v>
      </c>
      <c r="BD250" s="98">
        <f t="shared" si="786"/>
        <v>0</v>
      </c>
      <c r="BE250" s="98"/>
      <c r="BF250" s="98"/>
      <c r="BG250" s="98"/>
      <c r="BH250" s="98"/>
      <c r="BI250" s="98"/>
      <c r="BJ250" s="81"/>
      <c r="BK250" s="81">
        <f t="shared" si="787"/>
        <v>0</v>
      </c>
      <c r="BL250" s="81">
        <f t="shared" si="788"/>
        <v>0</v>
      </c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82" t="s">
        <v>426</v>
      </c>
      <c r="BY250" s="85" t="s">
        <v>693</v>
      </c>
      <c r="BZ250" s="24"/>
    </row>
    <row r="251" spans="1:78" ht="19.5" customHeight="1" x14ac:dyDescent="0.2">
      <c r="A251" s="108"/>
      <c r="B251" s="242"/>
      <c r="C251" s="285" t="s">
        <v>207</v>
      </c>
      <c r="D251" s="80">
        <f t="shared" si="777"/>
        <v>464770</v>
      </c>
      <c r="E251" s="295">
        <f t="shared" si="778"/>
        <v>446624</v>
      </c>
      <c r="F251" s="81">
        <v>462492</v>
      </c>
      <c r="G251" s="81">
        <f t="shared" si="779"/>
        <v>444346</v>
      </c>
      <c r="H251" s="81">
        <f t="shared" si="780"/>
        <v>-18146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>
        <v>-18146</v>
      </c>
      <c r="X251" s="81"/>
      <c r="Y251" s="81"/>
      <c r="Z251" s="81"/>
      <c r="AA251" s="81"/>
      <c r="AB251" s="81">
        <v>0</v>
      </c>
      <c r="AC251" s="81">
        <f t="shared" si="781"/>
        <v>0</v>
      </c>
      <c r="AD251" s="81">
        <f t="shared" si="782"/>
        <v>0</v>
      </c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>
        <v>2278</v>
      </c>
      <c r="AP251" s="81">
        <f t="shared" si="783"/>
        <v>2278</v>
      </c>
      <c r="AQ251" s="81">
        <f t="shared" si="784"/>
        <v>0</v>
      </c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>
        <v>0</v>
      </c>
      <c r="BC251" s="81">
        <f t="shared" si="785"/>
        <v>0</v>
      </c>
      <c r="BD251" s="98">
        <f t="shared" si="786"/>
        <v>0</v>
      </c>
      <c r="BE251" s="98"/>
      <c r="BF251" s="98"/>
      <c r="BG251" s="98"/>
      <c r="BH251" s="98"/>
      <c r="BI251" s="98"/>
      <c r="BJ251" s="81"/>
      <c r="BK251" s="81">
        <f t="shared" si="787"/>
        <v>0</v>
      </c>
      <c r="BL251" s="81">
        <f t="shared" si="788"/>
        <v>0</v>
      </c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82" t="s">
        <v>427</v>
      </c>
      <c r="BY251" s="85" t="s">
        <v>694</v>
      </c>
      <c r="BZ251" s="24"/>
    </row>
    <row r="252" spans="1:78" ht="24" x14ac:dyDescent="0.2">
      <c r="A252" s="108"/>
      <c r="B252" s="242"/>
      <c r="C252" s="285" t="s">
        <v>208</v>
      </c>
      <c r="D252" s="80">
        <f t="shared" si="777"/>
        <v>283800</v>
      </c>
      <c r="E252" s="295">
        <f t="shared" si="778"/>
        <v>293874</v>
      </c>
      <c r="F252" s="81">
        <v>283800</v>
      </c>
      <c r="G252" s="81">
        <f t="shared" si="779"/>
        <v>293874</v>
      </c>
      <c r="H252" s="81">
        <f t="shared" si="780"/>
        <v>10074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>
        <v>10074</v>
      </c>
      <c r="X252" s="81"/>
      <c r="Y252" s="81"/>
      <c r="Z252" s="81"/>
      <c r="AA252" s="81"/>
      <c r="AB252" s="81">
        <v>0</v>
      </c>
      <c r="AC252" s="81">
        <f t="shared" si="781"/>
        <v>0</v>
      </c>
      <c r="AD252" s="81">
        <f t="shared" si="782"/>
        <v>0</v>
      </c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>
        <v>0</v>
      </c>
      <c r="AP252" s="81">
        <f t="shared" si="783"/>
        <v>0</v>
      </c>
      <c r="AQ252" s="81">
        <f t="shared" si="784"/>
        <v>0</v>
      </c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>
        <v>0</v>
      </c>
      <c r="BC252" s="81">
        <f t="shared" si="785"/>
        <v>0</v>
      </c>
      <c r="BD252" s="98">
        <f t="shared" si="786"/>
        <v>0</v>
      </c>
      <c r="BE252" s="98"/>
      <c r="BF252" s="98"/>
      <c r="BG252" s="98"/>
      <c r="BH252" s="98"/>
      <c r="BI252" s="98"/>
      <c r="BJ252" s="81"/>
      <c r="BK252" s="81">
        <f t="shared" si="787"/>
        <v>0</v>
      </c>
      <c r="BL252" s="81">
        <f t="shared" si="788"/>
        <v>0</v>
      </c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82" t="s">
        <v>428</v>
      </c>
      <c r="BY252" s="85" t="s">
        <v>695</v>
      </c>
      <c r="BZ252" s="24"/>
    </row>
    <row r="253" spans="1:78" ht="27.75" customHeight="1" x14ac:dyDescent="0.2">
      <c r="A253" s="108"/>
      <c r="B253" s="242"/>
      <c r="C253" s="285" t="s">
        <v>273</v>
      </c>
      <c r="D253" s="80">
        <f t="shared" si="777"/>
        <v>341522</v>
      </c>
      <c r="E253" s="295">
        <f t="shared" si="778"/>
        <v>339337</v>
      </c>
      <c r="F253" s="81">
        <v>341522</v>
      </c>
      <c r="G253" s="81">
        <f t="shared" si="779"/>
        <v>339337</v>
      </c>
      <c r="H253" s="81">
        <f t="shared" si="780"/>
        <v>-2185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>
        <v>-2185</v>
      </c>
      <c r="X253" s="81"/>
      <c r="Y253" s="81"/>
      <c r="Z253" s="81"/>
      <c r="AA253" s="81"/>
      <c r="AB253" s="81">
        <v>0</v>
      </c>
      <c r="AC253" s="81">
        <f t="shared" si="781"/>
        <v>0</v>
      </c>
      <c r="AD253" s="81">
        <f t="shared" si="782"/>
        <v>0</v>
      </c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>
        <v>0</v>
      </c>
      <c r="AP253" s="81">
        <f t="shared" si="783"/>
        <v>0</v>
      </c>
      <c r="AQ253" s="81">
        <f t="shared" si="784"/>
        <v>0</v>
      </c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>
        <v>0</v>
      </c>
      <c r="BC253" s="81">
        <f t="shared" si="785"/>
        <v>0</v>
      </c>
      <c r="BD253" s="98">
        <f t="shared" si="786"/>
        <v>0</v>
      </c>
      <c r="BE253" s="98"/>
      <c r="BF253" s="98"/>
      <c r="BG253" s="98"/>
      <c r="BH253" s="98"/>
      <c r="BI253" s="98"/>
      <c r="BJ253" s="81"/>
      <c r="BK253" s="81">
        <f t="shared" si="787"/>
        <v>0</v>
      </c>
      <c r="BL253" s="81">
        <f t="shared" si="788"/>
        <v>0</v>
      </c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82" t="s">
        <v>429</v>
      </c>
      <c r="BY253" s="85" t="s">
        <v>512</v>
      </c>
      <c r="BZ253" s="24"/>
    </row>
    <row r="254" spans="1:78" s="122" customFormat="1" ht="25.5" customHeight="1" x14ac:dyDescent="0.2">
      <c r="A254" s="108"/>
      <c r="B254" s="242"/>
      <c r="C254" s="285" t="s">
        <v>272</v>
      </c>
      <c r="D254" s="80">
        <f t="shared" si="777"/>
        <v>608322</v>
      </c>
      <c r="E254" s="295">
        <f t="shared" si="778"/>
        <v>605050</v>
      </c>
      <c r="F254" s="81">
        <v>606562</v>
      </c>
      <c r="G254" s="81">
        <f t="shared" si="779"/>
        <v>603290</v>
      </c>
      <c r="H254" s="81">
        <f t="shared" si="780"/>
        <v>-3272</v>
      </c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>
        <v>-3272</v>
      </c>
      <c r="X254" s="81"/>
      <c r="Y254" s="81"/>
      <c r="Z254" s="81"/>
      <c r="AA254" s="81"/>
      <c r="AB254" s="81">
        <v>1760</v>
      </c>
      <c r="AC254" s="81">
        <f t="shared" si="781"/>
        <v>1760</v>
      </c>
      <c r="AD254" s="81">
        <f t="shared" si="782"/>
        <v>0</v>
      </c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>
        <v>0</v>
      </c>
      <c r="AP254" s="81">
        <f t="shared" si="783"/>
        <v>0</v>
      </c>
      <c r="AQ254" s="81">
        <f t="shared" si="784"/>
        <v>0</v>
      </c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>
        <v>0</v>
      </c>
      <c r="BC254" s="81">
        <f t="shared" si="785"/>
        <v>0</v>
      </c>
      <c r="BD254" s="98">
        <f t="shared" si="786"/>
        <v>0</v>
      </c>
      <c r="BE254" s="98"/>
      <c r="BF254" s="98"/>
      <c r="BG254" s="98"/>
      <c r="BH254" s="98"/>
      <c r="BI254" s="98"/>
      <c r="BJ254" s="81"/>
      <c r="BK254" s="81">
        <f t="shared" si="787"/>
        <v>0</v>
      </c>
      <c r="BL254" s="81">
        <f t="shared" si="788"/>
        <v>0</v>
      </c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82" t="s">
        <v>430</v>
      </c>
      <c r="BY254" s="85" t="s">
        <v>695</v>
      </c>
      <c r="BZ254" s="24"/>
    </row>
    <row r="255" spans="1:78" ht="24" x14ac:dyDescent="0.2">
      <c r="A255" s="108"/>
      <c r="B255" s="242"/>
      <c r="C255" s="285" t="s">
        <v>486</v>
      </c>
      <c r="D255" s="80">
        <f t="shared" si="777"/>
        <v>122402</v>
      </c>
      <c r="E255" s="295">
        <f t="shared" si="778"/>
        <v>126256</v>
      </c>
      <c r="F255" s="81">
        <v>122402</v>
      </c>
      <c r="G255" s="81">
        <f t="shared" si="779"/>
        <v>126256</v>
      </c>
      <c r="H255" s="81">
        <f t="shared" si="780"/>
        <v>3854</v>
      </c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>
        <v>3854</v>
      </c>
      <c r="X255" s="81"/>
      <c r="Y255" s="81"/>
      <c r="Z255" s="81"/>
      <c r="AA255" s="81"/>
      <c r="AB255" s="81">
        <v>0</v>
      </c>
      <c r="AC255" s="81">
        <f t="shared" si="781"/>
        <v>0</v>
      </c>
      <c r="AD255" s="81">
        <f t="shared" si="782"/>
        <v>0</v>
      </c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>
        <v>0</v>
      </c>
      <c r="AP255" s="81">
        <f t="shared" si="783"/>
        <v>0</v>
      </c>
      <c r="AQ255" s="81">
        <f t="shared" si="784"/>
        <v>0</v>
      </c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>
        <v>0</v>
      </c>
      <c r="BC255" s="81">
        <f t="shared" si="785"/>
        <v>0</v>
      </c>
      <c r="BD255" s="98">
        <f t="shared" si="786"/>
        <v>0</v>
      </c>
      <c r="BE255" s="98"/>
      <c r="BF255" s="98"/>
      <c r="BG255" s="98"/>
      <c r="BH255" s="98"/>
      <c r="BI255" s="98"/>
      <c r="BJ255" s="81"/>
      <c r="BK255" s="81">
        <f t="shared" si="787"/>
        <v>0</v>
      </c>
      <c r="BL255" s="81">
        <f t="shared" si="788"/>
        <v>0</v>
      </c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82" t="s">
        <v>431</v>
      </c>
      <c r="BY255" s="85"/>
      <c r="BZ255" s="24"/>
    </row>
    <row r="256" spans="1:78" s="192" customFormat="1" ht="28.5" customHeight="1" x14ac:dyDescent="0.2">
      <c r="A256" s="108"/>
      <c r="B256" s="242"/>
      <c r="C256" s="285" t="s">
        <v>541</v>
      </c>
      <c r="D256" s="80">
        <f t="shared" si="777"/>
        <v>267228</v>
      </c>
      <c r="E256" s="295">
        <f t="shared" si="778"/>
        <v>114770</v>
      </c>
      <c r="F256" s="81">
        <v>267228</v>
      </c>
      <c r="G256" s="81">
        <f t="shared" si="779"/>
        <v>114770</v>
      </c>
      <c r="H256" s="81">
        <f t="shared" si="780"/>
        <v>-152458</v>
      </c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>
        <v>-152458</v>
      </c>
      <c r="X256" s="81"/>
      <c r="Y256" s="81"/>
      <c r="Z256" s="81"/>
      <c r="AA256" s="81"/>
      <c r="AB256" s="81">
        <v>0</v>
      </c>
      <c r="AC256" s="81">
        <f t="shared" si="781"/>
        <v>0</v>
      </c>
      <c r="AD256" s="81">
        <f t="shared" si="782"/>
        <v>0</v>
      </c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>
        <v>0</v>
      </c>
      <c r="AP256" s="81">
        <f t="shared" si="783"/>
        <v>0</v>
      </c>
      <c r="AQ256" s="81">
        <f t="shared" si="784"/>
        <v>0</v>
      </c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>
        <v>0</v>
      </c>
      <c r="BC256" s="81">
        <f t="shared" si="785"/>
        <v>0</v>
      </c>
      <c r="BD256" s="98">
        <f t="shared" si="786"/>
        <v>0</v>
      </c>
      <c r="BE256" s="98"/>
      <c r="BF256" s="98"/>
      <c r="BG256" s="98"/>
      <c r="BH256" s="98"/>
      <c r="BI256" s="98"/>
      <c r="BJ256" s="81"/>
      <c r="BK256" s="81">
        <f t="shared" si="787"/>
        <v>0</v>
      </c>
      <c r="BL256" s="81">
        <f t="shared" si="788"/>
        <v>0</v>
      </c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82" t="s">
        <v>503</v>
      </c>
      <c r="BY256" s="85"/>
      <c r="BZ256" s="24"/>
    </row>
    <row r="257" spans="1:78" s="192" customFormat="1" ht="27" customHeight="1" x14ac:dyDescent="0.2">
      <c r="A257" s="108"/>
      <c r="B257" s="242"/>
      <c r="C257" s="285" t="s">
        <v>542</v>
      </c>
      <c r="D257" s="80">
        <f t="shared" si="777"/>
        <v>12753</v>
      </c>
      <c r="E257" s="295">
        <f t="shared" si="778"/>
        <v>12526</v>
      </c>
      <c r="F257" s="81">
        <v>12753</v>
      </c>
      <c r="G257" s="81">
        <f t="shared" si="779"/>
        <v>12526</v>
      </c>
      <c r="H257" s="81">
        <f t="shared" si="780"/>
        <v>-227</v>
      </c>
      <c r="I257" s="81"/>
      <c r="J257" s="81"/>
      <c r="K257" s="81">
        <v>-227</v>
      </c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>
        <v>0</v>
      </c>
      <c r="AC257" s="81">
        <f t="shared" si="781"/>
        <v>0</v>
      </c>
      <c r="AD257" s="81">
        <f t="shared" si="782"/>
        <v>0</v>
      </c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>
        <v>0</v>
      </c>
      <c r="AP257" s="81">
        <f t="shared" si="783"/>
        <v>0</v>
      </c>
      <c r="AQ257" s="81">
        <f t="shared" si="784"/>
        <v>0</v>
      </c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>
        <v>0</v>
      </c>
      <c r="BC257" s="81">
        <f t="shared" si="785"/>
        <v>0</v>
      </c>
      <c r="BD257" s="98">
        <f t="shared" si="786"/>
        <v>0</v>
      </c>
      <c r="BE257" s="98"/>
      <c r="BF257" s="98"/>
      <c r="BG257" s="98"/>
      <c r="BH257" s="98"/>
      <c r="BI257" s="98"/>
      <c r="BJ257" s="81"/>
      <c r="BK257" s="81">
        <f t="shared" si="787"/>
        <v>0</v>
      </c>
      <c r="BL257" s="81">
        <f t="shared" si="788"/>
        <v>0</v>
      </c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82" t="s">
        <v>692</v>
      </c>
      <c r="BY257" s="85"/>
      <c r="BZ257" s="24"/>
    </row>
    <row r="258" spans="1:78" s="198" customFormat="1" x14ac:dyDescent="0.2">
      <c r="A258" s="108"/>
      <c r="B258" s="242"/>
      <c r="C258" s="340" t="s">
        <v>761</v>
      </c>
      <c r="D258" s="80">
        <f t="shared" ref="D258" si="789">F258+AB258+AO258+BB258+BJ258</f>
        <v>0</v>
      </c>
      <c r="E258" s="295">
        <f t="shared" ref="E258" si="790">G258+AC258+AP258+BC258+BK258</f>
        <v>358</v>
      </c>
      <c r="F258" s="81"/>
      <c r="G258" s="81">
        <f t="shared" ref="G258" si="791">F258+H258</f>
        <v>26203</v>
      </c>
      <c r="H258" s="81">
        <f t="shared" ref="H258" si="792">SUM(I258:AA258)</f>
        <v>26203</v>
      </c>
      <c r="I258" s="81"/>
      <c r="J258" s="81"/>
      <c r="K258" s="81">
        <v>26203</v>
      </c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>
        <f t="shared" ref="AC258" si="793">AB258+AD258</f>
        <v>0</v>
      </c>
      <c r="AD258" s="81">
        <f t="shared" ref="AD258" si="794">SUM(AE258:AN258)</f>
        <v>0</v>
      </c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>
        <f t="shared" ref="AP258" si="795">AO258+AQ258</f>
        <v>0</v>
      </c>
      <c r="AQ258" s="81">
        <f t="shared" ref="AQ258" si="796">SUM(AR258:BA258)</f>
        <v>0</v>
      </c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>
        <f t="shared" ref="BC258" si="797">BB258+BD258</f>
        <v>0</v>
      </c>
      <c r="BD258" s="98">
        <f t="shared" ref="BD258" si="798">SUM(BE258:BI258)</f>
        <v>0</v>
      </c>
      <c r="BE258" s="98"/>
      <c r="BF258" s="98"/>
      <c r="BG258" s="98"/>
      <c r="BH258" s="98"/>
      <c r="BI258" s="98"/>
      <c r="BJ258" s="81"/>
      <c r="BK258" s="81">
        <f t="shared" ref="BK258" si="799">BJ258+BL258</f>
        <v>-25845</v>
      </c>
      <c r="BL258" s="81">
        <f t="shared" ref="BL258" si="800">SUM(BM258:BW258)</f>
        <v>-25845</v>
      </c>
      <c r="BM258" s="98"/>
      <c r="BN258" s="98">
        <v>-25845</v>
      </c>
      <c r="BO258" s="98"/>
      <c r="BP258" s="98"/>
      <c r="BQ258" s="98"/>
      <c r="BR258" s="98"/>
      <c r="BS258" s="98"/>
      <c r="BT258" s="98"/>
      <c r="BU258" s="98"/>
      <c r="BV258" s="98"/>
      <c r="BW258" s="98"/>
      <c r="BX258" s="82" t="s">
        <v>762</v>
      </c>
      <c r="BY258" s="85"/>
      <c r="BZ258" s="24"/>
    </row>
    <row r="259" spans="1:78" ht="48" x14ac:dyDescent="0.2">
      <c r="A259" s="108">
        <v>90010991438</v>
      </c>
      <c r="B259" s="241" t="s">
        <v>472</v>
      </c>
      <c r="C259" s="285" t="s">
        <v>210</v>
      </c>
      <c r="D259" s="80">
        <f t="shared" si="777"/>
        <v>1431668</v>
      </c>
      <c r="E259" s="295">
        <f t="shared" si="778"/>
        <v>1447496</v>
      </c>
      <c r="F259" s="81">
        <v>766939</v>
      </c>
      <c r="G259" s="81">
        <f t="shared" si="779"/>
        <v>748405</v>
      </c>
      <c r="H259" s="81">
        <f t="shared" si="780"/>
        <v>-18534</v>
      </c>
      <c r="I259" s="81"/>
      <c r="J259" s="81"/>
      <c r="K259" s="81">
        <v>-12610</v>
      </c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>
        <v>-5924</v>
      </c>
      <c r="X259" s="81"/>
      <c r="Y259" s="81"/>
      <c r="Z259" s="81"/>
      <c r="AA259" s="81"/>
      <c r="AB259" s="81">
        <v>80625</v>
      </c>
      <c r="AC259" s="81">
        <f t="shared" si="781"/>
        <v>98222</v>
      </c>
      <c r="AD259" s="81">
        <f t="shared" si="782"/>
        <v>17597</v>
      </c>
      <c r="AE259" s="81"/>
      <c r="AF259" s="81">
        <v>3196</v>
      </c>
      <c r="AG259" s="81"/>
      <c r="AH259" s="81"/>
      <c r="AI259" s="81"/>
      <c r="AJ259" s="81">
        <v>14401</v>
      </c>
      <c r="AK259" s="81"/>
      <c r="AL259" s="81"/>
      <c r="AM259" s="81"/>
      <c r="AN259" s="81"/>
      <c r="AO259" s="81">
        <v>584104</v>
      </c>
      <c r="AP259" s="81">
        <f t="shared" si="783"/>
        <v>600869</v>
      </c>
      <c r="AQ259" s="81">
        <f t="shared" si="784"/>
        <v>16765</v>
      </c>
      <c r="AR259" s="81">
        <v>25242</v>
      </c>
      <c r="AS259" s="81"/>
      <c r="AT259" s="81"/>
      <c r="AU259" s="81"/>
      <c r="AV259" s="81"/>
      <c r="AW259" s="81"/>
      <c r="AX259" s="81">
        <v>-8477</v>
      </c>
      <c r="AY259" s="81"/>
      <c r="AZ259" s="81"/>
      <c r="BA259" s="81"/>
      <c r="BB259" s="81">
        <v>0</v>
      </c>
      <c r="BC259" s="81">
        <f t="shared" si="785"/>
        <v>0</v>
      </c>
      <c r="BD259" s="98">
        <f t="shared" si="786"/>
        <v>0</v>
      </c>
      <c r="BE259" s="98"/>
      <c r="BF259" s="98"/>
      <c r="BG259" s="98"/>
      <c r="BH259" s="98"/>
      <c r="BI259" s="98"/>
      <c r="BJ259" s="81"/>
      <c r="BK259" s="81">
        <f t="shared" si="787"/>
        <v>0</v>
      </c>
      <c r="BL259" s="81">
        <f t="shared" si="788"/>
        <v>0</v>
      </c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82" t="s">
        <v>558</v>
      </c>
      <c r="BY259" s="85"/>
      <c r="BZ259" s="24"/>
    </row>
    <row r="260" spans="1:78" ht="24" x14ac:dyDescent="0.2">
      <c r="A260" s="108"/>
      <c r="B260" s="243"/>
      <c r="C260" s="285" t="s">
        <v>487</v>
      </c>
      <c r="D260" s="80">
        <f t="shared" si="777"/>
        <v>46530</v>
      </c>
      <c r="E260" s="295">
        <f t="shared" si="778"/>
        <v>46962</v>
      </c>
      <c r="F260" s="81">
        <v>46530</v>
      </c>
      <c r="G260" s="81">
        <f t="shared" si="779"/>
        <v>46962</v>
      </c>
      <c r="H260" s="81">
        <f t="shared" si="780"/>
        <v>432</v>
      </c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>
        <v>432</v>
      </c>
      <c r="X260" s="81"/>
      <c r="Y260" s="81"/>
      <c r="Z260" s="81"/>
      <c r="AA260" s="81"/>
      <c r="AB260" s="81">
        <v>0</v>
      </c>
      <c r="AC260" s="81">
        <f t="shared" si="781"/>
        <v>0</v>
      </c>
      <c r="AD260" s="81">
        <f t="shared" si="782"/>
        <v>0</v>
      </c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>
        <v>0</v>
      </c>
      <c r="AP260" s="81">
        <f t="shared" si="783"/>
        <v>0</v>
      </c>
      <c r="AQ260" s="81">
        <f t="shared" si="784"/>
        <v>0</v>
      </c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>
        <v>0</v>
      </c>
      <c r="BC260" s="81">
        <f t="shared" si="785"/>
        <v>0</v>
      </c>
      <c r="BD260" s="98">
        <f t="shared" si="786"/>
        <v>0</v>
      </c>
      <c r="BE260" s="98"/>
      <c r="BF260" s="98"/>
      <c r="BG260" s="98"/>
      <c r="BH260" s="98"/>
      <c r="BI260" s="98"/>
      <c r="BJ260" s="81"/>
      <c r="BK260" s="81">
        <f t="shared" si="787"/>
        <v>0</v>
      </c>
      <c r="BL260" s="81">
        <f t="shared" si="788"/>
        <v>0</v>
      </c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82" t="s">
        <v>504</v>
      </c>
      <c r="BY260" s="85"/>
      <c r="BZ260" s="24"/>
    </row>
    <row r="261" spans="1:78" ht="12.75" x14ac:dyDescent="0.2">
      <c r="A261" s="108"/>
      <c r="B261" s="243"/>
      <c r="C261" s="285" t="s">
        <v>212</v>
      </c>
      <c r="D261" s="80">
        <f t="shared" si="777"/>
        <v>3544</v>
      </c>
      <c r="E261" s="295">
        <f t="shared" si="778"/>
        <v>3544</v>
      </c>
      <c r="F261" s="81">
        <v>3544</v>
      </c>
      <c r="G261" s="81">
        <f t="shared" si="779"/>
        <v>3544</v>
      </c>
      <c r="H261" s="81">
        <f t="shared" si="780"/>
        <v>0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>
        <v>0</v>
      </c>
      <c r="AC261" s="81">
        <f t="shared" si="781"/>
        <v>0</v>
      </c>
      <c r="AD261" s="81">
        <f t="shared" si="782"/>
        <v>0</v>
      </c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>
        <v>0</v>
      </c>
      <c r="AP261" s="81">
        <f t="shared" si="783"/>
        <v>0</v>
      </c>
      <c r="AQ261" s="81">
        <f t="shared" si="784"/>
        <v>0</v>
      </c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>
        <v>0</v>
      </c>
      <c r="BC261" s="81">
        <f t="shared" si="785"/>
        <v>0</v>
      </c>
      <c r="BD261" s="98">
        <f t="shared" si="786"/>
        <v>0</v>
      </c>
      <c r="BE261" s="98"/>
      <c r="BF261" s="98"/>
      <c r="BG261" s="98"/>
      <c r="BH261" s="98"/>
      <c r="BI261" s="98"/>
      <c r="BJ261" s="81"/>
      <c r="BK261" s="81">
        <f t="shared" si="787"/>
        <v>0</v>
      </c>
      <c r="BL261" s="81">
        <f t="shared" si="788"/>
        <v>0</v>
      </c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82" t="s">
        <v>432</v>
      </c>
      <c r="BY261" s="85"/>
      <c r="BZ261" s="24"/>
    </row>
    <row r="262" spans="1:78" ht="12.75" x14ac:dyDescent="0.2">
      <c r="A262" s="108"/>
      <c r="B262" s="243"/>
      <c r="C262" s="285" t="s">
        <v>211</v>
      </c>
      <c r="D262" s="80">
        <f t="shared" si="777"/>
        <v>125141</v>
      </c>
      <c r="E262" s="295">
        <f t="shared" si="778"/>
        <v>125141</v>
      </c>
      <c r="F262" s="81">
        <v>125141</v>
      </c>
      <c r="G262" s="81">
        <f t="shared" si="779"/>
        <v>125141</v>
      </c>
      <c r="H262" s="81">
        <f t="shared" si="780"/>
        <v>0</v>
      </c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>
        <v>0</v>
      </c>
      <c r="AC262" s="81">
        <f t="shared" si="781"/>
        <v>0</v>
      </c>
      <c r="AD262" s="81">
        <f t="shared" si="782"/>
        <v>0</v>
      </c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>
        <v>0</v>
      </c>
      <c r="AP262" s="81">
        <f t="shared" si="783"/>
        <v>0</v>
      </c>
      <c r="AQ262" s="81">
        <f t="shared" si="784"/>
        <v>0</v>
      </c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>
        <v>0</v>
      </c>
      <c r="BC262" s="81">
        <f t="shared" si="785"/>
        <v>0</v>
      </c>
      <c r="BD262" s="98">
        <f t="shared" si="786"/>
        <v>0</v>
      </c>
      <c r="BE262" s="98"/>
      <c r="BF262" s="98"/>
      <c r="BG262" s="98"/>
      <c r="BH262" s="98"/>
      <c r="BI262" s="98"/>
      <c r="BJ262" s="81"/>
      <c r="BK262" s="81">
        <f t="shared" si="787"/>
        <v>0</v>
      </c>
      <c r="BL262" s="81">
        <f t="shared" si="788"/>
        <v>0</v>
      </c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82" t="s">
        <v>433</v>
      </c>
      <c r="BY262" s="85"/>
      <c r="BZ262" s="24"/>
    </row>
    <row r="263" spans="1:78" ht="25.5" customHeight="1" x14ac:dyDescent="0.2">
      <c r="A263" s="108"/>
      <c r="B263" s="243"/>
      <c r="C263" s="285" t="s">
        <v>276</v>
      </c>
      <c r="D263" s="80">
        <f t="shared" si="777"/>
        <v>415036</v>
      </c>
      <c r="E263" s="295">
        <f t="shared" si="778"/>
        <v>415036</v>
      </c>
      <c r="F263" s="81">
        <v>401771</v>
      </c>
      <c r="G263" s="81">
        <f t="shared" si="779"/>
        <v>401771</v>
      </c>
      <c r="H263" s="81">
        <f t="shared" si="780"/>
        <v>0</v>
      </c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>
        <v>0</v>
      </c>
      <c r="AC263" s="81">
        <f t="shared" si="781"/>
        <v>0</v>
      </c>
      <c r="AD263" s="81">
        <f t="shared" si="782"/>
        <v>0</v>
      </c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>
        <v>13265</v>
      </c>
      <c r="AP263" s="81">
        <f t="shared" si="783"/>
        <v>13265</v>
      </c>
      <c r="AQ263" s="81">
        <f t="shared" si="784"/>
        <v>0</v>
      </c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>
        <v>0</v>
      </c>
      <c r="BC263" s="81">
        <f t="shared" si="785"/>
        <v>0</v>
      </c>
      <c r="BD263" s="98">
        <f t="shared" si="786"/>
        <v>0</v>
      </c>
      <c r="BE263" s="98"/>
      <c r="BF263" s="98"/>
      <c r="BG263" s="98"/>
      <c r="BH263" s="98"/>
      <c r="BI263" s="98"/>
      <c r="BJ263" s="81"/>
      <c r="BK263" s="81">
        <f t="shared" si="787"/>
        <v>0</v>
      </c>
      <c r="BL263" s="81">
        <f t="shared" si="788"/>
        <v>0</v>
      </c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82" t="s">
        <v>434</v>
      </c>
      <c r="BY263" s="85"/>
      <c r="BZ263" s="24"/>
    </row>
    <row r="264" spans="1:78" ht="12.75" x14ac:dyDescent="0.2">
      <c r="A264" s="108"/>
      <c r="B264" s="243"/>
      <c r="C264" s="285" t="s">
        <v>488</v>
      </c>
      <c r="D264" s="80">
        <f t="shared" si="777"/>
        <v>67046</v>
      </c>
      <c r="E264" s="295">
        <f t="shared" si="778"/>
        <v>117570</v>
      </c>
      <c r="F264" s="81">
        <v>67046</v>
      </c>
      <c r="G264" s="81">
        <f t="shared" si="779"/>
        <v>117570</v>
      </c>
      <c r="H264" s="81">
        <f t="shared" si="780"/>
        <v>50524</v>
      </c>
      <c r="I264" s="81"/>
      <c r="J264" s="81"/>
      <c r="K264" s="81">
        <v>49000</v>
      </c>
      <c r="L264" s="81"/>
      <c r="M264" s="81">
        <v>1524</v>
      </c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>
        <v>0</v>
      </c>
      <c r="AC264" s="81">
        <f t="shared" si="781"/>
        <v>0</v>
      </c>
      <c r="AD264" s="81">
        <f t="shared" si="782"/>
        <v>0</v>
      </c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>
        <v>0</v>
      </c>
      <c r="AP264" s="81">
        <f t="shared" si="783"/>
        <v>0</v>
      </c>
      <c r="AQ264" s="81">
        <f t="shared" si="784"/>
        <v>0</v>
      </c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>
        <v>0</v>
      </c>
      <c r="BC264" s="81">
        <f t="shared" si="785"/>
        <v>0</v>
      </c>
      <c r="BD264" s="98">
        <f t="shared" si="786"/>
        <v>0</v>
      </c>
      <c r="BE264" s="98"/>
      <c r="BF264" s="98"/>
      <c r="BG264" s="98"/>
      <c r="BH264" s="98"/>
      <c r="BI264" s="98"/>
      <c r="BJ264" s="81"/>
      <c r="BK264" s="81">
        <f t="shared" si="787"/>
        <v>0</v>
      </c>
      <c r="BL264" s="81">
        <f t="shared" si="788"/>
        <v>0</v>
      </c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82" t="s">
        <v>435</v>
      </c>
      <c r="BY264" s="85"/>
      <c r="BZ264" s="24"/>
    </row>
    <row r="265" spans="1:78" s="105" customFormat="1" ht="26.25" customHeight="1" x14ac:dyDescent="0.2">
      <c r="A265" s="108"/>
      <c r="B265" s="243"/>
      <c r="C265" s="285" t="s">
        <v>509</v>
      </c>
      <c r="D265" s="80">
        <f t="shared" si="777"/>
        <v>360284</v>
      </c>
      <c r="E265" s="295">
        <f t="shared" si="778"/>
        <v>360284</v>
      </c>
      <c r="F265" s="81">
        <v>360284</v>
      </c>
      <c r="G265" s="81">
        <f t="shared" si="779"/>
        <v>360284</v>
      </c>
      <c r="H265" s="81">
        <f t="shared" si="780"/>
        <v>0</v>
      </c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>
        <v>0</v>
      </c>
      <c r="AC265" s="81">
        <f t="shared" si="781"/>
        <v>0</v>
      </c>
      <c r="AD265" s="81">
        <f t="shared" si="782"/>
        <v>0</v>
      </c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>
        <v>0</v>
      </c>
      <c r="AP265" s="81">
        <f t="shared" si="783"/>
        <v>0</v>
      </c>
      <c r="AQ265" s="81">
        <f t="shared" si="784"/>
        <v>0</v>
      </c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>
        <v>0</v>
      </c>
      <c r="BC265" s="81">
        <f t="shared" si="785"/>
        <v>0</v>
      </c>
      <c r="BD265" s="98">
        <f t="shared" si="786"/>
        <v>0</v>
      </c>
      <c r="BE265" s="98"/>
      <c r="BF265" s="98"/>
      <c r="BG265" s="98"/>
      <c r="BH265" s="98"/>
      <c r="BI265" s="98"/>
      <c r="BJ265" s="81"/>
      <c r="BK265" s="81">
        <f t="shared" si="787"/>
        <v>0</v>
      </c>
      <c r="BL265" s="81">
        <f t="shared" si="788"/>
        <v>0</v>
      </c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82" t="s">
        <v>557</v>
      </c>
      <c r="BY265" s="85"/>
      <c r="BZ265" s="24"/>
    </row>
    <row r="266" spans="1:78" ht="26.25" customHeight="1" x14ac:dyDescent="0.2">
      <c r="A266" s="108">
        <v>90001868844</v>
      </c>
      <c r="B266" s="241" t="s">
        <v>305</v>
      </c>
      <c r="C266" s="285" t="s">
        <v>190</v>
      </c>
      <c r="D266" s="80">
        <f t="shared" si="777"/>
        <v>583593</v>
      </c>
      <c r="E266" s="295">
        <f t="shared" si="778"/>
        <v>585077</v>
      </c>
      <c r="F266" s="81">
        <v>581435</v>
      </c>
      <c r="G266" s="81">
        <f t="shared" si="779"/>
        <v>582919</v>
      </c>
      <c r="H266" s="81">
        <f t="shared" si="780"/>
        <v>1484</v>
      </c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>
        <v>1484</v>
      </c>
      <c r="X266" s="81"/>
      <c r="Y266" s="81"/>
      <c r="Z266" s="81"/>
      <c r="AA266" s="81"/>
      <c r="AB266" s="81">
        <v>0</v>
      </c>
      <c r="AC266" s="81">
        <f t="shared" si="781"/>
        <v>0</v>
      </c>
      <c r="AD266" s="81">
        <f t="shared" si="782"/>
        <v>0</v>
      </c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>
        <v>1620</v>
      </c>
      <c r="AP266" s="81">
        <f t="shared" si="783"/>
        <v>1620</v>
      </c>
      <c r="AQ266" s="81">
        <f t="shared" si="784"/>
        <v>0</v>
      </c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>
        <v>538</v>
      </c>
      <c r="BC266" s="81">
        <f t="shared" si="785"/>
        <v>538</v>
      </c>
      <c r="BD266" s="98">
        <f t="shared" si="786"/>
        <v>0</v>
      </c>
      <c r="BE266" s="98"/>
      <c r="BF266" s="98"/>
      <c r="BG266" s="98"/>
      <c r="BH266" s="98"/>
      <c r="BI266" s="98"/>
      <c r="BJ266" s="81"/>
      <c r="BK266" s="81">
        <f t="shared" si="787"/>
        <v>0</v>
      </c>
      <c r="BL266" s="81">
        <f t="shared" si="788"/>
        <v>0</v>
      </c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82" t="s">
        <v>436</v>
      </c>
      <c r="BY266" s="85"/>
      <c r="BZ266" s="24"/>
    </row>
    <row r="267" spans="1:78" ht="12" customHeight="1" x14ac:dyDescent="0.2">
      <c r="A267" s="108">
        <v>90000091456</v>
      </c>
      <c r="B267" s="241" t="s">
        <v>197</v>
      </c>
      <c r="C267" s="285" t="s">
        <v>191</v>
      </c>
      <c r="D267" s="80">
        <f t="shared" si="777"/>
        <v>170542</v>
      </c>
      <c r="E267" s="295">
        <f t="shared" si="778"/>
        <v>170542</v>
      </c>
      <c r="F267" s="81">
        <v>170534</v>
      </c>
      <c r="G267" s="81">
        <f t="shared" si="779"/>
        <v>170534</v>
      </c>
      <c r="H267" s="81">
        <f t="shared" si="780"/>
        <v>0</v>
      </c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>
        <v>0</v>
      </c>
      <c r="AC267" s="81">
        <f t="shared" si="781"/>
        <v>0</v>
      </c>
      <c r="AD267" s="81">
        <f t="shared" si="782"/>
        <v>0</v>
      </c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>
        <v>8</v>
      </c>
      <c r="AP267" s="81">
        <f t="shared" si="783"/>
        <v>294</v>
      </c>
      <c r="AQ267" s="81">
        <f t="shared" si="784"/>
        <v>286</v>
      </c>
      <c r="AR267" s="81">
        <v>13</v>
      </c>
      <c r="AS267" s="81"/>
      <c r="AT267" s="81"/>
      <c r="AU267" s="81"/>
      <c r="AV267" s="81"/>
      <c r="AW267" s="81"/>
      <c r="AX267" s="81">
        <v>272</v>
      </c>
      <c r="AY267" s="81"/>
      <c r="AZ267" s="81">
        <v>1</v>
      </c>
      <c r="BA267" s="81"/>
      <c r="BB267" s="81">
        <v>0</v>
      </c>
      <c r="BC267" s="81">
        <f t="shared" si="785"/>
        <v>0</v>
      </c>
      <c r="BD267" s="98">
        <f t="shared" si="786"/>
        <v>0</v>
      </c>
      <c r="BE267" s="98"/>
      <c r="BF267" s="98"/>
      <c r="BG267" s="98"/>
      <c r="BH267" s="98"/>
      <c r="BI267" s="98"/>
      <c r="BJ267" s="81"/>
      <c r="BK267" s="81">
        <f t="shared" si="787"/>
        <v>-286</v>
      </c>
      <c r="BL267" s="81">
        <f t="shared" si="788"/>
        <v>-286</v>
      </c>
      <c r="BM267" s="98"/>
      <c r="BN267" s="98">
        <v>-13</v>
      </c>
      <c r="BO267" s="98"/>
      <c r="BP267" s="98"/>
      <c r="BQ267" s="98"/>
      <c r="BR267" s="98"/>
      <c r="BS267" s="98"/>
      <c r="BT267" s="98">
        <v>-272</v>
      </c>
      <c r="BU267" s="98"/>
      <c r="BV267" s="98">
        <v>-1</v>
      </c>
      <c r="BW267" s="98"/>
      <c r="BX267" s="82" t="s">
        <v>437</v>
      </c>
      <c r="BY267" s="85"/>
      <c r="BZ267" s="24"/>
    </row>
    <row r="268" spans="1:78" ht="14.25" customHeight="1" thickBot="1" x14ac:dyDescent="0.25">
      <c r="A268" s="102"/>
      <c r="B268" s="218"/>
      <c r="C268" s="323"/>
      <c r="D268" s="71"/>
      <c r="E268" s="296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72"/>
      <c r="BD268" s="97"/>
      <c r="BE268" s="97"/>
      <c r="BF268" s="97"/>
      <c r="BG268" s="97"/>
      <c r="BH268" s="97"/>
      <c r="BI268" s="97"/>
      <c r="BJ268" s="72"/>
      <c r="BK268" s="264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73"/>
      <c r="BY268" s="202"/>
    </row>
    <row r="269" spans="1:78" s="194" customFormat="1" ht="30" customHeight="1" thickTop="1" thickBot="1" x14ac:dyDescent="0.25">
      <c r="A269" s="219"/>
      <c r="B269" s="432" t="s">
        <v>602</v>
      </c>
      <c r="C269" s="433"/>
      <c r="D269" s="14">
        <f t="shared" ref="D269:AQ269" si="801">D11+D28+D36+D65+D75+D87+D94+D136+D246</f>
        <v>103094119</v>
      </c>
      <c r="E269" s="300">
        <f t="shared" si="801"/>
        <v>104838113</v>
      </c>
      <c r="F269" s="210">
        <f t="shared" si="801"/>
        <v>90502352</v>
      </c>
      <c r="G269" s="210">
        <f t="shared" si="801"/>
        <v>91635081</v>
      </c>
      <c r="H269" s="210">
        <f t="shared" si="801"/>
        <v>1132729</v>
      </c>
      <c r="I269" s="210">
        <f t="shared" si="801"/>
        <v>69591</v>
      </c>
      <c r="J269" s="210">
        <f t="shared" si="801"/>
        <v>0</v>
      </c>
      <c r="K269" s="210">
        <f t="shared" si="801"/>
        <v>4368942</v>
      </c>
      <c r="L269" s="210">
        <f t="shared" si="801"/>
        <v>817244</v>
      </c>
      <c r="M269" s="210">
        <f t="shared" si="801"/>
        <v>517943</v>
      </c>
      <c r="N269" s="210">
        <f t="shared" si="801"/>
        <v>4781</v>
      </c>
      <c r="O269" s="210">
        <f t="shared" si="801"/>
        <v>121283</v>
      </c>
      <c r="P269" s="210">
        <f t="shared" si="801"/>
        <v>0</v>
      </c>
      <c r="Q269" s="210">
        <f t="shared" si="801"/>
        <v>-245485</v>
      </c>
      <c r="R269" s="210">
        <f t="shared" si="801"/>
        <v>0</v>
      </c>
      <c r="S269" s="210">
        <f t="shared" si="801"/>
        <v>-5310734</v>
      </c>
      <c r="T269" s="210"/>
      <c r="U269" s="210">
        <f t="shared" si="801"/>
        <v>1861091</v>
      </c>
      <c r="V269" s="210"/>
      <c r="W269" s="210">
        <f>W11+W28+W36+W65+W75+W87+W94+W136+W246</f>
        <v>-1084421</v>
      </c>
      <c r="X269" s="210">
        <f t="shared" ref="X269" si="802">X11+X28+X36+X65+X75+X87+X94+X136+X246</f>
        <v>0</v>
      </c>
      <c r="Y269" s="210">
        <f t="shared" si="801"/>
        <v>22688</v>
      </c>
      <c r="Z269" s="210">
        <f t="shared" ref="Z269" si="803">Z11+Z28+Z36+Z65+Z75+Z87+Z94+Z136+Z246</f>
        <v>-10194</v>
      </c>
      <c r="AA269" s="210">
        <f t="shared" si="801"/>
        <v>0</v>
      </c>
      <c r="AB269" s="210">
        <f t="shared" si="801"/>
        <v>10871636</v>
      </c>
      <c r="AC269" s="210">
        <f t="shared" si="801"/>
        <v>11486358</v>
      </c>
      <c r="AD269" s="210">
        <f t="shared" si="801"/>
        <v>614722</v>
      </c>
      <c r="AE269" s="210">
        <f t="shared" si="801"/>
        <v>30354</v>
      </c>
      <c r="AF269" s="210">
        <f t="shared" si="801"/>
        <v>237791</v>
      </c>
      <c r="AG269" s="210">
        <f t="shared" si="801"/>
        <v>41239</v>
      </c>
      <c r="AH269" s="210">
        <f t="shared" si="801"/>
        <v>27633</v>
      </c>
      <c r="AI269" s="210">
        <f t="shared" si="801"/>
        <v>1798</v>
      </c>
      <c r="AJ269" s="210">
        <f t="shared" si="801"/>
        <v>73151</v>
      </c>
      <c r="AK269" s="210">
        <f t="shared" si="801"/>
        <v>23307</v>
      </c>
      <c r="AL269" s="210">
        <f t="shared" si="801"/>
        <v>179449</v>
      </c>
      <c r="AM269" s="210">
        <f t="shared" si="801"/>
        <v>0</v>
      </c>
      <c r="AN269" s="210">
        <f t="shared" si="801"/>
        <v>0</v>
      </c>
      <c r="AO269" s="210">
        <f t="shared" si="801"/>
        <v>1744907</v>
      </c>
      <c r="AP269" s="211">
        <f t="shared" si="801"/>
        <v>1837717</v>
      </c>
      <c r="AQ269" s="211">
        <f t="shared" si="801"/>
        <v>92810</v>
      </c>
      <c r="AR269" s="211">
        <f t="shared" ref="AR269:BW269" si="804">AR11+AR28+AR36+AR65+AR75+AR87+AR94+AR136+AR246</f>
        <v>159230</v>
      </c>
      <c r="AS269" s="211">
        <f t="shared" si="804"/>
        <v>-99908</v>
      </c>
      <c r="AT269" s="211">
        <f t="shared" si="804"/>
        <v>111</v>
      </c>
      <c r="AU269" s="211">
        <f t="shared" si="804"/>
        <v>2875</v>
      </c>
      <c r="AV269" s="211">
        <f t="shared" si="804"/>
        <v>100</v>
      </c>
      <c r="AW269" s="211">
        <f t="shared" si="804"/>
        <v>1514</v>
      </c>
      <c r="AX269" s="211">
        <f t="shared" si="804"/>
        <v>-5105</v>
      </c>
      <c r="AY269" s="211">
        <f t="shared" si="804"/>
        <v>2006</v>
      </c>
      <c r="AZ269" s="211">
        <f t="shared" si="804"/>
        <v>31987</v>
      </c>
      <c r="BA269" s="211">
        <f t="shared" si="804"/>
        <v>0</v>
      </c>
      <c r="BB269" s="211">
        <f t="shared" si="804"/>
        <v>538</v>
      </c>
      <c r="BC269" s="210">
        <f t="shared" si="804"/>
        <v>569</v>
      </c>
      <c r="BD269" s="211">
        <f t="shared" si="804"/>
        <v>31</v>
      </c>
      <c r="BE269" s="211">
        <f t="shared" si="804"/>
        <v>31</v>
      </c>
      <c r="BF269" s="211">
        <f t="shared" si="804"/>
        <v>0</v>
      </c>
      <c r="BG269" s="211">
        <f t="shared" si="804"/>
        <v>0</v>
      </c>
      <c r="BH269" s="211">
        <f t="shared" si="804"/>
        <v>0</v>
      </c>
      <c r="BI269" s="211">
        <f t="shared" si="804"/>
        <v>0</v>
      </c>
      <c r="BJ269" s="210">
        <f t="shared" si="804"/>
        <v>-25314</v>
      </c>
      <c r="BK269" s="312">
        <f t="shared" si="804"/>
        <v>-121612</v>
      </c>
      <c r="BL269" s="211">
        <f t="shared" si="804"/>
        <v>-96298</v>
      </c>
      <c r="BM269" s="211">
        <f t="shared" si="804"/>
        <v>0</v>
      </c>
      <c r="BN269" s="211">
        <f t="shared" si="804"/>
        <v>-93670</v>
      </c>
      <c r="BO269" s="211">
        <f t="shared" si="804"/>
        <v>-1038</v>
      </c>
      <c r="BP269" s="211">
        <f t="shared" si="804"/>
        <v>-111</v>
      </c>
      <c r="BQ269" s="211">
        <f t="shared" si="804"/>
        <v>0</v>
      </c>
      <c r="BR269" s="211">
        <f t="shared" si="804"/>
        <v>0</v>
      </c>
      <c r="BS269" s="211">
        <f t="shared" si="804"/>
        <v>0</v>
      </c>
      <c r="BT269" s="211">
        <f t="shared" si="804"/>
        <v>-335</v>
      </c>
      <c r="BU269" s="211">
        <f t="shared" si="804"/>
        <v>0</v>
      </c>
      <c r="BV269" s="211">
        <f t="shared" ref="BV269" si="805">BV11+BV28+BV36+BV65+BV75+BV87+BV94+BV136+BV246</f>
        <v>-1144</v>
      </c>
      <c r="BW269" s="211">
        <f t="shared" si="804"/>
        <v>0</v>
      </c>
      <c r="BX269" s="15"/>
      <c r="BY269" s="90"/>
    </row>
    <row r="270" spans="1:78" ht="13.5" customHeight="1" thickTop="1" thickBot="1" x14ac:dyDescent="0.25">
      <c r="A270" s="129" t="s">
        <v>605</v>
      </c>
      <c r="B270" s="221" t="s">
        <v>125</v>
      </c>
      <c r="C270" s="222"/>
      <c r="D270" s="207">
        <f t="shared" ref="D270:S270" si="806">SUM(D271:D299)</f>
        <v>507869</v>
      </c>
      <c r="E270" s="301">
        <f t="shared" si="806"/>
        <v>3052781</v>
      </c>
      <c r="F270" s="208">
        <f t="shared" si="806"/>
        <v>1476869</v>
      </c>
      <c r="G270" s="208">
        <f t="shared" si="806"/>
        <v>4165300</v>
      </c>
      <c r="H270" s="208">
        <f t="shared" si="806"/>
        <v>2688431</v>
      </c>
      <c r="I270" s="208">
        <f t="shared" si="806"/>
        <v>22973</v>
      </c>
      <c r="J270" s="208">
        <f t="shared" si="806"/>
        <v>0</v>
      </c>
      <c r="K270" s="208">
        <f t="shared" si="806"/>
        <v>1701293</v>
      </c>
      <c r="L270" s="208">
        <f t="shared" si="806"/>
        <v>-154648</v>
      </c>
      <c r="M270" s="208">
        <f t="shared" si="806"/>
        <v>38700</v>
      </c>
      <c r="N270" s="208">
        <f t="shared" si="806"/>
        <v>-4781</v>
      </c>
      <c r="O270" s="208">
        <f t="shared" si="806"/>
        <v>-121283</v>
      </c>
      <c r="P270" s="208">
        <f t="shared" si="806"/>
        <v>0</v>
      </c>
      <c r="Q270" s="208">
        <f t="shared" si="806"/>
        <v>-252982</v>
      </c>
      <c r="R270" s="208">
        <f t="shared" si="806"/>
        <v>0</v>
      </c>
      <c r="S270" s="208">
        <f t="shared" si="806"/>
        <v>-617773</v>
      </c>
      <c r="T270" s="208"/>
      <c r="U270" s="208">
        <f>SUM(U271:U299)</f>
        <v>1667295</v>
      </c>
      <c r="V270" s="208"/>
      <c r="W270" s="208">
        <f t="shared" ref="W270:BB270" si="807">SUM(W271:W299)</f>
        <v>336767</v>
      </c>
      <c r="X270" s="208">
        <f t="shared" si="807"/>
        <v>0</v>
      </c>
      <c r="Y270" s="208">
        <f t="shared" si="807"/>
        <v>-25565</v>
      </c>
      <c r="Z270" s="208">
        <f t="shared" si="807"/>
        <v>98435</v>
      </c>
      <c r="AA270" s="208">
        <f t="shared" si="807"/>
        <v>0</v>
      </c>
      <c r="AB270" s="208">
        <f t="shared" si="807"/>
        <v>51272</v>
      </c>
      <c r="AC270" s="208">
        <f t="shared" si="807"/>
        <v>7184</v>
      </c>
      <c r="AD270" s="208">
        <f t="shared" si="807"/>
        <v>-44088</v>
      </c>
      <c r="AE270" s="208">
        <f t="shared" si="807"/>
        <v>-86</v>
      </c>
      <c r="AF270" s="208">
        <f t="shared" si="807"/>
        <v>144776</v>
      </c>
      <c r="AG270" s="208">
        <f t="shared" si="807"/>
        <v>0</v>
      </c>
      <c r="AH270" s="208">
        <f t="shared" si="807"/>
        <v>0</v>
      </c>
      <c r="AI270" s="208">
        <f t="shared" si="807"/>
        <v>3775</v>
      </c>
      <c r="AJ270" s="208">
        <f t="shared" si="807"/>
        <v>-40008</v>
      </c>
      <c r="AK270" s="208">
        <f t="shared" si="807"/>
        <v>15456</v>
      </c>
      <c r="AL270" s="208">
        <f t="shared" si="807"/>
        <v>-168001</v>
      </c>
      <c r="AM270" s="208">
        <f t="shared" si="807"/>
        <v>0</v>
      </c>
      <c r="AN270" s="208">
        <f t="shared" si="807"/>
        <v>0</v>
      </c>
      <c r="AO270" s="208">
        <f t="shared" si="807"/>
        <v>1642</v>
      </c>
      <c r="AP270" s="209">
        <f t="shared" si="807"/>
        <v>20072</v>
      </c>
      <c r="AQ270" s="209">
        <f t="shared" si="807"/>
        <v>18430</v>
      </c>
      <c r="AR270" s="209">
        <f t="shared" si="807"/>
        <v>240</v>
      </c>
      <c r="AS270" s="209">
        <f t="shared" si="807"/>
        <v>0</v>
      </c>
      <c r="AT270" s="209">
        <f t="shared" si="807"/>
        <v>0</v>
      </c>
      <c r="AU270" s="209">
        <f t="shared" si="807"/>
        <v>0</v>
      </c>
      <c r="AV270" s="209">
        <f t="shared" si="807"/>
        <v>0</v>
      </c>
      <c r="AW270" s="209">
        <f t="shared" si="807"/>
        <v>0</v>
      </c>
      <c r="AX270" s="209">
        <f t="shared" si="807"/>
        <v>11086</v>
      </c>
      <c r="AY270" s="209">
        <f t="shared" si="807"/>
        <v>1604</v>
      </c>
      <c r="AZ270" s="209">
        <f t="shared" si="807"/>
        <v>5500</v>
      </c>
      <c r="BA270" s="209">
        <f t="shared" si="807"/>
        <v>0</v>
      </c>
      <c r="BB270" s="209">
        <f t="shared" si="807"/>
        <v>0</v>
      </c>
      <c r="BC270" s="208">
        <f t="shared" ref="BC270:BW270" si="808">SUM(BC271:BC299)</f>
        <v>0</v>
      </c>
      <c r="BD270" s="209">
        <f t="shared" si="808"/>
        <v>0</v>
      </c>
      <c r="BE270" s="209">
        <f t="shared" si="808"/>
        <v>0</v>
      </c>
      <c r="BF270" s="209">
        <f t="shared" si="808"/>
        <v>0</v>
      </c>
      <c r="BG270" s="209">
        <f t="shared" si="808"/>
        <v>0</v>
      </c>
      <c r="BH270" s="209">
        <f t="shared" si="808"/>
        <v>0</v>
      </c>
      <c r="BI270" s="209">
        <f t="shared" si="808"/>
        <v>0</v>
      </c>
      <c r="BJ270" s="208">
        <f t="shared" si="808"/>
        <v>-1021914</v>
      </c>
      <c r="BK270" s="313">
        <f t="shared" si="808"/>
        <v>-1139775</v>
      </c>
      <c r="BL270" s="209">
        <f t="shared" si="808"/>
        <v>-117861</v>
      </c>
      <c r="BM270" s="209">
        <f t="shared" si="808"/>
        <v>-11045</v>
      </c>
      <c r="BN270" s="209">
        <f t="shared" si="808"/>
        <v>-112853</v>
      </c>
      <c r="BO270" s="209">
        <f t="shared" si="808"/>
        <v>-17640</v>
      </c>
      <c r="BP270" s="209">
        <f t="shared" si="808"/>
        <v>45269</v>
      </c>
      <c r="BQ270" s="209">
        <f t="shared" si="808"/>
        <v>-7681</v>
      </c>
      <c r="BR270" s="209">
        <f t="shared" si="808"/>
        <v>20825</v>
      </c>
      <c r="BS270" s="209">
        <f t="shared" si="808"/>
        <v>-1738</v>
      </c>
      <c r="BT270" s="209">
        <f t="shared" si="808"/>
        <v>-1</v>
      </c>
      <c r="BU270" s="209">
        <f t="shared" si="808"/>
        <v>-32196</v>
      </c>
      <c r="BV270" s="209">
        <f t="shared" si="808"/>
        <v>-801</v>
      </c>
      <c r="BW270" s="209">
        <f t="shared" si="808"/>
        <v>0</v>
      </c>
      <c r="BX270" s="223"/>
      <c r="BY270" s="206"/>
    </row>
    <row r="271" spans="1:78" s="194" customFormat="1" hidden="1" outlineLevel="1" x14ac:dyDescent="0.2">
      <c r="A271" s="137"/>
      <c r="B271" s="446" t="s">
        <v>577</v>
      </c>
      <c r="C271" s="447"/>
      <c r="D271" s="80">
        <f t="shared" ref="D271:D298" si="809">F271+AB271+AO271+BB271+BJ271</f>
        <v>194000</v>
      </c>
      <c r="E271" s="295">
        <f t="shared" ref="E271:E298" si="810">G271+AC271+AP271+BC271+BK271</f>
        <v>194000</v>
      </c>
      <c r="F271" s="163">
        <v>194000</v>
      </c>
      <c r="G271" s="163">
        <f t="shared" ref="G271:G298" si="811">F271+H271</f>
        <v>194000</v>
      </c>
      <c r="H271" s="163">
        <f t="shared" ref="H271:H298" si="812">SUM(I271:AA271)</f>
        <v>0</v>
      </c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>
        <f t="shared" ref="AC271:AC298" si="813">AB271+AD271</f>
        <v>0</v>
      </c>
      <c r="AD271" s="163">
        <f t="shared" ref="AD271:AD298" si="814">SUM(AE271:AN271)</f>
        <v>0</v>
      </c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99">
        <f t="shared" ref="AP271:AP299" si="815">AO271+AQ271</f>
        <v>0</v>
      </c>
      <c r="AQ271" s="199">
        <f t="shared" ref="AQ271:AQ299" si="816">SUM(AR271:BA271)</f>
        <v>0</v>
      </c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81">
        <f t="shared" ref="BC271:BC298" si="817">BB271+BD271</f>
        <v>0</v>
      </c>
      <c r="BD271" s="98">
        <f>SUM(BE271:BI271)</f>
        <v>0</v>
      </c>
      <c r="BE271" s="199"/>
      <c r="BF271" s="199"/>
      <c r="BG271" s="199"/>
      <c r="BH271" s="199"/>
      <c r="BI271" s="199"/>
      <c r="BJ271" s="163"/>
      <c r="BK271" s="81">
        <f t="shared" ref="BK271:BK298" si="818">BJ271+BL271</f>
        <v>0</v>
      </c>
      <c r="BL271" s="81">
        <f t="shared" ref="BL271:BL298" si="819">SUM(BM271:BW271)</f>
        <v>0</v>
      </c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220"/>
      <c r="BY271" s="200"/>
    </row>
    <row r="272" spans="1:78" s="194" customFormat="1" hidden="1" outlineLevel="1" x14ac:dyDescent="0.2">
      <c r="A272" s="137"/>
      <c r="B272" s="419" t="s">
        <v>463</v>
      </c>
      <c r="C272" s="418"/>
      <c r="D272" s="80">
        <f t="shared" si="809"/>
        <v>185314</v>
      </c>
      <c r="E272" s="295">
        <f t="shared" si="810"/>
        <v>1509332</v>
      </c>
      <c r="F272" s="81">
        <f>324000+25314-164000</f>
        <v>185314</v>
      </c>
      <c r="G272" s="81">
        <f t="shared" si="811"/>
        <v>1509332</v>
      </c>
      <c r="H272" s="81">
        <f>SUM(I272:AA272)</f>
        <v>1324018</v>
      </c>
      <c r="I272" s="81">
        <f>6</f>
        <v>6</v>
      </c>
      <c r="J272" s="81"/>
      <c r="K272" s="81">
        <f>-61396-25000+5760+1583+10066+1510-4511+8429-69281-1516-55134+5401+4761+832+76+40+160+565-72130-2400-8457-83277-710+1222-13063-5107-3582-8897+12610-49000+1689958+10268+623+2751-150000+40075-1132-6169-8852-132+132</f>
        <v>1167076</v>
      </c>
      <c r="L272" s="81">
        <f>-29999-100-81409-60780</f>
        <v>-172288</v>
      </c>
      <c r="M272" s="81">
        <f>-13785-1357-12541-1524-33254-1714-284-56180-11665-1646-50000-10804-19100-1280+8591-14158+5567-568+7489</f>
        <v>-208213</v>
      </c>
      <c r="N272" s="81">
        <f>-2025-2756+5000-5000</f>
        <v>-4781</v>
      </c>
      <c r="O272" s="81">
        <v>-121283</v>
      </c>
      <c r="P272" s="81">
        <f>-544+544</f>
        <v>0</v>
      </c>
      <c r="Q272" s="81">
        <f>-107022-1278-740+10479-180983</f>
        <v>-279544</v>
      </c>
      <c r="R272" s="81">
        <f>2104-2104</f>
        <v>0</v>
      </c>
      <c r="S272" s="81">
        <f>-5000+5000+347000+30000+10000-49244-282993-261116-31711-1209375+140000-327994+2000000-11700+20825+18599+9489+169645-88045+27398-16500-10268-1148816-66663-140778+93059+60196-407685-20075-2550+300000+20075+2550+67375+19000+13400+7910</f>
        <v>-718992</v>
      </c>
      <c r="T272" s="81"/>
      <c r="U272" s="81">
        <f>261116+31711+1209375-7000-2200+2200+428-7+3-12193+12193+965-965+5549-5549-27844-3</f>
        <v>1467779</v>
      </c>
      <c r="V272" s="81">
        <f>3185-3185</f>
        <v>0</v>
      </c>
      <c r="W272" s="81">
        <f>5924-432-185-2000+400-400-790-6700+18146-10074+2185+3272-3854-1484-11267-2556-32024-1200+59-4555-1954+1500-23100-196+18000-5241-4826-34920+432+17677-17257+22970-10000+20000+6500-2000-14500-2915+1277+1638-773-37949+364488+7157+14336+4879+15121-20000+350-350+1307+1857+1057-4221+489288-489288</f>
        <v>272809</v>
      </c>
      <c r="X272" s="81">
        <f>5100-5100</f>
        <v>0</v>
      </c>
      <c r="Y272" s="81">
        <f>-3610-42207+11459-11459+6888+37195-55845+18650+95510-95510-8133-7558-41065-20480-13-1-4-1876</f>
        <v>-118059</v>
      </c>
      <c r="Z272" s="81">
        <f>127000+3991-3991-15069+2000-4580+4580+36608-14460-19153-8572+5918-8266-3852+11316+4740+9688+1856-1830-26+3-4693-83700</f>
        <v>39508</v>
      </c>
      <c r="AA272" s="81"/>
      <c r="AB272" s="81"/>
      <c r="AC272" s="81">
        <f t="shared" si="813"/>
        <v>0</v>
      </c>
      <c r="AD272" s="81">
        <f t="shared" si="814"/>
        <v>0</v>
      </c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98">
        <f t="shared" si="815"/>
        <v>2750</v>
      </c>
      <c r="AQ272" s="98">
        <f t="shared" si="816"/>
        <v>2750</v>
      </c>
      <c r="AR272" s="98"/>
      <c r="AS272" s="98"/>
      <c r="AT272" s="98"/>
      <c r="AU272" s="98"/>
      <c r="AV272" s="98"/>
      <c r="AW272" s="98"/>
      <c r="AX272" s="98"/>
      <c r="AY272" s="98"/>
      <c r="AZ272" s="98">
        <f>2000+100+650</f>
        <v>2750</v>
      </c>
      <c r="BA272" s="98"/>
      <c r="BB272" s="98"/>
      <c r="BC272" s="81">
        <f>BB272+BD272</f>
        <v>0</v>
      </c>
      <c r="BD272" s="98">
        <f t="shared" ref="BD272:BD298" si="820">SUM(BE272:BI272)</f>
        <v>0</v>
      </c>
      <c r="BE272" s="98"/>
      <c r="BF272" s="98"/>
      <c r="BG272" s="98"/>
      <c r="BH272" s="98"/>
      <c r="BI272" s="98"/>
      <c r="BJ272" s="81"/>
      <c r="BK272" s="81">
        <f>BJ272+BL272</f>
        <v>-2750</v>
      </c>
      <c r="BL272" s="81">
        <f t="shared" si="819"/>
        <v>-2750</v>
      </c>
      <c r="BM272" s="98"/>
      <c r="BN272" s="98"/>
      <c r="BO272" s="98"/>
      <c r="BP272" s="98"/>
      <c r="BQ272" s="98"/>
      <c r="BR272" s="98"/>
      <c r="BS272" s="98"/>
      <c r="BT272" s="98"/>
      <c r="BU272" s="98"/>
      <c r="BV272" s="98">
        <f>-2000-100-650</f>
        <v>-2750</v>
      </c>
      <c r="BW272" s="98"/>
      <c r="BX272" s="82"/>
      <c r="BY272" s="85"/>
    </row>
    <row r="273" spans="1:77" s="198" customFormat="1" ht="12.75" hidden="1" customHeight="1" outlineLevel="1" x14ac:dyDescent="0.2">
      <c r="A273" s="137"/>
      <c r="B273" s="417" t="s">
        <v>734</v>
      </c>
      <c r="C273" s="418"/>
      <c r="D273" s="80">
        <f>F273+AB273+AO273+BB273+BJ273</f>
        <v>0</v>
      </c>
      <c r="E273" s="295">
        <f>G273+AC273+AP273+BC273+BK273</f>
        <v>185551</v>
      </c>
      <c r="F273" s="81"/>
      <c r="G273" s="81">
        <f>F273+H273</f>
        <v>182801</v>
      </c>
      <c r="H273" s="81">
        <f>SUM(I273:AA273)</f>
        <v>182801</v>
      </c>
      <c r="I273" s="81">
        <f>750+2719+7576</f>
        <v>11045</v>
      </c>
      <c r="J273" s="81"/>
      <c r="K273" s="81">
        <f>1-1+101+6450-2088-1447-1339-1576+37949+1+13+25845+3777+4897+85145+113+19033+23199</f>
        <v>200073</v>
      </c>
      <c r="L273" s="81"/>
      <c r="M273" s="81">
        <f>21968-7251-59986</f>
        <v>-45269</v>
      </c>
      <c r="N273" s="81"/>
      <c r="O273" s="81"/>
      <c r="P273" s="81"/>
      <c r="Q273" s="81">
        <v>7681</v>
      </c>
      <c r="R273" s="81"/>
      <c r="S273" s="81">
        <v>-20825</v>
      </c>
      <c r="T273" s="81"/>
      <c r="U273" s="81">
        <v>-151</v>
      </c>
      <c r="V273" s="81"/>
      <c r="W273" s="81"/>
      <c r="X273" s="81"/>
      <c r="Y273" s="81">
        <v>32196</v>
      </c>
      <c r="Z273" s="81">
        <f>-5621+214+3458+1143-1143</f>
        <v>-1949</v>
      </c>
      <c r="AA273" s="81"/>
      <c r="AB273" s="81"/>
      <c r="AC273" s="81">
        <f>AB273+AD273</f>
        <v>1889</v>
      </c>
      <c r="AD273" s="81">
        <f>SUM(AE273:AN273)</f>
        <v>1889</v>
      </c>
      <c r="AE273" s="81"/>
      <c r="AF273" s="81"/>
      <c r="AG273" s="81"/>
      <c r="AH273" s="81"/>
      <c r="AI273" s="81">
        <f>22+486+895+4+64+138+210+1+5+19+45</f>
        <v>1889</v>
      </c>
      <c r="AJ273" s="81"/>
      <c r="AK273" s="81"/>
      <c r="AL273" s="81"/>
      <c r="AM273" s="81"/>
      <c r="AN273" s="81"/>
      <c r="AO273" s="81"/>
      <c r="AP273" s="98">
        <f>AO273+AQ273</f>
        <v>2750</v>
      </c>
      <c r="AQ273" s="98">
        <f>SUM(AR273:BA273)</f>
        <v>2750</v>
      </c>
      <c r="AR273" s="98"/>
      <c r="AS273" s="98"/>
      <c r="AT273" s="98"/>
      <c r="AU273" s="98"/>
      <c r="AV273" s="98"/>
      <c r="AW273" s="98"/>
      <c r="AX273" s="98"/>
      <c r="AY273" s="98"/>
      <c r="AZ273" s="98">
        <f>2000+100+650</f>
        <v>2750</v>
      </c>
      <c r="BA273" s="98"/>
      <c r="BB273" s="98"/>
      <c r="BC273" s="81">
        <f>BB273+BD273</f>
        <v>0</v>
      </c>
      <c r="BD273" s="98">
        <f>SUM(BE273:BI273)</f>
        <v>0</v>
      </c>
      <c r="BE273" s="98"/>
      <c r="BF273" s="98"/>
      <c r="BG273" s="98"/>
      <c r="BH273" s="98"/>
      <c r="BI273" s="98"/>
      <c r="BJ273" s="81"/>
      <c r="BK273" s="81">
        <f>BJ273+BL273</f>
        <v>-1889</v>
      </c>
      <c r="BL273" s="81">
        <f>SUM(BM273:BW273)</f>
        <v>-1889</v>
      </c>
      <c r="BM273" s="98"/>
      <c r="BN273" s="98"/>
      <c r="BO273" s="98"/>
      <c r="BP273" s="98"/>
      <c r="BQ273" s="98"/>
      <c r="BR273" s="98"/>
      <c r="BS273" s="98">
        <f>-22-486-895-4-64-138-210-1-5-19-45</f>
        <v>-1889</v>
      </c>
      <c r="BT273" s="98"/>
      <c r="BU273" s="98"/>
      <c r="BV273" s="98"/>
      <c r="BW273" s="98"/>
      <c r="BX273" s="82"/>
      <c r="BY273" s="85"/>
    </row>
    <row r="274" spans="1:77" s="198" customFormat="1" ht="12.75" hidden="1" customHeight="1" outlineLevel="1" x14ac:dyDescent="0.2">
      <c r="A274" s="137"/>
      <c r="B274" s="417" t="s">
        <v>752</v>
      </c>
      <c r="C274" s="418"/>
      <c r="D274" s="80">
        <f t="shared" ref="D274:D275" si="821">F274+AB274+AO274+BB274+BJ274</f>
        <v>0</v>
      </c>
      <c r="E274" s="295">
        <f t="shared" ref="E274:E275" si="822">G274+AC274+AP274+BC274+BK274</f>
        <v>0</v>
      </c>
      <c r="F274" s="81">
        <v>995567</v>
      </c>
      <c r="G274" s="81">
        <f t="shared" ref="G274:G276" si="823">F274+H274</f>
        <v>1091152</v>
      </c>
      <c r="H274" s="81">
        <f t="shared" ref="H274:H276" si="824">SUM(I274:AA274)</f>
        <v>95585</v>
      </c>
      <c r="I274" s="81">
        <f>750+7576</f>
        <v>8326</v>
      </c>
      <c r="J274" s="81"/>
      <c r="K274" s="81">
        <f>4897+85145+19033</f>
        <v>109075</v>
      </c>
      <c r="L274" s="81">
        <v>17640</v>
      </c>
      <c r="M274" s="81">
        <f>-7251+21968-59986</f>
        <v>-45269</v>
      </c>
      <c r="N274" s="81"/>
      <c r="O274" s="81"/>
      <c r="P274" s="81"/>
      <c r="Q274" s="81"/>
      <c r="R274" s="81"/>
      <c r="S274" s="81">
        <v>-20825</v>
      </c>
      <c r="T274" s="81"/>
      <c r="U274" s="81">
        <v>-151</v>
      </c>
      <c r="V274" s="81"/>
      <c r="W274" s="81"/>
      <c r="X274" s="81"/>
      <c r="Y274" s="81">
        <v>32196</v>
      </c>
      <c r="Z274" s="81">
        <f>-5621+214</f>
        <v>-5407</v>
      </c>
      <c r="AA274" s="81"/>
      <c r="AB274" s="81"/>
      <c r="AC274" s="81">
        <f t="shared" ref="AC274:AC275" si="825">AB274+AD274</f>
        <v>0</v>
      </c>
      <c r="AD274" s="81">
        <f t="shared" ref="AD274:AD275" si="826">SUM(AE274:AN274)</f>
        <v>0</v>
      </c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98">
        <f t="shared" ref="AP274:AP275" si="827">AO274+AQ274</f>
        <v>0</v>
      </c>
      <c r="AQ274" s="98">
        <f t="shared" ref="AQ274:AQ275" si="828">SUM(AR274:BA274)</f>
        <v>0</v>
      </c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81">
        <f t="shared" ref="BC274:BC275" si="829">BB274+BD274</f>
        <v>0</v>
      </c>
      <c r="BD274" s="98">
        <f t="shared" ref="BD274:BD275" si="830">SUM(BE274:BI274)</f>
        <v>0</v>
      </c>
      <c r="BE274" s="98"/>
      <c r="BF274" s="98"/>
      <c r="BG274" s="98"/>
      <c r="BH274" s="98"/>
      <c r="BI274" s="98"/>
      <c r="BJ274" s="81">
        <v>-995567</v>
      </c>
      <c r="BK274" s="81">
        <f t="shared" ref="BK274:BK275" si="831">BJ274+BL274</f>
        <v>-1091152</v>
      </c>
      <c r="BL274" s="81">
        <f t="shared" ref="BL274:BL275" si="832">SUM(BM274:BW274)</f>
        <v>-95585</v>
      </c>
      <c r="BM274" s="98">
        <f>-750-7576</f>
        <v>-8326</v>
      </c>
      <c r="BN274" s="98">
        <f>-4897-85145-19033</f>
        <v>-109075</v>
      </c>
      <c r="BO274" s="98">
        <v>-17640</v>
      </c>
      <c r="BP274" s="98">
        <f>7251-21968+59986</f>
        <v>45269</v>
      </c>
      <c r="BQ274" s="98"/>
      <c r="BR274" s="98">
        <v>20825</v>
      </c>
      <c r="BS274" s="98">
        <v>151</v>
      </c>
      <c r="BT274" s="98"/>
      <c r="BU274" s="98">
        <v>-32196</v>
      </c>
      <c r="BV274" s="98">
        <f>5621-214</f>
        <v>5407</v>
      </c>
      <c r="BW274" s="98"/>
      <c r="BX274" s="82"/>
      <c r="BY274" s="85"/>
    </row>
    <row r="275" spans="1:77" s="198" customFormat="1" ht="12.75" hidden="1" customHeight="1" outlineLevel="1" x14ac:dyDescent="0.2">
      <c r="A275" s="137"/>
      <c r="B275" s="417" t="s">
        <v>753</v>
      </c>
      <c r="C275" s="418"/>
      <c r="D275" s="80">
        <f t="shared" si="821"/>
        <v>0</v>
      </c>
      <c r="E275" s="295">
        <f t="shared" si="822"/>
        <v>0</v>
      </c>
      <c r="F275" s="81">
        <v>26347</v>
      </c>
      <c r="G275" s="81">
        <f t="shared" si="823"/>
        <v>43984</v>
      </c>
      <c r="H275" s="81">
        <f t="shared" si="824"/>
        <v>17637</v>
      </c>
      <c r="I275" s="81">
        <v>2719</v>
      </c>
      <c r="J275" s="81"/>
      <c r="K275" s="81">
        <f>1+3777</f>
        <v>3778</v>
      </c>
      <c r="L275" s="81"/>
      <c r="M275" s="81"/>
      <c r="N275" s="81"/>
      <c r="O275" s="81"/>
      <c r="P275" s="81"/>
      <c r="Q275" s="81">
        <v>7681</v>
      </c>
      <c r="R275" s="81"/>
      <c r="S275" s="81"/>
      <c r="T275" s="81"/>
      <c r="U275" s="81"/>
      <c r="V275" s="81"/>
      <c r="W275" s="81">
        <v>1</v>
      </c>
      <c r="X275" s="81"/>
      <c r="Y275" s="81"/>
      <c r="Z275" s="81">
        <f>3458</f>
        <v>3458</v>
      </c>
      <c r="AA275" s="81"/>
      <c r="AB275" s="81"/>
      <c r="AC275" s="81">
        <f t="shared" si="825"/>
        <v>0</v>
      </c>
      <c r="AD275" s="81">
        <f t="shared" si="826"/>
        <v>0</v>
      </c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98">
        <f t="shared" si="827"/>
        <v>0</v>
      </c>
      <c r="AQ275" s="98">
        <f t="shared" si="828"/>
        <v>0</v>
      </c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81">
        <f t="shared" si="829"/>
        <v>0</v>
      </c>
      <c r="BD275" s="98">
        <f t="shared" si="830"/>
        <v>0</v>
      </c>
      <c r="BE275" s="98"/>
      <c r="BF275" s="98"/>
      <c r="BG275" s="98"/>
      <c r="BH275" s="98"/>
      <c r="BI275" s="98"/>
      <c r="BJ275" s="81">
        <v>-26347</v>
      </c>
      <c r="BK275" s="81">
        <f t="shared" si="831"/>
        <v>-43984</v>
      </c>
      <c r="BL275" s="81">
        <f t="shared" si="832"/>
        <v>-17637</v>
      </c>
      <c r="BM275" s="98">
        <v>-2719</v>
      </c>
      <c r="BN275" s="98">
        <f>-1-3777</f>
        <v>-3778</v>
      </c>
      <c r="BO275" s="98"/>
      <c r="BP275" s="98"/>
      <c r="BQ275" s="98">
        <v>-7681</v>
      </c>
      <c r="BR275" s="98"/>
      <c r="BS275" s="98"/>
      <c r="BT275" s="98">
        <v>-1</v>
      </c>
      <c r="BU275" s="98"/>
      <c r="BV275" s="98">
        <f>-3458</f>
        <v>-3458</v>
      </c>
      <c r="BW275" s="98"/>
      <c r="BX275" s="82"/>
      <c r="BY275" s="85"/>
    </row>
    <row r="276" spans="1:77" s="198" customFormat="1" ht="12.75" hidden="1" customHeight="1" outlineLevel="1" x14ac:dyDescent="0.2">
      <c r="A276" s="137"/>
      <c r="B276" s="417" t="s">
        <v>821</v>
      </c>
      <c r="C276" s="418"/>
      <c r="D276" s="80">
        <f t="shared" ref="D276" si="833">F276+AB276+AO276+BB276+BJ276</f>
        <v>0</v>
      </c>
      <c r="E276" s="295">
        <f t="shared" ref="E276" si="834">G276+AC276+AP276+BC276+BK276</f>
        <v>160212</v>
      </c>
      <c r="F276" s="81"/>
      <c r="G276" s="81">
        <f t="shared" si="823"/>
        <v>160212</v>
      </c>
      <c r="H276" s="81">
        <f t="shared" si="824"/>
        <v>160212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>
        <f>16200+20377+88045</f>
        <v>124622</v>
      </c>
      <c r="T276" s="81"/>
      <c r="U276" s="81"/>
      <c r="V276" s="81"/>
      <c r="W276" s="81">
        <f>233+4130+1227+30000</f>
        <v>35590</v>
      </c>
      <c r="X276" s="81"/>
      <c r="Y276" s="81"/>
      <c r="Z276" s="81"/>
      <c r="AA276" s="81"/>
      <c r="AB276" s="81"/>
      <c r="AC276" s="81">
        <f t="shared" ref="AC276" si="835">AB276+AD276</f>
        <v>0</v>
      </c>
      <c r="AD276" s="81">
        <f t="shared" ref="AD276" si="836">SUM(AE276:AN276)</f>
        <v>0</v>
      </c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98">
        <f t="shared" ref="AP276" si="837">AO276+AQ276</f>
        <v>0</v>
      </c>
      <c r="AQ276" s="98">
        <f t="shared" ref="AQ276" si="838">SUM(AR276:BA276)</f>
        <v>0</v>
      </c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81">
        <f t="shared" ref="BC276" si="839">BB276+BD276</f>
        <v>0</v>
      </c>
      <c r="BD276" s="98">
        <f t="shared" ref="BD276" si="840">SUM(BE276:BI276)</f>
        <v>0</v>
      </c>
      <c r="BE276" s="98"/>
      <c r="BF276" s="98"/>
      <c r="BG276" s="98"/>
      <c r="BH276" s="98"/>
      <c r="BI276" s="98"/>
      <c r="BJ276" s="81"/>
      <c r="BK276" s="81">
        <f t="shared" ref="BK276" si="841">BJ276+BL276</f>
        <v>0</v>
      </c>
      <c r="BL276" s="81">
        <f t="shared" ref="BL276" si="842">SUM(BM276:BW276)</f>
        <v>0</v>
      </c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82"/>
      <c r="BY276" s="85"/>
    </row>
    <row r="277" spans="1:77" s="194" customFormat="1" hidden="1" outlineLevel="1" x14ac:dyDescent="0.2">
      <c r="A277" s="137"/>
      <c r="B277" s="419" t="s">
        <v>578</v>
      </c>
      <c r="C277" s="418"/>
      <c r="D277" s="80">
        <f t="shared" si="809"/>
        <v>62204</v>
      </c>
      <c r="E277" s="295">
        <f>G277+AC277+AP277+BC277+BK277</f>
        <v>737262</v>
      </c>
      <c r="F277" s="81">
        <v>62204</v>
      </c>
      <c r="G277" s="81">
        <f>F277+H277</f>
        <v>737262</v>
      </c>
      <c r="H277" s="81">
        <f t="shared" si="812"/>
        <v>675058</v>
      </c>
      <c r="I277" s="81">
        <f>877</f>
        <v>877</v>
      </c>
      <c r="J277" s="81"/>
      <c r="K277" s="81">
        <f>2352-12169+5351+22638+235-243+147145+53792</f>
        <v>219101</v>
      </c>
      <c r="L277" s="81"/>
      <c r="M277" s="81">
        <v>337451</v>
      </c>
      <c r="N277" s="81"/>
      <c r="O277" s="81"/>
      <c r="P277" s="81"/>
      <c r="Q277" s="81">
        <f>-147145-22638</f>
        <v>-169783</v>
      </c>
      <c r="R277" s="81"/>
      <c r="S277" s="81">
        <f>30597-53792+91780</f>
        <v>68585</v>
      </c>
      <c r="T277" s="81"/>
      <c r="U277" s="81">
        <f>185947+1210</f>
        <v>187157</v>
      </c>
      <c r="V277" s="81"/>
      <c r="W277" s="81">
        <f>371+1405</f>
        <v>1776</v>
      </c>
      <c r="X277" s="81"/>
      <c r="Y277" s="81"/>
      <c r="Z277" s="81">
        <f>-5077+686+34285</f>
        <v>29894</v>
      </c>
      <c r="AA277" s="81"/>
      <c r="AB277" s="81"/>
      <c r="AC277" s="81">
        <f t="shared" si="813"/>
        <v>0</v>
      </c>
      <c r="AD277" s="81">
        <f t="shared" si="814"/>
        <v>0</v>
      </c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98">
        <f t="shared" si="815"/>
        <v>0</v>
      </c>
      <c r="AQ277" s="98">
        <f t="shared" si="816"/>
        <v>0</v>
      </c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81">
        <f t="shared" ref="BC277" si="843">BB277+BD277</f>
        <v>0</v>
      </c>
      <c r="BD277" s="98">
        <f t="shared" si="820"/>
        <v>0</v>
      </c>
      <c r="BE277" s="98"/>
      <c r="BF277" s="98"/>
      <c r="BG277" s="98"/>
      <c r="BH277" s="98"/>
      <c r="BI277" s="98"/>
      <c r="BJ277" s="81"/>
      <c r="BK277" s="81">
        <f t="shared" si="818"/>
        <v>0</v>
      </c>
      <c r="BL277" s="81">
        <f t="shared" si="819"/>
        <v>0</v>
      </c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82"/>
      <c r="BY277" s="85"/>
    </row>
    <row r="278" spans="1:77" s="194" customFormat="1" hidden="1" outlineLevel="1" x14ac:dyDescent="0.2">
      <c r="A278" s="137"/>
      <c r="B278" s="419" t="s">
        <v>579</v>
      </c>
      <c r="C278" s="418"/>
      <c r="D278" s="80">
        <f t="shared" si="809"/>
        <v>13437</v>
      </c>
      <c r="E278" s="295">
        <f t="shared" si="810"/>
        <v>107514</v>
      </c>
      <c r="F278" s="81">
        <v>13437</v>
      </c>
      <c r="G278" s="81">
        <f t="shared" si="811"/>
        <v>107514</v>
      </c>
      <c r="H278" s="81">
        <f t="shared" si="812"/>
        <v>94077</v>
      </c>
      <c r="I278" s="81"/>
      <c r="J278" s="81"/>
      <c r="K278" s="81">
        <f>-3454-2751</f>
        <v>-6205</v>
      </c>
      <c r="L278" s="81"/>
      <c r="M278" s="81"/>
      <c r="N278" s="81"/>
      <c r="O278" s="81"/>
      <c r="P278" s="81"/>
      <c r="Q278" s="81"/>
      <c r="R278" s="81"/>
      <c r="S278" s="81"/>
      <c r="T278" s="81"/>
      <c r="U278" s="81">
        <f>13291-633</f>
        <v>12658</v>
      </c>
      <c r="V278" s="81"/>
      <c r="W278" s="81">
        <v>26591</v>
      </c>
      <c r="X278" s="81"/>
      <c r="Y278" s="81">
        <f>16176+8385+3541</f>
        <v>28102</v>
      </c>
      <c r="Z278" s="81">
        <f>10708+22223</f>
        <v>32931</v>
      </c>
      <c r="AA278" s="81"/>
      <c r="AB278" s="81"/>
      <c r="AC278" s="81">
        <f t="shared" si="813"/>
        <v>0</v>
      </c>
      <c r="AD278" s="81">
        <f t="shared" si="814"/>
        <v>0</v>
      </c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98">
        <f t="shared" si="815"/>
        <v>0</v>
      </c>
      <c r="AQ278" s="98">
        <f t="shared" si="816"/>
        <v>0</v>
      </c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81">
        <f t="shared" si="817"/>
        <v>0</v>
      </c>
      <c r="BD278" s="98">
        <f t="shared" si="820"/>
        <v>0</v>
      </c>
      <c r="BE278" s="98"/>
      <c r="BF278" s="98"/>
      <c r="BG278" s="98"/>
      <c r="BH278" s="98"/>
      <c r="BI278" s="98"/>
      <c r="BJ278" s="81"/>
      <c r="BK278" s="81">
        <f>BJ278+BL278</f>
        <v>0</v>
      </c>
      <c r="BL278" s="81">
        <f t="shared" si="819"/>
        <v>0</v>
      </c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82"/>
      <c r="BY278" s="85"/>
    </row>
    <row r="279" spans="1:77" s="194" customFormat="1" hidden="1" outlineLevel="1" x14ac:dyDescent="0.2">
      <c r="A279" s="137"/>
      <c r="B279" s="419" t="s">
        <v>580</v>
      </c>
      <c r="C279" s="418"/>
      <c r="D279" s="80">
        <f t="shared" si="809"/>
        <v>0</v>
      </c>
      <c r="E279" s="295">
        <f t="shared" si="810"/>
        <v>11336</v>
      </c>
      <c r="F279" s="81"/>
      <c r="G279" s="81">
        <f t="shared" si="811"/>
        <v>0</v>
      </c>
      <c r="H279" s="81">
        <f t="shared" si="812"/>
        <v>0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>
        <f t="shared" si="813"/>
        <v>0</v>
      </c>
      <c r="AD279" s="81">
        <f t="shared" si="814"/>
        <v>0</v>
      </c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>
        <v>0</v>
      </c>
      <c r="AP279" s="98">
        <f t="shared" si="815"/>
        <v>11336</v>
      </c>
      <c r="AQ279" s="98">
        <f t="shared" si="816"/>
        <v>11336</v>
      </c>
      <c r="AR279" s="98">
        <v>250</v>
      </c>
      <c r="AS279" s="98"/>
      <c r="AT279" s="98"/>
      <c r="AU279" s="98"/>
      <c r="AV279" s="98"/>
      <c r="AW279" s="98"/>
      <c r="AX279" s="98">
        <v>11086</v>
      </c>
      <c r="AY279" s="98"/>
      <c r="AZ279" s="98"/>
      <c r="BA279" s="98"/>
      <c r="BB279" s="98"/>
      <c r="BC279" s="81">
        <f t="shared" si="817"/>
        <v>0</v>
      </c>
      <c r="BD279" s="98">
        <f t="shared" si="820"/>
        <v>0</v>
      </c>
      <c r="BE279" s="98"/>
      <c r="BF279" s="98"/>
      <c r="BG279" s="98"/>
      <c r="BH279" s="98"/>
      <c r="BI279" s="98"/>
      <c r="BJ279" s="81"/>
      <c r="BK279" s="81">
        <f t="shared" si="818"/>
        <v>0</v>
      </c>
      <c r="BL279" s="81">
        <f t="shared" si="819"/>
        <v>0</v>
      </c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82"/>
      <c r="BY279" s="85"/>
    </row>
    <row r="280" spans="1:77" s="194" customFormat="1" hidden="1" outlineLevel="1" x14ac:dyDescent="0.2">
      <c r="A280" s="137"/>
      <c r="B280" s="419" t="s">
        <v>581</v>
      </c>
      <c r="C280" s="418"/>
      <c r="D280" s="80">
        <f t="shared" si="809"/>
        <v>1642</v>
      </c>
      <c r="E280" s="295">
        <f t="shared" si="810"/>
        <v>3236</v>
      </c>
      <c r="F280" s="81"/>
      <c r="G280" s="81">
        <f t="shared" si="811"/>
        <v>0</v>
      </c>
      <c r="H280" s="81">
        <f t="shared" si="812"/>
        <v>0</v>
      </c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>
        <f t="shared" si="813"/>
        <v>0</v>
      </c>
      <c r="AD280" s="81">
        <f t="shared" si="814"/>
        <v>0</v>
      </c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>
        <v>1642</v>
      </c>
      <c r="AP280" s="98">
        <f t="shared" si="815"/>
        <v>3236</v>
      </c>
      <c r="AQ280" s="98">
        <f t="shared" si="816"/>
        <v>1594</v>
      </c>
      <c r="AR280" s="98">
        <v>-10</v>
      </c>
      <c r="AS280" s="98"/>
      <c r="AT280" s="98"/>
      <c r="AU280" s="98"/>
      <c r="AV280" s="98"/>
      <c r="AW280" s="98"/>
      <c r="AX280" s="98"/>
      <c r="AY280" s="98">
        <v>1604</v>
      </c>
      <c r="AZ280" s="98"/>
      <c r="BA280" s="98"/>
      <c r="BB280" s="98"/>
      <c r="BC280" s="81">
        <f t="shared" si="817"/>
        <v>0</v>
      </c>
      <c r="BD280" s="98">
        <f t="shared" si="820"/>
        <v>0</v>
      </c>
      <c r="BE280" s="98"/>
      <c r="BF280" s="98"/>
      <c r="BG280" s="98"/>
      <c r="BH280" s="98"/>
      <c r="BI280" s="98"/>
      <c r="BJ280" s="81"/>
      <c r="BK280" s="81">
        <f t="shared" si="818"/>
        <v>0</v>
      </c>
      <c r="BL280" s="81">
        <f t="shared" si="819"/>
        <v>0</v>
      </c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82"/>
      <c r="BY280" s="85"/>
    </row>
    <row r="281" spans="1:77" s="194" customFormat="1" hidden="1" outlineLevel="1" x14ac:dyDescent="0.2">
      <c r="A281" s="137"/>
      <c r="B281" s="419" t="s">
        <v>54</v>
      </c>
      <c r="C281" s="418"/>
      <c r="D281" s="80">
        <f t="shared" si="809"/>
        <v>0</v>
      </c>
      <c r="E281" s="295">
        <f t="shared" si="810"/>
        <v>0</v>
      </c>
      <c r="F281" s="81"/>
      <c r="G281" s="81">
        <f t="shared" si="811"/>
        <v>0</v>
      </c>
      <c r="H281" s="81">
        <f t="shared" si="812"/>
        <v>0</v>
      </c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>
        <f t="shared" si="813"/>
        <v>0</v>
      </c>
      <c r="AD281" s="81">
        <f t="shared" si="814"/>
        <v>0</v>
      </c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98">
        <f t="shared" si="815"/>
        <v>0</v>
      </c>
      <c r="AQ281" s="98">
        <f t="shared" si="816"/>
        <v>0</v>
      </c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81">
        <f t="shared" si="817"/>
        <v>0</v>
      </c>
      <c r="BD281" s="98">
        <f t="shared" si="820"/>
        <v>0</v>
      </c>
      <c r="BE281" s="98"/>
      <c r="BF281" s="98"/>
      <c r="BG281" s="98"/>
      <c r="BH281" s="98"/>
      <c r="BI281" s="98"/>
      <c r="BJ281" s="81"/>
      <c r="BK281" s="81">
        <f t="shared" si="818"/>
        <v>0</v>
      </c>
      <c r="BL281" s="81">
        <f t="shared" si="819"/>
        <v>0</v>
      </c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82"/>
      <c r="BY281" s="85"/>
    </row>
    <row r="282" spans="1:77" s="194" customFormat="1" hidden="1" outlineLevel="1" x14ac:dyDescent="0.2">
      <c r="A282" s="137"/>
      <c r="B282" s="419" t="s">
        <v>582</v>
      </c>
      <c r="C282" s="418"/>
      <c r="D282" s="80">
        <f t="shared" si="809"/>
        <v>0</v>
      </c>
      <c r="E282" s="295">
        <f t="shared" si="810"/>
        <v>0</v>
      </c>
      <c r="F282" s="81"/>
      <c r="G282" s="81">
        <f t="shared" si="811"/>
        <v>0</v>
      </c>
      <c r="H282" s="81">
        <f t="shared" si="812"/>
        <v>0</v>
      </c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>
        <f t="shared" si="813"/>
        <v>0</v>
      </c>
      <c r="AD282" s="81">
        <f t="shared" si="814"/>
        <v>0</v>
      </c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98">
        <f t="shared" si="815"/>
        <v>0</v>
      </c>
      <c r="AQ282" s="98">
        <f t="shared" si="816"/>
        <v>0</v>
      </c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81">
        <f t="shared" si="817"/>
        <v>0</v>
      </c>
      <c r="BD282" s="98">
        <f t="shared" si="820"/>
        <v>0</v>
      </c>
      <c r="BE282" s="98"/>
      <c r="BF282" s="98"/>
      <c r="BG282" s="98"/>
      <c r="BH282" s="98"/>
      <c r="BI282" s="98"/>
      <c r="BJ282" s="81"/>
      <c r="BK282" s="81">
        <f t="shared" si="818"/>
        <v>0</v>
      </c>
      <c r="BL282" s="81">
        <f t="shared" si="819"/>
        <v>0</v>
      </c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82"/>
      <c r="BY282" s="85"/>
    </row>
    <row r="283" spans="1:77" s="198" customFormat="1" hidden="1" outlineLevel="1" x14ac:dyDescent="0.2">
      <c r="A283" s="137"/>
      <c r="B283" s="417" t="s">
        <v>825</v>
      </c>
      <c r="C283" s="418"/>
      <c r="D283" s="80">
        <f t="shared" si="809"/>
        <v>0</v>
      </c>
      <c r="E283" s="295">
        <f t="shared" si="810"/>
        <v>3</v>
      </c>
      <c r="F283" s="81"/>
      <c r="G283" s="81">
        <f t="shared" si="811"/>
        <v>3</v>
      </c>
      <c r="H283" s="81">
        <f t="shared" si="812"/>
        <v>3</v>
      </c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>
        <v>3</v>
      </c>
      <c r="V283" s="81"/>
      <c r="W283" s="81"/>
      <c r="X283" s="81"/>
      <c r="Y283" s="81"/>
      <c r="Z283" s="81"/>
      <c r="AA283" s="81"/>
      <c r="AB283" s="81"/>
      <c r="AC283" s="81">
        <f t="shared" si="813"/>
        <v>0</v>
      </c>
      <c r="AD283" s="81">
        <f t="shared" si="814"/>
        <v>0</v>
      </c>
      <c r="AE283" s="81"/>
      <c r="AF283" s="81"/>
      <c r="AG283" s="81"/>
      <c r="AH283" s="81"/>
      <c r="AI283" s="81">
        <f>22+486+895+4+64+138+210+1+5+19+45-3</f>
        <v>1886</v>
      </c>
      <c r="AJ283" s="81">
        <v>-1886</v>
      </c>
      <c r="AK283" s="81"/>
      <c r="AL283" s="81"/>
      <c r="AM283" s="81"/>
      <c r="AN283" s="81"/>
      <c r="AO283" s="81"/>
      <c r="AP283" s="98">
        <f t="shared" si="815"/>
        <v>0</v>
      </c>
      <c r="AQ283" s="98">
        <f t="shared" si="816"/>
        <v>0</v>
      </c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81">
        <f t="shared" si="817"/>
        <v>0</v>
      </c>
      <c r="BD283" s="98">
        <f t="shared" si="820"/>
        <v>0</v>
      </c>
      <c r="BE283" s="98"/>
      <c r="BF283" s="98"/>
      <c r="BG283" s="98"/>
      <c r="BH283" s="98"/>
      <c r="BI283" s="98"/>
      <c r="BJ283" s="81"/>
      <c r="BK283" s="81">
        <f t="shared" si="818"/>
        <v>0</v>
      </c>
      <c r="BL283" s="81">
        <f t="shared" si="819"/>
        <v>0</v>
      </c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82"/>
      <c r="BY283" s="85"/>
    </row>
    <row r="284" spans="1:77" s="198" customFormat="1" ht="12.75" hidden="1" customHeight="1" outlineLevel="1" x14ac:dyDescent="0.2">
      <c r="A284" s="137"/>
      <c r="B284" s="434" t="s">
        <v>848</v>
      </c>
      <c r="C284" s="425"/>
      <c r="D284" s="80">
        <f t="shared" si="809"/>
        <v>0</v>
      </c>
      <c r="E284" s="295">
        <f t="shared" si="810"/>
        <v>0</v>
      </c>
      <c r="F284" s="81"/>
      <c r="G284" s="81">
        <f t="shared" si="811"/>
        <v>0</v>
      </c>
      <c r="H284" s="81">
        <f t="shared" si="812"/>
        <v>0</v>
      </c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>
        <f t="shared" si="813"/>
        <v>0</v>
      </c>
      <c r="AD284" s="81">
        <f t="shared" si="814"/>
        <v>0</v>
      </c>
      <c r="AE284" s="81"/>
      <c r="AF284" s="81"/>
      <c r="AG284" s="81"/>
      <c r="AH284" s="81"/>
      <c r="AI284" s="81"/>
      <c r="AJ284" s="81"/>
      <c r="AK284" s="81">
        <f>30268-4536-4620-735-791-4130</f>
        <v>15456</v>
      </c>
      <c r="AL284" s="81">
        <f>-3178-987-3213-973-2247-1001-1995-679-1183</f>
        <v>-15456</v>
      </c>
      <c r="AM284" s="81"/>
      <c r="AN284" s="81"/>
      <c r="AO284" s="81"/>
      <c r="AP284" s="98">
        <f t="shared" si="815"/>
        <v>0</v>
      </c>
      <c r="AQ284" s="98">
        <f t="shared" si="816"/>
        <v>0</v>
      </c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81">
        <f t="shared" si="817"/>
        <v>0</v>
      </c>
      <c r="BD284" s="98">
        <f t="shared" si="820"/>
        <v>0</v>
      </c>
      <c r="BE284" s="98"/>
      <c r="BF284" s="98"/>
      <c r="BG284" s="98"/>
      <c r="BH284" s="98"/>
      <c r="BI284" s="98"/>
      <c r="BJ284" s="81"/>
      <c r="BK284" s="81">
        <f t="shared" si="818"/>
        <v>0</v>
      </c>
      <c r="BL284" s="81">
        <f t="shared" si="819"/>
        <v>0</v>
      </c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82"/>
      <c r="BY284" s="85"/>
    </row>
    <row r="285" spans="1:77" s="194" customFormat="1" hidden="1" outlineLevel="1" x14ac:dyDescent="0.2">
      <c r="A285" s="137"/>
      <c r="B285" s="419" t="s">
        <v>583</v>
      </c>
      <c r="C285" s="418"/>
      <c r="D285" s="80">
        <f t="shared" si="809"/>
        <v>41531</v>
      </c>
      <c r="E285" s="295">
        <f t="shared" si="810"/>
        <v>5091</v>
      </c>
      <c r="F285" s="81"/>
      <c r="G285" s="81">
        <f t="shared" si="811"/>
        <v>0</v>
      </c>
      <c r="H285" s="81">
        <f t="shared" si="812"/>
        <v>0</v>
      </c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>
        <v>41531</v>
      </c>
      <c r="AC285" s="81">
        <f t="shared" si="813"/>
        <v>5091</v>
      </c>
      <c r="AD285" s="81">
        <f t="shared" si="814"/>
        <v>-36440</v>
      </c>
      <c r="AE285" s="81">
        <v>-86</v>
      </c>
      <c r="AF285" s="81">
        <f>12984+84722-287</f>
        <v>97419</v>
      </c>
      <c r="AG285" s="81"/>
      <c r="AH285" s="81"/>
      <c r="AI285" s="81"/>
      <c r="AJ285" s="81">
        <v>-38122</v>
      </c>
      <c r="AK285" s="81"/>
      <c r="AL285" s="81">
        <f>-2755-846-5495-5931-4370+11788-3000-88736+3694</f>
        <v>-95651</v>
      </c>
      <c r="AM285" s="81"/>
      <c r="AN285" s="81"/>
      <c r="AO285" s="81"/>
      <c r="AP285" s="98">
        <f t="shared" si="815"/>
        <v>0</v>
      </c>
      <c r="AQ285" s="98">
        <f t="shared" si="816"/>
        <v>0</v>
      </c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81">
        <f t="shared" si="817"/>
        <v>0</v>
      </c>
      <c r="BD285" s="98">
        <f t="shared" si="820"/>
        <v>0</v>
      </c>
      <c r="BE285" s="98"/>
      <c r="BF285" s="98"/>
      <c r="BG285" s="98"/>
      <c r="BH285" s="98"/>
      <c r="BI285" s="98"/>
      <c r="BJ285" s="81"/>
      <c r="BK285" s="81">
        <f t="shared" si="818"/>
        <v>0</v>
      </c>
      <c r="BL285" s="81">
        <f t="shared" si="819"/>
        <v>0</v>
      </c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82"/>
      <c r="BY285" s="85"/>
    </row>
    <row r="286" spans="1:77" s="194" customFormat="1" hidden="1" outlineLevel="1" x14ac:dyDescent="0.2">
      <c r="A286" s="137"/>
      <c r="B286" s="428" t="s">
        <v>584</v>
      </c>
      <c r="C286" s="429"/>
      <c r="D286" s="80">
        <f t="shared" si="809"/>
        <v>9691</v>
      </c>
      <c r="E286" s="295">
        <f t="shared" si="810"/>
        <v>204</v>
      </c>
      <c r="F286" s="81"/>
      <c r="G286" s="81">
        <f t="shared" si="811"/>
        <v>0</v>
      </c>
      <c r="H286" s="81">
        <f t="shared" si="812"/>
        <v>0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>
        <v>9691</v>
      </c>
      <c r="AC286" s="81">
        <f t="shared" si="813"/>
        <v>204</v>
      </c>
      <c r="AD286" s="81">
        <f t="shared" si="814"/>
        <v>-9487</v>
      </c>
      <c r="AE286" s="81"/>
      <c r="AF286" s="81">
        <f>-1315+31806+287</f>
        <v>30778</v>
      </c>
      <c r="AG286" s="81"/>
      <c r="AH286" s="81"/>
      <c r="AI286" s="81"/>
      <c r="AJ286" s="81"/>
      <c r="AK286" s="81"/>
      <c r="AL286" s="81">
        <f>-36571-3694</f>
        <v>-40265</v>
      </c>
      <c r="AM286" s="81"/>
      <c r="AN286" s="81"/>
      <c r="AO286" s="81"/>
      <c r="AP286" s="98">
        <f t="shared" si="815"/>
        <v>0</v>
      </c>
      <c r="AQ286" s="98">
        <f t="shared" si="816"/>
        <v>0</v>
      </c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81">
        <f t="shared" si="817"/>
        <v>0</v>
      </c>
      <c r="BD286" s="98">
        <f t="shared" si="820"/>
        <v>0</v>
      </c>
      <c r="BE286" s="98"/>
      <c r="BF286" s="98"/>
      <c r="BG286" s="98"/>
      <c r="BH286" s="98"/>
      <c r="BI286" s="98"/>
      <c r="BJ286" s="81"/>
      <c r="BK286" s="81">
        <f t="shared" si="818"/>
        <v>0</v>
      </c>
      <c r="BL286" s="81">
        <f t="shared" si="819"/>
        <v>0</v>
      </c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82"/>
      <c r="BY286" s="85"/>
    </row>
    <row r="287" spans="1:77" s="194" customFormat="1" hidden="1" outlineLevel="1" x14ac:dyDescent="0.2">
      <c r="A287" s="137"/>
      <c r="B287" s="419" t="s">
        <v>585</v>
      </c>
      <c r="C287" s="418"/>
      <c r="D287" s="80">
        <f t="shared" si="809"/>
        <v>50</v>
      </c>
      <c r="E287" s="295">
        <f t="shared" si="810"/>
        <v>0</v>
      </c>
      <c r="F287" s="81"/>
      <c r="G287" s="81">
        <f t="shared" si="811"/>
        <v>0</v>
      </c>
      <c r="H287" s="81">
        <f t="shared" si="812"/>
        <v>0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>
        <v>50</v>
      </c>
      <c r="AC287" s="81">
        <f t="shared" si="813"/>
        <v>0</v>
      </c>
      <c r="AD287" s="81">
        <f t="shared" si="814"/>
        <v>-50</v>
      </c>
      <c r="AE287" s="81"/>
      <c r="AF287" s="81">
        <v>16579</v>
      </c>
      <c r="AG287" s="81"/>
      <c r="AH287" s="81"/>
      <c r="AI287" s="81"/>
      <c r="AJ287" s="81"/>
      <c r="AK287" s="81"/>
      <c r="AL287" s="81">
        <f>-1530-736-4454-8946-963</f>
        <v>-16629</v>
      </c>
      <c r="AM287" s="81"/>
      <c r="AN287" s="81"/>
      <c r="AO287" s="81"/>
      <c r="AP287" s="98">
        <f t="shared" si="815"/>
        <v>0</v>
      </c>
      <c r="AQ287" s="98">
        <f t="shared" si="816"/>
        <v>0</v>
      </c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81">
        <f t="shared" si="817"/>
        <v>0</v>
      </c>
      <c r="BD287" s="98">
        <f t="shared" si="820"/>
        <v>0</v>
      </c>
      <c r="BE287" s="98"/>
      <c r="BF287" s="98"/>
      <c r="BG287" s="98"/>
      <c r="BH287" s="98"/>
      <c r="BI287" s="98"/>
      <c r="BJ287" s="81"/>
      <c r="BK287" s="81">
        <f t="shared" si="818"/>
        <v>0</v>
      </c>
      <c r="BL287" s="81">
        <f t="shared" si="819"/>
        <v>0</v>
      </c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82"/>
      <c r="BY287" s="85"/>
    </row>
    <row r="288" spans="1:77" s="194" customFormat="1" hidden="1" outlineLevel="1" x14ac:dyDescent="0.2">
      <c r="A288" s="137"/>
      <c r="B288" s="419" t="s">
        <v>586</v>
      </c>
      <c r="C288" s="418"/>
      <c r="D288" s="80">
        <f t="shared" si="809"/>
        <v>0</v>
      </c>
      <c r="E288" s="295">
        <f t="shared" si="810"/>
        <v>0</v>
      </c>
      <c r="F288" s="81"/>
      <c r="G288" s="81">
        <f t="shared" si="811"/>
        <v>0</v>
      </c>
      <c r="H288" s="81">
        <f t="shared" si="812"/>
        <v>0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>
        <f t="shared" si="813"/>
        <v>0</v>
      </c>
      <c r="AD288" s="81">
        <f t="shared" si="814"/>
        <v>0</v>
      </c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98">
        <f t="shared" si="815"/>
        <v>0</v>
      </c>
      <c r="AQ288" s="98">
        <f t="shared" si="816"/>
        <v>0</v>
      </c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81">
        <f t="shared" si="817"/>
        <v>0</v>
      </c>
      <c r="BD288" s="98">
        <f t="shared" si="820"/>
        <v>0</v>
      </c>
      <c r="BE288" s="98"/>
      <c r="BF288" s="98"/>
      <c r="BG288" s="98"/>
      <c r="BH288" s="98"/>
      <c r="BI288" s="98"/>
      <c r="BJ288" s="81"/>
      <c r="BK288" s="81">
        <f t="shared" si="818"/>
        <v>0</v>
      </c>
      <c r="BL288" s="81">
        <f t="shared" si="819"/>
        <v>0</v>
      </c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/>
      <c r="BX288" s="82"/>
      <c r="BY288" s="85"/>
    </row>
    <row r="289" spans="1:77" s="194" customFormat="1" hidden="1" outlineLevel="1" x14ac:dyDescent="0.2">
      <c r="A289" s="137"/>
      <c r="B289" s="419" t="s">
        <v>587</v>
      </c>
      <c r="C289" s="418"/>
      <c r="D289" s="80">
        <f t="shared" si="809"/>
        <v>0</v>
      </c>
      <c r="E289" s="295">
        <f t="shared" si="810"/>
        <v>0</v>
      </c>
      <c r="F289" s="81"/>
      <c r="G289" s="81">
        <f t="shared" si="811"/>
        <v>0</v>
      </c>
      <c r="H289" s="81">
        <f t="shared" si="812"/>
        <v>0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>
        <f t="shared" si="813"/>
        <v>0</v>
      </c>
      <c r="AD289" s="81">
        <f t="shared" si="814"/>
        <v>0</v>
      </c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98">
        <f t="shared" si="815"/>
        <v>0</v>
      </c>
      <c r="AQ289" s="98">
        <f t="shared" si="816"/>
        <v>0</v>
      </c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81">
        <f t="shared" si="817"/>
        <v>0</v>
      </c>
      <c r="BD289" s="98">
        <f t="shared" si="820"/>
        <v>0</v>
      </c>
      <c r="BE289" s="98"/>
      <c r="BF289" s="98"/>
      <c r="BG289" s="98"/>
      <c r="BH289" s="98"/>
      <c r="BI289" s="98"/>
      <c r="BJ289" s="81"/>
      <c r="BK289" s="81">
        <f t="shared" si="818"/>
        <v>0</v>
      </c>
      <c r="BL289" s="81">
        <f t="shared" si="819"/>
        <v>0</v>
      </c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/>
      <c r="BX289" s="82"/>
      <c r="BY289" s="85"/>
    </row>
    <row r="290" spans="1:77" s="194" customFormat="1" hidden="1" outlineLevel="1" x14ac:dyDescent="0.2">
      <c r="A290" s="137"/>
      <c r="B290" s="419" t="s">
        <v>588</v>
      </c>
      <c r="C290" s="418"/>
      <c r="D290" s="80">
        <f t="shared" si="809"/>
        <v>0</v>
      </c>
      <c r="E290" s="295">
        <f t="shared" si="810"/>
        <v>0</v>
      </c>
      <c r="F290" s="81"/>
      <c r="G290" s="81">
        <f t="shared" si="811"/>
        <v>0</v>
      </c>
      <c r="H290" s="81">
        <f t="shared" si="812"/>
        <v>0</v>
      </c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>
        <f t="shared" si="813"/>
        <v>0</v>
      </c>
      <c r="AD290" s="81">
        <f t="shared" si="814"/>
        <v>0</v>
      </c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98">
        <f t="shared" si="815"/>
        <v>0</v>
      </c>
      <c r="AQ290" s="98">
        <f t="shared" si="816"/>
        <v>0</v>
      </c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81">
        <f t="shared" si="817"/>
        <v>0</v>
      </c>
      <c r="BD290" s="98">
        <f t="shared" si="820"/>
        <v>0</v>
      </c>
      <c r="BE290" s="98"/>
      <c r="BF290" s="98"/>
      <c r="BG290" s="98"/>
      <c r="BH290" s="98"/>
      <c r="BI290" s="98"/>
      <c r="BJ290" s="81"/>
      <c r="BK290" s="81">
        <f t="shared" si="818"/>
        <v>0</v>
      </c>
      <c r="BL290" s="81">
        <f t="shared" si="819"/>
        <v>0</v>
      </c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/>
      <c r="BX290" s="82"/>
      <c r="BY290" s="85"/>
    </row>
    <row r="291" spans="1:77" s="194" customFormat="1" hidden="1" outlineLevel="1" x14ac:dyDescent="0.2">
      <c r="A291" s="137"/>
      <c r="B291" s="419" t="s">
        <v>589</v>
      </c>
      <c r="C291" s="418"/>
      <c r="D291" s="80">
        <f t="shared" si="809"/>
        <v>0</v>
      </c>
      <c r="E291" s="295">
        <f t="shared" si="810"/>
        <v>0</v>
      </c>
      <c r="F291" s="81"/>
      <c r="G291" s="81">
        <f t="shared" si="811"/>
        <v>0</v>
      </c>
      <c r="H291" s="81">
        <f t="shared" si="812"/>
        <v>0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>
        <f t="shared" si="813"/>
        <v>0</v>
      </c>
      <c r="AD291" s="81">
        <f t="shared" si="814"/>
        <v>0</v>
      </c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98">
        <f t="shared" si="815"/>
        <v>0</v>
      </c>
      <c r="AQ291" s="98">
        <f t="shared" si="816"/>
        <v>0</v>
      </c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81">
        <f t="shared" si="817"/>
        <v>0</v>
      </c>
      <c r="BD291" s="98">
        <f t="shared" si="820"/>
        <v>0</v>
      </c>
      <c r="BE291" s="98"/>
      <c r="BF291" s="98"/>
      <c r="BG291" s="98"/>
      <c r="BH291" s="98"/>
      <c r="BI291" s="98"/>
      <c r="BJ291" s="81"/>
      <c r="BK291" s="81">
        <f t="shared" si="818"/>
        <v>0</v>
      </c>
      <c r="BL291" s="81">
        <f t="shared" si="819"/>
        <v>0</v>
      </c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82"/>
      <c r="BY291" s="85"/>
    </row>
    <row r="292" spans="1:77" s="198" customFormat="1" ht="12.75" hidden="1" customHeight="1" outlineLevel="1" x14ac:dyDescent="0.2">
      <c r="A292" s="137"/>
      <c r="B292" s="417" t="s">
        <v>816</v>
      </c>
      <c r="C292" s="418"/>
      <c r="D292" s="80">
        <f t="shared" ref="D292" si="844">F292+AB292+AO292+BB292+BJ292</f>
        <v>0</v>
      </c>
      <c r="E292" s="295">
        <f t="shared" ref="E292" si="845">G292+AC292+AP292+BC292+BK292</f>
        <v>137371</v>
      </c>
      <c r="F292" s="81"/>
      <c r="G292" s="81">
        <f t="shared" ref="G292" si="846">F292+H292</f>
        <v>137371</v>
      </c>
      <c r="H292" s="81">
        <f t="shared" ref="H292" si="847">SUM(I292:AA292)</f>
        <v>137371</v>
      </c>
      <c r="I292" s="81"/>
      <c r="J292" s="81"/>
      <c r="K292" s="81">
        <f>6726+132-132</f>
        <v>6726</v>
      </c>
      <c r="L292" s="81"/>
      <c r="M292" s="81"/>
      <c r="N292" s="81"/>
      <c r="O292" s="81"/>
      <c r="P292" s="81"/>
      <c r="Q292" s="81">
        <v>180983</v>
      </c>
      <c r="R292" s="81"/>
      <c r="S292" s="81">
        <v>-50338</v>
      </c>
      <c r="T292" s="81"/>
      <c r="U292" s="81"/>
      <c r="V292" s="81"/>
      <c r="W292" s="81"/>
      <c r="X292" s="81"/>
      <c r="Y292" s="81"/>
      <c r="Z292" s="81"/>
      <c r="AA292" s="81"/>
      <c r="AB292" s="81"/>
      <c r="AC292" s="81">
        <f t="shared" si="813"/>
        <v>0</v>
      </c>
      <c r="AD292" s="81">
        <f t="shared" si="814"/>
        <v>0</v>
      </c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98">
        <f t="shared" si="815"/>
        <v>0</v>
      </c>
      <c r="AQ292" s="98">
        <f t="shared" si="816"/>
        <v>0</v>
      </c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81">
        <f t="shared" si="817"/>
        <v>0</v>
      </c>
      <c r="BD292" s="98">
        <f t="shared" si="820"/>
        <v>0</v>
      </c>
      <c r="BE292" s="98"/>
      <c r="BF292" s="98"/>
      <c r="BG292" s="98"/>
      <c r="BH292" s="98"/>
      <c r="BI292" s="98"/>
      <c r="BJ292" s="81"/>
      <c r="BK292" s="81">
        <f t="shared" si="818"/>
        <v>0</v>
      </c>
      <c r="BL292" s="81">
        <f t="shared" si="819"/>
        <v>0</v>
      </c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82"/>
      <c r="BY292" s="85"/>
    </row>
    <row r="293" spans="1:77" s="194" customFormat="1" hidden="1" outlineLevel="1" x14ac:dyDescent="0.2">
      <c r="A293" s="137"/>
      <c r="B293" s="419" t="s">
        <v>590</v>
      </c>
      <c r="C293" s="418"/>
      <c r="D293" s="80">
        <f t="shared" si="809"/>
        <v>0</v>
      </c>
      <c r="E293" s="295">
        <f t="shared" si="810"/>
        <v>0</v>
      </c>
      <c r="F293" s="81"/>
      <c r="G293" s="81">
        <f t="shared" si="811"/>
        <v>0</v>
      </c>
      <c r="H293" s="81">
        <f t="shared" si="812"/>
        <v>0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>
        <f t="shared" si="813"/>
        <v>0</v>
      </c>
      <c r="AD293" s="81">
        <f t="shared" si="814"/>
        <v>0</v>
      </c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98">
        <f t="shared" si="815"/>
        <v>0</v>
      </c>
      <c r="AQ293" s="98">
        <f t="shared" si="816"/>
        <v>0</v>
      </c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81">
        <f t="shared" si="817"/>
        <v>0</v>
      </c>
      <c r="BD293" s="98">
        <f t="shared" si="820"/>
        <v>0</v>
      </c>
      <c r="BE293" s="98"/>
      <c r="BF293" s="98"/>
      <c r="BG293" s="98"/>
      <c r="BH293" s="98"/>
      <c r="BI293" s="98"/>
      <c r="BJ293" s="81"/>
      <c r="BK293" s="81">
        <f t="shared" si="818"/>
        <v>0</v>
      </c>
      <c r="BL293" s="81">
        <f t="shared" si="819"/>
        <v>0</v>
      </c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82"/>
      <c r="BY293" s="85"/>
    </row>
    <row r="294" spans="1:77" s="194" customFormat="1" hidden="1" outlineLevel="1" x14ac:dyDescent="0.2">
      <c r="A294" s="137"/>
      <c r="B294" s="419" t="s">
        <v>491</v>
      </c>
      <c r="C294" s="418"/>
      <c r="D294" s="80">
        <f t="shared" si="809"/>
        <v>0</v>
      </c>
      <c r="E294" s="295">
        <f t="shared" si="810"/>
        <v>0</v>
      </c>
      <c r="F294" s="81"/>
      <c r="G294" s="81">
        <f t="shared" si="811"/>
        <v>0</v>
      </c>
      <c r="H294" s="81">
        <f t="shared" si="812"/>
        <v>0</v>
      </c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>
        <f t="shared" si="813"/>
        <v>0</v>
      </c>
      <c r="AD294" s="81">
        <f t="shared" si="814"/>
        <v>0</v>
      </c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98">
        <f t="shared" si="815"/>
        <v>0</v>
      </c>
      <c r="AQ294" s="98">
        <f t="shared" si="816"/>
        <v>0</v>
      </c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81">
        <f t="shared" si="817"/>
        <v>0</v>
      </c>
      <c r="BD294" s="98">
        <f t="shared" si="820"/>
        <v>0</v>
      </c>
      <c r="BE294" s="98"/>
      <c r="BF294" s="98"/>
      <c r="BG294" s="98"/>
      <c r="BH294" s="98"/>
      <c r="BI294" s="98"/>
      <c r="BJ294" s="81"/>
      <c r="BK294" s="81">
        <f t="shared" si="818"/>
        <v>0</v>
      </c>
      <c r="BL294" s="81">
        <f t="shared" si="819"/>
        <v>0</v>
      </c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82"/>
      <c r="BY294" s="85"/>
    </row>
    <row r="295" spans="1:77" s="194" customFormat="1" hidden="1" outlineLevel="1" x14ac:dyDescent="0.2">
      <c r="A295" s="137"/>
      <c r="B295" s="419" t="s">
        <v>591</v>
      </c>
      <c r="C295" s="418"/>
      <c r="D295" s="80">
        <f t="shared" si="809"/>
        <v>0</v>
      </c>
      <c r="E295" s="295">
        <f t="shared" si="810"/>
        <v>0</v>
      </c>
      <c r="F295" s="81"/>
      <c r="G295" s="81">
        <f t="shared" si="811"/>
        <v>0</v>
      </c>
      <c r="H295" s="81">
        <f t="shared" si="812"/>
        <v>0</v>
      </c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>
        <f t="shared" si="813"/>
        <v>0</v>
      </c>
      <c r="AD295" s="81">
        <f t="shared" si="814"/>
        <v>0</v>
      </c>
      <c r="AE295" s="81"/>
      <c r="AF295" s="81"/>
      <c r="AG295" s="81"/>
      <c r="AH295" s="81">
        <f>93059-93059</f>
        <v>0</v>
      </c>
      <c r="AI295" s="81"/>
      <c r="AJ295" s="81"/>
      <c r="AK295" s="81"/>
      <c r="AL295" s="81"/>
      <c r="AM295" s="81"/>
      <c r="AN295" s="81"/>
      <c r="AO295" s="81"/>
      <c r="AP295" s="98">
        <f t="shared" si="815"/>
        <v>0</v>
      </c>
      <c r="AQ295" s="98">
        <f t="shared" si="816"/>
        <v>0</v>
      </c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81">
        <f t="shared" si="817"/>
        <v>0</v>
      </c>
      <c r="BD295" s="98">
        <f t="shared" si="820"/>
        <v>0</v>
      </c>
      <c r="BE295" s="98"/>
      <c r="BF295" s="98"/>
      <c r="BG295" s="98"/>
      <c r="BH295" s="98"/>
      <c r="BI295" s="98"/>
      <c r="BJ295" s="81"/>
      <c r="BK295" s="81">
        <f t="shared" si="818"/>
        <v>0</v>
      </c>
      <c r="BL295" s="81">
        <f t="shared" si="819"/>
        <v>0</v>
      </c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82"/>
      <c r="BY295" s="85"/>
    </row>
    <row r="296" spans="1:77" s="194" customFormat="1" hidden="1" outlineLevel="1" x14ac:dyDescent="0.2">
      <c r="A296" s="137"/>
      <c r="B296" s="419" t="s">
        <v>147</v>
      </c>
      <c r="C296" s="418"/>
      <c r="D296" s="80">
        <f t="shared" si="809"/>
        <v>0</v>
      </c>
      <c r="E296" s="295">
        <f t="shared" si="810"/>
        <v>0</v>
      </c>
      <c r="F296" s="81"/>
      <c r="G296" s="81">
        <f t="shared" si="811"/>
        <v>0</v>
      </c>
      <c r="H296" s="81">
        <f t="shared" si="812"/>
        <v>0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>
        <f t="shared" si="813"/>
        <v>0</v>
      </c>
      <c r="AD296" s="81">
        <f t="shared" si="814"/>
        <v>0</v>
      </c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98">
        <f t="shared" si="815"/>
        <v>0</v>
      </c>
      <c r="AQ296" s="98">
        <f t="shared" si="816"/>
        <v>0</v>
      </c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81">
        <f t="shared" si="817"/>
        <v>0</v>
      </c>
      <c r="BD296" s="98">
        <f t="shared" si="820"/>
        <v>0</v>
      </c>
      <c r="BE296" s="98"/>
      <c r="BF296" s="98"/>
      <c r="BG296" s="98"/>
      <c r="BH296" s="98"/>
      <c r="BI296" s="98"/>
      <c r="BJ296" s="81"/>
      <c r="BK296" s="81">
        <f t="shared" si="818"/>
        <v>0</v>
      </c>
      <c r="BL296" s="81">
        <f t="shared" si="819"/>
        <v>0</v>
      </c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/>
      <c r="BX296" s="82"/>
      <c r="BY296" s="85"/>
    </row>
    <row r="297" spans="1:77" s="194" customFormat="1" hidden="1" outlineLevel="1" x14ac:dyDescent="0.2">
      <c r="A297" s="137"/>
      <c r="B297" s="419" t="s">
        <v>143</v>
      </c>
      <c r="C297" s="418"/>
      <c r="D297" s="80">
        <f t="shared" si="809"/>
        <v>0</v>
      </c>
      <c r="E297" s="295">
        <f t="shared" si="810"/>
        <v>0</v>
      </c>
      <c r="F297" s="81"/>
      <c r="G297" s="81">
        <f t="shared" si="811"/>
        <v>0</v>
      </c>
      <c r="H297" s="81">
        <f t="shared" si="812"/>
        <v>0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>
        <f t="shared" si="813"/>
        <v>0</v>
      </c>
      <c r="AD297" s="81">
        <f t="shared" si="814"/>
        <v>0</v>
      </c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98">
        <f t="shared" si="815"/>
        <v>0</v>
      </c>
      <c r="AQ297" s="98">
        <f t="shared" si="816"/>
        <v>0</v>
      </c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81">
        <f t="shared" si="817"/>
        <v>0</v>
      </c>
      <c r="BD297" s="98">
        <f t="shared" si="820"/>
        <v>0</v>
      </c>
      <c r="BE297" s="98"/>
      <c r="BF297" s="98"/>
      <c r="BG297" s="98"/>
      <c r="BH297" s="98"/>
      <c r="BI297" s="98"/>
      <c r="BJ297" s="81"/>
      <c r="BK297" s="81">
        <f t="shared" si="818"/>
        <v>0</v>
      </c>
      <c r="BL297" s="81">
        <f t="shared" si="819"/>
        <v>0</v>
      </c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82"/>
      <c r="BY297" s="85"/>
    </row>
    <row r="298" spans="1:77" s="194" customFormat="1" hidden="1" outlineLevel="1" x14ac:dyDescent="0.2">
      <c r="A298" s="137"/>
      <c r="B298" s="419" t="s">
        <v>169</v>
      </c>
      <c r="C298" s="418"/>
      <c r="D298" s="80">
        <f t="shared" si="809"/>
        <v>0</v>
      </c>
      <c r="E298" s="295">
        <f t="shared" si="810"/>
        <v>1669</v>
      </c>
      <c r="F298" s="81"/>
      <c r="G298" s="81">
        <f t="shared" si="811"/>
        <v>1669</v>
      </c>
      <c r="H298" s="81">
        <f t="shared" si="812"/>
        <v>1669</v>
      </c>
      <c r="I298" s="81"/>
      <c r="J298" s="81"/>
      <c r="K298" s="81">
        <v>1669</v>
      </c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>
        <f t="shared" si="813"/>
        <v>0</v>
      </c>
      <c r="AD298" s="81">
        <f t="shared" si="814"/>
        <v>0</v>
      </c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98">
        <f t="shared" si="815"/>
        <v>0</v>
      </c>
      <c r="AQ298" s="98">
        <f t="shared" si="816"/>
        <v>0</v>
      </c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81">
        <f t="shared" si="817"/>
        <v>0</v>
      </c>
      <c r="BD298" s="98">
        <f t="shared" si="820"/>
        <v>0</v>
      </c>
      <c r="BE298" s="98"/>
      <c r="BF298" s="98"/>
      <c r="BG298" s="98"/>
      <c r="BH298" s="98"/>
      <c r="BI298" s="98"/>
      <c r="BJ298" s="81"/>
      <c r="BK298" s="81">
        <f t="shared" si="818"/>
        <v>0</v>
      </c>
      <c r="BL298" s="81">
        <f t="shared" si="819"/>
        <v>0</v>
      </c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82"/>
      <c r="BY298" s="85"/>
    </row>
    <row r="299" spans="1:77" s="194" customFormat="1" ht="13.5" hidden="1" outlineLevel="1" thickBot="1" x14ac:dyDescent="0.25">
      <c r="A299" s="137"/>
      <c r="B299" s="411"/>
      <c r="C299" s="412"/>
      <c r="D299" s="139"/>
      <c r="E299" s="299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203">
        <f t="shared" si="815"/>
        <v>0</v>
      </c>
      <c r="AQ299" s="203">
        <f t="shared" si="816"/>
        <v>0</v>
      </c>
      <c r="AR299" s="203"/>
      <c r="AS299" s="203"/>
      <c r="AT299" s="203"/>
      <c r="AU299" s="203"/>
      <c r="AV299" s="203"/>
      <c r="AW299" s="203"/>
      <c r="AX299" s="203"/>
      <c r="AY299" s="203"/>
      <c r="AZ299" s="203"/>
      <c r="BA299" s="203"/>
      <c r="BB299" s="203"/>
      <c r="BC299" s="170"/>
      <c r="BD299" s="203"/>
      <c r="BE299" s="203"/>
      <c r="BF299" s="203"/>
      <c r="BG299" s="203"/>
      <c r="BH299" s="203"/>
      <c r="BI299" s="203"/>
      <c r="BJ299" s="170"/>
      <c r="BK299" s="311"/>
      <c r="BL299" s="203"/>
      <c r="BM299" s="203"/>
      <c r="BN299" s="203"/>
      <c r="BO299" s="203"/>
      <c r="BP299" s="203"/>
      <c r="BQ299" s="203"/>
      <c r="BR299" s="203"/>
      <c r="BS299" s="203"/>
      <c r="BT299" s="203"/>
      <c r="BU299" s="203"/>
      <c r="BV299" s="203"/>
      <c r="BW299" s="203"/>
      <c r="BX299" s="204"/>
      <c r="BY299" s="88"/>
    </row>
    <row r="300" spans="1:77" s="194" customFormat="1" ht="13.5" customHeight="1" collapsed="1" thickTop="1" x14ac:dyDescent="0.2">
      <c r="A300" s="224" t="s">
        <v>606</v>
      </c>
      <c r="B300" s="225" t="s">
        <v>607</v>
      </c>
      <c r="C300" s="328"/>
      <c r="D300" s="226">
        <f t="shared" ref="D300:E300" si="848">D301+D303+D308+D312+D316</f>
        <v>5245096</v>
      </c>
      <c r="E300" s="302">
        <f t="shared" si="848"/>
        <v>5283045</v>
      </c>
      <c r="F300" s="227">
        <f t="shared" ref="F300:BW300" si="849">F301+F303+F308+F312+F316</f>
        <v>5010096</v>
      </c>
      <c r="G300" s="227">
        <f t="shared" si="849"/>
        <v>5048045</v>
      </c>
      <c r="H300" s="227">
        <f t="shared" ref="H300" si="850">H301+H303+H308+H312+H316</f>
        <v>37949</v>
      </c>
      <c r="I300" s="227">
        <f t="shared" si="849"/>
        <v>0</v>
      </c>
      <c r="J300" s="227">
        <f t="shared" ref="J300" si="851">J301+J303+J308+J312+J316</f>
        <v>0</v>
      </c>
      <c r="K300" s="227">
        <f t="shared" si="849"/>
        <v>0</v>
      </c>
      <c r="L300" s="227">
        <f t="shared" si="849"/>
        <v>0</v>
      </c>
      <c r="M300" s="227">
        <f t="shared" si="849"/>
        <v>0</v>
      </c>
      <c r="N300" s="227">
        <f t="shared" si="849"/>
        <v>0</v>
      </c>
      <c r="O300" s="227">
        <f t="shared" si="849"/>
        <v>0</v>
      </c>
      <c r="P300" s="227">
        <f t="shared" si="849"/>
        <v>0</v>
      </c>
      <c r="Q300" s="227">
        <f t="shared" si="849"/>
        <v>0</v>
      </c>
      <c r="R300" s="227">
        <f t="shared" si="849"/>
        <v>0</v>
      </c>
      <c r="S300" s="227">
        <f t="shared" si="849"/>
        <v>0</v>
      </c>
      <c r="T300" s="227"/>
      <c r="U300" s="227">
        <f t="shared" si="849"/>
        <v>0</v>
      </c>
      <c r="V300" s="227"/>
      <c r="W300" s="227">
        <f t="shared" si="849"/>
        <v>37949</v>
      </c>
      <c r="X300" s="227">
        <f t="shared" ref="X300" si="852">X301+X303+X308+X312+X316</f>
        <v>0</v>
      </c>
      <c r="Y300" s="227">
        <f t="shared" si="849"/>
        <v>0</v>
      </c>
      <c r="Z300" s="227">
        <f t="shared" ref="Z300" si="853">Z301+Z303+Z308+Z312+Z316</f>
        <v>0</v>
      </c>
      <c r="AA300" s="227">
        <f t="shared" si="849"/>
        <v>0</v>
      </c>
      <c r="AB300" s="227">
        <f t="shared" si="849"/>
        <v>235000</v>
      </c>
      <c r="AC300" s="227">
        <f t="shared" ref="AC300:AN300" si="854">AC301+AC303+AC308+AC312+AC316</f>
        <v>235000</v>
      </c>
      <c r="AD300" s="227">
        <f t="shared" si="854"/>
        <v>0</v>
      </c>
      <c r="AE300" s="227">
        <f t="shared" si="854"/>
        <v>0</v>
      </c>
      <c r="AF300" s="227">
        <f t="shared" si="854"/>
        <v>0</v>
      </c>
      <c r="AG300" s="227">
        <f t="shared" si="854"/>
        <v>0</v>
      </c>
      <c r="AH300" s="227">
        <f t="shared" si="854"/>
        <v>0</v>
      </c>
      <c r="AI300" s="227">
        <f t="shared" si="854"/>
        <v>0</v>
      </c>
      <c r="AJ300" s="227">
        <f t="shared" si="854"/>
        <v>0</v>
      </c>
      <c r="AK300" s="227">
        <f t="shared" si="854"/>
        <v>0</v>
      </c>
      <c r="AL300" s="227">
        <f t="shared" si="854"/>
        <v>0</v>
      </c>
      <c r="AM300" s="227">
        <f t="shared" si="854"/>
        <v>0</v>
      </c>
      <c r="AN300" s="227">
        <f t="shared" si="854"/>
        <v>0</v>
      </c>
      <c r="AO300" s="227">
        <f t="shared" si="849"/>
        <v>0</v>
      </c>
      <c r="AP300" s="228">
        <f t="shared" si="849"/>
        <v>0</v>
      </c>
      <c r="AQ300" s="228">
        <f t="shared" si="849"/>
        <v>0</v>
      </c>
      <c r="AR300" s="228">
        <f t="shared" si="849"/>
        <v>0</v>
      </c>
      <c r="AS300" s="228">
        <f t="shared" si="849"/>
        <v>0</v>
      </c>
      <c r="AT300" s="228">
        <f t="shared" si="849"/>
        <v>0</v>
      </c>
      <c r="AU300" s="228">
        <f t="shared" si="849"/>
        <v>0</v>
      </c>
      <c r="AV300" s="228">
        <f t="shared" si="849"/>
        <v>0</v>
      </c>
      <c r="AW300" s="228">
        <f t="shared" si="849"/>
        <v>0</v>
      </c>
      <c r="AX300" s="228">
        <f t="shared" si="849"/>
        <v>0</v>
      </c>
      <c r="AY300" s="228">
        <f t="shared" si="849"/>
        <v>0</v>
      </c>
      <c r="AZ300" s="228">
        <f t="shared" si="849"/>
        <v>0</v>
      </c>
      <c r="BA300" s="228">
        <f t="shared" si="849"/>
        <v>0</v>
      </c>
      <c r="BB300" s="228">
        <f t="shared" si="849"/>
        <v>0</v>
      </c>
      <c r="BC300" s="227">
        <f t="shared" ref="BC300:BI300" si="855">BC301+BC303+BC308+BC312+BC316</f>
        <v>0</v>
      </c>
      <c r="BD300" s="228">
        <f t="shared" si="855"/>
        <v>0</v>
      </c>
      <c r="BE300" s="228">
        <f t="shared" si="855"/>
        <v>0</v>
      </c>
      <c r="BF300" s="228">
        <f t="shared" si="855"/>
        <v>0</v>
      </c>
      <c r="BG300" s="228">
        <f t="shared" si="855"/>
        <v>0</v>
      </c>
      <c r="BH300" s="228">
        <f t="shared" si="855"/>
        <v>0</v>
      </c>
      <c r="BI300" s="228">
        <f t="shared" si="855"/>
        <v>0</v>
      </c>
      <c r="BJ300" s="227">
        <f t="shared" si="849"/>
        <v>0</v>
      </c>
      <c r="BK300" s="314">
        <f t="shared" si="849"/>
        <v>0</v>
      </c>
      <c r="BL300" s="228">
        <f t="shared" si="849"/>
        <v>0</v>
      </c>
      <c r="BM300" s="228">
        <f t="shared" si="849"/>
        <v>0</v>
      </c>
      <c r="BN300" s="228">
        <f t="shared" si="849"/>
        <v>0</v>
      </c>
      <c r="BO300" s="228">
        <f t="shared" si="849"/>
        <v>0</v>
      </c>
      <c r="BP300" s="228">
        <f t="shared" si="849"/>
        <v>0</v>
      </c>
      <c r="BQ300" s="228">
        <f t="shared" si="849"/>
        <v>0</v>
      </c>
      <c r="BR300" s="228">
        <f t="shared" si="849"/>
        <v>0</v>
      </c>
      <c r="BS300" s="228">
        <f t="shared" si="849"/>
        <v>0</v>
      </c>
      <c r="BT300" s="228">
        <f t="shared" si="849"/>
        <v>0</v>
      </c>
      <c r="BU300" s="228">
        <f t="shared" si="849"/>
        <v>0</v>
      </c>
      <c r="BV300" s="228">
        <f t="shared" ref="BV300" si="856">BV301+BV303+BV308+BV312+BV316</f>
        <v>0</v>
      </c>
      <c r="BW300" s="228">
        <f t="shared" si="849"/>
        <v>0</v>
      </c>
      <c r="BX300" s="229"/>
      <c r="BY300" s="230"/>
    </row>
    <row r="301" spans="1:77" s="198" customFormat="1" ht="13.5" customHeight="1" x14ac:dyDescent="0.2">
      <c r="A301" s="237" t="s">
        <v>7</v>
      </c>
      <c r="B301" s="231" t="s">
        <v>8</v>
      </c>
      <c r="C301" s="329"/>
      <c r="D301" s="232">
        <f t="shared" ref="D301:BW301" si="857">SUM(D302:D302)</f>
        <v>808099</v>
      </c>
      <c r="E301" s="303">
        <f t="shared" si="857"/>
        <v>808099</v>
      </c>
      <c r="F301" s="233">
        <f t="shared" si="857"/>
        <v>573099</v>
      </c>
      <c r="G301" s="233">
        <f t="shared" si="857"/>
        <v>573099</v>
      </c>
      <c r="H301" s="233">
        <f t="shared" si="857"/>
        <v>0</v>
      </c>
      <c r="I301" s="233">
        <f t="shared" si="857"/>
        <v>0</v>
      </c>
      <c r="J301" s="233">
        <f t="shared" si="857"/>
        <v>0</v>
      </c>
      <c r="K301" s="233">
        <f t="shared" si="857"/>
        <v>0</v>
      </c>
      <c r="L301" s="233">
        <f t="shared" si="857"/>
        <v>0</v>
      </c>
      <c r="M301" s="233">
        <f t="shared" si="857"/>
        <v>0</v>
      </c>
      <c r="N301" s="233">
        <f t="shared" si="857"/>
        <v>0</v>
      </c>
      <c r="O301" s="233">
        <f t="shared" si="857"/>
        <v>0</v>
      </c>
      <c r="P301" s="233">
        <f t="shared" si="857"/>
        <v>0</v>
      </c>
      <c r="Q301" s="233">
        <f t="shared" si="857"/>
        <v>0</v>
      </c>
      <c r="R301" s="233">
        <f t="shared" si="857"/>
        <v>0</v>
      </c>
      <c r="S301" s="233">
        <f t="shared" si="857"/>
        <v>0</v>
      </c>
      <c r="T301" s="233"/>
      <c r="U301" s="233">
        <f t="shared" si="857"/>
        <v>0</v>
      </c>
      <c r="V301" s="233"/>
      <c r="W301" s="233">
        <f t="shared" si="857"/>
        <v>0</v>
      </c>
      <c r="X301" s="233">
        <f t="shared" si="857"/>
        <v>0</v>
      </c>
      <c r="Y301" s="233">
        <f t="shared" si="857"/>
        <v>0</v>
      </c>
      <c r="Z301" s="233">
        <f t="shared" si="857"/>
        <v>0</v>
      </c>
      <c r="AA301" s="233">
        <f t="shared" si="857"/>
        <v>0</v>
      </c>
      <c r="AB301" s="233">
        <f t="shared" si="857"/>
        <v>235000</v>
      </c>
      <c r="AC301" s="233">
        <f t="shared" si="857"/>
        <v>235000</v>
      </c>
      <c r="AD301" s="233">
        <f t="shared" si="857"/>
        <v>0</v>
      </c>
      <c r="AE301" s="233">
        <f t="shared" si="857"/>
        <v>0</v>
      </c>
      <c r="AF301" s="233">
        <f t="shared" si="857"/>
        <v>0</v>
      </c>
      <c r="AG301" s="233">
        <f t="shared" si="857"/>
        <v>0</v>
      </c>
      <c r="AH301" s="233">
        <f t="shared" si="857"/>
        <v>0</v>
      </c>
      <c r="AI301" s="233">
        <f t="shared" si="857"/>
        <v>0</v>
      </c>
      <c r="AJ301" s="233">
        <f t="shared" si="857"/>
        <v>0</v>
      </c>
      <c r="AK301" s="233">
        <f t="shared" si="857"/>
        <v>0</v>
      </c>
      <c r="AL301" s="233">
        <f t="shared" si="857"/>
        <v>0</v>
      </c>
      <c r="AM301" s="233">
        <f t="shared" si="857"/>
        <v>0</v>
      </c>
      <c r="AN301" s="233">
        <f t="shared" si="857"/>
        <v>0</v>
      </c>
      <c r="AO301" s="233">
        <f t="shared" si="857"/>
        <v>0</v>
      </c>
      <c r="AP301" s="234">
        <f t="shared" si="857"/>
        <v>0</v>
      </c>
      <c r="AQ301" s="234">
        <f t="shared" si="857"/>
        <v>0</v>
      </c>
      <c r="AR301" s="234">
        <f t="shared" si="857"/>
        <v>0</v>
      </c>
      <c r="AS301" s="234">
        <f t="shared" si="857"/>
        <v>0</v>
      </c>
      <c r="AT301" s="234">
        <f t="shared" si="857"/>
        <v>0</v>
      </c>
      <c r="AU301" s="234">
        <f t="shared" si="857"/>
        <v>0</v>
      </c>
      <c r="AV301" s="234">
        <f t="shared" si="857"/>
        <v>0</v>
      </c>
      <c r="AW301" s="234">
        <f t="shared" si="857"/>
        <v>0</v>
      </c>
      <c r="AX301" s="234">
        <f t="shared" si="857"/>
        <v>0</v>
      </c>
      <c r="AY301" s="234">
        <f t="shared" si="857"/>
        <v>0</v>
      </c>
      <c r="AZ301" s="234">
        <f t="shared" si="857"/>
        <v>0</v>
      </c>
      <c r="BA301" s="234">
        <f t="shared" si="857"/>
        <v>0</v>
      </c>
      <c r="BB301" s="234">
        <f t="shared" si="857"/>
        <v>0</v>
      </c>
      <c r="BC301" s="233">
        <f t="shared" si="857"/>
        <v>0</v>
      </c>
      <c r="BD301" s="234">
        <f t="shared" si="857"/>
        <v>0</v>
      </c>
      <c r="BE301" s="234">
        <f t="shared" si="857"/>
        <v>0</v>
      </c>
      <c r="BF301" s="234">
        <f t="shared" si="857"/>
        <v>0</v>
      </c>
      <c r="BG301" s="234">
        <f t="shared" si="857"/>
        <v>0</v>
      </c>
      <c r="BH301" s="234">
        <f t="shared" si="857"/>
        <v>0</v>
      </c>
      <c r="BI301" s="234">
        <f t="shared" si="857"/>
        <v>0</v>
      </c>
      <c r="BJ301" s="233">
        <f t="shared" si="857"/>
        <v>0</v>
      </c>
      <c r="BK301" s="315">
        <f t="shared" si="857"/>
        <v>0</v>
      </c>
      <c r="BL301" s="234">
        <f t="shared" si="857"/>
        <v>0</v>
      </c>
      <c r="BM301" s="234">
        <f t="shared" si="857"/>
        <v>0</v>
      </c>
      <c r="BN301" s="234">
        <f t="shared" si="857"/>
        <v>0</v>
      </c>
      <c r="BO301" s="234">
        <f t="shared" si="857"/>
        <v>0</v>
      </c>
      <c r="BP301" s="234">
        <f t="shared" si="857"/>
        <v>0</v>
      </c>
      <c r="BQ301" s="234">
        <f t="shared" si="857"/>
        <v>0</v>
      </c>
      <c r="BR301" s="234">
        <f t="shared" si="857"/>
        <v>0</v>
      </c>
      <c r="BS301" s="234">
        <f t="shared" si="857"/>
        <v>0</v>
      </c>
      <c r="BT301" s="234">
        <f t="shared" si="857"/>
        <v>0</v>
      </c>
      <c r="BU301" s="234">
        <f t="shared" si="857"/>
        <v>0</v>
      </c>
      <c r="BV301" s="234">
        <f t="shared" si="857"/>
        <v>0</v>
      </c>
      <c r="BW301" s="234">
        <f t="shared" si="857"/>
        <v>0</v>
      </c>
      <c r="BX301" s="235"/>
      <c r="BY301" s="236"/>
    </row>
    <row r="302" spans="1:77" s="194" customFormat="1" ht="13.5" customHeight="1" x14ac:dyDescent="0.2">
      <c r="A302" s="108"/>
      <c r="B302" s="424" t="s">
        <v>592</v>
      </c>
      <c r="C302" s="425"/>
      <c r="D302" s="80">
        <f>F302+AB302+AO302+BB302+BJ302</f>
        <v>808099</v>
      </c>
      <c r="E302" s="295">
        <f>G302+AC302+AP302+BC302+BK302</f>
        <v>808099</v>
      </c>
      <c r="F302" s="81">
        <v>573099</v>
      </c>
      <c r="G302" s="81">
        <f>F302+H302</f>
        <v>573099</v>
      </c>
      <c r="H302" s="81">
        <f>SUM(I302:AA302)</f>
        <v>0</v>
      </c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>
        <v>235000</v>
      </c>
      <c r="AC302" s="81">
        <f>AB302+AD302</f>
        <v>235000</v>
      </c>
      <c r="AD302" s="81">
        <f>SUM(AE302:AN302)</f>
        <v>0</v>
      </c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98">
        <f>AO302+AQ302</f>
        <v>0</v>
      </c>
      <c r="AQ302" s="98">
        <f>SUM(AR302:BA302)</f>
        <v>0</v>
      </c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81">
        <f>BB302+BD302</f>
        <v>0</v>
      </c>
      <c r="BD302" s="98">
        <f>SUM(BE302:BI302)</f>
        <v>0</v>
      </c>
      <c r="BE302" s="98"/>
      <c r="BF302" s="98"/>
      <c r="BG302" s="98"/>
      <c r="BH302" s="98"/>
      <c r="BI302" s="98"/>
      <c r="BJ302" s="81"/>
      <c r="BK302" s="309">
        <f>BJ302+BL302</f>
        <v>0</v>
      </c>
      <c r="BL302" s="98">
        <f>SUM(BM302:BW302)</f>
        <v>0</v>
      </c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/>
      <c r="BX302" s="82"/>
      <c r="BY302" s="85"/>
    </row>
    <row r="303" spans="1:77" s="198" customFormat="1" ht="14.25" customHeight="1" x14ac:dyDescent="0.2">
      <c r="A303" s="237" t="s">
        <v>11</v>
      </c>
      <c r="B303" s="231" t="s">
        <v>166</v>
      </c>
      <c r="C303" s="329"/>
      <c r="D303" s="232">
        <f t="shared" ref="D303:E303" si="858">SUM(D304:D307)</f>
        <v>1719081</v>
      </c>
      <c r="E303" s="303">
        <f t="shared" si="858"/>
        <v>1757030</v>
      </c>
      <c r="F303" s="233">
        <f t="shared" ref="F303:BW303" si="859">SUM(F304:F307)</f>
        <v>1719081</v>
      </c>
      <c r="G303" s="233">
        <f t="shared" si="859"/>
        <v>1757030</v>
      </c>
      <c r="H303" s="233">
        <f t="shared" ref="H303" si="860">SUM(H304:H307)</f>
        <v>37949</v>
      </c>
      <c r="I303" s="233">
        <f t="shared" si="859"/>
        <v>0</v>
      </c>
      <c r="J303" s="233">
        <f t="shared" ref="J303" si="861">SUM(J304:J307)</f>
        <v>0</v>
      </c>
      <c r="K303" s="233">
        <f t="shared" si="859"/>
        <v>0</v>
      </c>
      <c r="L303" s="233">
        <f t="shared" si="859"/>
        <v>0</v>
      </c>
      <c r="M303" s="233">
        <f t="shared" si="859"/>
        <v>0</v>
      </c>
      <c r="N303" s="233">
        <f t="shared" si="859"/>
        <v>0</v>
      </c>
      <c r="O303" s="233">
        <f t="shared" si="859"/>
        <v>0</v>
      </c>
      <c r="P303" s="233">
        <f t="shared" si="859"/>
        <v>0</v>
      </c>
      <c r="Q303" s="233">
        <f t="shared" si="859"/>
        <v>0</v>
      </c>
      <c r="R303" s="233">
        <f t="shared" si="859"/>
        <v>0</v>
      </c>
      <c r="S303" s="233">
        <f t="shared" si="859"/>
        <v>0</v>
      </c>
      <c r="T303" s="233"/>
      <c r="U303" s="233">
        <f t="shared" si="859"/>
        <v>0</v>
      </c>
      <c r="V303" s="233"/>
      <c r="W303" s="233">
        <f t="shared" si="859"/>
        <v>37949</v>
      </c>
      <c r="X303" s="233">
        <f t="shared" ref="X303" si="862">SUM(X304:X307)</f>
        <v>0</v>
      </c>
      <c r="Y303" s="233">
        <f t="shared" si="859"/>
        <v>0</v>
      </c>
      <c r="Z303" s="233">
        <f t="shared" ref="Z303" si="863">SUM(Z304:Z307)</f>
        <v>0</v>
      </c>
      <c r="AA303" s="233">
        <f t="shared" si="859"/>
        <v>0</v>
      </c>
      <c r="AB303" s="233">
        <f t="shared" si="859"/>
        <v>0</v>
      </c>
      <c r="AC303" s="233">
        <f t="shared" ref="AC303:AN303" si="864">SUM(AC304:AC307)</f>
        <v>0</v>
      </c>
      <c r="AD303" s="233">
        <f t="shared" si="864"/>
        <v>0</v>
      </c>
      <c r="AE303" s="233">
        <f t="shared" si="864"/>
        <v>0</v>
      </c>
      <c r="AF303" s="233">
        <f t="shared" si="864"/>
        <v>0</v>
      </c>
      <c r="AG303" s="233">
        <f t="shared" si="864"/>
        <v>0</v>
      </c>
      <c r="AH303" s="233">
        <f t="shared" si="864"/>
        <v>0</v>
      </c>
      <c r="AI303" s="233">
        <f t="shared" si="864"/>
        <v>0</v>
      </c>
      <c r="AJ303" s="233">
        <f t="shared" si="864"/>
        <v>0</v>
      </c>
      <c r="AK303" s="233">
        <f t="shared" si="864"/>
        <v>0</v>
      </c>
      <c r="AL303" s="233">
        <f t="shared" si="864"/>
        <v>0</v>
      </c>
      <c r="AM303" s="233">
        <f t="shared" si="864"/>
        <v>0</v>
      </c>
      <c r="AN303" s="233">
        <f t="shared" si="864"/>
        <v>0</v>
      </c>
      <c r="AO303" s="233">
        <f t="shared" si="859"/>
        <v>0</v>
      </c>
      <c r="AP303" s="234">
        <f t="shared" si="859"/>
        <v>0</v>
      </c>
      <c r="AQ303" s="234">
        <f t="shared" si="859"/>
        <v>0</v>
      </c>
      <c r="AR303" s="234">
        <f t="shared" si="859"/>
        <v>0</v>
      </c>
      <c r="AS303" s="234">
        <f t="shared" si="859"/>
        <v>0</v>
      </c>
      <c r="AT303" s="234">
        <f t="shared" si="859"/>
        <v>0</v>
      </c>
      <c r="AU303" s="234">
        <f t="shared" si="859"/>
        <v>0</v>
      </c>
      <c r="AV303" s="234">
        <f t="shared" si="859"/>
        <v>0</v>
      </c>
      <c r="AW303" s="234">
        <f t="shared" si="859"/>
        <v>0</v>
      </c>
      <c r="AX303" s="234">
        <f t="shared" si="859"/>
        <v>0</v>
      </c>
      <c r="AY303" s="234">
        <f t="shared" si="859"/>
        <v>0</v>
      </c>
      <c r="AZ303" s="234">
        <f t="shared" si="859"/>
        <v>0</v>
      </c>
      <c r="BA303" s="234">
        <f t="shared" si="859"/>
        <v>0</v>
      </c>
      <c r="BB303" s="234">
        <f t="shared" si="859"/>
        <v>0</v>
      </c>
      <c r="BC303" s="233">
        <f t="shared" ref="BC303:BI303" si="865">SUM(BC304:BC307)</f>
        <v>0</v>
      </c>
      <c r="BD303" s="234">
        <f t="shared" si="865"/>
        <v>0</v>
      </c>
      <c r="BE303" s="234">
        <f t="shared" si="865"/>
        <v>0</v>
      </c>
      <c r="BF303" s="234">
        <f t="shared" si="865"/>
        <v>0</v>
      </c>
      <c r="BG303" s="234">
        <f t="shared" si="865"/>
        <v>0</v>
      </c>
      <c r="BH303" s="234">
        <f t="shared" si="865"/>
        <v>0</v>
      </c>
      <c r="BI303" s="234">
        <f t="shared" si="865"/>
        <v>0</v>
      </c>
      <c r="BJ303" s="233">
        <f t="shared" si="859"/>
        <v>0</v>
      </c>
      <c r="BK303" s="315">
        <f t="shared" si="859"/>
        <v>0</v>
      </c>
      <c r="BL303" s="234">
        <f t="shared" si="859"/>
        <v>0</v>
      </c>
      <c r="BM303" s="234">
        <f t="shared" si="859"/>
        <v>0</v>
      </c>
      <c r="BN303" s="234">
        <f t="shared" si="859"/>
        <v>0</v>
      </c>
      <c r="BO303" s="234">
        <f t="shared" si="859"/>
        <v>0</v>
      </c>
      <c r="BP303" s="234">
        <f t="shared" si="859"/>
        <v>0</v>
      </c>
      <c r="BQ303" s="234">
        <f t="shared" si="859"/>
        <v>0</v>
      </c>
      <c r="BR303" s="234">
        <f t="shared" si="859"/>
        <v>0</v>
      </c>
      <c r="BS303" s="234">
        <f t="shared" si="859"/>
        <v>0</v>
      </c>
      <c r="BT303" s="234">
        <f t="shared" si="859"/>
        <v>0</v>
      </c>
      <c r="BU303" s="234">
        <f t="shared" si="859"/>
        <v>0</v>
      </c>
      <c r="BV303" s="234">
        <f t="shared" ref="BV303" si="866">SUM(BV304:BV307)</f>
        <v>0</v>
      </c>
      <c r="BW303" s="234">
        <f t="shared" si="859"/>
        <v>0</v>
      </c>
      <c r="BX303" s="235"/>
      <c r="BY303" s="236"/>
    </row>
    <row r="304" spans="1:77" s="194" customFormat="1" ht="27.75" customHeight="1" x14ac:dyDescent="0.2">
      <c r="A304" s="108"/>
      <c r="B304" s="424" t="s">
        <v>593</v>
      </c>
      <c r="C304" s="425"/>
      <c r="D304" s="80">
        <f t="shared" ref="D304:D307" si="867">F304+AB304+AO304+BB304+BJ304</f>
        <v>650000</v>
      </c>
      <c r="E304" s="295">
        <f t="shared" ref="E304:E307" si="868">G304+AC304+AP304+BC304+BK304</f>
        <v>650000</v>
      </c>
      <c r="F304" s="81">
        <v>650000</v>
      </c>
      <c r="G304" s="81">
        <f t="shared" ref="G304:G307" si="869">F304+H304</f>
        <v>650000</v>
      </c>
      <c r="H304" s="81">
        <f t="shared" ref="H304:H307" si="870">SUM(I304:AA304)</f>
        <v>0</v>
      </c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>
        <f t="shared" ref="AC304:AC307" si="871">AB304+AD304</f>
        <v>0</v>
      </c>
      <c r="AD304" s="81">
        <f t="shared" ref="AD304:AD307" si="872">SUM(AE304:AN304)</f>
        <v>0</v>
      </c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98">
        <f t="shared" ref="AP304:AP307" si="873">AO304+AQ304</f>
        <v>0</v>
      </c>
      <c r="AQ304" s="98">
        <f t="shared" ref="AQ304:AQ307" si="874">SUM(AR304:BA304)</f>
        <v>0</v>
      </c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81">
        <f t="shared" ref="BC304:BC307" si="875">BB304+BD304</f>
        <v>0</v>
      </c>
      <c r="BD304" s="98">
        <f t="shared" ref="BD304:BD307" si="876">SUM(BE304:BI304)</f>
        <v>0</v>
      </c>
      <c r="BE304" s="98"/>
      <c r="BF304" s="98"/>
      <c r="BG304" s="98"/>
      <c r="BH304" s="98"/>
      <c r="BI304" s="98"/>
      <c r="BJ304" s="81"/>
      <c r="BK304" s="309">
        <f t="shared" ref="BK304:BK307" si="877">BJ304+BL304</f>
        <v>0</v>
      </c>
      <c r="BL304" s="98">
        <f t="shared" ref="BL304:BL307" si="878">SUM(BM304:BW304)</f>
        <v>0</v>
      </c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/>
      <c r="BX304" s="82"/>
      <c r="BY304" s="85"/>
    </row>
    <row r="305" spans="1:77" s="194" customFormat="1" ht="27.75" customHeight="1" x14ac:dyDescent="0.2">
      <c r="A305" s="108"/>
      <c r="B305" s="424" t="s">
        <v>594</v>
      </c>
      <c r="C305" s="425"/>
      <c r="D305" s="80">
        <f t="shared" si="867"/>
        <v>320500</v>
      </c>
      <c r="E305" s="295">
        <f t="shared" si="868"/>
        <v>320500</v>
      </c>
      <c r="F305" s="81">
        <v>320500</v>
      </c>
      <c r="G305" s="81">
        <f t="shared" si="869"/>
        <v>320500</v>
      </c>
      <c r="H305" s="81">
        <f t="shared" si="870"/>
        <v>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>
        <f t="shared" si="871"/>
        <v>0</v>
      </c>
      <c r="AD305" s="81">
        <f t="shared" si="872"/>
        <v>0</v>
      </c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98">
        <f t="shared" si="873"/>
        <v>0</v>
      </c>
      <c r="AQ305" s="98">
        <f t="shared" si="874"/>
        <v>0</v>
      </c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81">
        <f t="shared" si="875"/>
        <v>0</v>
      </c>
      <c r="BD305" s="98">
        <f t="shared" si="876"/>
        <v>0</v>
      </c>
      <c r="BE305" s="98"/>
      <c r="BF305" s="98"/>
      <c r="BG305" s="98"/>
      <c r="BH305" s="98"/>
      <c r="BI305" s="98"/>
      <c r="BJ305" s="81"/>
      <c r="BK305" s="309">
        <f t="shared" si="877"/>
        <v>0</v>
      </c>
      <c r="BL305" s="98">
        <f t="shared" si="878"/>
        <v>0</v>
      </c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82"/>
      <c r="BY305" s="85"/>
    </row>
    <row r="306" spans="1:77" s="194" customFormat="1" ht="37.5" customHeight="1" x14ac:dyDescent="0.2">
      <c r="A306" s="108"/>
      <c r="B306" s="424" t="s">
        <v>595</v>
      </c>
      <c r="C306" s="425"/>
      <c r="D306" s="80">
        <f t="shared" si="867"/>
        <v>202540</v>
      </c>
      <c r="E306" s="295">
        <f t="shared" si="868"/>
        <v>202540</v>
      </c>
      <c r="F306" s="81">
        <v>202540</v>
      </c>
      <c r="G306" s="81">
        <f t="shared" si="869"/>
        <v>202540</v>
      </c>
      <c r="H306" s="81">
        <f t="shared" si="870"/>
        <v>0</v>
      </c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>
        <f t="shared" si="871"/>
        <v>0</v>
      </c>
      <c r="AD306" s="81">
        <f t="shared" si="872"/>
        <v>0</v>
      </c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98">
        <f t="shared" si="873"/>
        <v>0</v>
      </c>
      <c r="AQ306" s="98">
        <f t="shared" si="874"/>
        <v>0</v>
      </c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81">
        <f t="shared" si="875"/>
        <v>0</v>
      </c>
      <c r="BD306" s="98">
        <f t="shared" si="876"/>
        <v>0</v>
      </c>
      <c r="BE306" s="98"/>
      <c r="BF306" s="98"/>
      <c r="BG306" s="98"/>
      <c r="BH306" s="98"/>
      <c r="BI306" s="98"/>
      <c r="BJ306" s="81"/>
      <c r="BK306" s="309">
        <f t="shared" si="877"/>
        <v>0</v>
      </c>
      <c r="BL306" s="98">
        <f t="shared" si="878"/>
        <v>0</v>
      </c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82"/>
      <c r="BY306" s="85"/>
    </row>
    <row r="307" spans="1:77" s="194" customFormat="1" ht="37.5" customHeight="1" x14ac:dyDescent="0.2">
      <c r="A307" s="108"/>
      <c r="B307" s="424" t="s">
        <v>475</v>
      </c>
      <c r="C307" s="425"/>
      <c r="D307" s="80">
        <f t="shared" si="867"/>
        <v>546041</v>
      </c>
      <c r="E307" s="295">
        <f t="shared" si="868"/>
        <v>583990</v>
      </c>
      <c r="F307" s="81">
        <v>546041</v>
      </c>
      <c r="G307" s="81">
        <f t="shared" si="869"/>
        <v>583990</v>
      </c>
      <c r="H307" s="81">
        <f t="shared" si="870"/>
        <v>37949</v>
      </c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>
        <v>37949</v>
      </c>
      <c r="X307" s="81"/>
      <c r="Y307" s="81"/>
      <c r="Z307" s="81"/>
      <c r="AA307" s="81"/>
      <c r="AB307" s="81"/>
      <c r="AC307" s="81">
        <f t="shared" si="871"/>
        <v>0</v>
      </c>
      <c r="AD307" s="81">
        <f t="shared" si="872"/>
        <v>0</v>
      </c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98">
        <f t="shared" si="873"/>
        <v>0</v>
      </c>
      <c r="AQ307" s="98">
        <f t="shared" si="874"/>
        <v>0</v>
      </c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81">
        <f t="shared" si="875"/>
        <v>0</v>
      </c>
      <c r="BD307" s="98">
        <f t="shared" si="876"/>
        <v>0</v>
      </c>
      <c r="BE307" s="98"/>
      <c r="BF307" s="98"/>
      <c r="BG307" s="98"/>
      <c r="BH307" s="98"/>
      <c r="BI307" s="98"/>
      <c r="BJ307" s="81"/>
      <c r="BK307" s="309">
        <f t="shared" si="877"/>
        <v>0</v>
      </c>
      <c r="BL307" s="98">
        <f t="shared" si="878"/>
        <v>0</v>
      </c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/>
      <c r="BX307" s="82"/>
      <c r="BY307" s="85"/>
    </row>
    <row r="308" spans="1:77" s="198" customFormat="1" x14ac:dyDescent="0.2">
      <c r="A308" s="237" t="s">
        <v>14</v>
      </c>
      <c r="B308" s="231" t="s">
        <v>15</v>
      </c>
      <c r="C308" s="329"/>
      <c r="D308" s="232">
        <f t="shared" ref="D308:E308" si="879">SUM(D309:D311)</f>
        <v>1678399</v>
      </c>
      <c r="E308" s="303">
        <f t="shared" si="879"/>
        <v>1678399</v>
      </c>
      <c r="F308" s="233">
        <f t="shared" ref="F308:BW308" si="880">SUM(F309:F311)</f>
        <v>1678399</v>
      </c>
      <c r="G308" s="233">
        <f t="shared" si="880"/>
        <v>1678399</v>
      </c>
      <c r="H308" s="233">
        <f t="shared" ref="H308" si="881">SUM(H309:H311)</f>
        <v>0</v>
      </c>
      <c r="I308" s="233">
        <f t="shared" si="880"/>
        <v>0</v>
      </c>
      <c r="J308" s="233">
        <f t="shared" ref="J308" si="882">SUM(J309:J311)</f>
        <v>0</v>
      </c>
      <c r="K308" s="233">
        <f t="shared" si="880"/>
        <v>0</v>
      </c>
      <c r="L308" s="233">
        <f t="shared" si="880"/>
        <v>0</v>
      </c>
      <c r="M308" s="233">
        <f t="shared" si="880"/>
        <v>0</v>
      </c>
      <c r="N308" s="233">
        <f t="shared" si="880"/>
        <v>0</v>
      </c>
      <c r="O308" s="233">
        <f t="shared" si="880"/>
        <v>0</v>
      </c>
      <c r="P308" s="233">
        <f t="shared" si="880"/>
        <v>0</v>
      </c>
      <c r="Q308" s="233">
        <f t="shared" si="880"/>
        <v>0</v>
      </c>
      <c r="R308" s="233">
        <f t="shared" si="880"/>
        <v>0</v>
      </c>
      <c r="S308" s="233">
        <f t="shared" si="880"/>
        <v>0</v>
      </c>
      <c r="T308" s="233"/>
      <c r="U308" s="233">
        <f t="shared" si="880"/>
        <v>0</v>
      </c>
      <c r="V308" s="233"/>
      <c r="W308" s="233">
        <f t="shared" si="880"/>
        <v>0</v>
      </c>
      <c r="X308" s="233">
        <f t="shared" ref="X308" si="883">SUM(X309:X311)</f>
        <v>0</v>
      </c>
      <c r="Y308" s="233">
        <f t="shared" si="880"/>
        <v>0</v>
      </c>
      <c r="Z308" s="233">
        <f t="shared" ref="Z308" si="884">SUM(Z309:Z311)</f>
        <v>0</v>
      </c>
      <c r="AA308" s="233">
        <f t="shared" si="880"/>
        <v>0</v>
      </c>
      <c r="AB308" s="233">
        <f t="shared" si="880"/>
        <v>0</v>
      </c>
      <c r="AC308" s="233">
        <f t="shared" ref="AC308:AN308" si="885">SUM(AC309:AC311)</f>
        <v>0</v>
      </c>
      <c r="AD308" s="233">
        <f t="shared" si="885"/>
        <v>0</v>
      </c>
      <c r="AE308" s="233">
        <f t="shared" si="885"/>
        <v>0</v>
      </c>
      <c r="AF308" s="233">
        <f t="shared" si="885"/>
        <v>0</v>
      </c>
      <c r="AG308" s="233">
        <f t="shared" si="885"/>
        <v>0</v>
      </c>
      <c r="AH308" s="233">
        <f t="shared" si="885"/>
        <v>0</v>
      </c>
      <c r="AI308" s="233">
        <f t="shared" si="885"/>
        <v>0</v>
      </c>
      <c r="AJ308" s="233">
        <f t="shared" si="885"/>
        <v>0</v>
      </c>
      <c r="AK308" s="233">
        <f t="shared" si="885"/>
        <v>0</v>
      </c>
      <c r="AL308" s="233">
        <f t="shared" si="885"/>
        <v>0</v>
      </c>
      <c r="AM308" s="233">
        <f t="shared" si="885"/>
        <v>0</v>
      </c>
      <c r="AN308" s="233">
        <f t="shared" si="885"/>
        <v>0</v>
      </c>
      <c r="AO308" s="233">
        <f t="shared" si="880"/>
        <v>0</v>
      </c>
      <c r="AP308" s="234">
        <f t="shared" si="880"/>
        <v>0</v>
      </c>
      <c r="AQ308" s="234">
        <f t="shared" si="880"/>
        <v>0</v>
      </c>
      <c r="AR308" s="234">
        <f t="shared" si="880"/>
        <v>0</v>
      </c>
      <c r="AS308" s="234">
        <f t="shared" si="880"/>
        <v>0</v>
      </c>
      <c r="AT308" s="234">
        <f t="shared" si="880"/>
        <v>0</v>
      </c>
      <c r="AU308" s="234">
        <f t="shared" si="880"/>
        <v>0</v>
      </c>
      <c r="AV308" s="234">
        <f t="shared" si="880"/>
        <v>0</v>
      </c>
      <c r="AW308" s="234">
        <f t="shared" si="880"/>
        <v>0</v>
      </c>
      <c r="AX308" s="234">
        <f t="shared" si="880"/>
        <v>0</v>
      </c>
      <c r="AY308" s="234">
        <f t="shared" si="880"/>
        <v>0</v>
      </c>
      <c r="AZ308" s="234">
        <f t="shared" si="880"/>
        <v>0</v>
      </c>
      <c r="BA308" s="234">
        <f t="shared" si="880"/>
        <v>0</v>
      </c>
      <c r="BB308" s="234">
        <f t="shared" si="880"/>
        <v>0</v>
      </c>
      <c r="BC308" s="233">
        <f t="shared" ref="BC308:BI308" si="886">SUM(BC309:BC311)</f>
        <v>0</v>
      </c>
      <c r="BD308" s="234">
        <f t="shared" si="886"/>
        <v>0</v>
      </c>
      <c r="BE308" s="234">
        <f t="shared" si="886"/>
        <v>0</v>
      </c>
      <c r="BF308" s="234">
        <f t="shared" si="886"/>
        <v>0</v>
      </c>
      <c r="BG308" s="234">
        <f t="shared" si="886"/>
        <v>0</v>
      </c>
      <c r="BH308" s="234">
        <f t="shared" si="886"/>
        <v>0</v>
      </c>
      <c r="BI308" s="234">
        <f t="shared" si="886"/>
        <v>0</v>
      </c>
      <c r="BJ308" s="233">
        <f t="shared" si="880"/>
        <v>0</v>
      </c>
      <c r="BK308" s="315">
        <f t="shared" si="880"/>
        <v>0</v>
      </c>
      <c r="BL308" s="234">
        <f t="shared" si="880"/>
        <v>0</v>
      </c>
      <c r="BM308" s="234">
        <f t="shared" si="880"/>
        <v>0</v>
      </c>
      <c r="BN308" s="234">
        <f t="shared" si="880"/>
        <v>0</v>
      </c>
      <c r="BO308" s="234">
        <f t="shared" si="880"/>
        <v>0</v>
      </c>
      <c r="BP308" s="234">
        <f t="shared" si="880"/>
        <v>0</v>
      </c>
      <c r="BQ308" s="234">
        <f t="shared" si="880"/>
        <v>0</v>
      </c>
      <c r="BR308" s="234">
        <f t="shared" si="880"/>
        <v>0</v>
      </c>
      <c r="BS308" s="234">
        <f t="shared" si="880"/>
        <v>0</v>
      </c>
      <c r="BT308" s="234">
        <f t="shared" si="880"/>
        <v>0</v>
      </c>
      <c r="BU308" s="234">
        <f t="shared" si="880"/>
        <v>0</v>
      </c>
      <c r="BV308" s="234">
        <f t="shared" ref="BV308" si="887">SUM(BV309:BV311)</f>
        <v>0</v>
      </c>
      <c r="BW308" s="234">
        <f t="shared" si="880"/>
        <v>0</v>
      </c>
      <c r="BX308" s="235"/>
      <c r="BY308" s="236"/>
    </row>
    <row r="309" spans="1:77" s="194" customFormat="1" ht="26.25" customHeight="1" x14ac:dyDescent="0.2">
      <c r="A309" s="108"/>
      <c r="B309" s="424" t="s">
        <v>596</v>
      </c>
      <c r="C309" s="425"/>
      <c r="D309" s="80">
        <f t="shared" ref="D309:D311" si="888">F309+AB309+AO309+BB309+BJ309</f>
        <v>217104</v>
      </c>
      <c r="E309" s="295">
        <f t="shared" ref="E309:E311" si="889">G309+AC309+AP309+BC309+BK309</f>
        <v>217104</v>
      </c>
      <c r="F309" s="81">
        <v>217104</v>
      </c>
      <c r="G309" s="81">
        <f t="shared" ref="G309:G311" si="890">F309+H309</f>
        <v>217104</v>
      </c>
      <c r="H309" s="81">
        <f t="shared" ref="H309:H311" si="891">SUM(I309:AA309)</f>
        <v>0</v>
      </c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>
        <f t="shared" ref="AC309:AC311" si="892">AB309+AD309</f>
        <v>0</v>
      </c>
      <c r="AD309" s="81">
        <f t="shared" ref="AD309:AD311" si="893">SUM(AE309:AN309)</f>
        <v>0</v>
      </c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98">
        <f t="shared" ref="AP309:AP311" si="894">AO309+AQ309</f>
        <v>0</v>
      </c>
      <c r="AQ309" s="98">
        <f t="shared" ref="AQ309:AQ311" si="895">SUM(AR309:BA309)</f>
        <v>0</v>
      </c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81">
        <f t="shared" ref="BC309:BC311" si="896">BB309+BD309</f>
        <v>0</v>
      </c>
      <c r="BD309" s="98">
        <f t="shared" ref="BD309:BD311" si="897">SUM(BE309:BI309)</f>
        <v>0</v>
      </c>
      <c r="BE309" s="98"/>
      <c r="BF309" s="98"/>
      <c r="BG309" s="98"/>
      <c r="BH309" s="98"/>
      <c r="BI309" s="98"/>
      <c r="BJ309" s="81"/>
      <c r="BK309" s="309">
        <f t="shared" ref="BK309:BK311" si="898">BJ309+BL309</f>
        <v>0</v>
      </c>
      <c r="BL309" s="98">
        <f t="shared" ref="BL309:BL311" si="899">SUM(BM309:BW309)</f>
        <v>0</v>
      </c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/>
      <c r="BX309" s="82"/>
      <c r="BY309" s="85"/>
    </row>
    <row r="310" spans="1:77" s="198" customFormat="1" ht="51" customHeight="1" x14ac:dyDescent="0.2">
      <c r="A310" s="108"/>
      <c r="B310" s="434" t="s">
        <v>645</v>
      </c>
      <c r="C310" s="425"/>
      <c r="D310" s="80">
        <f t="shared" si="888"/>
        <v>809607</v>
      </c>
      <c r="E310" s="295">
        <f t="shared" si="889"/>
        <v>809607</v>
      </c>
      <c r="F310" s="81">
        <v>809607</v>
      </c>
      <c r="G310" s="81">
        <f t="shared" si="890"/>
        <v>809607</v>
      </c>
      <c r="H310" s="81">
        <f t="shared" si="891"/>
        <v>0</v>
      </c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>
        <f t="shared" si="892"/>
        <v>0</v>
      </c>
      <c r="AD310" s="81">
        <f t="shared" si="893"/>
        <v>0</v>
      </c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98">
        <f t="shared" si="894"/>
        <v>0</v>
      </c>
      <c r="AQ310" s="98">
        <f t="shared" si="895"/>
        <v>0</v>
      </c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81">
        <f t="shared" si="896"/>
        <v>0</v>
      </c>
      <c r="BD310" s="98">
        <f t="shared" si="897"/>
        <v>0</v>
      </c>
      <c r="BE310" s="98"/>
      <c r="BF310" s="98"/>
      <c r="BG310" s="98"/>
      <c r="BH310" s="98"/>
      <c r="BI310" s="98"/>
      <c r="BJ310" s="81"/>
      <c r="BK310" s="309">
        <f t="shared" si="898"/>
        <v>0</v>
      </c>
      <c r="BL310" s="98">
        <f t="shared" si="899"/>
        <v>0</v>
      </c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82"/>
      <c r="BY310" s="85"/>
    </row>
    <row r="311" spans="1:77" s="194" customFormat="1" ht="24" customHeight="1" x14ac:dyDescent="0.2">
      <c r="A311" s="108"/>
      <c r="B311" s="424" t="s">
        <v>597</v>
      </c>
      <c r="C311" s="425"/>
      <c r="D311" s="80">
        <f t="shared" si="888"/>
        <v>651688</v>
      </c>
      <c r="E311" s="295">
        <f t="shared" si="889"/>
        <v>651688</v>
      </c>
      <c r="F311" s="81">
        <v>651688</v>
      </c>
      <c r="G311" s="81">
        <f t="shared" si="890"/>
        <v>651688</v>
      </c>
      <c r="H311" s="81">
        <f t="shared" si="891"/>
        <v>0</v>
      </c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>
        <f t="shared" si="892"/>
        <v>0</v>
      </c>
      <c r="AD311" s="81">
        <f t="shared" si="893"/>
        <v>0</v>
      </c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98">
        <f t="shared" si="894"/>
        <v>0</v>
      </c>
      <c r="AQ311" s="98">
        <f t="shared" si="895"/>
        <v>0</v>
      </c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81">
        <f t="shared" si="896"/>
        <v>0</v>
      </c>
      <c r="BD311" s="98">
        <f t="shared" si="897"/>
        <v>0</v>
      </c>
      <c r="BE311" s="98"/>
      <c r="BF311" s="98"/>
      <c r="BG311" s="98"/>
      <c r="BH311" s="98"/>
      <c r="BI311" s="98"/>
      <c r="BJ311" s="81"/>
      <c r="BK311" s="309">
        <f t="shared" si="898"/>
        <v>0</v>
      </c>
      <c r="BL311" s="98">
        <f t="shared" si="899"/>
        <v>0</v>
      </c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/>
      <c r="BX311" s="82"/>
      <c r="BY311" s="85"/>
    </row>
    <row r="312" spans="1:77" s="198" customFormat="1" x14ac:dyDescent="0.2">
      <c r="A312" s="237" t="s">
        <v>17</v>
      </c>
      <c r="B312" s="231" t="s">
        <v>18</v>
      </c>
      <c r="C312" s="329"/>
      <c r="D312" s="232">
        <f t="shared" ref="D312:E312" si="900">SUM(D313:D315)</f>
        <v>872835</v>
      </c>
      <c r="E312" s="303">
        <f t="shared" si="900"/>
        <v>872835</v>
      </c>
      <c r="F312" s="233">
        <f t="shared" ref="F312:BW312" si="901">SUM(F313:F315)</f>
        <v>872835</v>
      </c>
      <c r="G312" s="233">
        <f t="shared" si="901"/>
        <v>872835</v>
      </c>
      <c r="H312" s="233">
        <f t="shared" ref="H312" si="902">SUM(H313:H315)</f>
        <v>0</v>
      </c>
      <c r="I312" s="233">
        <f t="shared" si="901"/>
        <v>0</v>
      </c>
      <c r="J312" s="233">
        <f t="shared" ref="J312" si="903">SUM(J313:J315)</f>
        <v>0</v>
      </c>
      <c r="K312" s="233">
        <f t="shared" si="901"/>
        <v>0</v>
      </c>
      <c r="L312" s="233">
        <f t="shared" si="901"/>
        <v>0</v>
      </c>
      <c r="M312" s="233">
        <f t="shared" si="901"/>
        <v>0</v>
      </c>
      <c r="N312" s="233">
        <f t="shared" si="901"/>
        <v>0</v>
      </c>
      <c r="O312" s="233">
        <f t="shared" si="901"/>
        <v>0</v>
      </c>
      <c r="P312" s="233">
        <f t="shared" si="901"/>
        <v>0</v>
      </c>
      <c r="Q312" s="233">
        <f t="shared" si="901"/>
        <v>0</v>
      </c>
      <c r="R312" s="233">
        <f t="shared" si="901"/>
        <v>0</v>
      </c>
      <c r="S312" s="233">
        <f t="shared" si="901"/>
        <v>0</v>
      </c>
      <c r="T312" s="233"/>
      <c r="U312" s="233">
        <f t="shared" si="901"/>
        <v>0</v>
      </c>
      <c r="V312" s="233"/>
      <c r="W312" s="233">
        <f t="shared" si="901"/>
        <v>0</v>
      </c>
      <c r="X312" s="233">
        <f t="shared" ref="X312" si="904">SUM(X313:X315)</f>
        <v>0</v>
      </c>
      <c r="Y312" s="233">
        <f t="shared" si="901"/>
        <v>0</v>
      </c>
      <c r="Z312" s="233">
        <f t="shared" ref="Z312" si="905">SUM(Z313:Z315)</f>
        <v>0</v>
      </c>
      <c r="AA312" s="233">
        <f t="shared" si="901"/>
        <v>0</v>
      </c>
      <c r="AB312" s="233">
        <f t="shared" si="901"/>
        <v>0</v>
      </c>
      <c r="AC312" s="233">
        <f t="shared" ref="AC312:AN312" si="906">SUM(AC313:AC315)</f>
        <v>0</v>
      </c>
      <c r="AD312" s="233">
        <f t="shared" si="906"/>
        <v>0</v>
      </c>
      <c r="AE312" s="233">
        <f t="shared" si="906"/>
        <v>0</v>
      </c>
      <c r="AF312" s="233">
        <f t="shared" si="906"/>
        <v>0</v>
      </c>
      <c r="AG312" s="233">
        <f t="shared" si="906"/>
        <v>0</v>
      </c>
      <c r="AH312" s="233">
        <f t="shared" si="906"/>
        <v>0</v>
      </c>
      <c r="AI312" s="233">
        <f t="shared" si="906"/>
        <v>0</v>
      </c>
      <c r="AJ312" s="233">
        <f t="shared" si="906"/>
        <v>0</v>
      </c>
      <c r="AK312" s="233">
        <f t="shared" si="906"/>
        <v>0</v>
      </c>
      <c r="AL312" s="233">
        <f t="shared" si="906"/>
        <v>0</v>
      </c>
      <c r="AM312" s="233">
        <f t="shared" si="906"/>
        <v>0</v>
      </c>
      <c r="AN312" s="233">
        <f t="shared" si="906"/>
        <v>0</v>
      </c>
      <c r="AO312" s="233">
        <f t="shared" si="901"/>
        <v>0</v>
      </c>
      <c r="AP312" s="234">
        <f t="shared" si="901"/>
        <v>0</v>
      </c>
      <c r="AQ312" s="234">
        <f t="shared" si="901"/>
        <v>0</v>
      </c>
      <c r="AR312" s="234">
        <f t="shared" si="901"/>
        <v>0</v>
      </c>
      <c r="AS312" s="234">
        <f t="shared" si="901"/>
        <v>0</v>
      </c>
      <c r="AT312" s="234">
        <f t="shared" si="901"/>
        <v>0</v>
      </c>
      <c r="AU312" s="234">
        <f t="shared" si="901"/>
        <v>0</v>
      </c>
      <c r="AV312" s="234">
        <f t="shared" si="901"/>
        <v>0</v>
      </c>
      <c r="AW312" s="234">
        <f t="shared" si="901"/>
        <v>0</v>
      </c>
      <c r="AX312" s="234">
        <f t="shared" si="901"/>
        <v>0</v>
      </c>
      <c r="AY312" s="234">
        <f t="shared" si="901"/>
        <v>0</v>
      </c>
      <c r="AZ312" s="234">
        <f t="shared" si="901"/>
        <v>0</v>
      </c>
      <c r="BA312" s="234">
        <f t="shared" si="901"/>
        <v>0</v>
      </c>
      <c r="BB312" s="234">
        <f t="shared" si="901"/>
        <v>0</v>
      </c>
      <c r="BC312" s="233">
        <f t="shared" ref="BC312:BI312" si="907">SUM(BC313:BC315)</f>
        <v>0</v>
      </c>
      <c r="BD312" s="234">
        <f t="shared" si="907"/>
        <v>0</v>
      </c>
      <c r="BE312" s="234">
        <f t="shared" si="907"/>
        <v>0</v>
      </c>
      <c r="BF312" s="234">
        <f t="shared" si="907"/>
        <v>0</v>
      </c>
      <c r="BG312" s="234">
        <f t="shared" si="907"/>
        <v>0</v>
      </c>
      <c r="BH312" s="234">
        <f t="shared" si="907"/>
        <v>0</v>
      </c>
      <c r="BI312" s="234">
        <f t="shared" si="907"/>
        <v>0</v>
      </c>
      <c r="BJ312" s="233">
        <f t="shared" si="901"/>
        <v>0</v>
      </c>
      <c r="BK312" s="315">
        <f t="shared" si="901"/>
        <v>0</v>
      </c>
      <c r="BL312" s="234">
        <f t="shared" si="901"/>
        <v>0</v>
      </c>
      <c r="BM312" s="234">
        <f t="shared" si="901"/>
        <v>0</v>
      </c>
      <c r="BN312" s="234">
        <f t="shared" si="901"/>
        <v>0</v>
      </c>
      <c r="BO312" s="234">
        <f t="shared" si="901"/>
        <v>0</v>
      </c>
      <c r="BP312" s="234">
        <f t="shared" si="901"/>
        <v>0</v>
      </c>
      <c r="BQ312" s="234">
        <f t="shared" si="901"/>
        <v>0</v>
      </c>
      <c r="BR312" s="234">
        <f t="shared" si="901"/>
        <v>0</v>
      </c>
      <c r="BS312" s="234">
        <f t="shared" si="901"/>
        <v>0</v>
      </c>
      <c r="BT312" s="234">
        <f t="shared" si="901"/>
        <v>0</v>
      </c>
      <c r="BU312" s="234">
        <f t="shared" si="901"/>
        <v>0</v>
      </c>
      <c r="BV312" s="234">
        <f t="shared" ref="BV312" si="908">SUM(BV313:BV315)</f>
        <v>0</v>
      </c>
      <c r="BW312" s="234">
        <f t="shared" si="901"/>
        <v>0</v>
      </c>
      <c r="BX312" s="235"/>
      <c r="BY312" s="236"/>
    </row>
    <row r="313" spans="1:77" s="194" customFormat="1" ht="27.75" customHeight="1" x14ac:dyDescent="0.2">
      <c r="A313" s="108"/>
      <c r="B313" s="424" t="s">
        <v>237</v>
      </c>
      <c r="C313" s="425"/>
      <c r="D313" s="80">
        <f t="shared" ref="D313:D315" si="909">F313+AB313+AO313+BB313+BJ313</f>
        <v>500500</v>
      </c>
      <c r="E313" s="295">
        <f t="shared" ref="E313:E315" si="910">G313+AC313+AP313+BC313+BK313</f>
        <v>500500</v>
      </c>
      <c r="F313" s="81">
        <v>500500</v>
      </c>
      <c r="G313" s="81">
        <f t="shared" ref="G313:G315" si="911">F313+H313</f>
        <v>500500</v>
      </c>
      <c r="H313" s="81">
        <f t="shared" ref="H313:H315" si="912">SUM(I313:AA313)</f>
        <v>0</v>
      </c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>
        <f t="shared" ref="AC313:AC315" si="913">AB313+AD313</f>
        <v>0</v>
      </c>
      <c r="AD313" s="81">
        <f t="shared" ref="AD313:AD315" si="914">SUM(AE313:AN313)</f>
        <v>0</v>
      </c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98">
        <f t="shared" ref="AP313:AP315" si="915">AO313+AQ313</f>
        <v>0</v>
      </c>
      <c r="AQ313" s="98">
        <f t="shared" ref="AQ313:AQ315" si="916">SUM(AR313:BA313)</f>
        <v>0</v>
      </c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81">
        <f t="shared" ref="BC313:BC315" si="917">BB313+BD313</f>
        <v>0</v>
      </c>
      <c r="BD313" s="98">
        <f t="shared" ref="BD313:BD315" si="918">SUM(BE313:BI313)</f>
        <v>0</v>
      </c>
      <c r="BE313" s="98"/>
      <c r="BF313" s="98"/>
      <c r="BG313" s="98"/>
      <c r="BH313" s="98"/>
      <c r="BI313" s="98"/>
      <c r="BJ313" s="81"/>
      <c r="BK313" s="309">
        <f t="shared" ref="BK313:BK315" si="919">BJ313+BL313</f>
        <v>0</v>
      </c>
      <c r="BL313" s="98">
        <f t="shared" ref="BL313:BL315" si="920">SUM(BM313:BW313)</f>
        <v>0</v>
      </c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82"/>
      <c r="BY313" s="85"/>
    </row>
    <row r="314" spans="1:77" s="194" customFormat="1" x14ac:dyDescent="0.2">
      <c r="A314" s="108"/>
      <c r="B314" s="424" t="s">
        <v>598</v>
      </c>
      <c r="C314" s="425"/>
      <c r="D314" s="80">
        <f t="shared" si="909"/>
        <v>284577</v>
      </c>
      <c r="E314" s="295">
        <f t="shared" si="910"/>
        <v>284577</v>
      </c>
      <c r="F314" s="81">
        <v>284577</v>
      </c>
      <c r="G314" s="81">
        <f t="shared" si="911"/>
        <v>284577</v>
      </c>
      <c r="H314" s="81">
        <f t="shared" si="912"/>
        <v>0</v>
      </c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>
        <f t="shared" si="913"/>
        <v>0</v>
      </c>
      <c r="AD314" s="81">
        <f t="shared" si="914"/>
        <v>0</v>
      </c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98">
        <f t="shared" si="915"/>
        <v>0</v>
      </c>
      <c r="AQ314" s="98">
        <f t="shared" si="916"/>
        <v>0</v>
      </c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81">
        <f t="shared" si="917"/>
        <v>0</v>
      </c>
      <c r="BD314" s="98">
        <f t="shared" si="918"/>
        <v>0</v>
      </c>
      <c r="BE314" s="98"/>
      <c r="BF314" s="98"/>
      <c r="BG314" s="98"/>
      <c r="BH314" s="98"/>
      <c r="BI314" s="98"/>
      <c r="BJ314" s="81"/>
      <c r="BK314" s="309">
        <f t="shared" si="919"/>
        <v>0</v>
      </c>
      <c r="BL314" s="98">
        <f t="shared" si="920"/>
        <v>0</v>
      </c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/>
      <c r="BX314" s="82"/>
      <c r="BY314" s="85"/>
    </row>
    <row r="315" spans="1:77" s="194" customFormat="1" ht="27.75" customHeight="1" x14ac:dyDescent="0.2">
      <c r="A315" s="108"/>
      <c r="B315" s="424" t="s">
        <v>599</v>
      </c>
      <c r="C315" s="425"/>
      <c r="D315" s="80">
        <f t="shared" si="909"/>
        <v>87758</v>
      </c>
      <c r="E315" s="295">
        <f t="shared" si="910"/>
        <v>87758</v>
      </c>
      <c r="F315" s="81">
        <v>87758</v>
      </c>
      <c r="G315" s="81">
        <f t="shared" si="911"/>
        <v>87758</v>
      </c>
      <c r="H315" s="81">
        <f t="shared" si="912"/>
        <v>0</v>
      </c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>
        <f t="shared" si="913"/>
        <v>0</v>
      </c>
      <c r="AD315" s="81">
        <f t="shared" si="914"/>
        <v>0</v>
      </c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98">
        <f t="shared" si="915"/>
        <v>0</v>
      </c>
      <c r="AQ315" s="98">
        <f t="shared" si="916"/>
        <v>0</v>
      </c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81">
        <f t="shared" si="917"/>
        <v>0</v>
      </c>
      <c r="BD315" s="98">
        <f t="shared" si="918"/>
        <v>0</v>
      </c>
      <c r="BE315" s="98"/>
      <c r="BF315" s="98"/>
      <c r="BG315" s="98"/>
      <c r="BH315" s="98"/>
      <c r="BI315" s="98"/>
      <c r="BJ315" s="81"/>
      <c r="BK315" s="309">
        <f t="shared" si="919"/>
        <v>0</v>
      </c>
      <c r="BL315" s="98">
        <f t="shared" si="920"/>
        <v>0</v>
      </c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/>
      <c r="BX315" s="82"/>
      <c r="BY315" s="85"/>
    </row>
    <row r="316" spans="1:77" s="198" customFormat="1" x14ac:dyDescent="0.2">
      <c r="A316" s="237">
        <v>10</v>
      </c>
      <c r="B316" s="231" t="s">
        <v>21</v>
      </c>
      <c r="C316" s="329"/>
      <c r="D316" s="232">
        <f t="shared" ref="D316:E316" si="921">SUM(D317:D318)</f>
        <v>166682</v>
      </c>
      <c r="E316" s="303">
        <f t="shared" si="921"/>
        <v>166682</v>
      </c>
      <c r="F316" s="233">
        <f t="shared" ref="F316:BW316" si="922">SUM(F317:F318)</f>
        <v>166682</v>
      </c>
      <c r="G316" s="233">
        <f t="shared" si="922"/>
        <v>166682</v>
      </c>
      <c r="H316" s="233">
        <f t="shared" ref="H316" si="923">SUM(H317:H318)</f>
        <v>0</v>
      </c>
      <c r="I316" s="233">
        <f t="shared" si="922"/>
        <v>0</v>
      </c>
      <c r="J316" s="233">
        <f t="shared" ref="J316" si="924">SUM(J317:J318)</f>
        <v>0</v>
      </c>
      <c r="K316" s="233">
        <f t="shared" si="922"/>
        <v>0</v>
      </c>
      <c r="L316" s="233">
        <f t="shared" si="922"/>
        <v>0</v>
      </c>
      <c r="M316" s="233">
        <f t="shared" si="922"/>
        <v>0</v>
      </c>
      <c r="N316" s="233">
        <f t="shared" si="922"/>
        <v>0</v>
      </c>
      <c r="O316" s="233">
        <f t="shared" si="922"/>
        <v>0</v>
      </c>
      <c r="P316" s="233">
        <f t="shared" si="922"/>
        <v>0</v>
      </c>
      <c r="Q316" s="233">
        <f t="shared" si="922"/>
        <v>0</v>
      </c>
      <c r="R316" s="233">
        <f t="shared" si="922"/>
        <v>0</v>
      </c>
      <c r="S316" s="233">
        <f t="shared" si="922"/>
        <v>0</v>
      </c>
      <c r="T316" s="233"/>
      <c r="U316" s="233">
        <f t="shared" si="922"/>
        <v>0</v>
      </c>
      <c r="V316" s="233"/>
      <c r="W316" s="233">
        <f t="shared" si="922"/>
        <v>0</v>
      </c>
      <c r="X316" s="233">
        <f t="shared" ref="X316" si="925">SUM(X317:X318)</f>
        <v>0</v>
      </c>
      <c r="Y316" s="233">
        <f t="shared" si="922"/>
        <v>0</v>
      </c>
      <c r="Z316" s="233">
        <f t="shared" ref="Z316" si="926">SUM(Z317:Z318)</f>
        <v>0</v>
      </c>
      <c r="AA316" s="233">
        <f t="shared" si="922"/>
        <v>0</v>
      </c>
      <c r="AB316" s="233">
        <f t="shared" si="922"/>
        <v>0</v>
      </c>
      <c r="AC316" s="233">
        <f t="shared" ref="AC316:AN316" si="927">SUM(AC317:AC318)</f>
        <v>0</v>
      </c>
      <c r="AD316" s="233">
        <f t="shared" si="927"/>
        <v>0</v>
      </c>
      <c r="AE316" s="233">
        <f t="shared" si="927"/>
        <v>0</v>
      </c>
      <c r="AF316" s="233">
        <f t="shared" si="927"/>
        <v>0</v>
      </c>
      <c r="AG316" s="233">
        <f t="shared" si="927"/>
        <v>0</v>
      </c>
      <c r="AH316" s="233">
        <f t="shared" si="927"/>
        <v>0</v>
      </c>
      <c r="AI316" s="233">
        <f t="shared" si="927"/>
        <v>0</v>
      </c>
      <c r="AJ316" s="233">
        <f t="shared" si="927"/>
        <v>0</v>
      </c>
      <c r="AK316" s="233">
        <f t="shared" si="927"/>
        <v>0</v>
      </c>
      <c r="AL316" s="233">
        <f t="shared" si="927"/>
        <v>0</v>
      </c>
      <c r="AM316" s="233">
        <f t="shared" si="927"/>
        <v>0</v>
      </c>
      <c r="AN316" s="233">
        <f t="shared" si="927"/>
        <v>0</v>
      </c>
      <c r="AO316" s="233">
        <f t="shared" si="922"/>
        <v>0</v>
      </c>
      <c r="AP316" s="234">
        <f t="shared" si="922"/>
        <v>0</v>
      </c>
      <c r="AQ316" s="234">
        <f t="shared" si="922"/>
        <v>0</v>
      </c>
      <c r="AR316" s="234">
        <f t="shared" si="922"/>
        <v>0</v>
      </c>
      <c r="AS316" s="234">
        <f t="shared" si="922"/>
        <v>0</v>
      </c>
      <c r="AT316" s="234">
        <f t="shared" si="922"/>
        <v>0</v>
      </c>
      <c r="AU316" s="234">
        <f t="shared" si="922"/>
        <v>0</v>
      </c>
      <c r="AV316" s="234">
        <f t="shared" si="922"/>
        <v>0</v>
      </c>
      <c r="AW316" s="234">
        <f t="shared" si="922"/>
        <v>0</v>
      </c>
      <c r="AX316" s="234">
        <f t="shared" si="922"/>
        <v>0</v>
      </c>
      <c r="AY316" s="234">
        <f t="shared" si="922"/>
        <v>0</v>
      </c>
      <c r="AZ316" s="234">
        <f t="shared" si="922"/>
        <v>0</v>
      </c>
      <c r="BA316" s="234">
        <f t="shared" si="922"/>
        <v>0</v>
      </c>
      <c r="BB316" s="234">
        <f t="shared" si="922"/>
        <v>0</v>
      </c>
      <c r="BC316" s="233">
        <f t="shared" ref="BC316:BI316" si="928">SUM(BC317:BC318)</f>
        <v>0</v>
      </c>
      <c r="BD316" s="234">
        <f t="shared" si="928"/>
        <v>0</v>
      </c>
      <c r="BE316" s="234">
        <f t="shared" si="928"/>
        <v>0</v>
      </c>
      <c r="BF316" s="234">
        <f t="shared" si="928"/>
        <v>0</v>
      </c>
      <c r="BG316" s="234">
        <f t="shared" si="928"/>
        <v>0</v>
      </c>
      <c r="BH316" s="234">
        <f t="shared" si="928"/>
        <v>0</v>
      </c>
      <c r="BI316" s="234">
        <f t="shared" si="928"/>
        <v>0</v>
      </c>
      <c r="BJ316" s="233">
        <f t="shared" si="922"/>
        <v>0</v>
      </c>
      <c r="BK316" s="315">
        <f t="shared" si="922"/>
        <v>0</v>
      </c>
      <c r="BL316" s="234">
        <f t="shared" si="922"/>
        <v>0</v>
      </c>
      <c r="BM316" s="234">
        <f t="shared" si="922"/>
        <v>0</v>
      </c>
      <c r="BN316" s="234">
        <f t="shared" si="922"/>
        <v>0</v>
      </c>
      <c r="BO316" s="234">
        <f t="shared" si="922"/>
        <v>0</v>
      </c>
      <c r="BP316" s="234">
        <f t="shared" si="922"/>
        <v>0</v>
      </c>
      <c r="BQ316" s="234">
        <f t="shared" si="922"/>
        <v>0</v>
      </c>
      <c r="BR316" s="234">
        <f t="shared" si="922"/>
        <v>0</v>
      </c>
      <c r="BS316" s="234">
        <f t="shared" si="922"/>
        <v>0</v>
      </c>
      <c r="BT316" s="234">
        <f t="shared" si="922"/>
        <v>0</v>
      </c>
      <c r="BU316" s="234">
        <f t="shared" si="922"/>
        <v>0</v>
      </c>
      <c r="BV316" s="234">
        <f t="shared" ref="BV316" si="929">SUM(BV317:BV318)</f>
        <v>0</v>
      </c>
      <c r="BW316" s="234">
        <f t="shared" si="922"/>
        <v>0</v>
      </c>
      <c r="BX316" s="235"/>
      <c r="BY316" s="236"/>
    </row>
    <row r="317" spans="1:77" s="194" customFormat="1" ht="27" customHeight="1" x14ac:dyDescent="0.2">
      <c r="A317" s="108"/>
      <c r="B317" s="424" t="s">
        <v>600</v>
      </c>
      <c r="C317" s="425"/>
      <c r="D317" s="80">
        <f t="shared" ref="D317:D318" si="930">F317+AB317+AO317+BB317+BJ317</f>
        <v>160586</v>
      </c>
      <c r="E317" s="295">
        <f t="shared" ref="E317:E318" si="931">G317+AC317+AP317+BC317+BK317</f>
        <v>160586</v>
      </c>
      <c r="F317" s="81">
        <v>160586</v>
      </c>
      <c r="G317" s="81">
        <f t="shared" ref="G317:G318" si="932">F317+H317</f>
        <v>160586</v>
      </c>
      <c r="H317" s="81">
        <f t="shared" ref="H317:H318" si="933">SUM(I317:AA317)</f>
        <v>0</v>
      </c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>
        <f t="shared" ref="AC317:AC318" si="934">AB317+AD317</f>
        <v>0</v>
      </c>
      <c r="AD317" s="81">
        <f t="shared" ref="AD317:AD318" si="935">SUM(AE317:AN317)</f>
        <v>0</v>
      </c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98">
        <f t="shared" ref="AP317:AP319" si="936">AO317+AQ317</f>
        <v>0</v>
      </c>
      <c r="AQ317" s="98">
        <f t="shared" ref="AQ317:AQ319" si="937">SUM(AR317:BA317)</f>
        <v>0</v>
      </c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81">
        <f t="shared" ref="BC317:BC319" si="938">BB317+BD317</f>
        <v>0</v>
      </c>
      <c r="BD317" s="98">
        <f t="shared" ref="BD317:BD319" si="939">SUM(BE317:BI317)</f>
        <v>0</v>
      </c>
      <c r="BE317" s="98"/>
      <c r="BF317" s="98"/>
      <c r="BG317" s="98"/>
      <c r="BH317" s="98"/>
      <c r="BI317" s="98"/>
      <c r="BJ317" s="81"/>
      <c r="BK317" s="309">
        <f t="shared" ref="BK317:BK319" si="940">BJ317+BL317</f>
        <v>0</v>
      </c>
      <c r="BL317" s="98">
        <f t="shared" ref="BL317:BL319" si="941">SUM(BM317:BW317)</f>
        <v>0</v>
      </c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/>
      <c r="BX317" s="82"/>
      <c r="BY317" s="85"/>
    </row>
    <row r="318" spans="1:77" s="194" customFormat="1" ht="23.25" customHeight="1" x14ac:dyDescent="0.2">
      <c r="A318" s="108"/>
      <c r="B318" s="424" t="s">
        <v>601</v>
      </c>
      <c r="C318" s="425"/>
      <c r="D318" s="80">
        <f t="shared" si="930"/>
        <v>6096</v>
      </c>
      <c r="E318" s="295">
        <f t="shared" si="931"/>
        <v>6096</v>
      </c>
      <c r="F318" s="81">
        <v>6096</v>
      </c>
      <c r="G318" s="81">
        <f t="shared" si="932"/>
        <v>6096</v>
      </c>
      <c r="H318" s="81">
        <f t="shared" si="933"/>
        <v>0</v>
      </c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>
        <f t="shared" si="934"/>
        <v>0</v>
      </c>
      <c r="AD318" s="81">
        <f t="shared" si="935"/>
        <v>0</v>
      </c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98">
        <f t="shared" si="936"/>
        <v>0</v>
      </c>
      <c r="AQ318" s="98">
        <f t="shared" si="937"/>
        <v>0</v>
      </c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81">
        <f t="shared" si="938"/>
        <v>0</v>
      </c>
      <c r="BD318" s="98">
        <f t="shared" si="939"/>
        <v>0</v>
      </c>
      <c r="BE318" s="98"/>
      <c r="BF318" s="98"/>
      <c r="BG318" s="98"/>
      <c r="BH318" s="98"/>
      <c r="BI318" s="98"/>
      <c r="BJ318" s="81"/>
      <c r="BK318" s="309">
        <f t="shared" si="940"/>
        <v>0</v>
      </c>
      <c r="BL318" s="98">
        <f t="shared" si="941"/>
        <v>0</v>
      </c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/>
      <c r="BX318" s="82"/>
      <c r="BY318" s="85"/>
    </row>
    <row r="319" spans="1:77" s="194" customFormat="1" ht="10.5" customHeight="1" thickBot="1" x14ac:dyDescent="0.25">
      <c r="A319" s="102"/>
      <c r="B319" s="287"/>
      <c r="C319" s="327"/>
      <c r="D319" s="139"/>
      <c r="E319" s="299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  <c r="AF319" s="170"/>
      <c r="AG319" s="170"/>
      <c r="AH319" s="170"/>
      <c r="AI319" s="170"/>
      <c r="AJ319" s="170"/>
      <c r="AK319" s="170"/>
      <c r="AL319" s="170"/>
      <c r="AM319" s="170"/>
      <c r="AN319" s="170"/>
      <c r="AO319" s="170"/>
      <c r="AP319" s="203">
        <f t="shared" si="936"/>
        <v>0</v>
      </c>
      <c r="AQ319" s="203">
        <f t="shared" si="937"/>
        <v>0</v>
      </c>
      <c r="AR319" s="203"/>
      <c r="AS319" s="203"/>
      <c r="AT319" s="203"/>
      <c r="AU319" s="203"/>
      <c r="AV319" s="203"/>
      <c r="AW319" s="203"/>
      <c r="AX319" s="203"/>
      <c r="AY319" s="203"/>
      <c r="AZ319" s="203"/>
      <c r="BA319" s="203"/>
      <c r="BB319" s="203"/>
      <c r="BC319" s="81">
        <f t="shared" si="938"/>
        <v>0</v>
      </c>
      <c r="BD319" s="98">
        <f t="shared" si="939"/>
        <v>0</v>
      </c>
      <c r="BE319" s="203"/>
      <c r="BF319" s="203"/>
      <c r="BG319" s="203"/>
      <c r="BH319" s="203"/>
      <c r="BI319" s="203"/>
      <c r="BJ319" s="170"/>
      <c r="BK319" s="311">
        <f t="shared" si="940"/>
        <v>0</v>
      </c>
      <c r="BL319" s="203">
        <f t="shared" si="941"/>
        <v>0</v>
      </c>
      <c r="BM319" s="203"/>
      <c r="BN319" s="203"/>
      <c r="BO319" s="203"/>
      <c r="BP319" s="203"/>
      <c r="BQ319" s="203"/>
      <c r="BR319" s="203"/>
      <c r="BS319" s="203"/>
      <c r="BT319" s="203"/>
      <c r="BU319" s="203"/>
      <c r="BV319" s="203"/>
      <c r="BW319" s="203"/>
      <c r="BX319" s="204"/>
      <c r="BY319" s="88"/>
    </row>
    <row r="320" spans="1:77" s="194" customFormat="1" ht="12.75" thickTop="1" x14ac:dyDescent="0.2">
      <c r="A320" s="129" t="s">
        <v>609</v>
      </c>
      <c r="B320" s="212" t="s">
        <v>458</v>
      </c>
      <c r="C320" s="324"/>
      <c r="D320" s="207">
        <f>SUM(D321:D322)</f>
        <v>73605</v>
      </c>
      <c r="E320" s="208">
        <f t="shared" ref="E320:BR320" si="942">SUM(E321:E322)</f>
        <v>562893</v>
      </c>
      <c r="F320" s="208">
        <f t="shared" si="942"/>
        <v>73605</v>
      </c>
      <c r="G320" s="208">
        <f t="shared" si="942"/>
        <v>562893</v>
      </c>
      <c r="H320" s="208">
        <f t="shared" si="942"/>
        <v>489288</v>
      </c>
      <c r="I320" s="208">
        <f t="shared" si="942"/>
        <v>0</v>
      </c>
      <c r="J320" s="208">
        <f t="shared" si="942"/>
        <v>0</v>
      </c>
      <c r="K320" s="208">
        <f t="shared" si="942"/>
        <v>0</v>
      </c>
      <c r="L320" s="208">
        <f t="shared" si="942"/>
        <v>0</v>
      </c>
      <c r="M320" s="208">
        <f t="shared" si="942"/>
        <v>0</v>
      </c>
      <c r="N320" s="208">
        <f t="shared" si="942"/>
        <v>0</v>
      </c>
      <c r="O320" s="208">
        <f t="shared" si="942"/>
        <v>0</v>
      </c>
      <c r="P320" s="208">
        <f t="shared" si="942"/>
        <v>0</v>
      </c>
      <c r="Q320" s="208">
        <f t="shared" si="942"/>
        <v>0</v>
      </c>
      <c r="R320" s="208">
        <f t="shared" si="942"/>
        <v>0</v>
      </c>
      <c r="S320" s="208">
        <f t="shared" si="942"/>
        <v>0</v>
      </c>
      <c r="T320" s="208">
        <f t="shared" si="942"/>
        <v>0</v>
      </c>
      <c r="U320" s="208">
        <f t="shared" si="942"/>
        <v>0</v>
      </c>
      <c r="V320" s="208">
        <f t="shared" si="942"/>
        <v>0</v>
      </c>
      <c r="W320" s="208">
        <f t="shared" si="942"/>
        <v>489288</v>
      </c>
      <c r="X320" s="208">
        <f t="shared" ref="X320" si="943">SUM(X321:X322)</f>
        <v>0</v>
      </c>
      <c r="Y320" s="208">
        <f t="shared" si="942"/>
        <v>0</v>
      </c>
      <c r="Z320" s="208">
        <f t="shared" ref="Z320" si="944">SUM(Z321:Z322)</f>
        <v>0</v>
      </c>
      <c r="AA320" s="208">
        <f t="shared" si="942"/>
        <v>0</v>
      </c>
      <c r="AB320" s="208">
        <f t="shared" si="942"/>
        <v>0</v>
      </c>
      <c r="AC320" s="208">
        <f t="shared" si="942"/>
        <v>0</v>
      </c>
      <c r="AD320" s="208">
        <f t="shared" si="942"/>
        <v>0</v>
      </c>
      <c r="AE320" s="208">
        <f t="shared" si="942"/>
        <v>0</v>
      </c>
      <c r="AF320" s="208">
        <f t="shared" si="942"/>
        <v>0</v>
      </c>
      <c r="AG320" s="208">
        <f t="shared" si="942"/>
        <v>0</v>
      </c>
      <c r="AH320" s="208">
        <f t="shared" si="942"/>
        <v>0</v>
      </c>
      <c r="AI320" s="208">
        <f t="shared" si="942"/>
        <v>0</v>
      </c>
      <c r="AJ320" s="208">
        <f t="shared" si="942"/>
        <v>0</v>
      </c>
      <c r="AK320" s="208">
        <f t="shared" si="942"/>
        <v>0</v>
      </c>
      <c r="AL320" s="208">
        <f t="shared" si="942"/>
        <v>0</v>
      </c>
      <c r="AM320" s="208">
        <f t="shared" si="942"/>
        <v>0</v>
      </c>
      <c r="AN320" s="208">
        <f t="shared" si="942"/>
        <v>0</v>
      </c>
      <c r="AO320" s="208">
        <f t="shared" si="942"/>
        <v>0</v>
      </c>
      <c r="AP320" s="208">
        <f t="shared" si="942"/>
        <v>0</v>
      </c>
      <c r="AQ320" s="208">
        <f t="shared" si="942"/>
        <v>0</v>
      </c>
      <c r="AR320" s="208">
        <f t="shared" si="942"/>
        <v>0</v>
      </c>
      <c r="AS320" s="208">
        <f t="shared" si="942"/>
        <v>0</v>
      </c>
      <c r="AT320" s="208">
        <f t="shared" si="942"/>
        <v>0</v>
      </c>
      <c r="AU320" s="208">
        <f t="shared" si="942"/>
        <v>0</v>
      </c>
      <c r="AV320" s="208">
        <f t="shared" si="942"/>
        <v>0</v>
      </c>
      <c r="AW320" s="208">
        <f t="shared" si="942"/>
        <v>0</v>
      </c>
      <c r="AX320" s="208">
        <f t="shared" si="942"/>
        <v>0</v>
      </c>
      <c r="AY320" s="208">
        <f t="shared" si="942"/>
        <v>0</v>
      </c>
      <c r="AZ320" s="208">
        <f t="shared" si="942"/>
        <v>0</v>
      </c>
      <c r="BA320" s="208">
        <f t="shared" si="942"/>
        <v>0</v>
      </c>
      <c r="BB320" s="208">
        <f t="shared" si="942"/>
        <v>0</v>
      </c>
      <c r="BC320" s="208">
        <f t="shared" si="942"/>
        <v>0</v>
      </c>
      <c r="BD320" s="208">
        <f t="shared" si="942"/>
        <v>0</v>
      </c>
      <c r="BE320" s="208">
        <f t="shared" si="942"/>
        <v>0</v>
      </c>
      <c r="BF320" s="208">
        <f t="shared" si="942"/>
        <v>0</v>
      </c>
      <c r="BG320" s="208">
        <f t="shared" si="942"/>
        <v>0</v>
      </c>
      <c r="BH320" s="208">
        <f t="shared" si="942"/>
        <v>0</v>
      </c>
      <c r="BI320" s="208">
        <f t="shared" si="942"/>
        <v>0</v>
      </c>
      <c r="BJ320" s="208">
        <f t="shared" si="942"/>
        <v>0</v>
      </c>
      <c r="BK320" s="208">
        <f t="shared" si="942"/>
        <v>0</v>
      </c>
      <c r="BL320" s="208">
        <f t="shared" si="942"/>
        <v>0</v>
      </c>
      <c r="BM320" s="208">
        <f t="shared" si="942"/>
        <v>0</v>
      </c>
      <c r="BN320" s="208">
        <f t="shared" si="942"/>
        <v>0</v>
      </c>
      <c r="BO320" s="208">
        <f t="shared" si="942"/>
        <v>0</v>
      </c>
      <c r="BP320" s="208">
        <f t="shared" si="942"/>
        <v>0</v>
      </c>
      <c r="BQ320" s="208">
        <f t="shared" si="942"/>
        <v>0</v>
      </c>
      <c r="BR320" s="208">
        <f t="shared" si="942"/>
        <v>0</v>
      </c>
      <c r="BS320" s="208">
        <f t="shared" ref="BS320:BW320" si="945">SUM(BS321:BS322)</f>
        <v>0</v>
      </c>
      <c r="BT320" s="208">
        <f t="shared" si="945"/>
        <v>0</v>
      </c>
      <c r="BU320" s="208">
        <f t="shared" si="945"/>
        <v>0</v>
      </c>
      <c r="BV320" s="209">
        <f t="shared" ref="BV320" si="946">SUM(BV321:BV322)</f>
        <v>0</v>
      </c>
      <c r="BW320" s="399">
        <f t="shared" si="945"/>
        <v>0</v>
      </c>
      <c r="BX320" s="205"/>
      <c r="BY320" s="206"/>
    </row>
    <row r="321" spans="1:79" s="194" customFormat="1" ht="24.75" customHeight="1" x14ac:dyDescent="0.2">
      <c r="A321" s="102">
        <v>50003220021</v>
      </c>
      <c r="B321" s="445" t="s">
        <v>508</v>
      </c>
      <c r="C321" s="444"/>
      <c r="D321" s="71">
        <f>F321+AB321+AO321+BB321+BJ321</f>
        <v>73605</v>
      </c>
      <c r="E321" s="296">
        <f>G321+AC321+AP321+BC321+BK321</f>
        <v>73605</v>
      </c>
      <c r="F321" s="72">
        <v>73605</v>
      </c>
      <c r="G321" s="72">
        <f>F321+H321</f>
        <v>73605</v>
      </c>
      <c r="H321" s="72">
        <f>SUM(I321:AA321)</f>
        <v>0</v>
      </c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>
        <f>AB321+AD321</f>
        <v>0</v>
      </c>
      <c r="AD321" s="72">
        <f>SUM(AE321:AN321)</f>
        <v>0</v>
      </c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97">
        <f>AO321+AQ321</f>
        <v>0</v>
      </c>
      <c r="AQ321" s="97">
        <f>SUM(AR321:BA321)</f>
        <v>0</v>
      </c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81">
        <f>BB321+BD321</f>
        <v>0</v>
      </c>
      <c r="BD321" s="98">
        <f>SUM(BE321:BI321)</f>
        <v>0</v>
      </c>
      <c r="BE321" s="97"/>
      <c r="BF321" s="97"/>
      <c r="BG321" s="97"/>
      <c r="BH321" s="97"/>
      <c r="BI321" s="97"/>
      <c r="BJ321" s="72"/>
      <c r="BK321" s="264">
        <f>BJ321+BL321</f>
        <v>0</v>
      </c>
      <c r="BL321" s="97">
        <f>SUM(BM321:BW321)</f>
        <v>0</v>
      </c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82" t="s">
        <v>507</v>
      </c>
      <c r="BY321" s="200"/>
    </row>
    <row r="322" spans="1:79" s="198" customFormat="1" ht="12.75" x14ac:dyDescent="0.2">
      <c r="A322" s="102">
        <v>4000327533</v>
      </c>
      <c r="B322" s="443" t="s">
        <v>306</v>
      </c>
      <c r="C322" s="444"/>
      <c r="D322" s="71">
        <f>F322+AB322+AO322+BB322+BJ322</f>
        <v>0</v>
      </c>
      <c r="E322" s="296">
        <f>G322+AC322+AP322+BC322+BK322</f>
        <v>489288</v>
      </c>
      <c r="F322" s="72"/>
      <c r="G322" s="72">
        <f>F322+H322</f>
        <v>489288</v>
      </c>
      <c r="H322" s="72">
        <f>SUM(I322:AA322)</f>
        <v>489288</v>
      </c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>
        <v>489288</v>
      </c>
      <c r="X322" s="72"/>
      <c r="Y322" s="72"/>
      <c r="Z322" s="72"/>
      <c r="AA322" s="72"/>
      <c r="AB322" s="72"/>
      <c r="AC322" s="72">
        <f>AB322+AD322</f>
        <v>0</v>
      </c>
      <c r="AD322" s="72">
        <f>SUM(AE322:AN322)</f>
        <v>0</v>
      </c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97">
        <f>AO322+AQ322</f>
        <v>0</v>
      </c>
      <c r="AQ322" s="97">
        <f>SUM(AR322:BA322)</f>
        <v>0</v>
      </c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81">
        <f>BB322+BD322</f>
        <v>0</v>
      </c>
      <c r="BD322" s="98">
        <f>SUM(BE322:BI322)</f>
        <v>0</v>
      </c>
      <c r="BE322" s="97"/>
      <c r="BF322" s="97"/>
      <c r="BG322" s="97"/>
      <c r="BH322" s="97"/>
      <c r="BI322" s="97"/>
      <c r="BJ322" s="72"/>
      <c r="BK322" s="264">
        <f>BJ322+BL322</f>
        <v>0</v>
      </c>
      <c r="BL322" s="97">
        <f>SUM(BM322:BW322)</f>
        <v>0</v>
      </c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204" t="s">
        <v>838</v>
      </c>
      <c r="BY322" s="86"/>
    </row>
    <row r="323" spans="1:79" s="198" customFormat="1" ht="12.75" x14ac:dyDescent="0.2">
      <c r="A323" s="108" t="s">
        <v>609</v>
      </c>
      <c r="B323" s="257" t="s">
        <v>650</v>
      </c>
      <c r="C323" s="330"/>
      <c r="D323" s="258">
        <f t="shared" ref="D323:BW323" si="947">SUM(D324)</f>
        <v>1</v>
      </c>
      <c r="E323" s="304">
        <f t="shared" si="947"/>
        <v>1</v>
      </c>
      <c r="F323" s="259">
        <f t="shared" ref="F323" si="948">SUM(F324)</f>
        <v>1</v>
      </c>
      <c r="G323" s="259">
        <f t="shared" si="947"/>
        <v>1</v>
      </c>
      <c r="H323" s="259">
        <f t="shared" si="947"/>
        <v>0</v>
      </c>
      <c r="I323" s="259">
        <f t="shared" si="947"/>
        <v>0</v>
      </c>
      <c r="J323" s="259">
        <f t="shared" si="947"/>
        <v>0</v>
      </c>
      <c r="K323" s="259">
        <f t="shared" si="947"/>
        <v>0</v>
      </c>
      <c r="L323" s="259">
        <f t="shared" si="947"/>
        <v>0</v>
      </c>
      <c r="M323" s="259">
        <f t="shared" si="947"/>
        <v>0</v>
      </c>
      <c r="N323" s="259">
        <f t="shared" si="947"/>
        <v>0</v>
      </c>
      <c r="O323" s="259">
        <f t="shared" si="947"/>
        <v>0</v>
      </c>
      <c r="P323" s="259">
        <f t="shared" si="947"/>
        <v>0</v>
      </c>
      <c r="Q323" s="259">
        <f t="shared" si="947"/>
        <v>0</v>
      </c>
      <c r="R323" s="259">
        <f t="shared" si="947"/>
        <v>0</v>
      </c>
      <c r="S323" s="259"/>
      <c r="T323" s="259"/>
      <c r="U323" s="259"/>
      <c r="V323" s="259"/>
      <c r="W323" s="259"/>
      <c r="X323" s="259">
        <f t="shared" si="947"/>
        <v>0</v>
      </c>
      <c r="Y323" s="259"/>
      <c r="Z323" s="259">
        <f t="shared" si="947"/>
        <v>0</v>
      </c>
      <c r="AA323" s="259">
        <f t="shared" si="947"/>
        <v>0</v>
      </c>
      <c r="AB323" s="259">
        <f t="shared" ref="AB323" si="949">SUM(AB324)</f>
        <v>0</v>
      </c>
      <c r="AC323" s="259">
        <f t="shared" si="947"/>
        <v>0</v>
      </c>
      <c r="AD323" s="259">
        <f t="shared" si="947"/>
        <v>0</v>
      </c>
      <c r="AE323" s="259">
        <f t="shared" si="947"/>
        <v>0</v>
      </c>
      <c r="AF323" s="259">
        <f t="shared" si="947"/>
        <v>0</v>
      </c>
      <c r="AG323" s="259">
        <f t="shared" si="947"/>
        <v>0</v>
      </c>
      <c r="AH323" s="259">
        <f t="shared" si="947"/>
        <v>0</v>
      </c>
      <c r="AI323" s="259">
        <f t="shared" si="947"/>
        <v>0</v>
      </c>
      <c r="AJ323" s="259">
        <f t="shared" si="947"/>
        <v>0</v>
      </c>
      <c r="AK323" s="259">
        <f t="shared" si="947"/>
        <v>0</v>
      </c>
      <c r="AL323" s="259">
        <f t="shared" si="947"/>
        <v>0</v>
      </c>
      <c r="AM323" s="259">
        <f t="shared" si="947"/>
        <v>0</v>
      </c>
      <c r="AN323" s="259">
        <f t="shared" si="947"/>
        <v>0</v>
      </c>
      <c r="AO323" s="259">
        <f t="shared" ref="AO323" si="950">SUM(AO324)</f>
        <v>0</v>
      </c>
      <c r="AP323" s="260">
        <f t="shared" si="947"/>
        <v>0</v>
      </c>
      <c r="AQ323" s="260">
        <f t="shared" si="947"/>
        <v>0</v>
      </c>
      <c r="AR323" s="260">
        <f t="shared" si="947"/>
        <v>0</v>
      </c>
      <c r="AS323" s="260">
        <f t="shared" si="947"/>
        <v>0</v>
      </c>
      <c r="AT323" s="260">
        <f t="shared" si="947"/>
        <v>0</v>
      </c>
      <c r="AU323" s="260">
        <f t="shared" si="947"/>
        <v>0</v>
      </c>
      <c r="AV323" s="260">
        <f t="shared" si="947"/>
        <v>0</v>
      </c>
      <c r="AW323" s="260">
        <f t="shared" si="947"/>
        <v>0</v>
      </c>
      <c r="AX323" s="260">
        <f t="shared" si="947"/>
        <v>0</v>
      </c>
      <c r="AY323" s="260">
        <f t="shared" si="947"/>
        <v>0</v>
      </c>
      <c r="AZ323" s="260">
        <f t="shared" si="947"/>
        <v>0</v>
      </c>
      <c r="BA323" s="260">
        <f t="shared" si="947"/>
        <v>0</v>
      </c>
      <c r="BB323" s="260">
        <f t="shared" ref="BB323" si="951">SUM(BB324)</f>
        <v>0</v>
      </c>
      <c r="BC323" s="259">
        <f t="shared" si="947"/>
        <v>0</v>
      </c>
      <c r="BD323" s="260">
        <f t="shared" si="947"/>
        <v>0</v>
      </c>
      <c r="BE323" s="260">
        <f t="shared" si="947"/>
        <v>0</v>
      </c>
      <c r="BF323" s="260">
        <f t="shared" si="947"/>
        <v>0</v>
      </c>
      <c r="BG323" s="260">
        <f t="shared" si="947"/>
        <v>0</v>
      </c>
      <c r="BH323" s="260">
        <f t="shared" si="947"/>
        <v>0</v>
      </c>
      <c r="BI323" s="260">
        <f t="shared" si="947"/>
        <v>0</v>
      </c>
      <c r="BJ323" s="259">
        <f t="shared" ref="BJ323" si="952">SUM(BJ324)</f>
        <v>0</v>
      </c>
      <c r="BK323" s="316">
        <f t="shared" si="947"/>
        <v>0</v>
      </c>
      <c r="BL323" s="260">
        <f t="shared" si="947"/>
        <v>0</v>
      </c>
      <c r="BM323" s="260">
        <f t="shared" si="947"/>
        <v>0</v>
      </c>
      <c r="BN323" s="260">
        <f t="shared" si="947"/>
        <v>0</v>
      </c>
      <c r="BO323" s="260">
        <f t="shared" si="947"/>
        <v>0</v>
      </c>
      <c r="BP323" s="260">
        <f t="shared" si="947"/>
        <v>0</v>
      </c>
      <c r="BQ323" s="260">
        <f t="shared" si="947"/>
        <v>0</v>
      </c>
      <c r="BR323" s="260">
        <f t="shared" si="947"/>
        <v>0</v>
      </c>
      <c r="BS323" s="260">
        <f t="shared" si="947"/>
        <v>0</v>
      </c>
      <c r="BT323" s="260">
        <f t="shared" si="947"/>
        <v>0</v>
      </c>
      <c r="BU323" s="260">
        <f t="shared" si="947"/>
        <v>0</v>
      </c>
      <c r="BV323" s="260">
        <f t="shared" si="947"/>
        <v>0</v>
      </c>
      <c r="BW323" s="260">
        <f t="shared" si="947"/>
        <v>0</v>
      </c>
      <c r="BX323" s="204"/>
      <c r="BY323" s="86"/>
    </row>
    <row r="324" spans="1:79" s="198" customFormat="1" ht="24.75" customHeight="1" x14ac:dyDescent="0.2">
      <c r="A324" s="102">
        <v>50003220021</v>
      </c>
      <c r="B324" s="445" t="s">
        <v>508</v>
      </c>
      <c r="C324" s="444"/>
      <c r="D324" s="80">
        <f>F324+AB324+AO324+BB324+BJ324</f>
        <v>1</v>
      </c>
      <c r="E324" s="295">
        <f>G324+AC324+AP324+BC324+BK324</f>
        <v>1</v>
      </c>
      <c r="F324" s="81">
        <v>1</v>
      </c>
      <c r="G324" s="81">
        <f>F324+H324</f>
        <v>1</v>
      </c>
      <c r="H324" s="81">
        <f>SUM(I324:AA324)</f>
        <v>0</v>
      </c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>
        <f>AB324+AD324</f>
        <v>0</v>
      </c>
      <c r="AD324" s="81">
        <f>SUM(AE324:AN324)</f>
        <v>0</v>
      </c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98">
        <f>AO324+AQ324</f>
        <v>0</v>
      </c>
      <c r="AQ324" s="98">
        <f>SUM(AR324:BA324)</f>
        <v>0</v>
      </c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81">
        <f>BB324+BD324</f>
        <v>0</v>
      </c>
      <c r="BD324" s="98">
        <f>SUM(BE324:BI324)</f>
        <v>0</v>
      </c>
      <c r="BE324" s="98"/>
      <c r="BF324" s="98"/>
      <c r="BG324" s="98"/>
      <c r="BH324" s="98"/>
      <c r="BI324" s="98"/>
      <c r="BJ324" s="81"/>
      <c r="BK324" s="309">
        <f>BJ324+BL324</f>
        <v>0</v>
      </c>
      <c r="BL324" s="98">
        <f>SUM(BM324:BW324)</f>
        <v>0</v>
      </c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82" t="s">
        <v>696</v>
      </c>
      <c r="BY324" s="85"/>
    </row>
    <row r="325" spans="1:79" s="194" customFormat="1" ht="10.5" customHeight="1" thickBot="1" x14ac:dyDescent="0.25">
      <c r="A325" s="108"/>
      <c r="B325" s="201"/>
      <c r="C325" s="327"/>
      <c r="D325" s="139"/>
      <c r="E325" s="299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170"/>
      <c r="AG325" s="170"/>
      <c r="AH325" s="170"/>
      <c r="AI325" s="170"/>
      <c r="AJ325" s="170"/>
      <c r="AK325" s="170"/>
      <c r="AL325" s="170"/>
      <c r="AM325" s="170"/>
      <c r="AN325" s="170"/>
      <c r="AO325" s="170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3"/>
      <c r="BA325" s="203"/>
      <c r="BB325" s="203"/>
      <c r="BC325" s="170"/>
      <c r="BD325" s="203"/>
      <c r="BE325" s="203"/>
      <c r="BF325" s="203"/>
      <c r="BG325" s="203"/>
      <c r="BH325" s="203"/>
      <c r="BI325" s="203"/>
      <c r="BJ325" s="170"/>
      <c r="BK325" s="311"/>
      <c r="BL325" s="203"/>
      <c r="BM325" s="203"/>
      <c r="BN325" s="203"/>
      <c r="BO325" s="203"/>
      <c r="BP325" s="203"/>
      <c r="BQ325" s="203"/>
      <c r="BR325" s="203"/>
      <c r="BS325" s="203"/>
      <c r="BT325" s="203"/>
      <c r="BU325" s="203"/>
      <c r="BV325" s="203"/>
      <c r="BW325" s="203"/>
      <c r="BX325" s="204"/>
      <c r="BY325" s="88"/>
    </row>
    <row r="326" spans="1:79" ht="13.5" thickTop="1" thickBot="1" x14ac:dyDescent="0.25">
      <c r="A326" s="219"/>
      <c r="B326" s="238" t="s">
        <v>608</v>
      </c>
      <c r="C326" s="331"/>
      <c r="D326" s="14">
        <f t="shared" ref="D326:S326" si="953">D269+D270+D300+D320+D323</f>
        <v>108920690</v>
      </c>
      <c r="E326" s="300">
        <f t="shared" si="953"/>
        <v>113736833</v>
      </c>
      <c r="F326" s="239">
        <f t="shared" si="953"/>
        <v>97062923</v>
      </c>
      <c r="G326" s="239">
        <f t="shared" si="953"/>
        <v>101411320</v>
      </c>
      <c r="H326" s="239">
        <f t="shared" si="953"/>
        <v>4348397</v>
      </c>
      <c r="I326" s="239">
        <f t="shared" si="953"/>
        <v>92564</v>
      </c>
      <c r="J326" s="239">
        <f t="shared" si="953"/>
        <v>0</v>
      </c>
      <c r="K326" s="239">
        <f t="shared" si="953"/>
        <v>6070235</v>
      </c>
      <c r="L326" s="239">
        <f t="shared" si="953"/>
        <v>662596</v>
      </c>
      <c r="M326" s="239">
        <f t="shared" si="953"/>
        <v>556643</v>
      </c>
      <c r="N326" s="239">
        <f t="shared" si="953"/>
        <v>0</v>
      </c>
      <c r="O326" s="239">
        <f t="shared" si="953"/>
        <v>0</v>
      </c>
      <c r="P326" s="239">
        <f t="shared" si="953"/>
        <v>0</v>
      </c>
      <c r="Q326" s="239">
        <f t="shared" si="953"/>
        <v>-498467</v>
      </c>
      <c r="R326" s="239">
        <f t="shared" si="953"/>
        <v>0</v>
      </c>
      <c r="S326" s="239">
        <f t="shared" si="953"/>
        <v>-5928507</v>
      </c>
      <c r="T326" s="239"/>
      <c r="U326" s="239">
        <f>U269+U270+U300+U320+U323</f>
        <v>3528386</v>
      </c>
      <c r="V326" s="239"/>
      <c r="W326" s="239">
        <f t="shared" ref="W326:BB326" si="954">W269+W270+W300+W320+W323</f>
        <v>-220417</v>
      </c>
      <c r="X326" s="239">
        <f t="shared" si="954"/>
        <v>0</v>
      </c>
      <c r="Y326" s="239">
        <f t="shared" si="954"/>
        <v>-2877</v>
      </c>
      <c r="Z326" s="239">
        <f t="shared" si="954"/>
        <v>88241</v>
      </c>
      <c r="AA326" s="239">
        <f t="shared" si="954"/>
        <v>0</v>
      </c>
      <c r="AB326" s="239">
        <f t="shared" si="954"/>
        <v>11157908</v>
      </c>
      <c r="AC326" s="239">
        <f t="shared" si="954"/>
        <v>11728542</v>
      </c>
      <c r="AD326" s="239">
        <f t="shared" si="954"/>
        <v>570634</v>
      </c>
      <c r="AE326" s="239">
        <f t="shared" si="954"/>
        <v>30268</v>
      </c>
      <c r="AF326" s="239">
        <f t="shared" si="954"/>
        <v>382567</v>
      </c>
      <c r="AG326" s="239">
        <f t="shared" si="954"/>
        <v>41239</v>
      </c>
      <c r="AH326" s="239">
        <f t="shared" si="954"/>
        <v>27633</v>
      </c>
      <c r="AI326" s="239">
        <f t="shared" si="954"/>
        <v>5573</v>
      </c>
      <c r="AJ326" s="239">
        <f t="shared" si="954"/>
        <v>33143</v>
      </c>
      <c r="AK326" s="239">
        <f t="shared" si="954"/>
        <v>38763</v>
      </c>
      <c r="AL326" s="239">
        <f t="shared" si="954"/>
        <v>11448</v>
      </c>
      <c r="AM326" s="239">
        <f t="shared" si="954"/>
        <v>0</v>
      </c>
      <c r="AN326" s="239">
        <f t="shared" si="954"/>
        <v>0</v>
      </c>
      <c r="AO326" s="239">
        <f t="shared" si="954"/>
        <v>1746549</v>
      </c>
      <c r="AP326" s="240">
        <f t="shared" si="954"/>
        <v>1857789</v>
      </c>
      <c r="AQ326" s="240">
        <f t="shared" si="954"/>
        <v>111240</v>
      </c>
      <c r="AR326" s="240">
        <f t="shared" si="954"/>
        <v>159470</v>
      </c>
      <c r="AS326" s="240">
        <f t="shared" si="954"/>
        <v>-99908</v>
      </c>
      <c r="AT326" s="240">
        <f t="shared" si="954"/>
        <v>111</v>
      </c>
      <c r="AU326" s="240">
        <f t="shared" si="954"/>
        <v>2875</v>
      </c>
      <c r="AV326" s="240">
        <f t="shared" si="954"/>
        <v>100</v>
      </c>
      <c r="AW326" s="240">
        <f t="shared" si="954"/>
        <v>1514</v>
      </c>
      <c r="AX326" s="240">
        <f t="shared" si="954"/>
        <v>5981</v>
      </c>
      <c r="AY326" s="240">
        <f t="shared" si="954"/>
        <v>3610</v>
      </c>
      <c r="AZ326" s="240">
        <f t="shared" si="954"/>
        <v>37487</v>
      </c>
      <c r="BA326" s="240">
        <f t="shared" si="954"/>
        <v>0</v>
      </c>
      <c r="BB326" s="240">
        <f t="shared" si="954"/>
        <v>538</v>
      </c>
      <c r="BC326" s="239">
        <f t="shared" ref="BC326:BW326" si="955">BC269+BC270+BC300+BC320+BC323</f>
        <v>569</v>
      </c>
      <c r="BD326" s="240">
        <f t="shared" si="955"/>
        <v>31</v>
      </c>
      <c r="BE326" s="240">
        <f t="shared" si="955"/>
        <v>31</v>
      </c>
      <c r="BF326" s="240">
        <f t="shared" si="955"/>
        <v>0</v>
      </c>
      <c r="BG326" s="240">
        <f t="shared" si="955"/>
        <v>0</v>
      </c>
      <c r="BH326" s="240">
        <f t="shared" si="955"/>
        <v>0</v>
      </c>
      <c r="BI326" s="240">
        <f t="shared" si="955"/>
        <v>0</v>
      </c>
      <c r="BJ326" s="239">
        <f t="shared" si="955"/>
        <v>-1047228</v>
      </c>
      <c r="BK326" s="317">
        <f t="shared" si="955"/>
        <v>-1261387</v>
      </c>
      <c r="BL326" s="240">
        <f t="shared" si="955"/>
        <v>-214159</v>
      </c>
      <c r="BM326" s="240">
        <f t="shared" si="955"/>
        <v>-11045</v>
      </c>
      <c r="BN326" s="240">
        <f t="shared" si="955"/>
        <v>-206523</v>
      </c>
      <c r="BO326" s="240">
        <f t="shared" si="955"/>
        <v>-18678</v>
      </c>
      <c r="BP326" s="240">
        <f t="shared" si="955"/>
        <v>45158</v>
      </c>
      <c r="BQ326" s="240">
        <f t="shared" si="955"/>
        <v>-7681</v>
      </c>
      <c r="BR326" s="240">
        <f t="shared" si="955"/>
        <v>20825</v>
      </c>
      <c r="BS326" s="240">
        <f t="shared" si="955"/>
        <v>-1738</v>
      </c>
      <c r="BT326" s="240">
        <f t="shared" si="955"/>
        <v>-336</v>
      </c>
      <c r="BU326" s="240">
        <f t="shared" si="955"/>
        <v>-32196</v>
      </c>
      <c r="BV326" s="240">
        <f t="shared" si="955"/>
        <v>-1945</v>
      </c>
      <c r="BW326" s="240">
        <f t="shared" si="955"/>
        <v>0</v>
      </c>
      <c r="BX326" s="15"/>
      <c r="BY326" s="89"/>
    </row>
    <row r="327" spans="1:79" ht="12.75" hidden="1" outlineLevel="1" thickTop="1" x14ac:dyDescent="0.2">
      <c r="B327" s="16" t="s">
        <v>22</v>
      </c>
      <c r="C327" s="16"/>
      <c r="D327" s="17">
        <f t="shared" ref="D327:S327" si="956">SUM(D12:D27,D29:D35,D37:D64,D66:D74,D76:D86,D88:D93,D95:D135,D137:D245,D247:D268,D271:D299,D302:D302,D304:D307,D309:D311,D313:D315,D317:D318,D321,D324)</f>
        <v>108920690</v>
      </c>
      <c r="E327" s="17">
        <f t="shared" si="956"/>
        <v>113247545</v>
      </c>
      <c r="F327" s="17">
        <f t="shared" si="956"/>
        <v>97062923</v>
      </c>
      <c r="G327" s="17">
        <f t="shared" si="956"/>
        <v>100922032</v>
      </c>
      <c r="H327" s="17">
        <f t="shared" si="956"/>
        <v>3859109</v>
      </c>
      <c r="I327" s="17">
        <f t="shared" si="956"/>
        <v>92564</v>
      </c>
      <c r="J327" s="17">
        <f t="shared" si="956"/>
        <v>0</v>
      </c>
      <c r="K327" s="17">
        <f t="shared" si="956"/>
        <v>6070235</v>
      </c>
      <c r="L327" s="17">
        <f t="shared" si="956"/>
        <v>662596</v>
      </c>
      <c r="M327" s="17">
        <f t="shared" si="956"/>
        <v>556643</v>
      </c>
      <c r="N327" s="17">
        <f t="shared" si="956"/>
        <v>0</v>
      </c>
      <c r="O327" s="17">
        <f t="shared" si="956"/>
        <v>0</v>
      </c>
      <c r="P327" s="17">
        <f t="shared" si="956"/>
        <v>0</v>
      </c>
      <c r="Q327" s="17">
        <f t="shared" si="956"/>
        <v>-498467</v>
      </c>
      <c r="R327" s="17">
        <f t="shared" si="956"/>
        <v>0</v>
      </c>
      <c r="S327" s="17">
        <f t="shared" si="956"/>
        <v>-5928507</v>
      </c>
      <c r="T327" s="17"/>
      <c r="U327" s="17">
        <f>SUM(U12:U27,U29:U35,U37:U64,U66:U74,U76:U86,U88:U93,U95:U135,U137:U245,U247:U268,U271:U299,U302:U302,U304:U307,U309:U311,U313:U315,U317:U318,U321,U324)</f>
        <v>3528386</v>
      </c>
      <c r="V327" s="17"/>
      <c r="W327" s="17">
        <f t="shared" ref="W327:BB327" si="957">SUM(W12:W27,W29:W35,W37:W64,W66:W74,W76:W86,W88:W93,W95:W135,W137:W245,W247:W268,W271:W299,W302:W302,W304:W307,W309:W311,W313:W315,W317:W318,W321,W324)</f>
        <v>-709705</v>
      </c>
      <c r="X327" s="17">
        <f t="shared" si="957"/>
        <v>0</v>
      </c>
      <c r="Y327" s="17">
        <f t="shared" si="957"/>
        <v>-2877</v>
      </c>
      <c r="Z327" s="17">
        <f t="shared" si="957"/>
        <v>88241</v>
      </c>
      <c r="AA327" s="17">
        <f t="shared" si="957"/>
        <v>0</v>
      </c>
      <c r="AB327" s="17">
        <f t="shared" si="957"/>
        <v>11157908</v>
      </c>
      <c r="AC327" s="17">
        <f t="shared" si="957"/>
        <v>11728542</v>
      </c>
      <c r="AD327" s="17">
        <f t="shared" si="957"/>
        <v>570634</v>
      </c>
      <c r="AE327" s="17">
        <f t="shared" si="957"/>
        <v>30268</v>
      </c>
      <c r="AF327" s="17">
        <f t="shared" si="957"/>
        <v>382567</v>
      </c>
      <c r="AG327" s="17">
        <f t="shared" si="957"/>
        <v>41239</v>
      </c>
      <c r="AH327" s="17">
        <f t="shared" si="957"/>
        <v>27633</v>
      </c>
      <c r="AI327" s="17">
        <f t="shared" si="957"/>
        <v>5573</v>
      </c>
      <c r="AJ327" s="17">
        <f t="shared" si="957"/>
        <v>33143</v>
      </c>
      <c r="AK327" s="17">
        <f t="shared" si="957"/>
        <v>38763</v>
      </c>
      <c r="AL327" s="17">
        <f t="shared" si="957"/>
        <v>11448</v>
      </c>
      <c r="AM327" s="17">
        <f t="shared" si="957"/>
        <v>0</v>
      </c>
      <c r="AN327" s="17">
        <f t="shared" si="957"/>
        <v>0</v>
      </c>
      <c r="AO327" s="17">
        <f t="shared" si="957"/>
        <v>1746549</v>
      </c>
      <c r="AP327" s="17">
        <f t="shared" si="957"/>
        <v>1857789</v>
      </c>
      <c r="AQ327" s="17">
        <f t="shared" si="957"/>
        <v>111240</v>
      </c>
      <c r="AR327" s="17">
        <f t="shared" si="957"/>
        <v>159470</v>
      </c>
      <c r="AS327" s="17">
        <f t="shared" si="957"/>
        <v>-99908</v>
      </c>
      <c r="AT327" s="17">
        <f t="shared" si="957"/>
        <v>111</v>
      </c>
      <c r="AU327" s="17">
        <f t="shared" si="957"/>
        <v>2875</v>
      </c>
      <c r="AV327" s="17">
        <f t="shared" si="957"/>
        <v>100</v>
      </c>
      <c r="AW327" s="17">
        <f t="shared" si="957"/>
        <v>1514</v>
      </c>
      <c r="AX327" s="17">
        <f t="shared" si="957"/>
        <v>5981</v>
      </c>
      <c r="AY327" s="17">
        <f t="shared" si="957"/>
        <v>3610</v>
      </c>
      <c r="AZ327" s="17">
        <f t="shared" si="957"/>
        <v>37487</v>
      </c>
      <c r="BA327" s="17">
        <f t="shared" si="957"/>
        <v>0</v>
      </c>
      <c r="BB327" s="17">
        <f t="shared" si="957"/>
        <v>538</v>
      </c>
      <c r="BC327" s="17">
        <f t="shared" ref="BC327:BW327" si="958">SUM(BC12:BC27,BC29:BC35,BC37:BC64,BC66:BC74,BC76:BC86,BC88:BC93,BC95:BC135,BC137:BC245,BC247:BC268,BC271:BC299,BC302:BC302,BC304:BC307,BC309:BC311,BC313:BC315,BC317:BC318,BC321,BC324)</f>
        <v>569</v>
      </c>
      <c r="BD327" s="17">
        <f t="shared" si="958"/>
        <v>31</v>
      </c>
      <c r="BE327" s="17">
        <f t="shared" si="958"/>
        <v>31</v>
      </c>
      <c r="BF327" s="17">
        <f t="shared" si="958"/>
        <v>0</v>
      </c>
      <c r="BG327" s="17">
        <f t="shared" si="958"/>
        <v>0</v>
      </c>
      <c r="BH327" s="17">
        <f t="shared" si="958"/>
        <v>0</v>
      </c>
      <c r="BI327" s="17">
        <f t="shared" si="958"/>
        <v>0</v>
      </c>
      <c r="BJ327" s="17">
        <f t="shared" si="958"/>
        <v>-1047228</v>
      </c>
      <c r="BK327" s="17">
        <f t="shared" si="958"/>
        <v>-1261387</v>
      </c>
      <c r="BL327" s="17">
        <f t="shared" si="958"/>
        <v>-214159</v>
      </c>
      <c r="BM327" s="17">
        <f t="shared" si="958"/>
        <v>-11045</v>
      </c>
      <c r="BN327" s="17">
        <f t="shared" si="958"/>
        <v>-206523</v>
      </c>
      <c r="BO327" s="17">
        <f t="shared" si="958"/>
        <v>-18678</v>
      </c>
      <c r="BP327" s="17">
        <f t="shared" si="958"/>
        <v>45158</v>
      </c>
      <c r="BQ327" s="17">
        <f t="shared" si="958"/>
        <v>-7681</v>
      </c>
      <c r="BR327" s="17">
        <f t="shared" si="958"/>
        <v>20825</v>
      </c>
      <c r="BS327" s="17">
        <f t="shared" si="958"/>
        <v>-1738</v>
      </c>
      <c r="BT327" s="17">
        <f t="shared" si="958"/>
        <v>-336</v>
      </c>
      <c r="BU327" s="17">
        <f t="shared" si="958"/>
        <v>-32196</v>
      </c>
      <c r="BV327" s="17">
        <f t="shared" si="958"/>
        <v>-1945</v>
      </c>
      <c r="BW327" s="17">
        <f t="shared" si="958"/>
        <v>0</v>
      </c>
      <c r="BX327" s="18"/>
      <c r="BY327" s="198"/>
    </row>
    <row r="328" spans="1:79" hidden="1" outlineLevel="1" x14ac:dyDescent="0.2">
      <c r="B328" s="16" t="s">
        <v>23</v>
      </c>
      <c r="C328" s="16"/>
      <c r="D328" s="17">
        <f t="shared" ref="D328:S328" si="959">D11+D28+D36+D65+D75+D87+D94+D136+D246+D270+D300+D320+D323</f>
        <v>108920690</v>
      </c>
      <c r="E328" s="17">
        <f t="shared" si="959"/>
        <v>113736833</v>
      </c>
      <c r="F328" s="17">
        <f t="shared" si="959"/>
        <v>97062923</v>
      </c>
      <c r="G328" s="17">
        <f t="shared" si="959"/>
        <v>101411320</v>
      </c>
      <c r="H328" s="17">
        <f t="shared" si="959"/>
        <v>4348397</v>
      </c>
      <c r="I328" s="17">
        <f t="shared" si="959"/>
        <v>92564</v>
      </c>
      <c r="J328" s="17">
        <f t="shared" si="959"/>
        <v>0</v>
      </c>
      <c r="K328" s="17">
        <f t="shared" si="959"/>
        <v>6070235</v>
      </c>
      <c r="L328" s="17">
        <f t="shared" si="959"/>
        <v>662596</v>
      </c>
      <c r="M328" s="17">
        <f t="shared" si="959"/>
        <v>556643</v>
      </c>
      <c r="N328" s="17">
        <f t="shared" si="959"/>
        <v>0</v>
      </c>
      <c r="O328" s="17">
        <f t="shared" si="959"/>
        <v>0</v>
      </c>
      <c r="P328" s="17">
        <f t="shared" si="959"/>
        <v>0</v>
      </c>
      <c r="Q328" s="17">
        <f t="shared" si="959"/>
        <v>-498467</v>
      </c>
      <c r="R328" s="17">
        <f t="shared" si="959"/>
        <v>0</v>
      </c>
      <c r="S328" s="17">
        <f t="shared" si="959"/>
        <v>-5928507</v>
      </c>
      <c r="T328" s="17"/>
      <c r="U328" s="17">
        <f>U11+U28+U36+U65+U75+U87+U94+U136+U246+U270+U300+U320+U323</f>
        <v>3528386</v>
      </c>
      <c r="V328" s="17"/>
      <c r="W328" s="17">
        <f t="shared" ref="W328:BB328" si="960">W11+W28+W36+W65+W75+W87+W94+W136+W246+W270+W300+W320+W323</f>
        <v>-220417</v>
      </c>
      <c r="X328" s="17">
        <f t="shared" si="960"/>
        <v>0</v>
      </c>
      <c r="Y328" s="17">
        <f t="shared" si="960"/>
        <v>-2877</v>
      </c>
      <c r="Z328" s="17">
        <f t="shared" si="960"/>
        <v>88241</v>
      </c>
      <c r="AA328" s="17">
        <f t="shared" si="960"/>
        <v>0</v>
      </c>
      <c r="AB328" s="17">
        <f t="shared" si="960"/>
        <v>11157908</v>
      </c>
      <c r="AC328" s="17">
        <f t="shared" si="960"/>
        <v>11728542</v>
      </c>
      <c r="AD328" s="17">
        <f t="shared" si="960"/>
        <v>570634</v>
      </c>
      <c r="AE328" s="17">
        <f t="shared" si="960"/>
        <v>30268</v>
      </c>
      <c r="AF328" s="17">
        <f t="shared" si="960"/>
        <v>382567</v>
      </c>
      <c r="AG328" s="17">
        <f t="shared" si="960"/>
        <v>41239</v>
      </c>
      <c r="AH328" s="17">
        <f t="shared" si="960"/>
        <v>27633</v>
      </c>
      <c r="AI328" s="17">
        <f t="shared" si="960"/>
        <v>5573</v>
      </c>
      <c r="AJ328" s="17">
        <f t="shared" si="960"/>
        <v>33143</v>
      </c>
      <c r="AK328" s="17">
        <f t="shared" si="960"/>
        <v>38763</v>
      </c>
      <c r="AL328" s="17">
        <f t="shared" si="960"/>
        <v>11448</v>
      </c>
      <c r="AM328" s="17">
        <f t="shared" si="960"/>
        <v>0</v>
      </c>
      <c r="AN328" s="17">
        <f t="shared" si="960"/>
        <v>0</v>
      </c>
      <c r="AO328" s="17">
        <f t="shared" si="960"/>
        <v>1746549</v>
      </c>
      <c r="AP328" s="17">
        <f t="shared" si="960"/>
        <v>1857789</v>
      </c>
      <c r="AQ328" s="17">
        <f t="shared" si="960"/>
        <v>111240</v>
      </c>
      <c r="AR328" s="17">
        <f t="shared" si="960"/>
        <v>159470</v>
      </c>
      <c r="AS328" s="17">
        <f t="shared" si="960"/>
        <v>-99908</v>
      </c>
      <c r="AT328" s="17">
        <f t="shared" si="960"/>
        <v>111</v>
      </c>
      <c r="AU328" s="17">
        <f t="shared" si="960"/>
        <v>2875</v>
      </c>
      <c r="AV328" s="17">
        <f t="shared" si="960"/>
        <v>100</v>
      </c>
      <c r="AW328" s="17">
        <f t="shared" si="960"/>
        <v>1514</v>
      </c>
      <c r="AX328" s="17">
        <f t="shared" si="960"/>
        <v>5981</v>
      </c>
      <c r="AY328" s="17">
        <f t="shared" si="960"/>
        <v>3610</v>
      </c>
      <c r="AZ328" s="17">
        <f t="shared" si="960"/>
        <v>37487</v>
      </c>
      <c r="BA328" s="17">
        <f t="shared" si="960"/>
        <v>0</v>
      </c>
      <c r="BB328" s="17">
        <f t="shared" si="960"/>
        <v>538</v>
      </c>
      <c r="BC328" s="17">
        <f t="shared" ref="BC328:BW328" si="961">BC11+BC28+BC36+BC65+BC75+BC87+BC94+BC136+BC246+BC270+BC300+BC320+BC323</f>
        <v>569</v>
      </c>
      <c r="BD328" s="17">
        <f t="shared" si="961"/>
        <v>31</v>
      </c>
      <c r="BE328" s="17">
        <f t="shared" si="961"/>
        <v>31</v>
      </c>
      <c r="BF328" s="17">
        <f t="shared" si="961"/>
        <v>0</v>
      </c>
      <c r="BG328" s="17">
        <f t="shared" si="961"/>
        <v>0</v>
      </c>
      <c r="BH328" s="17">
        <f t="shared" si="961"/>
        <v>0</v>
      </c>
      <c r="BI328" s="17">
        <f t="shared" si="961"/>
        <v>0</v>
      </c>
      <c r="BJ328" s="17">
        <f t="shared" si="961"/>
        <v>-1047228</v>
      </c>
      <c r="BK328" s="17">
        <f t="shared" si="961"/>
        <v>-1261387</v>
      </c>
      <c r="BL328" s="17">
        <f t="shared" si="961"/>
        <v>-214159</v>
      </c>
      <c r="BM328" s="17">
        <f t="shared" si="961"/>
        <v>-11045</v>
      </c>
      <c r="BN328" s="17">
        <f t="shared" si="961"/>
        <v>-206523</v>
      </c>
      <c r="BO328" s="17">
        <f t="shared" si="961"/>
        <v>-18678</v>
      </c>
      <c r="BP328" s="17">
        <f t="shared" si="961"/>
        <v>45158</v>
      </c>
      <c r="BQ328" s="17">
        <f t="shared" si="961"/>
        <v>-7681</v>
      </c>
      <c r="BR328" s="17">
        <f t="shared" si="961"/>
        <v>20825</v>
      </c>
      <c r="BS328" s="17">
        <f t="shared" si="961"/>
        <v>-1738</v>
      </c>
      <c r="BT328" s="17">
        <f t="shared" si="961"/>
        <v>-336</v>
      </c>
      <c r="BU328" s="17">
        <f t="shared" si="961"/>
        <v>-32196</v>
      </c>
      <c r="BV328" s="17">
        <f t="shared" si="961"/>
        <v>-1945</v>
      </c>
      <c r="BW328" s="17">
        <f t="shared" si="961"/>
        <v>0</v>
      </c>
      <c r="BX328" s="18"/>
      <c r="BY328" s="198"/>
    </row>
    <row r="329" spans="1:79" hidden="1" outlineLevel="1" x14ac:dyDescent="0.2">
      <c r="B329" s="16" t="s">
        <v>24</v>
      </c>
      <c r="C329" s="16"/>
      <c r="D329" s="19" t="str">
        <f t="shared" ref="D329:BX329" si="962">IF(D326=D327=D328,"PROBLEM","")</f>
        <v/>
      </c>
      <c r="E329" s="19"/>
      <c r="F329" s="19" t="str">
        <f t="shared" si="962"/>
        <v/>
      </c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 t="str">
        <f t="shared" si="962"/>
        <v/>
      </c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 t="str">
        <f t="shared" si="962"/>
        <v/>
      </c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 t="str">
        <f t="shared" si="962"/>
        <v/>
      </c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20" t="str">
        <f t="shared" si="962"/>
        <v/>
      </c>
      <c r="BY329" s="198"/>
    </row>
    <row r="330" spans="1:79" hidden="1" outlineLevel="1" x14ac:dyDescent="0.2">
      <c r="B330" s="13"/>
      <c r="C330" s="13"/>
      <c r="F330" s="198"/>
      <c r="AB330" s="198"/>
      <c r="BB330" s="198"/>
      <c r="BJ330" s="198"/>
      <c r="BY330" s="198"/>
    </row>
    <row r="331" spans="1:79" s="22" customFormat="1" hidden="1" outlineLevel="1" x14ac:dyDescent="0.2">
      <c r="B331" s="21"/>
      <c r="C331" s="21" t="s">
        <v>274</v>
      </c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23"/>
      <c r="AK331" s="23"/>
      <c r="AL331" s="23"/>
      <c r="AM331" s="23"/>
      <c r="AN331" s="23"/>
      <c r="AO331" s="23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380"/>
      <c r="BY331" s="3"/>
      <c r="BZ331" s="3"/>
      <c r="CA331" s="3"/>
    </row>
    <row r="332" spans="1:79" hidden="1" outlineLevel="1" x14ac:dyDescent="0.2">
      <c r="B332" s="13"/>
      <c r="C332" s="13"/>
      <c r="D332" s="127">
        <f>Ienemumi!AI161-E326</f>
        <v>0</v>
      </c>
      <c r="E332" s="127"/>
      <c r="F332" s="198"/>
      <c r="AB332" s="198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Y332" s="198"/>
      <c r="BZ332" s="198"/>
      <c r="CA332" s="198"/>
    </row>
    <row r="333" spans="1:79" ht="12.75" collapsed="1" thickTop="1" x14ac:dyDescent="0.2">
      <c r="B333" s="13"/>
      <c r="C333" s="13"/>
      <c r="D333" s="127"/>
      <c r="E333" s="127"/>
      <c r="F333" s="263"/>
      <c r="G333" s="263"/>
      <c r="H333" s="263"/>
      <c r="I333" s="263"/>
      <c r="J333" s="263"/>
      <c r="K333" s="263"/>
      <c r="L333" s="263"/>
      <c r="M333" s="263"/>
      <c r="N333" s="263"/>
      <c r="O333" s="263"/>
      <c r="P333" s="263"/>
      <c r="Q333" s="263"/>
      <c r="R333" s="263"/>
      <c r="S333" s="263"/>
      <c r="T333" s="263"/>
      <c r="U333" s="263"/>
      <c r="V333" s="263"/>
      <c r="W333" s="263"/>
      <c r="X333" s="263"/>
      <c r="Y333" s="263"/>
      <c r="Z333" s="263"/>
      <c r="AA333" s="263"/>
      <c r="AB333" s="263"/>
      <c r="AC333" s="263"/>
      <c r="AD333" s="263"/>
      <c r="AE333" s="263"/>
      <c r="AF333" s="263"/>
      <c r="AG333" s="263"/>
      <c r="AH333" s="263"/>
      <c r="AI333" s="263"/>
      <c r="AJ333" s="263"/>
      <c r="AK333" s="263"/>
      <c r="AL333" s="263"/>
      <c r="AM333" s="263"/>
      <c r="AN333" s="263"/>
      <c r="AO333" s="263"/>
      <c r="AP333" s="263"/>
      <c r="AQ333" s="263"/>
      <c r="AR333" s="263"/>
      <c r="AS333" s="263"/>
      <c r="AT333" s="263"/>
      <c r="AU333" s="263"/>
      <c r="AV333" s="263"/>
      <c r="AW333" s="263"/>
      <c r="AX333" s="263"/>
      <c r="AY333" s="263"/>
      <c r="AZ333" s="263"/>
      <c r="BA333" s="263"/>
      <c r="BB333" s="263"/>
      <c r="BC333" s="263"/>
      <c r="BD333" s="263"/>
      <c r="BE333" s="263"/>
      <c r="BF333" s="263"/>
      <c r="BG333" s="263"/>
      <c r="BH333" s="263"/>
      <c r="BI333" s="263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Y333" s="198"/>
      <c r="BZ333" s="198"/>
      <c r="CA333" s="198"/>
    </row>
    <row r="334" spans="1:79" x14ac:dyDescent="0.2">
      <c r="B334" s="13"/>
      <c r="C334" s="13"/>
      <c r="D334" s="127"/>
      <c r="E334" s="127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V334" s="264"/>
      <c r="W334" s="264"/>
      <c r="X334" s="264"/>
      <c r="Y334" s="264"/>
      <c r="Z334" s="264"/>
      <c r="AA334" s="264"/>
      <c r="AB334" s="264"/>
      <c r="AC334" s="264"/>
      <c r="AD334" s="264"/>
      <c r="AE334" s="264"/>
      <c r="AF334" s="264"/>
      <c r="AG334" s="264"/>
      <c r="AH334" s="264"/>
      <c r="AI334" s="264"/>
      <c r="AJ334" s="264"/>
      <c r="AK334" s="264"/>
      <c r="AL334" s="264"/>
      <c r="AM334" s="264"/>
      <c r="AN334" s="264"/>
      <c r="AO334" s="264"/>
      <c r="AP334" s="264"/>
      <c r="AQ334" s="264"/>
      <c r="AR334" s="264"/>
      <c r="AS334" s="264"/>
      <c r="AT334" s="264"/>
      <c r="AU334" s="264"/>
      <c r="AV334" s="264"/>
      <c r="AW334" s="264"/>
      <c r="AX334" s="264"/>
      <c r="AY334" s="264"/>
      <c r="AZ334" s="264"/>
      <c r="BA334" s="264"/>
      <c r="BB334" s="264"/>
      <c r="BC334" s="264"/>
      <c r="BD334" s="264"/>
      <c r="BE334" s="264"/>
      <c r="BF334" s="264"/>
      <c r="BG334" s="264"/>
      <c r="BH334" s="264"/>
      <c r="BI334" s="264"/>
      <c r="BJ334" s="198"/>
      <c r="BY334" s="198"/>
      <c r="BZ334" s="198"/>
      <c r="CA334" s="198"/>
    </row>
    <row r="335" spans="1:79" x14ac:dyDescent="0.2">
      <c r="B335" s="13"/>
      <c r="C335" s="13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V335" s="264"/>
      <c r="W335" s="264"/>
      <c r="X335" s="264"/>
      <c r="Y335" s="264"/>
      <c r="Z335" s="264"/>
      <c r="AA335" s="264"/>
      <c r="AB335" s="264"/>
      <c r="AC335" s="264"/>
      <c r="AD335" s="264"/>
      <c r="AE335" s="264"/>
      <c r="AF335" s="264"/>
      <c r="AG335" s="264"/>
      <c r="AH335" s="264"/>
      <c r="AI335" s="264"/>
      <c r="AJ335" s="264"/>
      <c r="AK335" s="264"/>
      <c r="AL335" s="264"/>
      <c r="AM335" s="264"/>
      <c r="AN335" s="264"/>
      <c r="AO335" s="264"/>
      <c r="AP335" s="264"/>
      <c r="AQ335" s="264"/>
      <c r="AR335" s="264"/>
      <c r="AS335" s="264"/>
      <c r="AT335" s="264"/>
      <c r="AU335" s="264"/>
      <c r="AV335" s="264"/>
      <c r="AW335" s="264"/>
      <c r="AX335" s="264"/>
      <c r="AY335" s="264"/>
      <c r="AZ335" s="264"/>
      <c r="BA335" s="264"/>
      <c r="BB335" s="198"/>
      <c r="BJ335" s="198"/>
      <c r="BY335" s="198"/>
      <c r="BZ335" s="198"/>
      <c r="CA335" s="198"/>
    </row>
    <row r="336" spans="1:79" x14ac:dyDescent="0.2">
      <c r="B336" s="13"/>
      <c r="C336" s="13"/>
      <c r="BB336" s="198"/>
      <c r="BJ336" s="198"/>
      <c r="BY336" s="198"/>
      <c r="BZ336" s="198"/>
      <c r="CA336" s="198"/>
    </row>
    <row r="337" spans="2:79" x14ac:dyDescent="0.2">
      <c r="B337" s="13"/>
      <c r="C337" s="13"/>
      <c r="BB337" s="198"/>
      <c r="BJ337" s="198"/>
      <c r="BY337" s="198"/>
      <c r="BZ337" s="198"/>
      <c r="CA337" s="198"/>
    </row>
    <row r="338" spans="2:79" x14ac:dyDescent="0.2">
      <c r="B338" s="13"/>
      <c r="C338" s="13"/>
      <c r="BB338" s="198"/>
      <c r="BJ338" s="198"/>
      <c r="BY338" s="198"/>
      <c r="BZ338" s="198"/>
      <c r="CA338" s="198"/>
    </row>
    <row r="339" spans="2:79" x14ac:dyDescent="0.2">
      <c r="B339" s="13"/>
      <c r="C339" s="13"/>
      <c r="BB339" s="198"/>
      <c r="BJ339" s="198"/>
      <c r="BY339" s="198"/>
      <c r="BZ339" s="198"/>
      <c r="CA339" s="198"/>
    </row>
    <row r="340" spans="2:79" x14ac:dyDescent="0.2">
      <c r="B340" s="13"/>
      <c r="C340" s="13"/>
      <c r="BB340" s="198"/>
      <c r="BJ340" s="198"/>
      <c r="BY340" s="198"/>
      <c r="BZ340" s="198"/>
      <c r="CA340" s="198"/>
    </row>
    <row r="341" spans="2:79" x14ac:dyDescent="0.2">
      <c r="B341" s="13"/>
      <c r="C341" s="13"/>
      <c r="BB341" s="198"/>
      <c r="BJ341" s="198"/>
      <c r="BY341" s="198"/>
      <c r="BZ341" s="198"/>
      <c r="CA341" s="198"/>
    </row>
    <row r="342" spans="2:79" x14ac:dyDescent="0.2">
      <c r="B342" s="13"/>
      <c r="C342" s="13"/>
      <c r="BB342" s="198"/>
      <c r="BJ342" s="198"/>
      <c r="BY342" s="198"/>
      <c r="BZ342" s="198"/>
      <c r="CA342" s="198"/>
    </row>
    <row r="343" spans="2:79" x14ac:dyDescent="0.2">
      <c r="B343" s="13"/>
      <c r="C343" s="13"/>
      <c r="BB343" s="198"/>
      <c r="BJ343" s="198"/>
      <c r="BY343" s="198"/>
      <c r="BZ343" s="198"/>
      <c r="CA343" s="198"/>
    </row>
    <row r="344" spans="2:79" x14ac:dyDescent="0.2">
      <c r="B344" s="13"/>
      <c r="C344" s="13"/>
      <c r="BB344" s="198"/>
      <c r="BJ344" s="198"/>
      <c r="BY344" s="198"/>
      <c r="BZ344" s="198"/>
      <c r="CA344" s="198"/>
    </row>
    <row r="345" spans="2:79" x14ac:dyDescent="0.2">
      <c r="B345" s="13"/>
      <c r="C345" s="13"/>
      <c r="BB345" s="198"/>
      <c r="BJ345" s="198"/>
      <c r="BY345" s="198"/>
      <c r="BZ345" s="198"/>
      <c r="CA345" s="198"/>
    </row>
    <row r="346" spans="2:79" x14ac:dyDescent="0.2">
      <c r="B346" s="13"/>
      <c r="C346" s="13"/>
      <c r="BB346" s="198"/>
      <c r="BJ346" s="198"/>
      <c r="BY346" s="198"/>
      <c r="BZ346" s="198"/>
      <c r="CA346" s="198"/>
    </row>
    <row r="347" spans="2:79" x14ac:dyDescent="0.2">
      <c r="B347" s="13"/>
      <c r="C347" s="13"/>
      <c r="BB347" s="198"/>
      <c r="BJ347" s="198"/>
      <c r="BY347" s="198"/>
      <c r="BZ347" s="198"/>
      <c r="CA347" s="198"/>
    </row>
    <row r="348" spans="2:79" x14ac:dyDescent="0.2">
      <c r="B348" s="13"/>
      <c r="C348" s="13"/>
      <c r="BB348" s="198"/>
      <c r="BJ348" s="198"/>
      <c r="BY348" s="198"/>
      <c r="BZ348" s="198"/>
      <c r="CA348" s="198"/>
    </row>
    <row r="349" spans="2:79" x14ac:dyDescent="0.2">
      <c r="B349" s="13"/>
      <c r="C349" s="13"/>
      <c r="BB349" s="198"/>
      <c r="BJ349" s="198"/>
      <c r="BY349" s="198"/>
      <c r="BZ349" s="198"/>
      <c r="CA349" s="198"/>
    </row>
    <row r="350" spans="2:79" x14ac:dyDescent="0.2">
      <c r="B350" s="13"/>
      <c r="C350" s="13"/>
      <c r="BB350" s="198"/>
      <c r="BJ350" s="198"/>
      <c r="BY350" s="198"/>
      <c r="BZ350" s="198"/>
      <c r="CA350" s="198"/>
    </row>
    <row r="351" spans="2:79" x14ac:dyDescent="0.2">
      <c r="B351" s="13"/>
      <c r="C351" s="13"/>
      <c r="BB351" s="198"/>
      <c r="BJ351" s="198"/>
      <c r="BY351" s="198"/>
      <c r="BZ351" s="198"/>
      <c r="CA351" s="198"/>
    </row>
    <row r="352" spans="2:79" x14ac:dyDescent="0.2">
      <c r="B352" s="13"/>
      <c r="C352" s="13"/>
      <c r="BB352" s="198"/>
      <c r="BJ352" s="198"/>
      <c r="BY352" s="198"/>
      <c r="BZ352" s="198"/>
      <c r="CA352" s="198"/>
    </row>
    <row r="353" spans="2:79" x14ac:dyDescent="0.2">
      <c r="B353" s="13"/>
      <c r="C353" s="13"/>
      <c r="BB353" s="198"/>
      <c r="BJ353" s="198"/>
      <c r="BY353" s="198"/>
      <c r="BZ353" s="198"/>
      <c r="CA353" s="198"/>
    </row>
    <row r="354" spans="2:79" x14ac:dyDescent="0.2">
      <c r="B354" s="13"/>
      <c r="C354" s="13"/>
      <c r="BB354" s="198"/>
      <c r="BJ354" s="198"/>
      <c r="BY354" s="198"/>
      <c r="BZ354" s="198"/>
      <c r="CA354" s="198"/>
    </row>
    <row r="355" spans="2:79" x14ac:dyDescent="0.2">
      <c r="B355" s="13"/>
      <c r="C355" s="13"/>
    </row>
    <row r="356" spans="2:79" x14ac:dyDescent="0.2">
      <c r="B356" s="13"/>
      <c r="C356" s="13"/>
    </row>
    <row r="357" spans="2:79" x14ac:dyDescent="0.2">
      <c r="B357" s="13"/>
      <c r="C357" s="13"/>
    </row>
    <row r="358" spans="2:79" x14ac:dyDescent="0.2">
      <c r="B358" s="13"/>
      <c r="C358" s="13"/>
    </row>
    <row r="359" spans="2:79" x14ac:dyDescent="0.2">
      <c r="B359" s="13"/>
      <c r="C359" s="13"/>
    </row>
    <row r="360" spans="2:79" x14ac:dyDescent="0.2">
      <c r="B360" s="13"/>
      <c r="C360" s="13"/>
    </row>
    <row r="361" spans="2:79" x14ac:dyDescent="0.2">
      <c r="B361" s="13"/>
      <c r="C361" s="13"/>
    </row>
    <row r="362" spans="2:79" x14ac:dyDescent="0.2">
      <c r="B362" s="13"/>
      <c r="C362" s="13"/>
    </row>
    <row r="363" spans="2:79" x14ac:dyDescent="0.2">
      <c r="B363" s="13"/>
      <c r="C363" s="13"/>
    </row>
    <row r="364" spans="2:79" x14ac:dyDescent="0.2">
      <c r="B364" s="13"/>
      <c r="C364" s="13"/>
    </row>
    <row r="365" spans="2:79" x14ac:dyDescent="0.2">
      <c r="B365" s="13"/>
      <c r="C365" s="13"/>
    </row>
    <row r="366" spans="2:79" x14ac:dyDescent="0.2">
      <c r="B366" s="13"/>
      <c r="C366" s="13"/>
    </row>
    <row r="367" spans="2:79" x14ac:dyDescent="0.2">
      <c r="B367" s="13"/>
      <c r="C367" s="13"/>
    </row>
    <row r="368" spans="2:79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  <row r="1433" spans="2:3" x14ac:dyDescent="0.2">
      <c r="B1433" s="13"/>
      <c r="C1433" s="13"/>
    </row>
    <row r="1434" spans="2:3" x14ac:dyDescent="0.2">
      <c r="B1434" s="13"/>
      <c r="C1434" s="13"/>
    </row>
    <row r="1435" spans="2:3" x14ac:dyDescent="0.2">
      <c r="B1435" s="13"/>
      <c r="C1435" s="13"/>
    </row>
    <row r="1436" spans="2:3" x14ac:dyDescent="0.2">
      <c r="B1436" s="13"/>
      <c r="C1436" s="13"/>
    </row>
    <row r="1437" spans="2:3" x14ac:dyDescent="0.2">
      <c r="B1437" s="13"/>
      <c r="C1437" s="13"/>
    </row>
    <row r="1438" spans="2:3" x14ac:dyDescent="0.2">
      <c r="B1438" s="13"/>
      <c r="C1438" s="13"/>
    </row>
    <row r="1439" spans="2:3" x14ac:dyDescent="0.2">
      <c r="B1439" s="13"/>
      <c r="C1439" s="13"/>
    </row>
    <row r="1440" spans="2:3" x14ac:dyDescent="0.2">
      <c r="B1440" s="13"/>
      <c r="C1440" s="13"/>
    </row>
    <row r="1441" spans="2:3" x14ac:dyDescent="0.2">
      <c r="B1441" s="13"/>
      <c r="C1441" s="13"/>
    </row>
    <row r="1442" spans="2:3" x14ac:dyDescent="0.2">
      <c r="B1442" s="13"/>
      <c r="C1442" s="13"/>
    </row>
    <row r="1443" spans="2:3" x14ac:dyDescent="0.2">
      <c r="B1443" s="13"/>
      <c r="C1443" s="13"/>
    </row>
    <row r="1444" spans="2:3" x14ac:dyDescent="0.2">
      <c r="B1444" s="13"/>
      <c r="C1444" s="13"/>
    </row>
    <row r="1445" spans="2:3" x14ac:dyDescent="0.2">
      <c r="B1445" s="13"/>
      <c r="C1445" s="13"/>
    </row>
    <row r="1446" spans="2:3" x14ac:dyDescent="0.2">
      <c r="B1446" s="13"/>
      <c r="C1446" s="13"/>
    </row>
    <row r="1447" spans="2:3" x14ac:dyDescent="0.2">
      <c r="B1447" s="13"/>
      <c r="C1447" s="13"/>
    </row>
    <row r="1448" spans="2:3" x14ac:dyDescent="0.2">
      <c r="B1448" s="13"/>
      <c r="C1448" s="13"/>
    </row>
    <row r="1449" spans="2:3" x14ac:dyDescent="0.2">
      <c r="B1449" s="13"/>
      <c r="C1449" s="13"/>
    </row>
    <row r="1450" spans="2:3" x14ac:dyDescent="0.2">
      <c r="B1450" s="13"/>
      <c r="C1450" s="13"/>
    </row>
    <row r="1451" spans="2:3" x14ac:dyDescent="0.2">
      <c r="B1451" s="13"/>
      <c r="C1451" s="13"/>
    </row>
  </sheetData>
  <sheetProtection algorithmName="SHA-512" hashValue="the4Fg9OmKvnwlkZjDP+wgF5tt7AYw/1nTphQNq2JKdzFZcB01/a9tuoLSnKmOdtuML4ubKUvouBs17HzGoqSA==" saltValue="IjrE0mxRJjfC8hlAhHdA2g==" spinCount="100000" sheet="1" objects="1" scenarios="1" formatCells="0" formatColumns="0" formatRows="0" insertHyperlinks="0"/>
  <autoFilter ref="A9:BY329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5">
    <mergeCell ref="B322:C322"/>
    <mergeCell ref="B324:C324"/>
    <mergeCell ref="B271:C271"/>
    <mergeCell ref="C6:C8"/>
    <mergeCell ref="B314:C314"/>
    <mergeCell ref="B315:C315"/>
    <mergeCell ref="B310:C310"/>
    <mergeCell ref="B298:C298"/>
    <mergeCell ref="B281:C281"/>
    <mergeCell ref="B282:C282"/>
    <mergeCell ref="B285:C285"/>
    <mergeCell ref="B290:C290"/>
    <mergeCell ref="B287:C287"/>
    <mergeCell ref="B288:C288"/>
    <mergeCell ref="B321:C321"/>
    <mergeCell ref="B302:C302"/>
    <mergeCell ref="B318:C318"/>
    <mergeCell ref="A4:BY4"/>
    <mergeCell ref="B272:C272"/>
    <mergeCell ref="B277:C277"/>
    <mergeCell ref="B278:C278"/>
    <mergeCell ref="B279:C279"/>
    <mergeCell ref="A6:A8"/>
    <mergeCell ref="AB7:AB8"/>
    <mergeCell ref="F7:F8"/>
    <mergeCell ref="BY6:BY8"/>
    <mergeCell ref="BX6:BX8"/>
    <mergeCell ref="BB7:BB8"/>
    <mergeCell ref="BJ7:BJ8"/>
    <mergeCell ref="H7:H8"/>
    <mergeCell ref="G7:G8"/>
    <mergeCell ref="D6:BK6"/>
    <mergeCell ref="B269:C269"/>
    <mergeCell ref="I7:AA7"/>
    <mergeCell ref="AC7:AC8"/>
    <mergeCell ref="B313:C313"/>
    <mergeCell ref="B304:C304"/>
    <mergeCell ref="B305:C305"/>
    <mergeCell ref="B306:C306"/>
    <mergeCell ref="B307:C307"/>
    <mergeCell ref="B276:C276"/>
    <mergeCell ref="B283:C283"/>
    <mergeCell ref="B284:C284"/>
    <mergeCell ref="BL7:BL8"/>
    <mergeCell ref="BE7:BI7"/>
    <mergeCell ref="B317:C317"/>
    <mergeCell ref="B292:C292"/>
    <mergeCell ref="AD7:AD8"/>
    <mergeCell ref="AE7:AN7"/>
    <mergeCell ref="B309:C309"/>
    <mergeCell ref="B311:C311"/>
    <mergeCell ref="B297:C297"/>
    <mergeCell ref="B291:C291"/>
    <mergeCell ref="B293:C293"/>
    <mergeCell ref="B294:C294"/>
    <mergeCell ref="B295:C295"/>
    <mergeCell ref="B280:C280"/>
    <mergeCell ref="B286:C286"/>
    <mergeCell ref="E7:E8"/>
    <mergeCell ref="BM7:BW7"/>
    <mergeCell ref="B299:C299"/>
    <mergeCell ref="AP7:AP8"/>
    <mergeCell ref="AQ7:AQ8"/>
    <mergeCell ref="AR7:BA7"/>
    <mergeCell ref="BC7:BC8"/>
    <mergeCell ref="BD7:BD8"/>
    <mergeCell ref="B273:C273"/>
    <mergeCell ref="B289:C289"/>
    <mergeCell ref="B296:C296"/>
    <mergeCell ref="AO7:AO8"/>
    <mergeCell ref="D7:D8"/>
    <mergeCell ref="B6:B8"/>
    <mergeCell ref="B274:C274"/>
    <mergeCell ref="B275:C275"/>
    <mergeCell ref="BK7:BK8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31.oktobra saistošajiem noteikumiem Nr.46
(protokols Nr.14, 28.punkts)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J168"/>
  <sheetViews>
    <sheetView view="pageLayout" zoomScaleNormal="100" workbookViewId="0">
      <selection activeCell="AN7" sqref="AN7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7109375" style="70" customWidth="1" collapsed="1"/>
    <col min="7" max="7" width="9.140625" style="70" hidden="1" customWidth="1" outlineLevel="1"/>
    <col min="8" max="8" width="7.5703125" style="70" hidden="1" customWidth="1" outlineLevel="1"/>
    <col min="9" max="9" width="9" style="70" hidden="1" customWidth="1" outlineLevel="1"/>
    <col min="10" max="10" width="8" style="70" hidden="1" customWidth="1" outlineLevel="1"/>
    <col min="11" max="11" width="7.85546875" style="70" hidden="1" customWidth="1" outlineLevel="1"/>
    <col min="12" max="12" width="7.5703125" style="70" hidden="1" customWidth="1" outlineLevel="1"/>
    <col min="13" max="13" width="7.7109375" style="70" hidden="1" customWidth="1" outlineLevel="1"/>
    <col min="14" max="14" width="9.28515625" style="70" hidden="1" customWidth="1" outlineLevel="1"/>
    <col min="15" max="19" width="9" style="70" hidden="1" customWidth="1" outlineLevel="1"/>
    <col min="20" max="20" width="10" style="70" hidden="1" customWidth="1" outlineLevel="1"/>
    <col min="21" max="21" width="10" style="70" customWidth="1" collapsed="1"/>
    <col min="22" max="22" width="8.7109375" style="70" hidden="1" customWidth="1" outlineLevel="1"/>
    <col min="23" max="23" width="7" style="70" hidden="1" customWidth="1" outlineLevel="1"/>
    <col min="24" max="24" width="9" style="70" hidden="1" customWidth="1" outlineLevel="1"/>
    <col min="25" max="26" width="7.42578125" style="70" hidden="1" customWidth="1" outlineLevel="1"/>
    <col min="27" max="33" width="8.42578125" style="70" hidden="1" customWidth="1" outlineLevel="1"/>
    <col min="34" max="34" width="11" style="70" hidden="1" customWidth="1" outlineLevel="1"/>
    <col min="35" max="35" width="9.85546875" style="25" customWidth="1" collapsed="1"/>
    <col min="36" max="16384" width="9.140625" style="25"/>
  </cols>
  <sheetData>
    <row r="1" spans="1:35" x14ac:dyDescent="0.2">
      <c r="AI1" s="336" t="s">
        <v>741</v>
      </c>
    </row>
    <row r="2" spans="1:35" x14ac:dyDescent="0.2">
      <c r="AI2" s="336" t="s">
        <v>739</v>
      </c>
    </row>
    <row r="3" spans="1:35" x14ac:dyDescent="0.2">
      <c r="AI3" s="336" t="s">
        <v>740</v>
      </c>
    </row>
    <row r="4" spans="1:35" ht="18" customHeight="1" x14ac:dyDescent="0.35">
      <c r="A4" s="480" t="s">
        <v>575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</row>
    <row r="5" spans="1:35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5" ht="43.5" customHeight="1" x14ac:dyDescent="0.2">
      <c r="A6" s="468" t="s">
        <v>25</v>
      </c>
      <c r="B6" s="469"/>
      <c r="C6" s="469"/>
      <c r="D6" s="112" t="s">
        <v>26</v>
      </c>
      <c r="E6" s="120" t="s">
        <v>712</v>
      </c>
      <c r="F6" s="142" t="s">
        <v>711</v>
      </c>
      <c r="G6" s="142" t="s">
        <v>713</v>
      </c>
      <c r="H6" s="142" t="s">
        <v>747</v>
      </c>
      <c r="I6" s="142" t="s">
        <v>782</v>
      </c>
      <c r="J6" s="142" t="s">
        <v>797</v>
      </c>
      <c r="K6" s="142" t="s">
        <v>808</v>
      </c>
      <c r="L6" s="142" t="s">
        <v>809</v>
      </c>
      <c r="M6" s="142" t="s">
        <v>814</v>
      </c>
      <c r="N6" s="142" t="s">
        <v>823</v>
      </c>
      <c r="O6" s="142" t="s">
        <v>833</v>
      </c>
      <c r="P6" s="142" t="s">
        <v>839</v>
      </c>
      <c r="Q6" s="142" t="s">
        <v>849</v>
      </c>
      <c r="R6" s="333" t="s">
        <v>731</v>
      </c>
      <c r="S6" s="142"/>
      <c r="T6" s="142" t="s">
        <v>714</v>
      </c>
      <c r="U6" s="142" t="s">
        <v>462</v>
      </c>
      <c r="V6" s="142" t="s">
        <v>715</v>
      </c>
      <c r="W6" s="142" t="s">
        <v>747</v>
      </c>
      <c r="X6" s="142" t="s">
        <v>782</v>
      </c>
      <c r="Y6" s="142" t="s">
        <v>797</v>
      </c>
      <c r="Z6" s="142" t="s">
        <v>808</v>
      </c>
      <c r="AA6" s="142" t="s">
        <v>814</v>
      </c>
      <c r="AB6" s="142" t="s">
        <v>823</v>
      </c>
      <c r="AC6" s="142" t="s">
        <v>833</v>
      </c>
      <c r="AD6" s="142" t="s">
        <v>839</v>
      </c>
      <c r="AE6" s="142" t="s">
        <v>849</v>
      </c>
      <c r="AF6" s="333" t="s">
        <v>731</v>
      </c>
      <c r="AG6" s="142"/>
      <c r="AH6" s="290" t="s">
        <v>840</v>
      </c>
      <c r="AI6" s="290" t="s">
        <v>742</v>
      </c>
    </row>
    <row r="7" spans="1:35" ht="10.5" customHeight="1" thickBot="1" x14ac:dyDescent="0.25">
      <c r="A7" s="470">
        <v>1</v>
      </c>
      <c r="B7" s="471"/>
      <c r="C7" s="472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>
        <v>8</v>
      </c>
      <c r="U7" s="119">
        <v>4</v>
      </c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76">
        <v>9</v>
      </c>
      <c r="AI7" s="76">
        <v>5</v>
      </c>
    </row>
    <row r="8" spans="1:35" s="113" customFormat="1" ht="14.25" customHeight="1" thickTop="1" x14ac:dyDescent="0.2">
      <c r="A8" s="473" t="s">
        <v>114</v>
      </c>
      <c r="B8" s="474"/>
      <c r="C8" s="474"/>
      <c r="D8" s="475"/>
      <c r="E8" s="26">
        <f>SUM(E94,E126,E96)</f>
        <v>109730956</v>
      </c>
      <c r="F8" s="26">
        <f>SUM(F94,F126,F96)</f>
        <v>114997651</v>
      </c>
      <c r="G8" s="26">
        <f t="shared" ref="G8:S8" si="0">SUM(G94,G126,G96)</f>
        <v>5266695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2875</v>
      </c>
      <c r="M8" s="26">
        <f t="shared" si="0"/>
        <v>-498367</v>
      </c>
      <c r="N8" s="26">
        <f t="shared" si="0"/>
        <v>-5899360</v>
      </c>
      <c r="O8" s="26">
        <f t="shared" si="0"/>
        <v>3533959</v>
      </c>
      <c r="P8" s="26">
        <f t="shared" si="0"/>
        <v>-181293</v>
      </c>
      <c r="Q8" s="26">
        <f t="shared" ref="Q8:R8" si="1">SUM(Q94,Q126,Q96)</f>
        <v>39496</v>
      </c>
      <c r="R8" s="26">
        <f t="shared" si="1"/>
        <v>137176</v>
      </c>
      <c r="S8" s="26">
        <f t="shared" si="0"/>
        <v>0</v>
      </c>
      <c r="T8" s="26">
        <f>SUM(T94,T126,T96)</f>
        <v>-1047228</v>
      </c>
      <c r="U8" s="26">
        <f>SUM(U94,U126,U96)</f>
        <v>-1261387</v>
      </c>
      <c r="V8" s="26">
        <f t="shared" ref="V8:AG8" si="2">SUM(V94,V126,V96)</f>
        <v>-214159</v>
      </c>
      <c r="W8" s="26">
        <f t="shared" si="2"/>
        <v>-11045</v>
      </c>
      <c r="X8" s="26">
        <f t="shared" si="2"/>
        <v>-206523</v>
      </c>
      <c r="Y8" s="26">
        <f t="shared" si="2"/>
        <v>-18678</v>
      </c>
      <c r="Z8" s="26">
        <f t="shared" si="2"/>
        <v>45158</v>
      </c>
      <c r="AA8" s="26">
        <f t="shared" si="2"/>
        <v>-7681</v>
      </c>
      <c r="AB8" s="26">
        <f t="shared" si="2"/>
        <v>20825</v>
      </c>
      <c r="AC8" s="26">
        <f t="shared" si="2"/>
        <v>-1738</v>
      </c>
      <c r="AD8" s="26">
        <f t="shared" si="2"/>
        <v>-336</v>
      </c>
      <c r="AE8" s="26">
        <f t="shared" si="2"/>
        <v>-32196</v>
      </c>
      <c r="AF8" s="26">
        <f t="shared" ref="AF8" si="3">SUM(AF94,AF126,AF96)</f>
        <v>-1945</v>
      </c>
      <c r="AG8" s="26">
        <f t="shared" si="2"/>
        <v>0</v>
      </c>
      <c r="AH8" s="26">
        <f>SUM(AH94,AH126,AH96)</f>
        <v>108920152</v>
      </c>
      <c r="AI8" s="26">
        <f t="shared" ref="AI8" si="4">SUM(AI94,AI126,AI96)</f>
        <v>113736264</v>
      </c>
    </row>
    <row r="9" spans="1:35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114" customFormat="1" x14ac:dyDescent="0.2">
      <c r="A10" s="456" t="s">
        <v>27</v>
      </c>
      <c r="B10" s="457"/>
      <c r="C10" s="457"/>
      <c r="D10" s="32" t="s">
        <v>28</v>
      </c>
      <c r="E10" s="33">
        <f t="shared" ref="E10:AH11" si="5">E11</f>
        <v>50828804</v>
      </c>
      <c r="F10" s="33">
        <f t="shared" si="5"/>
        <v>51716764</v>
      </c>
      <c r="G10" s="33">
        <f t="shared" si="5"/>
        <v>887960</v>
      </c>
      <c r="H10" s="33">
        <f t="shared" si="5"/>
        <v>0</v>
      </c>
      <c r="I10" s="33">
        <f t="shared" si="5"/>
        <v>228732</v>
      </c>
      <c r="J10" s="33">
        <f t="shared" si="5"/>
        <v>0</v>
      </c>
      <c r="K10" s="33">
        <f t="shared" si="5"/>
        <v>659228</v>
      </c>
      <c r="L10" s="33">
        <f t="shared" si="5"/>
        <v>0</v>
      </c>
      <c r="M10" s="33">
        <f t="shared" si="5"/>
        <v>0</v>
      </c>
      <c r="N10" s="33">
        <f t="shared" si="5"/>
        <v>0</v>
      </c>
      <c r="O10" s="33">
        <f t="shared" si="5"/>
        <v>0</v>
      </c>
      <c r="P10" s="33">
        <f t="shared" si="5"/>
        <v>0</v>
      </c>
      <c r="Q10" s="33">
        <f t="shared" si="5"/>
        <v>0</v>
      </c>
      <c r="R10" s="33">
        <f t="shared" si="5"/>
        <v>0</v>
      </c>
      <c r="S10" s="33">
        <f t="shared" si="5"/>
        <v>0</v>
      </c>
      <c r="T10" s="33">
        <f t="shared" si="5"/>
        <v>0</v>
      </c>
      <c r="U10" s="33">
        <f>U11</f>
        <v>0</v>
      </c>
      <c r="V10" s="33">
        <f t="shared" ref="U10:AI11" si="6">V11</f>
        <v>0</v>
      </c>
      <c r="W10" s="33">
        <f t="shared" si="6"/>
        <v>0</v>
      </c>
      <c r="X10" s="33">
        <f t="shared" si="6"/>
        <v>0</v>
      </c>
      <c r="Y10" s="33">
        <f t="shared" si="6"/>
        <v>0</v>
      </c>
      <c r="Z10" s="33">
        <f t="shared" si="6"/>
        <v>0</v>
      </c>
      <c r="AA10" s="33">
        <f t="shared" si="6"/>
        <v>0</v>
      </c>
      <c r="AB10" s="33">
        <f t="shared" si="6"/>
        <v>0</v>
      </c>
      <c r="AC10" s="33">
        <f t="shared" si="6"/>
        <v>0</v>
      </c>
      <c r="AD10" s="33">
        <f t="shared" si="6"/>
        <v>0</v>
      </c>
      <c r="AE10" s="33">
        <f t="shared" si="6"/>
        <v>0</v>
      </c>
      <c r="AF10" s="33">
        <f t="shared" si="6"/>
        <v>0</v>
      </c>
      <c r="AG10" s="33">
        <f t="shared" si="6"/>
        <v>0</v>
      </c>
      <c r="AH10" s="33">
        <f t="shared" si="5"/>
        <v>50828804</v>
      </c>
      <c r="AI10" s="33">
        <f t="shared" si="6"/>
        <v>51716764</v>
      </c>
    </row>
    <row r="11" spans="1:35" s="113" customFormat="1" x14ac:dyDescent="0.2">
      <c r="A11" s="34"/>
      <c r="B11" s="451" t="s">
        <v>29</v>
      </c>
      <c r="C11" s="451"/>
      <c r="D11" s="35" t="s">
        <v>30</v>
      </c>
      <c r="E11" s="180">
        <f t="shared" si="5"/>
        <v>50828804</v>
      </c>
      <c r="F11" s="180">
        <f t="shared" si="5"/>
        <v>51716764</v>
      </c>
      <c r="G11" s="180">
        <f t="shared" si="5"/>
        <v>887960</v>
      </c>
      <c r="H11" s="180">
        <f t="shared" si="5"/>
        <v>0</v>
      </c>
      <c r="I11" s="180">
        <f t="shared" si="5"/>
        <v>228732</v>
      </c>
      <c r="J11" s="180">
        <f t="shared" si="5"/>
        <v>0</v>
      </c>
      <c r="K11" s="180">
        <f t="shared" si="5"/>
        <v>659228</v>
      </c>
      <c r="L11" s="180">
        <f t="shared" si="5"/>
        <v>0</v>
      </c>
      <c r="M11" s="180">
        <f t="shared" si="5"/>
        <v>0</v>
      </c>
      <c r="N11" s="180">
        <f t="shared" si="5"/>
        <v>0</v>
      </c>
      <c r="O11" s="180">
        <f t="shared" si="5"/>
        <v>0</v>
      </c>
      <c r="P11" s="180">
        <f t="shared" si="5"/>
        <v>0</v>
      </c>
      <c r="Q11" s="180">
        <f t="shared" si="5"/>
        <v>0</v>
      </c>
      <c r="R11" s="180">
        <f t="shared" si="5"/>
        <v>0</v>
      </c>
      <c r="S11" s="180">
        <f t="shared" si="5"/>
        <v>0</v>
      </c>
      <c r="T11" s="180">
        <f t="shared" si="5"/>
        <v>0</v>
      </c>
      <c r="U11" s="180">
        <f t="shared" si="6"/>
        <v>0</v>
      </c>
      <c r="V11" s="180">
        <f t="shared" si="6"/>
        <v>0</v>
      </c>
      <c r="W11" s="180">
        <f t="shared" si="6"/>
        <v>0</v>
      </c>
      <c r="X11" s="180">
        <f t="shared" si="6"/>
        <v>0</v>
      </c>
      <c r="Y11" s="180">
        <f t="shared" si="6"/>
        <v>0</v>
      </c>
      <c r="Z11" s="180">
        <f t="shared" si="6"/>
        <v>0</v>
      </c>
      <c r="AA11" s="180">
        <f t="shared" si="6"/>
        <v>0</v>
      </c>
      <c r="AB11" s="180">
        <f t="shared" si="6"/>
        <v>0</v>
      </c>
      <c r="AC11" s="180">
        <f t="shared" si="6"/>
        <v>0</v>
      </c>
      <c r="AD11" s="180">
        <f t="shared" si="6"/>
        <v>0</v>
      </c>
      <c r="AE11" s="180">
        <f t="shared" si="6"/>
        <v>0</v>
      </c>
      <c r="AF11" s="180">
        <f t="shared" si="6"/>
        <v>0</v>
      </c>
      <c r="AG11" s="180">
        <f t="shared" si="6"/>
        <v>0</v>
      </c>
      <c r="AH11" s="180">
        <f t="shared" si="5"/>
        <v>50828804</v>
      </c>
      <c r="AI11" s="180">
        <f t="shared" si="6"/>
        <v>51716764</v>
      </c>
    </row>
    <row r="12" spans="1:35" x14ac:dyDescent="0.2">
      <c r="A12" s="36"/>
      <c r="B12" s="460" t="s">
        <v>31</v>
      </c>
      <c r="C12" s="460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I12" si="7">SUM(G13:G14)</f>
        <v>887960</v>
      </c>
      <c r="H12" s="181">
        <f t="shared" si="7"/>
        <v>0</v>
      </c>
      <c r="I12" s="181">
        <f t="shared" si="7"/>
        <v>228732</v>
      </c>
      <c r="J12" s="181">
        <f t="shared" si="7"/>
        <v>0</v>
      </c>
      <c r="K12" s="181">
        <f t="shared" si="7"/>
        <v>659228</v>
      </c>
      <c r="L12" s="181">
        <f t="shared" si="7"/>
        <v>0</v>
      </c>
      <c r="M12" s="181">
        <f t="shared" si="7"/>
        <v>0</v>
      </c>
      <c r="N12" s="181">
        <f t="shared" si="7"/>
        <v>0</v>
      </c>
      <c r="O12" s="181">
        <f t="shared" si="7"/>
        <v>0</v>
      </c>
      <c r="P12" s="181">
        <f t="shared" si="7"/>
        <v>0</v>
      </c>
      <c r="Q12" s="181">
        <f t="shared" ref="Q12:R12" si="8">SUM(Q13:Q14)</f>
        <v>0</v>
      </c>
      <c r="R12" s="181">
        <f t="shared" si="8"/>
        <v>0</v>
      </c>
      <c r="S12" s="181">
        <f t="shared" si="7"/>
        <v>0</v>
      </c>
      <c r="T12" s="181">
        <f t="shared" si="7"/>
        <v>0</v>
      </c>
      <c r="U12" s="181">
        <f t="shared" si="7"/>
        <v>0</v>
      </c>
      <c r="V12" s="181">
        <f t="shared" si="7"/>
        <v>0</v>
      </c>
      <c r="W12" s="181">
        <f t="shared" si="7"/>
        <v>0</v>
      </c>
      <c r="X12" s="181">
        <f t="shared" si="7"/>
        <v>0</v>
      </c>
      <c r="Y12" s="181">
        <f t="shared" si="7"/>
        <v>0</v>
      </c>
      <c r="Z12" s="181">
        <f t="shared" si="7"/>
        <v>0</v>
      </c>
      <c r="AA12" s="181">
        <f t="shared" si="7"/>
        <v>0</v>
      </c>
      <c r="AB12" s="181">
        <f t="shared" si="7"/>
        <v>0</v>
      </c>
      <c r="AC12" s="181">
        <f t="shared" si="7"/>
        <v>0</v>
      </c>
      <c r="AD12" s="181">
        <f t="shared" si="7"/>
        <v>0</v>
      </c>
      <c r="AE12" s="181">
        <f t="shared" si="7"/>
        <v>0</v>
      </c>
      <c r="AF12" s="181">
        <f t="shared" ref="AF12" si="9">SUM(AF13:AF14)</f>
        <v>0</v>
      </c>
      <c r="AG12" s="181">
        <f t="shared" si="7"/>
        <v>0</v>
      </c>
      <c r="AH12" s="181">
        <f t="shared" si="7"/>
        <v>50828804</v>
      </c>
      <c r="AI12" s="181">
        <f t="shared" si="7"/>
        <v>51716764</v>
      </c>
    </row>
    <row r="13" spans="1:35" ht="36" x14ac:dyDescent="0.2">
      <c r="A13" s="38"/>
      <c r="B13" s="476" t="s">
        <v>33</v>
      </c>
      <c r="C13" s="476"/>
      <c r="D13" s="272" t="s">
        <v>138</v>
      </c>
      <c r="E13" s="182">
        <v>50828804</v>
      </c>
      <c r="F13" s="182">
        <f>E13+G13</f>
        <v>228732</v>
      </c>
      <c r="G13" s="182">
        <f>SUBTOTAL(9,H13:S13)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>
        <f>T13+V13</f>
        <v>0</v>
      </c>
      <c r="V13" s="182">
        <f>SUBTOTAL(9,W13:AG13)</f>
        <v>0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>
        <f>E13+T13</f>
        <v>50828804</v>
      </c>
      <c r="AI13" s="182">
        <f>U13+F13</f>
        <v>228732</v>
      </c>
    </row>
    <row r="14" spans="1:35" ht="24" x14ac:dyDescent="0.2">
      <c r="A14" s="46"/>
      <c r="B14" s="477" t="s">
        <v>754</v>
      </c>
      <c r="C14" s="477"/>
      <c r="D14" s="40" t="s">
        <v>755</v>
      </c>
      <c r="E14" s="184"/>
      <c r="F14" s="184">
        <f>E14+G14</f>
        <v>51488032</v>
      </c>
      <c r="G14" s="184">
        <f>SUBTOTAL(9,H14:S14)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/>
      <c r="T14" s="184"/>
      <c r="U14" s="184">
        <f>T14+V14</f>
        <v>0</v>
      </c>
      <c r="V14" s="184">
        <f>SUBTOTAL(9,W14:AG14)</f>
        <v>0</v>
      </c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>
        <f>E14+T14</f>
        <v>0</v>
      </c>
      <c r="AI14" s="184">
        <f>U14+F14</f>
        <v>51488032</v>
      </c>
    </row>
    <row r="15" spans="1:35" s="114" customFormat="1" x14ac:dyDescent="0.2">
      <c r="A15" s="456" t="s">
        <v>34</v>
      </c>
      <c r="B15" s="457"/>
      <c r="C15" s="457"/>
      <c r="D15" s="32" t="s">
        <v>35</v>
      </c>
      <c r="E15" s="41">
        <f t="shared" ref="E15:T15" si="10">SUM(E16)</f>
        <v>8782613</v>
      </c>
      <c r="F15" s="41">
        <f t="shared" si="10"/>
        <v>9129613</v>
      </c>
      <c r="G15" s="41">
        <f t="shared" si="10"/>
        <v>347000</v>
      </c>
      <c r="H15" s="41">
        <f t="shared" si="10"/>
        <v>0</v>
      </c>
      <c r="I15" s="41">
        <f t="shared" si="10"/>
        <v>0</v>
      </c>
      <c r="J15" s="41">
        <f t="shared" si="10"/>
        <v>0</v>
      </c>
      <c r="K15" s="41">
        <f t="shared" si="10"/>
        <v>0</v>
      </c>
      <c r="L15" s="41">
        <f t="shared" si="10"/>
        <v>0</v>
      </c>
      <c r="M15" s="41">
        <f t="shared" si="10"/>
        <v>0</v>
      </c>
      <c r="N15" s="41">
        <f t="shared" si="10"/>
        <v>347000</v>
      </c>
      <c r="O15" s="41">
        <f t="shared" si="10"/>
        <v>0</v>
      </c>
      <c r="P15" s="41">
        <f t="shared" si="10"/>
        <v>0</v>
      </c>
      <c r="Q15" s="41">
        <f t="shared" si="10"/>
        <v>0</v>
      </c>
      <c r="R15" s="41">
        <f t="shared" si="10"/>
        <v>0</v>
      </c>
      <c r="S15" s="41">
        <f t="shared" si="10"/>
        <v>0</v>
      </c>
      <c r="T15" s="41">
        <f t="shared" si="10"/>
        <v>0</v>
      </c>
      <c r="U15" s="41">
        <f t="shared" ref="U15:AI15" si="11">SUM(U16)</f>
        <v>0</v>
      </c>
      <c r="V15" s="41">
        <f t="shared" si="11"/>
        <v>0</v>
      </c>
      <c r="W15" s="41">
        <f t="shared" si="11"/>
        <v>0</v>
      </c>
      <c r="X15" s="41">
        <f t="shared" si="11"/>
        <v>0</v>
      </c>
      <c r="Y15" s="41">
        <f t="shared" si="11"/>
        <v>0</v>
      </c>
      <c r="Z15" s="41">
        <f t="shared" si="11"/>
        <v>0</v>
      </c>
      <c r="AA15" s="41">
        <f t="shared" si="11"/>
        <v>0</v>
      </c>
      <c r="AB15" s="41">
        <f t="shared" si="11"/>
        <v>0</v>
      </c>
      <c r="AC15" s="41">
        <f t="shared" si="11"/>
        <v>0</v>
      </c>
      <c r="AD15" s="41">
        <f t="shared" si="11"/>
        <v>0</v>
      </c>
      <c r="AE15" s="41">
        <f t="shared" si="11"/>
        <v>0</v>
      </c>
      <c r="AF15" s="41">
        <f t="shared" si="11"/>
        <v>0</v>
      </c>
      <c r="AG15" s="41">
        <f t="shared" si="11"/>
        <v>0</v>
      </c>
      <c r="AH15" s="41">
        <f t="shared" si="11"/>
        <v>8782613</v>
      </c>
      <c r="AI15" s="41">
        <f t="shared" si="11"/>
        <v>9129613</v>
      </c>
    </row>
    <row r="16" spans="1:35" s="113" customFormat="1" x14ac:dyDescent="0.2">
      <c r="A16" s="34"/>
      <c r="B16" s="451" t="s">
        <v>36</v>
      </c>
      <c r="C16" s="451"/>
      <c r="D16" s="35" t="s">
        <v>37</v>
      </c>
      <c r="E16" s="185">
        <f t="shared" ref="E16:T16" si="12">SUM(E17,E20,E23)</f>
        <v>8782613</v>
      </c>
      <c r="F16" s="185">
        <f t="shared" ref="F16:S16" si="13">SUM(F17,F20,F23)</f>
        <v>9129613</v>
      </c>
      <c r="G16" s="185">
        <f t="shared" si="13"/>
        <v>347000</v>
      </c>
      <c r="H16" s="185">
        <f t="shared" si="13"/>
        <v>0</v>
      </c>
      <c r="I16" s="185">
        <f t="shared" si="13"/>
        <v>0</v>
      </c>
      <c r="J16" s="185">
        <f t="shared" si="13"/>
        <v>0</v>
      </c>
      <c r="K16" s="185">
        <f t="shared" si="13"/>
        <v>0</v>
      </c>
      <c r="L16" s="185">
        <f t="shared" si="13"/>
        <v>0</v>
      </c>
      <c r="M16" s="185">
        <f t="shared" si="13"/>
        <v>0</v>
      </c>
      <c r="N16" s="185">
        <f t="shared" si="13"/>
        <v>347000</v>
      </c>
      <c r="O16" s="185">
        <f t="shared" si="13"/>
        <v>0</v>
      </c>
      <c r="P16" s="185">
        <f t="shared" si="13"/>
        <v>0</v>
      </c>
      <c r="Q16" s="185">
        <f t="shared" ref="Q16:R16" si="14">SUM(Q17,Q20,Q23)</f>
        <v>0</v>
      </c>
      <c r="R16" s="185">
        <f t="shared" si="14"/>
        <v>0</v>
      </c>
      <c r="S16" s="185">
        <f t="shared" si="13"/>
        <v>0</v>
      </c>
      <c r="T16" s="185">
        <f t="shared" si="12"/>
        <v>0</v>
      </c>
      <c r="U16" s="185">
        <f t="shared" ref="U16:AG16" si="15">SUM(U17,U20,U23)</f>
        <v>0</v>
      </c>
      <c r="V16" s="185">
        <f t="shared" si="15"/>
        <v>0</v>
      </c>
      <c r="W16" s="185">
        <f t="shared" si="15"/>
        <v>0</v>
      </c>
      <c r="X16" s="185">
        <f t="shared" si="15"/>
        <v>0</v>
      </c>
      <c r="Y16" s="185">
        <f t="shared" si="15"/>
        <v>0</v>
      </c>
      <c r="Z16" s="185">
        <f t="shared" si="15"/>
        <v>0</v>
      </c>
      <c r="AA16" s="185">
        <f t="shared" si="15"/>
        <v>0</v>
      </c>
      <c r="AB16" s="185">
        <f t="shared" si="15"/>
        <v>0</v>
      </c>
      <c r="AC16" s="185">
        <f t="shared" si="15"/>
        <v>0</v>
      </c>
      <c r="AD16" s="185">
        <f t="shared" si="15"/>
        <v>0</v>
      </c>
      <c r="AE16" s="185">
        <f t="shared" si="15"/>
        <v>0</v>
      </c>
      <c r="AF16" s="185">
        <f t="shared" ref="AF16" si="16">SUM(AF17,AF20,AF23)</f>
        <v>0</v>
      </c>
      <c r="AG16" s="185">
        <f t="shared" si="15"/>
        <v>0</v>
      </c>
      <c r="AH16" s="185">
        <f>SUM(AH17,AH20,AH23)</f>
        <v>8782613</v>
      </c>
      <c r="AI16" s="185">
        <f t="shared" ref="AI16" si="17">SUM(AI17,AI20,AI23)</f>
        <v>9129613</v>
      </c>
    </row>
    <row r="17" spans="1:35" x14ac:dyDescent="0.2">
      <c r="A17" s="42"/>
      <c r="B17" s="455" t="s">
        <v>171</v>
      </c>
      <c r="C17" s="455"/>
      <c r="D17" s="43" t="s">
        <v>170</v>
      </c>
      <c r="E17" s="44">
        <f>SUM(E18:E19)</f>
        <v>3921267</v>
      </c>
      <c r="F17" s="44">
        <f>SUM(F18:F19)</f>
        <v>4108267</v>
      </c>
      <c r="G17" s="44">
        <f t="shared" ref="G17:S17" si="18">SUM(G18:G19)</f>
        <v>187000</v>
      </c>
      <c r="H17" s="44">
        <f t="shared" si="18"/>
        <v>0</v>
      </c>
      <c r="I17" s="44">
        <f t="shared" si="18"/>
        <v>0</v>
      </c>
      <c r="J17" s="44">
        <f t="shared" si="18"/>
        <v>0</v>
      </c>
      <c r="K17" s="44">
        <f t="shared" si="18"/>
        <v>0</v>
      </c>
      <c r="L17" s="44">
        <f t="shared" si="18"/>
        <v>0</v>
      </c>
      <c r="M17" s="44">
        <f t="shared" si="18"/>
        <v>0</v>
      </c>
      <c r="N17" s="44">
        <f t="shared" si="18"/>
        <v>187000</v>
      </c>
      <c r="O17" s="44">
        <f t="shared" si="18"/>
        <v>0</v>
      </c>
      <c r="P17" s="44">
        <f t="shared" si="18"/>
        <v>0</v>
      </c>
      <c r="Q17" s="44">
        <f t="shared" ref="Q17:R17" si="19">SUM(Q18:Q19)</f>
        <v>0</v>
      </c>
      <c r="R17" s="44">
        <f t="shared" si="19"/>
        <v>0</v>
      </c>
      <c r="S17" s="44">
        <f t="shared" si="18"/>
        <v>0</v>
      </c>
      <c r="T17" s="44">
        <f>SUM(T18:T19)</f>
        <v>0</v>
      </c>
      <c r="U17" s="44">
        <f>SUM(U18:U19)</f>
        <v>0</v>
      </c>
      <c r="V17" s="44">
        <f t="shared" ref="V17" si="20">SUM(V18:V19)</f>
        <v>0</v>
      </c>
      <c r="W17" s="44">
        <f t="shared" ref="W17" si="21">SUM(W18:W19)</f>
        <v>0</v>
      </c>
      <c r="X17" s="44">
        <f t="shared" ref="X17" si="22">SUM(X18:X19)</f>
        <v>0</v>
      </c>
      <c r="Y17" s="44">
        <f t="shared" ref="Y17" si="23">SUM(Y18:Y19)</f>
        <v>0</v>
      </c>
      <c r="Z17" s="44">
        <f t="shared" ref="Z17" si="24">SUM(Z18:Z19)</f>
        <v>0</v>
      </c>
      <c r="AA17" s="44">
        <f t="shared" ref="AA17" si="25">SUM(AA18:AA19)</f>
        <v>0</v>
      </c>
      <c r="AB17" s="44">
        <f t="shared" ref="AB17" si="26">SUM(AB18:AB19)</f>
        <v>0</v>
      </c>
      <c r="AC17" s="44">
        <f t="shared" ref="AC17" si="27">SUM(AC18:AC19)</f>
        <v>0</v>
      </c>
      <c r="AD17" s="44">
        <f t="shared" ref="AD17" si="28">SUM(AD18:AD19)</f>
        <v>0</v>
      </c>
      <c r="AE17" s="44">
        <f t="shared" ref="AE17:AF17" si="29">SUM(AE18:AE19)</f>
        <v>0</v>
      </c>
      <c r="AF17" s="44">
        <f t="shared" si="29"/>
        <v>0</v>
      </c>
      <c r="AG17" s="44">
        <f t="shared" ref="AG17:AI17" si="30">SUM(AG18:AG19)</f>
        <v>0</v>
      </c>
      <c r="AH17" s="44">
        <f>SUM(AH18:AH19)</f>
        <v>3921267</v>
      </c>
      <c r="AI17" s="44">
        <f t="shared" si="30"/>
        <v>4108267</v>
      </c>
    </row>
    <row r="18" spans="1:35" ht="24" x14ac:dyDescent="0.2">
      <c r="A18" s="38"/>
      <c r="B18" s="476" t="s">
        <v>38</v>
      </c>
      <c r="C18" s="476"/>
      <c r="D18" s="272" t="s">
        <v>39</v>
      </c>
      <c r="E18" s="182">
        <v>3445367</v>
      </c>
      <c r="F18" s="182">
        <f t="shared" ref="F18:F19" si="31">E18+G18</f>
        <v>3632367</v>
      </c>
      <c r="G18" s="182">
        <f t="shared" ref="G18:G19" si="32">SUBTOTAL(9,H18:S18)</f>
        <v>187000</v>
      </c>
      <c r="H18" s="182"/>
      <c r="I18" s="182"/>
      <c r="J18" s="182"/>
      <c r="K18" s="182"/>
      <c r="L18" s="182"/>
      <c r="M18" s="182"/>
      <c r="N18" s="182">
        <v>187000</v>
      </c>
      <c r="O18" s="182"/>
      <c r="P18" s="182"/>
      <c r="Q18" s="182"/>
      <c r="R18" s="182"/>
      <c r="S18" s="182"/>
      <c r="T18" s="182"/>
      <c r="U18" s="182">
        <f t="shared" ref="U18:U19" si="33">T18+V18</f>
        <v>0</v>
      </c>
      <c r="V18" s="182">
        <f t="shared" ref="V18:V19" si="34">SUBTOTAL(9,W18:AG18)</f>
        <v>0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>
        <f>E18+T18</f>
        <v>3445367</v>
      </c>
      <c r="AI18" s="182">
        <f>U18+F18</f>
        <v>3632367</v>
      </c>
    </row>
    <row r="19" spans="1:35" ht="24" x14ac:dyDescent="0.2">
      <c r="A19" s="39"/>
      <c r="B19" s="461" t="s">
        <v>40</v>
      </c>
      <c r="C19" s="461"/>
      <c r="D19" s="40" t="s">
        <v>41</v>
      </c>
      <c r="E19" s="183">
        <v>475900</v>
      </c>
      <c r="F19" s="184">
        <f t="shared" si="31"/>
        <v>475900</v>
      </c>
      <c r="G19" s="184">
        <f t="shared" si="32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>
        <f t="shared" si="33"/>
        <v>0</v>
      </c>
      <c r="V19" s="184">
        <f t="shared" si="34"/>
        <v>0</v>
      </c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>
        <f>E19+T19</f>
        <v>475900</v>
      </c>
      <c r="AI19" s="184">
        <f>U19+F19</f>
        <v>475900</v>
      </c>
    </row>
    <row r="20" spans="1:35" x14ac:dyDescent="0.2">
      <c r="A20" s="42"/>
      <c r="B20" s="455" t="s">
        <v>42</v>
      </c>
      <c r="C20" s="455"/>
      <c r="D20" s="43" t="s">
        <v>139</v>
      </c>
      <c r="E20" s="44">
        <f>SUM(E21:E22)</f>
        <v>3161300</v>
      </c>
      <c r="F20" s="44">
        <f>SUM(F21:F22)</f>
        <v>3261300</v>
      </c>
      <c r="G20" s="44">
        <f t="shared" ref="G20:S20" si="35">SUM(G21:G22)</f>
        <v>100000</v>
      </c>
      <c r="H20" s="44">
        <f t="shared" si="35"/>
        <v>0</v>
      </c>
      <c r="I20" s="44">
        <f t="shared" si="35"/>
        <v>0</v>
      </c>
      <c r="J20" s="44">
        <f t="shared" si="35"/>
        <v>0</v>
      </c>
      <c r="K20" s="44">
        <f t="shared" si="35"/>
        <v>0</v>
      </c>
      <c r="L20" s="44">
        <f t="shared" si="35"/>
        <v>0</v>
      </c>
      <c r="M20" s="44">
        <f t="shared" si="35"/>
        <v>0</v>
      </c>
      <c r="N20" s="44">
        <f t="shared" si="35"/>
        <v>100000</v>
      </c>
      <c r="O20" s="44">
        <f t="shared" si="35"/>
        <v>0</v>
      </c>
      <c r="P20" s="44">
        <f t="shared" si="35"/>
        <v>0</v>
      </c>
      <c r="Q20" s="44">
        <f t="shared" ref="Q20:R20" si="36">SUM(Q21:Q22)</f>
        <v>0</v>
      </c>
      <c r="R20" s="44">
        <f t="shared" si="36"/>
        <v>0</v>
      </c>
      <c r="S20" s="44">
        <f t="shared" si="35"/>
        <v>0</v>
      </c>
      <c r="T20" s="44">
        <f>SUM(T21:T22)</f>
        <v>0</v>
      </c>
      <c r="U20" s="44">
        <f>SUM(U21:U22)</f>
        <v>0</v>
      </c>
      <c r="V20" s="44">
        <f t="shared" ref="V20" si="37">SUM(V21:V22)</f>
        <v>0</v>
      </c>
      <c r="W20" s="44">
        <f t="shared" ref="W20" si="38">SUM(W21:W22)</f>
        <v>0</v>
      </c>
      <c r="X20" s="44">
        <f t="shared" ref="X20" si="39">SUM(X21:X22)</f>
        <v>0</v>
      </c>
      <c r="Y20" s="44">
        <f t="shared" ref="Y20" si="40">SUM(Y21:Y22)</f>
        <v>0</v>
      </c>
      <c r="Z20" s="44">
        <f t="shared" ref="Z20" si="41">SUM(Z21:Z22)</f>
        <v>0</v>
      </c>
      <c r="AA20" s="44">
        <f t="shared" ref="AA20" si="42">SUM(AA21:AA22)</f>
        <v>0</v>
      </c>
      <c r="AB20" s="44">
        <f t="shared" ref="AB20" si="43">SUM(AB21:AB22)</f>
        <v>0</v>
      </c>
      <c r="AC20" s="44">
        <f t="shared" ref="AC20" si="44">SUM(AC21:AC22)</f>
        <v>0</v>
      </c>
      <c r="AD20" s="44">
        <f t="shared" ref="AD20" si="45">SUM(AD21:AD22)</f>
        <v>0</v>
      </c>
      <c r="AE20" s="44">
        <f t="shared" ref="AE20:AF20" si="46">SUM(AE21:AE22)</f>
        <v>0</v>
      </c>
      <c r="AF20" s="44">
        <f t="shared" si="46"/>
        <v>0</v>
      </c>
      <c r="AG20" s="44">
        <f t="shared" ref="AG20:AI20" si="47">SUM(AG21:AG22)</f>
        <v>0</v>
      </c>
      <c r="AH20" s="44">
        <f>SUM(AH21:AH22)</f>
        <v>3161300</v>
      </c>
      <c r="AI20" s="44">
        <f t="shared" si="47"/>
        <v>3261300</v>
      </c>
    </row>
    <row r="21" spans="1:35" ht="24" x14ac:dyDescent="0.2">
      <c r="A21" s="38"/>
      <c r="B21" s="462" t="s">
        <v>43</v>
      </c>
      <c r="C21" s="462"/>
      <c r="D21" s="272" t="s">
        <v>148</v>
      </c>
      <c r="E21" s="182">
        <v>2731300</v>
      </c>
      <c r="F21" s="182">
        <f t="shared" ref="F21:F22" si="48">E21+G21</f>
        <v>2831300</v>
      </c>
      <c r="G21" s="182">
        <f t="shared" ref="G21:G22" si="49">SUBTOTAL(9,H21:S21)</f>
        <v>100000</v>
      </c>
      <c r="H21" s="182"/>
      <c r="I21" s="182"/>
      <c r="J21" s="182"/>
      <c r="K21" s="182"/>
      <c r="L21" s="182"/>
      <c r="M21" s="182"/>
      <c r="N21" s="182">
        <v>100000</v>
      </c>
      <c r="O21" s="182"/>
      <c r="P21" s="182"/>
      <c r="Q21" s="182"/>
      <c r="R21" s="182"/>
      <c r="S21" s="182"/>
      <c r="T21" s="182"/>
      <c r="U21" s="182">
        <f t="shared" ref="U21:U22" si="50">T21+V21</f>
        <v>0</v>
      </c>
      <c r="V21" s="182">
        <f t="shared" ref="V21:V22" si="51">SUBTOTAL(9,W21:AG21)</f>
        <v>0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>
        <f>E21+T21</f>
        <v>2731300</v>
      </c>
      <c r="AI21" s="182">
        <f>U21+F21</f>
        <v>2831300</v>
      </c>
    </row>
    <row r="22" spans="1:35" ht="24" x14ac:dyDescent="0.2">
      <c r="A22" s="39"/>
      <c r="B22" s="461" t="s">
        <v>44</v>
      </c>
      <c r="C22" s="461"/>
      <c r="D22" s="40" t="s">
        <v>149</v>
      </c>
      <c r="E22" s="183">
        <v>430000</v>
      </c>
      <c r="F22" s="184">
        <f t="shared" si="48"/>
        <v>430000</v>
      </c>
      <c r="G22" s="184">
        <f t="shared" si="49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>
        <f t="shared" si="50"/>
        <v>0</v>
      </c>
      <c r="V22" s="184">
        <f t="shared" si="51"/>
        <v>0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273">
        <f>E22+T22</f>
        <v>430000</v>
      </c>
      <c r="AI22" s="184">
        <f>U22+F22</f>
        <v>430000</v>
      </c>
    </row>
    <row r="23" spans="1:35" x14ac:dyDescent="0.2">
      <c r="A23" s="46"/>
      <c r="B23" s="455" t="s">
        <v>292</v>
      </c>
      <c r="C23" s="455"/>
      <c r="D23" s="43" t="s">
        <v>295</v>
      </c>
      <c r="E23" s="44">
        <f>SUM(E24:E25)</f>
        <v>1700046</v>
      </c>
      <c r="F23" s="44">
        <f>SUM(F24:F25)</f>
        <v>1760046</v>
      </c>
      <c r="G23" s="44">
        <f t="shared" ref="G23:S23" si="52">SUM(G24:G25)</f>
        <v>60000</v>
      </c>
      <c r="H23" s="44">
        <f t="shared" si="52"/>
        <v>0</v>
      </c>
      <c r="I23" s="44">
        <f t="shared" si="52"/>
        <v>0</v>
      </c>
      <c r="J23" s="44">
        <f t="shared" si="52"/>
        <v>0</v>
      </c>
      <c r="K23" s="44">
        <f t="shared" si="52"/>
        <v>0</v>
      </c>
      <c r="L23" s="44">
        <f t="shared" si="52"/>
        <v>0</v>
      </c>
      <c r="M23" s="44">
        <f t="shared" si="52"/>
        <v>0</v>
      </c>
      <c r="N23" s="44">
        <f t="shared" si="52"/>
        <v>60000</v>
      </c>
      <c r="O23" s="44">
        <f t="shared" si="52"/>
        <v>0</v>
      </c>
      <c r="P23" s="44">
        <f t="shared" si="52"/>
        <v>0</v>
      </c>
      <c r="Q23" s="44">
        <f t="shared" ref="Q23:R23" si="53">SUM(Q24:Q25)</f>
        <v>0</v>
      </c>
      <c r="R23" s="44">
        <f t="shared" si="53"/>
        <v>0</v>
      </c>
      <c r="S23" s="44">
        <f t="shared" si="52"/>
        <v>0</v>
      </c>
      <c r="T23" s="44">
        <f>SUM(T24:T25)</f>
        <v>0</v>
      </c>
      <c r="U23" s="44">
        <f>SUM(U24:U25)</f>
        <v>0</v>
      </c>
      <c r="V23" s="44">
        <f t="shared" ref="V23" si="54">SUM(V24:V25)</f>
        <v>0</v>
      </c>
      <c r="W23" s="44">
        <f t="shared" ref="W23" si="55">SUM(W24:W25)</f>
        <v>0</v>
      </c>
      <c r="X23" s="44">
        <f t="shared" ref="X23" si="56">SUM(X24:X25)</f>
        <v>0</v>
      </c>
      <c r="Y23" s="44">
        <f t="shared" ref="Y23" si="57">SUM(Y24:Y25)</f>
        <v>0</v>
      </c>
      <c r="Z23" s="44">
        <f t="shared" ref="Z23" si="58">SUM(Z24:Z25)</f>
        <v>0</v>
      </c>
      <c r="AA23" s="44">
        <f t="shared" ref="AA23" si="59">SUM(AA24:AA25)</f>
        <v>0</v>
      </c>
      <c r="AB23" s="44">
        <f t="shared" ref="AB23" si="60">SUM(AB24:AB25)</f>
        <v>0</v>
      </c>
      <c r="AC23" s="44">
        <f t="shared" ref="AC23" si="61">SUM(AC24:AC25)</f>
        <v>0</v>
      </c>
      <c r="AD23" s="44">
        <f t="shared" ref="AD23" si="62">SUM(AD24:AD25)</f>
        <v>0</v>
      </c>
      <c r="AE23" s="44">
        <f t="shared" ref="AE23:AF23" si="63">SUM(AE24:AE25)</f>
        <v>0</v>
      </c>
      <c r="AF23" s="44">
        <f t="shared" si="63"/>
        <v>0</v>
      </c>
      <c r="AG23" s="44">
        <f t="shared" ref="AG23:AI23" si="64">SUM(AG24:AG25)</f>
        <v>0</v>
      </c>
      <c r="AH23" s="181">
        <f>SUM(AH24:AH25)</f>
        <v>1700046</v>
      </c>
      <c r="AI23" s="44">
        <f t="shared" si="64"/>
        <v>1760046</v>
      </c>
    </row>
    <row r="24" spans="1:35" ht="24" x14ac:dyDescent="0.2">
      <c r="A24" s="46"/>
      <c r="B24" s="462" t="s">
        <v>293</v>
      </c>
      <c r="C24" s="462"/>
      <c r="D24" s="272" t="s">
        <v>296</v>
      </c>
      <c r="E24" s="274">
        <v>1552346</v>
      </c>
      <c r="F24" s="274">
        <f t="shared" ref="F24:F25" si="65">E24+G24</f>
        <v>1612346</v>
      </c>
      <c r="G24" s="274">
        <f t="shared" ref="G24:G25" si="66">SUBTOTAL(9,H24:S24)</f>
        <v>60000</v>
      </c>
      <c r="H24" s="274"/>
      <c r="I24" s="274"/>
      <c r="J24" s="274"/>
      <c r="K24" s="274"/>
      <c r="L24" s="274"/>
      <c r="M24" s="274"/>
      <c r="N24" s="274">
        <v>60000</v>
      </c>
      <c r="O24" s="274"/>
      <c r="P24" s="274"/>
      <c r="Q24" s="274"/>
      <c r="R24" s="274"/>
      <c r="S24" s="274"/>
      <c r="T24" s="274"/>
      <c r="U24" s="274">
        <f t="shared" ref="U24:U25" si="67">T24+V24</f>
        <v>0</v>
      </c>
      <c r="V24" s="274">
        <f t="shared" ref="V24:V25" si="68">SUBTOTAL(9,W24:AG24)</f>
        <v>0</v>
      </c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>
        <f>E24+T24</f>
        <v>1552346</v>
      </c>
      <c r="AI24" s="274">
        <f>U24+F24</f>
        <v>1612346</v>
      </c>
    </row>
    <row r="25" spans="1:35" ht="24" x14ac:dyDescent="0.2">
      <c r="A25" s="46"/>
      <c r="B25" s="461" t="s">
        <v>294</v>
      </c>
      <c r="C25" s="461"/>
      <c r="D25" s="40" t="s">
        <v>297</v>
      </c>
      <c r="E25" s="184">
        <v>147700</v>
      </c>
      <c r="F25" s="184">
        <f t="shared" si="65"/>
        <v>147700</v>
      </c>
      <c r="G25" s="184">
        <f t="shared" si="66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>
        <f t="shared" si="67"/>
        <v>0</v>
      </c>
      <c r="V25" s="184">
        <f t="shared" si="68"/>
        <v>0</v>
      </c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>
        <f>E25+T25</f>
        <v>147700</v>
      </c>
      <c r="AI25" s="184">
        <f>U25+F25</f>
        <v>147700</v>
      </c>
    </row>
    <row r="26" spans="1:35" s="114" customFormat="1" ht="24" x14ac:dyDescent="0.2">
      <c r="A26" s="456" t="s">
        <v>45</v>
      </c>
      <c r="B26" s="457"/>
      <c r="C26" s="457"/>
      <c r="D26" s="32" t="s">
        <v>46</v>
      </c>
      <c r="E26" s="41">
        <f t="shared" ref="E26:F26" si="69">SUM(E27,E29)</f>
        <v>328000</v>
      </c>
      <c r="F26" s="41">
        <f t="shared" si="69"/>
        <v>365692</v>
      </c>
      <c r="G26" s="41">
        <f t="shared" ref="G26:S26" si="70">SUM(G27,G29)</f>
        <v>37692</v>
      </c>
      <c r="H26" s="41">
        <f t="shared" si="70"/>
        <v>0</v>
      </c>
      <c r="I26" s="41">
        <f t="shared" si="70"/>
        <v>7692</v>
      </c>
      <c r="J26" s="41">
        <f t="shared" si="70"/>
        <v>0</v>
      </c>
      <c r="K26" s="41">
        <f t="shared" si="70"/>
        <v>0</v>
      </c>
      <c r="L26" s="41">
        <f t="shared" si="70"/>
        <v>0</v>
      </c>
      <c r="M26" s="41">
        <f t="shared" si="70"/>
        <v>0</v>
      </c>
      <c r="N26" s="41">
        <f t="shared" si="70"/>
        <v>30000</v>
      </c>
      <c r="O26" s="41">
        <f t="shared" si="70"/>
        <v>0</v>
      </c>
      <c r="P26" s="41">
        <f t="shared" si="70"/>
        <v>0</v>
      </c>
      <c r="Q26" s="41">
        <f t="shared" ref="Q26:R26" si="71">SUM(Q27,Q29)</f>
        <v>0</v>
      </c>
      <c r="R26" s="41">
        <f t="shared" si="71"/>
        <v>0</v>
      </c>
      <c r="S26" s="41">
        <f t="shared" si="70"/>
        <v>0</v>
      </c>
      <c r="T26" s="41">
        <f t="shared" ref="T26" si="72">SUM(T27,T29)</f>
        <v>0</v>
      </c>
      <c r="U26" s="41">
        <f t="shared" ref="U26:AG26" si="73">SUM(U27,U29)</f>
        <v>0</v>
      </c>
      <c r="V26" s="41">
        <f t="shared" si="73"/>
        <v>0</v>
      </c>
      <c r="W26" s="41">
        <f t="shared" si="73"/>
        <v>0</v>
      </c>
      <c r="X26" s="41">
        <f t="shared" si="73"/>
        <v>0</v>
      </c>
      <c r="Y26" s="41">
        <f t="shared" si="73"/>
        <v>0</v>
      </c>
      <c r="Z26" s="41">
        <f t="shared" si="73"/>
        <v>0</v>
      </c>
      <c r="AA26" s="41">
        <f t="shared" si="73"/>
        <v>0</v>
      </c>
      <c r="AB26" s="41">
        <f t="shared" si="73"/>
        <v>0</v>
      </c>
      <c r="AC26" s="41">
        <f t="shared" si="73"/>
        <v>0</v>
      </c>
      <c r="AD26" s="41">
        <f t="shared" si="73"/>
        <v>0</v>
      </c>
      <c r="AE26" s="41">
        <f t="shared" si="73"/>
        <v>0</v>
      </c>
      <c r="AF26" s="41">
        <f t="shared" ref="AF26" si="74">SUM(AF27,AF29)</f>
        <v>0</v>
      </c>
      <c r="AG26" s="41">
        <f t="shared" si="73"/>
        <v>0</v>
      </c>
      <c r="AH26" s="41">
        <f t="shared" ref="AH26" si="75">SUM(AH27,AH29)</f>
        <v>328000</v>
      </c>
      <c r="AI26" s="41">
        <f>SUM(AI27,AI29)</f>
        <v>365692</v>
      </c>
    </row>
    <row r="27" spans="1:35" s="113" customFormat="1" ht="24" customHeight="1" x14ac:dyDescent="0.2">
      <c r="A27" s="34"/>
      <c r="B27" s="451" t="s">
        <v>47</v>
      </c>
      <c r="C27" s="451"/>
      <c r="D27" s="45" t="s">
        <v>48</v>
      </c>
      <c r="E27" s="185">
        <f t="shared" ref="E27:AH27" si="76">E28</f>
        <v>220000</v>
      </c>
      <c r="F27" s="185">
        <f t="shared" si="76"/>
        <v>250000</v>
      </c>
      <c r="G27" s="185">
        <f t="shared" si="76"/>
        <v>30000</v>
      </c>
      <c r="H27" s="185">
        <f t="shared" si="76"/>
        <v>0</v>
      </c>
      <c r="I27" s="185">
        <f t="shared" si="76"/>
        <v>0</v>
      </c>
      <c r="J27" s="185">
        <f t="shared" si="76"/>
        <v>0</v>
      </c>
      <c r="K27" s="185">
        <f t="shared" si="76"/>
        <v>0</v>
      </c>
      <c r="L27" s="185">
        <f t="shared" si="76"/>
        <v>0</v>
      </c>
      <c r="M27" s="185">
        <f t="shared" si="76"/>
        <v>0</v>
      </c>
      <c r="N27" s="185">
        <f t="shared" si="76"/>
        <v>30000</v>
      </c>
      <c r="O27" s="185">
        <f t="shared" si="76"/>
        <v>0</v>
      </c>
      <c r="P27" s="185">
        <f t="shared" si="76"/>
        <v>0</v>
      </c>
      <c r="Q27" s="185">
        <f t="shared" si="76"/>
        <v>0</v>
      </c>
      <c r="R27" s="185">
        <f t="shared" si="76"/>
        <v>0</v>
      </c>
      <c r="S27" s="185">
        <f t="shared" si="76"/>
        <v>0</v>
      </c>
      <c r="T27" s="185">
        <f t="shared" si="76"/>
        <v>0</v>
      </c>
      <c r="U27" s="185">
        <f t="shared" ref="U27:AG27" si="77">U28</f>
        <v>0</v>
      </c>
      <c r="V27" s="185">
        <f t="shared" si="77"/>
        <v>0</v>
      </c>
      <c r="W27" s="185">
        <f t="shared" si="77"/>
        <v>0</v>
      </c>
      <c r="X27" s="185">
        <f t="shared" si="77"/>
        <v>0</v>
      </c>
      <c r="Y27" s="185">
        <f t="shared" si="77"/>
        <v>0</v>
      </c>
      <c r="Z27" s="185">
        <f t="shared" si="77"/>
        <v>0</v>
      </c>
      <c r="AA27" s="185">
        <f t="shared" si="77"/>
        <v>0</v>
      </c>
      <c r="AB27" s="185">
        <f t="shared" si="77"/>
        <v>0</v>
      </c>
      <c r="AC27" s="185">
        <f t="shared" si="77"/>
        <v>0</v>
      </c>
      <c r="AD27" s="185">
        <f t="shared" si="77"/>
        <v>0</v>
      </c>
      <c r="AE27" s="185">
        <f t="shared" si="77"/>
        <v>0</v>
      </c>
      <c r="AF27" s="185">
        <f t="shared" si="77"/>
        <v>0</v>
      </c>
      <c r="AG27" s="185">
        <f t="shared" si="77"/>
        <v>0</v>
      </c>
      <c r="AH27" s="185">
        <f t="shared" si="76"/>
        <v>220000</v>
      </c>
      <c r="AI27" s="185">
        <f>AI28</f>
        <v>250000</v>
      </c>
    </row>
    <row r="28" spans="1:35" x14ac:dyDescent="0.2">
      <c r="A28" s="46"/>
      <c r="B28" s="463" t="s">
        <v>49</v>
      </c>
      <c r="C28" s="463"/>
      <c r="D28" s="47" t="s">
        <v>50</v>
      </c>
      <c r="E28" s="184">
        <v>220000</v>
      </c>
      <c r="F28" s="184">
        <f>E28+G28</f>
        <v>250000</v>
      </c>
      <c r="G28" s="184">
        <f>SUBTOTAL(9,H28:S28)</f>
        <v>30000</v>
      </c>
      <c r="H28" s="184"/>
      <c r="I28" s="184"/>
      <c r="J28" s="184"/>
      <c r="K28" s="184"/>
      <c r="L28" s="184"/>
      <c r="M28" s="184"/>
      <c r="N28" s="184">
        <v>30000</v>
      </c>
      <c r="O28" s="184"/>
      <c r="P28" s="184"/>
      <c r="Q28" s="184"/>
      <c r="R28" s="184"/>
      <c r="S28" s="184"/>
      <c r="T28" s="184"/>
      <c r="U28" s="184">
        <f>T28+V28</f>
        <v>0</v>
      </c>
      <c r="V28" s="184">
        <f>SUBTOTAL(9,W28:AG28)</f>
        <v>0</v>
      </c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>
        <f>E28+T28</f>
        <v>220000</v>
      </c>
      <c r="AI28" s="184">
        <f>U28+F28</f>
        <v>250000</v>
      </c>
    </row>
    <row r="29" spans="1:35" s="113" customFormat="1" ht="24" x14ac:dyDescent="0.2">
      <c r="A29" s="34"/>
      <c r="B29" s="464" t="s">
        <v>51</v>
      </c>
      <c r="C29" s="465"/>
      <c r="D29" s="48" t="s">
        <v>52</v>
      </c>
      <c r="E29" s="185">
        <f t="shared" ref="E29:AH30" si="78">SUM(E30)</f>
        <v>108000</v>
      </c>
      <c r="F29" s="185">
        <f t="shared" si="78"/>
        <v>115692</v>
      </c>
      <c r="G29" s="185">
        <f t="shared" si="78"/>
        <v>7692</v>
      </c>
      <c r="H29" s="185">
        <f t="shared" si="78"/>
        <v>0</v>
      </c>
      <c r="I29" s="185">
        <f t="shared" si="78"/>
        <v>7692</v>
      </c>
      <c r="J29" s="185">
        <f t="shared" si="78"/>
        <v>0</v>
      </c>
      <c r="K29" s="185">
        <f t="shared" si="78"/>
        <v>0</v>
      </c>
      <c r="L29" s="185">
        <f t="shared" si="78"/>
        <v>0</v>
      </c>
      <c r="M29" s="185">
        <f t="shared" si="78"/>
        <v>0</v>
      </c>
      <c r="N29" s="185">
        <f t="shared" si="78"/>
        <v>0</v>
      </c>
      <c r="O29" s="185">
        <f t="shared" si="78"/>
        <v>0</v>
      </c>
      <c r="P29" s="185">
        <f t="shared" si="78"/>
        <v>0</v>
      </c>
      <c r="Q29" s="185">
        <f t="shared" si="78"/>
        <v>0</v>
      </c>
      <c r="R29" s="185">
        <f t="shared" si="78"/>
        <v>0</v>
      </c>
      <c r="S29" s="185">
        <f t="shared" si="78"/>
        <v>0</v>
      </c>
      <c r="T29" s="185">
        <f t="shared" si="78"/>
        <v>0</v>
      </c>
      <c r="U29" s="185">
        <f>SUM(U30)</f>
        <v>0</v>
      </c>
      <c r="V29" s="185">
        <f t="shared" ref="U29:AI30" si="79">SUM(V30)</f>
        <v>0</v>
      </c>
      <c r="W29" s="185">
        <f t="shared" si="79"/>
        <v>0</v>
      </c>
      <c r="X29" s="185">
        <f t="shared" si="79"/>
        <v>0</v>
      </c>
      <c r="Y29" s="185">
        <f t="shared" si="79"/>
        <v>0</v>
      </c>
      <c r="Z29" s="185">
        <f t="shared" si="79"/>
        <v>0</v>
      </c>
      <c r="AA29" s="185">
        <f t="shared" si="79"/>
        <v>0</v>
      </c>
      <c r="AB29" s="185">
        <f t="shared" si="79"/>
        <v>0</v>
      </c>
      <c r="AC29" s="185">
        <f t="shared" si="79"/>
        <v>0</v>
      </c>
      <c r="AD29" s="185">
        <f t="shared" si="79"/>
        <v>0</v>
      </c>
      <c r="AE29" s="185">
        <f t="shared" si="79"/>
        <v>0</v>
      </c>
      <c r="AF29" s="185">
        <f t="shared" si="79"/>
        <v>0</v>
      </c>
      <c r="AG29" s="185">
        <f t="shared" si="79"/>
        <v>0</v>
      </c>
      <c r="AH29" s="185">
        <f t="shared" si="78"/>
        <v>108000</v>
      </c>
      <c r="AI29" s="185">
        <f t="shared" si="79"/>
        <v>115692</v>
      </c>
    </row>
    <row r="30" spans="1:35" x14ac:dyDescent="0.2">
      <c r="A30" s="46"/>
      <c r="B30" s="466" t="s">
        <v>53</v>
      </c>
      <c r="C30" s="467"/>
      <c r="D30" s="50" t="s">
        <v>54</v>
      </c>
      <c r="E30" s="44">
        <f t="shared" si="78"/>
        <v>108000</v>
      </c>
      <c r="F30" s="44">
        <f t="shared" si="78"/>
        <v>115692</v>
      </c>
      <c r="G30" s="44">
        <f t="shared" si="78"/>
        <v>7692</v>
      </c>
      <c r="H30" s="44">
        <f>SUM(H31)</f>
        <v>0</v>
      </c>
      <c r="I30" s="44">
        <f>SUM(I31)</f>
        <v>7692</v>
      </c>
      <c r="J30" s="44">
        <f t="shared" si="78"/>
        <v>0</v>
      </c>
      <c r="K30" s="44">
        <f t="shared" si="78"/>
        <v>0</v>
      </c>
      <c r="L30" s="44">
        <f t="shared" si="78"/>
        <v>0</v>
      </c>
      <c r="M30" s="44">
        <f t="shared" si="78"/>
        <v>0</v>
      </c>
      <c r="N30" s="44">
        <f t="shared" si="78"/>
        <v>0</v>
      </c>
      <c r="O30" s="44">
        <f t="shared" si="78"/>
        <v>0</v>
      </c>
      <c r="P30" s="44">
        <f t="shared" si="78"/>
        <v>0</v>
      </c>
      <c r="Q30" s="44">
        <f t="shared" si="78"/>
        <v>0</v>
      </c>
      <c r="R30" s="44">
        <f t="shared" si="78"/>
        <v>0</v>
      </c>
      <c r="S30" s="44">
        <f t="shared" si="78"/>
        <v>0</v>
      </c>
      <c r="T30" s="44">
        <f t="shared" si="78"/>
        <v>0</v>
      </c>
      <c r="U30" s="44">
        <f t="shared" si="79"/>
        <v>0</v>
      </c>
      <c r="V30" s="44">
        <f t="shared" si="79"/>
        <v>0</v>
      </c>
      <c r="W30" s="44">
        <f t="shared" si="79"/>
        <v>0</v>
      </c>
      <c r="X30" s="44">
        <f t="shared" si="79"/>
        <v>0</v>
      </c>
      <c r="Y30" s="44">
        <f t="shared" si="79"/>
        <v>0</v>
      </c>
      <c r="Z30" s="44">
        <f t="shared" si="79"/>
        <v>0</v>
      </c>
      <c r="AA30" s="44">
        <f t="shared" si="79"/>
        <v>0</v>
      </c>
      <c r="AB30" s="44">
        <f t="shared" si="79"/>
        <v>0</v>
      </c>
      <c r="AC30" s="44">
        <f t="shared" si="79"/>
        <v>0</v>
      </c>
      <c r="AD30" s="44">
        <f t="shared" si="79"/>
        <v>0</v>
      </c>
      <c r="AE30" s="44">
        <f t="shared" si="79"/>
        <v>0</v>
      </c>
      <c r="AF30" s="44">
        <f t="shared" si="79"/>
        <v>0</v>
      </c>
      <c r="AG30" s="44">
        <f t="shared" si="79"/>
        <v>0</v>
      </c>
      <c r="AH30" s="44">
        <f t="shared" si="78"/>
        <v>108000</v>
      </c>
      <c r="AI30" s="44">
        <f>SUM(AI31)</f>
        <v>115692</v>
      </c>
    </row>
    <row r="31" spans="1:35" ht="24" x14ac:dyDescent="0.2">
      <c r="A31" s="46"/>
      <c r="B31" s="267"/>
      <c r="C31" s="275" t="s">
        <v>249</v>
      </c>
      <c r="D31" s="99" t="s">
        <v>250</v>
      </c>
      <c r="E31" s="184">
        <v>108000</v>
      </c>
      <c r="F31" s="184">
        <f>E31+G31</f>
        <v>115692</v>
      </c>
      <c r="G31" s="184">
        <f>SUBTOTAL(9,H31:S31)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>
        <f>T31+V31</f>
        <v>0</v>
      </c>
      <c r="V31" s="184">
        <f>SUBTOTAL(9,W31:AG31)</f>
        <v>0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>
        <f>E31+T31</f>
        <v>108000</v>
      </c>
      <c r="AI31" s="184">
        <f>U31+F31</f>
        <v>115692</v>
      </c>
    </row>
    <row r="32" spans="1:35" s="114" customFormat="1" ht="26.25" customHeight="1" x14ac:dyDescent="0.2">
      <c r="A32" s="456" t="s">
        <v>55</v>
      </c>
      <c r="B32" s="457"/>
      <c r="C32" s="457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80">SUM(G33)</f>
        <v>0</v>
      </c>
      <c r="H32" s="41">
        <f t="shared" ref="H32" si="81">SUM(H33)</f>
        <v>0</v>
      </c>
      <c r="I32" s="41">
        <f t="shared" ref="I32" si="82">SUM(I33)</f>
        <v>0</v>
      </c>
      <c r="J32" s="41">
        <f t="shared" ref="J32" si="83">SUM(J33)</f>
        <v>0</v>
      </c>
      <c r="K32" s="41">
        <f t="shared" ref="K32" si="84">SUM(K33)</f>
        <v>0</v>
      </c>
      <c r="L32" s="41">
        <f t="shared" ref="L32" si="85">SUM(L33)</f>
        <v>0</v>
      </c>
      <c r="M32" s="41">
        <f t="shared" ref="M32" si="86">SUM(M33)</f>
        <v>0</v>
      </c>
      <c r="N32" s="41">
        <f t="shared" ref="N32" si="87">SUM(N33)</f>
        <v>0</v>
      </c>
      <c r="O32" s="41">
        <f t="shared" ref="O32" si="88">SUM(O33)</f>
        <v>0</v>
      </c>
      <c r="P32" s="41">
        <f t="shared" ref="P32" si="89">SUM(P33)</f>
        <v>0</v>
      </c>
      <c r="Q32" s="41">
        <f t="shared" ref="Q32:S32" si="90">SUM(Q33)</f>
        <v>0</v>
      </c>
      <c r="R32" s="41">
        <f t="shared" si="90"/>
        <v>0</v>
      </c>
      <c r="S32" s="41">
        <f t="shared" si="90"/>
        <v>0</v>
      </c>
      <c r="T32" s="41">
        <f t="shared" ref="T32:AH32" si="91">SUM(T33)</f>
        <v>0</v>
      </c>
      <c r="U32" s="41">
        <f t="shared" ref="U32" si="92">SUM(U33)</f>
        <v>0</v>
      </c>
      <c r="V32" s="41">
        <f t="shared" ref="V32" si="93">SUM(V33)</f>
        <v>0</v>
      </c>
      <c r="W32" s="41">
        <f t="shared" ref="W32" si="94">SUM(W33)</f>
        <v>0</v>
      </c>
      <c r="X32" s="41">
        <f t="shared" ref="X32" si="95">SUM(X33)</f>
        <v>0</v>
      </c>
      <c r="Y32" s="41">
        <f t="shared" ref="Y32" si="96">SUM(Y33)</f>
        <v>0</v>
      </c>
      <c r="Z32" s="41">
        <f t="shared" ref="Z32" si="97">SUM(Z33)</f>
        <v>0</v>
      </c>
      <c r="AA32" s="41">
        <f t="shared" ref="AA32" si="98">SUM(AA33)</f>
        <v>0</v>
      </c>
      <c r="AB32" s="41">
        <f t="shared" ref="AB32" si="99">SUM(AB33)</f>
        <v>0</v>
      </c>
      <c r="AC32" s="41">
        <f t="shared" ref="AC32" si="100">SUM(AC33)</f>
        <v>0</v>
      </c>
      <c r="AD32" s="41">
        <f t="shared" ref="AD32" si="101">SUM(AD33)</f>
        <v>0</v>
      </c>
      <c r="AE32" s="41">
        <f t="shared" ref="AE32" si="102">SUM(AE33)</f>
        <v>0</v>
      </c>
      <c r="AF32" s="41">
        <f t="shared" ref="AF32:AI32" si="103">SUM(AF33)</f>
        <v>0</v>
      </c>
      <c r="AG32" s="41">
        <f t="shared" si="103"/>
        <v>0</v>
      </c>
      <c r="AH32" s="41">
        <f t="shared" si="91"/>
        <v>2000</v>
      </c>
      <c r="AI32" s="41">
        <f t="shared" si="103"/>
        <v>2000</v>
      </c>
    </row>
    <row r="33" spans="1:35" s="113" customFormat="1" ht="36" x14ac:dyDescent="0.2">
      <c r="A33" s="34"/>
      <c r="B33" s="451" t="s">
        <v>56</v>
      </c>
      <c r="C33" s="451"/>
      <c r="D33" s="35" t="s">
        <v>287</v>
      </c>
      <c r="E33" s="185">
        <f>SUM(E34)</f>
        <v>2000</v>
      </c>
      <c r="F33" s="185">
        <f t="shared" ref="F33:AH33" si="104">SUM(F34)</f>
        <v>2000</v>
      </c>
      <c r="G33" s="185">
        <f t="shared" si="104"/>
        <v>0</v>
      </c>
      <c r="H33" s="185">
        <f>SUM(H34)</f>
        <v>0</v>
      </c>
      <c r="I33" s="185">
        <f t="shared" si="104"/>
        <v>0</v>
      </c>
      <c r="J33" s="185">
        <f t="shared" si="104"/>
        <v>0</v>
      </c>
      <c r="K33" s="185">
        <f t="shared" si="104"/>
        <v>0</v>
      </c>
      <c r="L33" s="185">
        <f t="shared" si="104"/>
        <v>0</v>
      </c>
      <c r="M33" s="185">
        <f t="shared" si="104"/>
        <v>0</v>
      </c>
      <c r="N33" s="185">
        <f t="shared" si="104"/>
        <v>0</v>
      </c>
      <c r="O33" s="185">
        <f t="shared" si="104"/>
        <v>0</v>
      </c>
      <c r="P33" s="185">
        <f t="shared" si="104"/>
        <v>0</v>
      </c>
      <c r="Q33" s="185">
        <f t="shared" si="104"/>
        <v>0</v>
      </c>
      <c r="R33" s="185">
        <f t="shared" si="104"/>
        <v>0</v>
      </c>
      <c r="S33" s="185">
        <f t="shared" si="104"/>
        <v>0</v>
      </c>
      <c r="T33" s="185">
        <f t="shared" si="104"/>
        <v>0</v>
      </c>
      <c r="U33" s="185">
        <f t="shared" ref="U33:AG33" si="105">SUM(U34)</f>
        <v>0</v>
      </c>
      <c r="V33" s="185">
        <f t="shared" si="105"/>
        <v>0</v>
      </c>
      <c r="W33" s="185">
        <f t="shared" si="105"/>
        <v>0</v>
      </c>
      <c r="X33" s="185">
        <f t="shared" si="105"/>
        <v>0</v>
      </c>
      <c r="Y33" s="185">
        <f t="shared" si="105"/>
        <v>0</v>
      </c>
      <c r="Z33" s="185">
        <f t="shared" si="105"/>
        <v>0</v>
      </c>
      <c r="AA33" s="185">
        <f t="shared" si="105"/>
        <v>0</v>
      </c>
      <c r="AB33" s="185">
        <f t="shared" si="105"/>
        <v>0</v>
      </c>
      <c r="AC33" s="185">
        <f t="shared" si="105"/>
        <v>0</v>
      </c>
      <c r="AD33" s="185">
        <f t="shared" si="105"/>
        <v>0</v>
      </c>
      <c r="AE33" s="185">
        <f t="shared" si="105"/>
        <v>0</v>
      </c>
      <c r="AF33" s="185">
        <f t="shared" si="105"/>
        <v>0</v>
      </c>
      <c r="AG33" s="185">
        <f t="shared" si="105"/>
        <v>0</v>
      </c>
      <c r="AH33" s="185">
        <f t="shared" si="104"/>
        <v>2000</v>
      </c>
      <c r="AI33" s="185">
        <f>SUM(AI34)</f>
        <v>2000</v>
      </c>
    </row>
    <row r="34" spans="1:35" ht="24" x14ac:dyDescent="0.2">
      <c r="A34" s="42"/>
      <c r="B34" s="455" t="s">
        <v>489</v>
      </c>
      <c r="C34" s="455"/>
      <c r="D34" s="43" t="s">
        <v>525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>
        <f>T34+V34</f>
        <v>0</v>
      </c>
      <c r="V34" s="44">
        <f>SUBTOTAL(9,W34:AG34)</f>
        <v>0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>
        <f>E34+T34</f>
        <v>2000</v>
      </c>
      <c r="AI34" s="44">
        <f>U34+F34</f>
        <v>2000</v>
      </c>
    </row>
    <row r="35" spans="1:35" s="114" customFormat="1" ht="24" x14ac:dyDescent="0.2">
      <c r="A35" s="456" t="s">
        <v>57</v>
      </c>
      <c r="B35" s="457"/>
      <c r="C35" s="457"/>
      <c r="D35" s="51" t="s">
        <v>58</v>
      </c>
      <c r="E35" s="41">
        <f>SUM(E36,E39)</f>
        <v>3084715</v>
      </c>
      <c r="F35" s="41">
        <f>SUM(F36,F39)</f>
        <v>3094715</v>
      </c>
      <c r="G35" s="41">
        <f t="shared" ref="G35:S35" si="106">SUM(G36,G39)</f>
        <v>10000</v>
      </c>
      <c r="H35" s="41">
        <f t="shared" si="106"/>
        <v>0</v>
      </c>
      <c r="I35" s="41">
        <f t="shared" si="106"/>
        <v>0</v>
      </c>
      <c r="J35" s="41">
        <f t="shared" si="106"/>
        <v>0</v>
      </c>
      <c r="K35" s="41">
        <f t="shared" si="106"/>
        <v>0</v>
      </c>
      <c r="L35" s="41">
        <f t="shared" si="106"/>
        <v>0</v>
      </c>
      <c r="M35" s="41">
        <f t="shared" si="106"/>
        <v>0</v>
      </c>
      <c r="N35" s="41">
        <f t="shared" si="106"/>
        <v>10000</v>
      </c>
      <c r="O35" s="41">
        <f t="shared" si="106"/>
        <v>0</v>
      </c>
      <c r="P35" s="41">
        <f t="shared" si="106"/>
        <v>0</v>
      </c>
      <c r="Q35" s="41">
        <f t="shared" ref="Q35:R35" si="107">SUM(Q36,Q39)</f>
        <v>0</v>
      </c>
      <c r="R35" s="41">
        <f t="shared" si="107"/>
        <v>0</v>
      </c>
      <c r="S35" s="41">
        <f t="shared" si="106"/>
        <v>0</v>
      </c>
      <c r="T35" s="41">
        <f>SUM(T36,T39)</f>
        <v>0</v>
      </c>
      <c r="U35" s="41">
        <f>SUM(U36,U39)</f>
        <v>0</v>
      </c>
      <c r="V35" s="41">
        <f t="shared" ref="V35" si="108">SUM(V36,V39)</f>
        <v>0</v>
      </c>
      <c r="W35" s="41">
        <f t="shared" ref="W35" si="109">SUM(W36,W39)</f>
        <v>0</v>
      </c>
      <c r="X35" s="41">
        <f t="shared" ref="X35" si="110">SUM(X36,X39)</f>
        <v>0</v>
      </c>
      <c r="Y35" s="41">
        <f t="shared" ref="Y35" si="111">SUM(Y36,Y39)</f>
        <v>0</v>
      </c>
      <c r="Z35" s="41">
        <f t="shared" ref="Z35" si="112">SUM(Z36,Z39)</f>
        <v>0</v>
      </c>
      <c r="AA35" s="41">
        <f t="shared" ref="AA35" si="113">SUM(AA36,AA39)</f>
        <v>0</v>
      </c>
      <c r="AB35" s="41">
        <f t="shared" ref="AB35" si="114">SUM(AB36,AB39)</f>
        <v>0</v>
      </c>
      <c r="AC35" s="41">
        <f t="shared" ref="AC35" si="115">SUM(AC36,AC39)</f>
        <v>0</v>
      </c>
      <c r="AD35" s="41">
        <f t="shared" ref="AD35" si="116">SUM(AD36,AD39)</f>
        <v>0</v>
      </c>
      <c r="AE35" s="41">
        <f t="shared" ref="AE35:AF35" si="117">SUM(AE36,AE39)</f>
        <v>0</v>
      </c>
      <c r="AF35" s="41">
        <f t="shared" si="117"/>
        <v>0</v>
      </c>
      <c r="AG35" s="41">
        <f t="shared" ref="AG35:AI35" si="118">SUM(AG36,AG39)</f>
        <v>0</v>
      </c>
      <c r="AH35" s="41">
        <f>SUM(AH36,AH39)</f>
        <v>3084715</v>
      </c>
      <c r="AI35" s="41">
        <f t="shared" si="118"/>
        <v>3094715</v>
      </c>
    </row>
    <row r="36" spans="1:35" s="113" customFormat="1" ht="24" x14ac:dyDescent="0.2">
      <c r="A36" s="34"/>
      <c r="B36" s="451" t="s">
        <v>59</v>
      </c>
      <c r="C36" s="451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S36" si="119">SUM(G37:G38)</f>
        <v>0</v>
      </c>
      <c r="H36" s="185">
        <f t="shared" si="119"/>
        <v>0</v>
      </c>
      <c r="I36" s="185">
        <f t="shared" si="119"/>
        <v>0</v>
      </c>
      <c r="J36" s="185">
        <f t="shared" si="119"/>
        <v>0</v>
      </c>
      <c r="K36" s="185">
        <f t="shared" si="119"/>
        <v>0</v>
      </c>
      <c r="L36" s="185">
        <f t="shared" si="119"/>
        <v>0</v>
      </c>
      <c r="M36" s="185">
        <f t="shared" si="119"/>
        <v>0</v>
      </c>
      <c r="N36" s="185">
        <f t="shared" si="119"/>
        <v>0</v>
      </c>
      <c r="O36" s="185">
        <f t="shared" si="119"/>
        <v>0</v>
      </c>
      <c r="P36" s="185">
        <f t="shared" si="119"/>
        <v>0</v>
      </c>
      <c r="Q36" s="185">
        <f t="shared" ref="Q36:R36" si="120">SUM(Q37:Q38)</f>
        <v>0</v>
      </c>
      <c r="R36" s="185">
        <f t="shared" si="120"/>
        <v>0</v>
      </c>
      <c r="S36" s="185">
        <f t="shared" si="119"/>
        <v>0</v>
      </c>
      <c r="T36" s="185">
        <f>SUM(T37:T38)</f>
        <v>0</v>
      </c>
      <c r="U36" s="185">
        <f>SUM(U37:U38)</f>
        <v>0</v>
      </c>
      <c r="V36" s="185">
        <f t="shared" ref="V36" si="121">SUM(V37:V38)</f>
        <v>0</v>
      </c>
      <c r="W36" s="185">
        <f t="shared" ref="W36" si="122">SUM(W37:W38)</f>
        <v>0</v>
      </c>
      <c r="X36" s="185">
        <f t="shared" ref="X36" si="123">SUM(X37:X38)</f>
        <v>0</v>
      </c>
      <c r="Y36" s="185">
        <f t="shared" ref="Y36" si="124">SUM(Y37:Y38)</f>
        <v>0</v>
      </c>
      <c r="Z36" s="185">
        <f t="shared" ref="Z36" si="125">SUM(Z37:Z38)</f>
        <v>0</v>
      </c>
      <c r="AA36" s="185">
        <f t="shared" ref="AA36" si="126">SUM(AA37:AA38)</f>
        <v>0</v>
      </c>
      <c r="AB36" s="185">
        <f t="shared" ref="AB36" si="127">SUM(AB37:AB38)</f>
        <v>0</v>
      </c>
      <c r="AC36" s="185">
        <f t="shared" ref="AC36" si="128">SUM(AC37:AC38)</f>
        <v>0</v>
      </c>
      <c r="AD36" s="185">
        <f t="shared" ref="AD36" si="129">SUM(AD37:AD38)</f>
        <v>0</v>
      </c>
      <c r="AE36" s="185">
        <f t="shared" ref="AE36:AF36" si="130">SUM(AE37:AE38)</f>
        <v>0</v>
      </c>
      <c r="AF36" s="185">
        <f t="shared" si="130"/>
        <v>0</v>
      </c>
      <c r="AG36" s="185">
        <f t="shared" ref="AG36:AI36" si="131">SUM(AG37:AG38)</f>
        <v>0</v>
      </c>
      <c r="AH36" s="185">
        <f>SUM(AH37:AH38)</f>
        <v>11715</v>
      </c>
      <c r="AI36" s="185">
        <f t="shared" si="131"/>
        <v>11715</v>
      </c>
    </row>
    <row r="37" spans="1:35" ht="48" x14ac:dyDescent="0.2">
      <c r="A37" s="42"/>
      <c r="B37" s="455" t="s">
        <v>61</v>
      </c>
      <c r="C37" s="455"/>
      <c r="D37" s="43" t="s">
        <v>526</v>
      </c>
      <c r="E37" s="44">
        <v>7815</v>
      </c>
      <c r="F37" s="181">
        <f t="shared" ref="F37:F38" si="132">E37+G37</f>
        <v>7815</v>
      </c>
      <c r="G37" s="181">
        <f t="shared" ref="G37:G38" si="133">SUBTOTAL(9,H37:S37)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>
        <f t="shared" ref="U37:U38" si="134">T37+V37</f>
        <v>0</v>
      </c>
      <c r="V37" s="181">
        <f t="shared" ref="V37:V38" si="135">SUBTOTAL(9,W37:AG37)</f>
        <v>0</v>
      </c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>
        <f>E37+T37</f>
        <v>7815</v>
      </c>
      <c r="AI37" s="181">
        <f>U37+F37</f>
        <v>7815</v>
      </c>
    </row>
    <row r="38" spans="1:35" ht="24.75" customHeight="1" x14ac:dyDescent="0.2">
      <c r="A38" s="52"/>
      <c r="B38" s="485" t="s">
        <v>62</v>
      </c>
      <c r="C38" s="485"/>
      <c r="D38" s="53" t="s">
        <v>193</v>
      </c>
      <c r="E38" s="54">
        <v>3900</v>
      </c>
      <c r="F38" s="54">
        <f t="shared" si="132"/>
        <v>3900</v>
      </c>
      <c r="G38" s="54">
        <f t="shared" si="133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4"/>
      <c r="U38" s="54">
        <f t="shared" si="134"/>
        <v>0</v>
      </c>
      <c r="V38" s="54">
        <f t="shared" si="135"/>
        <v>0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44">
        <f>E38+T38</f>
        <v>3900</v>
      </c>
      <c r="AI38" s="54">
        <f>U38+F38</f>
        <v>3900</v>
      </c>
    </row>
    <row r="39" spans="1:35" s="113" customFormat="1" x14ac:dyDescent="0.2">
      <c r="A39" s="34"/>
      <c r="B39" s="451" t="s">
        <v>63</v>
      </c>
      <c r="C39" s="451"/>
      <c r="D39" s="35" t="s">
        <v>64</v>
      </c>
      <c r="E39" s="185">
        <f>SUM(E40:E43)</f>
        <v>3073000</v>
      </c>
      <c r="F39" s="185">
        <f>SUM(F40:F43)</f>
        <v>3083000</v>
      </c>
      <c r="G39" s="185">
        <f t="shared" ref="G39:S39" si="136">SUM(G40:G43)</f>
        <v>10000</v>
      </c>
      <c r="H39" s="185">
        <f t="shared" si="136"/>
        <v>0</v>
      </c>
      <c r="I39" s="185">
        <f t="shared" si="136"/>
        <v>0</v>
      </c>
      <c r="J39" s="185">
        <f t="shared" si="136"/>
        <v>0</v>
      </c>
      <c r="K39" s="185">
        <f t="shared" si="136"/>
        <v>0</v>
      </c>
      <c r="L39" s="185">
        <f t="shared" si="136"/>
        <v>0</v>
      </c>
      <c r="M39" s="185">
        <f t="shared" si="136"/>
        <v>0</v>
      </c>
      <c r="N39" s="185">
        <f t="shared" si="136"/>
        <v>10000</v>
      </c>
      <c r="O39" s="185">
        <f t="shared" si="136"/>
        <v>0</v>
      </c>
      <c r="P39" s="185">
        <f t="shared" si="136"/>
        <v>0</v>
      </c>
      <c r="Q39" s="185">
        <f t="shared" ref="Q39:R39" si="137">SUM(Q40:Q43)</f>
        <v>0</v>
      </c>
      <c r="R39" s="185">
        <f t="shared" si="137"/>
        <v>0</v>
      </c>
      <c r="S39" s="185">
        <f t="shared" si="136"/>
        <v>0</v>
      </c>
      <c r="T39" s="185">
        <f>SUM(T40:T43)</f>
        <v>0</v>
      </c>
      <c r="U39" s="185">
        <f>SUM(U40:U43)</f>
        <v>0</v>
      </c>
      <c r="V39" s="185">
        <f t="shared" ref="V39" si="138">SUM(V40:V43)</f>
        <v>0</v>
      </c>
      <c r="W39" s="185">
        <f t="shared" ref="W39" si="139">SUM(W40:W43)</f>
        <v>0</v>
      </c>
      <c r="X39" s="185">
        <f t="shared" ref="X39" si="140">SUM(X40:X43)</f>
        <v>0</v>
      </c>
      <c r="Y39" s="185">
        <f t="shared" ref="Y39" si="141">SUM(Y40:Y43)</f>
        <v>0</v>
      </c>
      <c r="Z39" s="185">
        <f t="shared" ref="Z39" si="142">SUM(Z40:Z43)</f>
        <v>0</v>
      </c>
      <c r="AA39" s="185">
        <f t="shared" ref="AA39" si="143">SUM(AA40:AA43)</f>
        <v>0</v>
      </c>
      <c r="AB39" s="185">
        <f t="shared" ref="AB39" si="144">SUM(AB40:AB43)</f>
        <v>0</v>
      </c>
      <c r="AC39" s="185">
        <f t="shared" ref="AC39" si="145">SUM(AC40:AC43)</f>
        <v>0</v>
      </c>
      <c r="AD39" s="185">
        <f t="shared" ref="AD39" si="146">SUM(AD40:AD43)</f>
        <v>0</v>
      </c>
      <c r="AE39" s="185">
        <f t="shared" ref="AE39:AF39" si="147">SUM(AE40:AE43)</f>
        <v>0</v>
      </c>
      <c r="AF39" s="185">
        <f t="shared" si="147"/>
        <v>0</v>
      </c>
      <c r="AG39" s="185">
        <f t="shared" ref="AG39:AI39" si="148">SUM(AG40:AG43)</f>
        <v>0</v>
      </c>
      <c r="AH39" s="189">
        <f>SUM(AH40:AH43)</f>
        <v>3073000</v>
      </c>
      <c r="AI39" s="185">
        <f t="shared" si="148"/>
        <v>3083000</v>
      </c>
    </row>
    <row r="40" spans="1:35" x14ac:dyDescent="0.2">
      <c r="A40" s="55"/>
      <c r="B40" s="452" t="s">
        <v>65</v>
      </c>
      <c r="C40" s="452"/>
      <c r="D40" s="56" t="s">
        <v>140</v>
      </c>
      <c r="E40" s="186">
        <v>41000</v>
      </c>
      <c r="F40" s="186">
        <f t="shared" ref="F40:F43" si="149">E40+G40</f>
        <v>41000</v>
      </c>
      <c r="G40" s="186">
        <f t="shared" ref="G40:G43" si="150">SUBTOTAL(9,H40:S40)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>
        <f t="shared" ref="U40:U43" si="151">T40+V40</f>
        <v>0</v>
      </c>
      <c r="V40" s="186">
        <f t="shared" ref="V40:V43" si="152">SUBTOTAL(9,W40:AG40)</f>
        <v>0</v>
      </c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>
        <f>E40+T40</f>
        <v>41000</v>
      </c>
      <c r="AI40" s="186">
        <f>U40+F40</f>
        <v>41000</v>
      </c>
    </row>
    <row r="41" spans="1:35" ht="24" x14ac:dyDescent="0.2">
      <c r="A41" s="55"/>
      <c r="B41" s="452" t="s">
        <v>66</v>
      </c>
      <c r="C41" s="452"/>
      <c r="D41" s="56" t="s">
        <v>141</v>
      </c>
      <c r="E41" s="186">
        <v>2900000</v>
      </c>
      <c r="F41" s="186">
        <f t="shared" si="149"/>
        <v>2900000</v>
      </c>
      <c r="G41" s="186">
        <f t="shared" si="150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>
        <f t="shared" si="151"/>
        <v>0</v>
      </c>
      <c r="V41" s="186">
        <f t="shared" si="152"/>
        <v>0</v>
      </c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>
        <f>E41+T41</f>
        <v>2900000</v>
      </c>
      <c r="AI41" s="186">
        <f>U41+F41</f>
        <v>2900000</v>
      </c>
    </row>
    <row r="42" spans="1:35" ht="24" x14ac:dyDescent="0.2">
      <c r="A42" s="55"/>
      <c r="B42" s="452" t="s">
        <v>67</v>
      </c>
      <c r="C42" s="452"/>
      <c r="D42" s="56" t="s">
        <v>142</v>
      </c>
      <c r="E42" s="186">
        <v>52000</v>
      </c>
      <c r="F42" s="186">
        <f t="shared" si="149"/>
        <v>52000</v>
      </c>
      <c r="G42" s="186">
        <f t="shared" si="150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>
        <f t="shared" si="151"/>
        <v>0</v>
      </c>
      <c r="V42" s="186">
        <f t="shared" si="152"/>
        <v>0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>
        <f>E42+T42</f>
        <v>52000</v>
      </c>
      <c r="AI42" s="186">
        <f>U42+F42</f>
        <v>52000</v>
      </c>
    </row>
    <row r="43" spans="1:35" ht="24" x14ac:dyDescent="0.2">
      <c r="A43" s="39"/>
      <c r="B43" s="461" t="s">
        <v>130</v>
      </c>
      <c r="C43" s="461"/>
      <c r="D43" s="40" t="s">
        <v>527</v>
      </c>
      <c r="E43" s="183">
        <v>80000</v>
      </c>
      <c r="F43" s="184">
        <f t="shared" si="149"/>
        <v>90000</v>
      </c>
      <c r="G43" s="184">
        <f t="shared" si="150"/>
        <v>10000</v>
      </c>
      <c r="H43" s="184"/>
      <c r="I43" s="184"/>
      <c r="J43" s="184"/>
      <c r="K43" s="184"/>
      <c r="L43" s="184"/>
      <c r="M43" s="184"/>
      <c r="N43" s="184">
        <v>10000</v>
      </c>
      <c r="O43" s="184"/>
      <c r="P43" s="184"/>
      <c r="Q43" s="184"/>
      <c r="R43" s="184"/>
      <c r="S43" s="184"/>
      <c r="T43" s="184"/>
      <c r="U43" s="184">
        <f t="shared" si="151"/>
        <v>0</v>
      </c>
      <c r="V43" s="184">
        <f t="shared" si="152"/>
        <v>0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>
        <f>E43+T43</f>
        <v>80000</v>
      </c>
      <c r="AI43" s="184">
        <f>U43+F43</f>
        <v>90000</v>
      </c>
    </row>
    <row r="44" spans="1:35" s="114" customFormat="1" x14ac:dyDescent="0.2">
      <c r="A44" s="456" t="s">
        <v>68</v>
      </c>
      <c r="B44" s="457"/>
      <c r="C44" s="457"/>
      <c r="D44" s="51" t="s">
        <v>69</v>
      </c>
      <c r="E44" s="41">
        <f t="shared" ref="E44:AH44" si="153">SUM(E45)</f>
        <v>821100</v>
      </c>
      <c r="F44" s="41">
        <f t="shared" si="153"/>
        <v>961100</v>
      </c>
      <c r="G44" s="41">
        <f t="shared" si="153"/>
        <v>140000</v>
      </c>
      <c r="H44" s="41">
        <f t="shared" si="153"/>
        <v>0</v>
      </c>
      <c r="I44" s="41">
        <f t="shared" si="153"/>
        <v>0</v>
      </c>
      <c r="J44" s="41">
        <f t="shared" si="153"/>
        <v>0</v>
      </c>
      <c r="K44" s="41">
        <f t="shared" si="153"/>
        <v>0</v>
      </c>
      <c r="L44" s="41">
        <f t="shared" si="153"/>
        <v>0</v>
      </c>
      <c r="M44" s="41">
        <f t="shared" si="153"/>
        <v>0</v>
      </c>
      <c r="N44" s="41">
        <f t="shared" si="153"/>
        <v>140000</v>
      </c>
      <c r="O44" s="41">
        <f t="shared" si="153"/>
        <v>0</v>
      </c>
      <c r="P44" s="41">
        <f t="shared" si="153"/>
        <v>0</v>
      </c>
      <c r="Q44" s="41">
        <f t="shared" si="153"/>
        <v>0</v>
      </c>
      <c r="R44" s="41">
        <f t="shared" si="153"/>
        <v>0</v>
      </c>
      <c r="S44" s="41">
        <f t="shared" si="153"/>
        <v>0</v>
      </c>
      <c r="T44" s="41">
        <f t="shared" si="153"/>
        <v>0</v>
      </c>
      <c r="U44" s="41">
        <f t="shared" ref="U44:AG44" si="154">SUM(U45)</f>
        <v>0</v>
      </c>
      <c r="V44" s="41">
        <f t="shared" si="154"/>
        <v>0</v>
      </c>
      <c r="W44" s="41">
        <f t="shared" si="154"/>
        <v>0</v>
      </c>
      <c r="X44" s="41">
        <f t="shared" si="154"/>
        <v>0</v>
      </c>
      <c r="Y44" s="41">
        <f t="shared" si="154"/>
        <v>0</v>
      </c>
      <c r="Z44" s="41">
        <f t="shared" si="154"/>
        <v>0</v>
      </c>
      <c r="AA44" s="41">
        <f t="shared" si="154"/>
        <v>0</v>
      </c>
      <c r="AB44" s="41">
        <f t="shared" si="154"/>
        <v>0</v>
      </c>
      <c r="AC44" s="41">
        <f t="shared" si="154"/>
        <v>0</v>
      </c>
      <c r="AD44" s="41">
        <f t="shared" si="154"/>
        <v>0</v>
      </c>
      <c r="AE44" s="41">
        <f t="shared" si="154"/>
        <v>0</v>
      </c>
      <c r="AF44" s="41">
        <f t="shared" si="154"/>
        <v>0</v>
      </c>
      <c r="AG44" s="41">
        <f t="shared" si="154"/>
        <v>0</v>
      </c>
      <c r="AH44" s="41">
        <f t="shared" si="153"/>
        <v>821100</v>
      </c>
      <c r="AI44" s="41">
        <f>SUM(AI45)</f>
        <v>961100</v>
      </c>
    </row>
    <row r="45" spans="1:35" s="113" customFormat="1" x14ac:dyDescent="0.2">
      <c r="A45" s="34"/>
      <c r="B45" s="451" t="s">
        <v>70</v>
      </c>
      <c r="C45" s="451"/>
      <c r="D45" s="35" t="s">
        <v>71</v>
      </c>
      <c r="E45" s="185">
        <f t="shared" ref="E45:AH45" si="155">E46</f>
        <v>821100</v>
      </c>
      <c r="F45" s="185">
        <f t="shared" si="155"/>
        <v>961100</v>
      </c>
      <c r="G45" s="185">
        <f t="shared" si="155"/>
        <v>140000</v>
      </c>
      <c r="H45" s="185">
        <f t="shared" si="155"/>
        <v>0</v>
      </c>
      <c r="I45" s="185">
        <f t="shared" si="155"/>
        <v>0</v>
      </c>
      <c r="J45" s="185">
        <f t="shared" si="155"/>
        <v>0</v>
      </c>
      <c r="K45" s="185">
        <f t="shared" si="155"/>
        <v>0</v>
      </c>
      <c r="L45" s="185">
        <f t="shared" si="155"/>
        <v>0</v>
      </c>
      <c r="M45" s="185">
        <f t="shared" si="155"/>
        <v>0</v>
      </c>
      <c r="N45" s="185">
        <f t="shared" si="155"/>
        <v>140000</v>
      </c>
      <c r="O45" s="185">
        <f t="shared" si="155"/>
        <v>0</v>
      </c>
      <c r="P45" s="185">
        <f t="shared" si="155"/>
        <v>0</v>
      </c>
      <c r="Q45" s="185">
        <f t="shared" si="155"/>
        <v>0</v>
      </c>
      <c r="R45" s="185">
        <f t="shared" si="155"/>
        <v>0</v>
      </c>
      <c r="S45" s="185">
        <f t="shared" si="155"/>
        <v>0</v>
      </c>
      <c r="T45" s="185">
        <f t="shared" si="155"/>
        <v>0</v>
      </c>
      <c r="U45" s="185">
        <f t="shared" ref="U45:AG45" si="156">U46</f>
        <v>0</v>
      </c>
      <c r="V45" s="185">
        <f t="shared" si="156"/>
        <v>0</v>
      </c>
      <c r="W45" s="185">
        <f t="shared" si="156"/>
        <v>0</v>
      </c>
      <c r="X45" s="185">
        <f t="shared" si="156"/>
        <v>0</v>
      </c>
      <c r="Y45" s="185">
        <f t="shared" si="156"/>
        <v>0</v>
      </c>
      <c r="Z45" s="185">
        <f t="shared" si="156"/>
        <v>0</v>
      </c>
      <c r="AA45" s="185">
        <f t="shared" si="156"/>
        <v>0</v>
      </c>
      <c r="AB45" s="185">
        <f t="shared" si="156"/>
        <v>0</v>
      </c>
      <c r="AC45" s="185">
        <f t="shared" si="156"/>
        <v>0</v>
      </c>
      <c r="AD45" s="185">
        <f t="shared" si="156"/>
        <v>0</v>
      </c>
      <c r="AE45" s="185">
        <f t="shared" si="156"/>
        <v>0</v>
      </c>
      <c r="AF45" s="185">
        <f t="shared" si="156"/>
        <v>0</v>
      </c>
      <c r="AG45" s="185">
        <f t="shared" si="156"/>
        <v>0</v>
      </c>
      <c r="AH45" s="185">
        <f t="shared" si="155"/>
        <v>821100</v>
      </c>
      <c r="AI45" s="185">
        <f>AI46</f>
        <v>961100</v>
      </c>
    </row>
    <row r="46" spans="1:35" x14ac:dyDescent="0.2">
      <c r="A46" s="116"/>
      <c r="B46" s="459" t="s">
        <v>72</v>
      </c>
      <c r="C46" s="459"/>
      <c r="D46" s="276" t="s">
        <v>73</v>
      </c>
      <c r="E46" s="274">
        <f>48000+100000+673100</f>
        <v>821100</v>
      </c>
      <c r="F46" s="54">
        <f>E46+G46</f>
        <v>961100</v>
      </c>
      <c r="G46" s="54">
        <f>SUBTOTAL(9,H46:S46)</f>
        <v>140000</v>
      </c>
      <c r="H46" s="54"/>
      <c r="I46" s="54"/>
      <c r="J46" s="54"/>
      <c r="K46" s="54"/>
      <c r="L46" s="54"/>
      <c r="M46" s="54"/>
      <c r="N46" s="54">
        <v>140000</v>
      </c>
      <c r="O46" s="54"/>
      <c r="P46" s="54"/>
      <c r="Q46" s="54"/>
      <c r="R46" s="54"/>
      <c r="S46" s="54"/>
      <c r="T46" s="44"/>
      <c r="U46" s="54">
        <f>T46+V46</f>
        <v>0</v>
      </c>
      <c r="V46" s="54">
        <f>SUBTOTAL(9,W46:AG46)</f>
        <v>0</v>
      </c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44">
        <f>E46+T46</f>
        <v>821100</v>
      </c>
      <c r="AI46" s="54">
        <f>U46+F46</f>
        <v>961100</v>
      </c>
    </row>
    <row r="47" spans="1:35" s="114" customFormat="1" x14ac:dyDescent="0.2">
      <c r="A47" s="456" t="s">
        <v>74</v>
      </c>
      <c r="B47" s="457"/>
      <c r="C47" s="457"/>
      <c r="D47" s="51" t="s">
        <v>75</v>
      </c>
      <c r="E47" s="41">
        <f t="shared" ref="E47:F47" si="157">SUM(E48,E50)</f>
        <v>288124</v>
      </c>
      <c r="F47" s="41">
        <f t="shared" si="157"/>
        <v>328199</v>
      </c>
      <c r="G47" s="41">
        <f t="shared" ref="G47:S47" si="158">SUM(G48,G50)</f>
        <v>40075</v>
      </c>
      <c r="H47" s="41">
        <f t="shared" si="158"/>
        <v>0</v>
      </c>
      <c r="I47" s="41">
        <f t="shared" si="158"/>
        <v>40075</v>
      </c>
      <c r="J47" s="41">
        <f t="shared" si="158"/>
        <v>0</v>
      </c>
      <c r="K47" s="41">
        <f t="shared" si="158"/>
        <v>0</v>
      </c>
      <c r="L47" s="41">
        <f t="shared" si="158"/>
        <v>0</v>
      </c>
      <c r="M47" s="41">
        <f t="shared" si="158"/>
        <v>0</v>
      </c>
      <c r="N47" s="41">
        <f t="shared" si="158"/>
        <v>0</v>
      </c>
      <c r="O47" s="41">
        <f t="shared" si="158"/>
        <v>0</v>
      </c>
      <c r="P47" s="41">
        <f t="shared" si="158"/>
        <v>0</v>
      </c>
      <c r="Q47" s="41">
        <f t="shared" ref="Q47:R47" si="159">SUM(Q48,Q50)</f>
        <v>0</v>
      </c>
      <c r="R47" s="41">
        <f t="shared" si="159"/>
        <v>0</v>
      </c>
      <c r="S47" s="41">
        <f t="shared" si="158"/>
        <v>0</v>
      </c>
      <c r="T47" s="41">
        <f t="shared" ref="T47" si="160">SUM(T48,T50)</f>
        <v>0</v>
      </c>
      <c r="U47" s="41">
        <f t="shared" ref="U47:AG47" si="161">SUM(U48,U50)</f>
        <v>0</v>
      </c>
      <c r="V47" s="41">
        <f t="shared" si="161"/>
        <v>0</v>
      </c>
      <c r="W47" s="41">
        <f t="shared" si="161"/>
        <v>0</v>
      </c>
      <c r="X47" s="41">
        <f t="shared" si="161"/>
        <v>0</v>
      </c>
      <c r="Y47" s="41">
        <f t="shared" si="161"/>
        <v>0</v>
      </c>
      <c r="Z47" s="41">
        <f t="shared" si="161"/>
        <v>0</v>
      </c>
      <c r="AA47" s="41">
        <f t="shared" si="161"/>
        <v>0</v>
      </c>
      <c r="AB47" s="41">
        <f t="shared" si="161"/>
        <v>0</v>
      </c>
      <c r="AC47" s="41">
        <f t="shared" si="161"/>
        <v>0</v>
      </c>
      <c r="AD47" s="41">
        <f t="shared" si="161"/>
        <v>0</v>
      </c>
      <c r="AE47" s="41">
        <f t="shared" si="161"/>
        <v>0</v>
      </c>
      <c r="AF47" s="41">
        <f t="shared" ref="AF47" si="162">SUM(AF48,AF50)</f>
        <v>0</v>
      </c>
      <c r="AG47" s="41">
        <f t="shared" si="161"/>
        <v>0</v>
      </c>
      <c r="AH47" s="41">
        <f t="shared" ref="AH47" si="163">SUM(AH48,AH50)</f>
        <v>524548</v>
      </c>
      <c r="AI47" s="41">
        <f>SUM(AI48,AI50)</f>
        <v>328199</v>
      </c>
    </row>
    <row r="48" spans="1:35" s="113" customFormat="1" ht="24" x14ac:dyDescent="0.2">
      <c r="A48" s="34"/>
      <c r="B48" s="481" t="s">
        <v>76</v>
      </c>
      <c r="C48" s="482"/>
      <c r="D48" s="57" t="s">
        <v>77</v>
      </c>
      <c r="E48" s="185">
        <f t="shared" ref="E48:AH48" si="164">SUM(E49)</f>
        <v>51700</v>
      </c>
      <c r="F48" s="185">
        <f t="shared" si="164"/>
        <v>51700</v>
      </c>
      <c r="G48" s="185">
        <f t="shared" si="164"/>
        <v>0</v>
      </c>
      <c r="H48" s="185">
        <f t="shared" si="164"/>
        <v>0</v>
      </c>
      <c r="I48" s="185">
        <f t="shared" si="164"/>
        <v>0</v>
      </c>
      <c r="J48" s="185">
        <f t="shared" si="164"/>
        <v>0</v>
      </c>
      <c r="K48" s="185">
        <f t="shared" si="164"/>
        <v>0</v>
      </c>
      <c r="L48" s="185">
        <f t="shared" si="164"/>
        <v>0</v>
      </c>
      <c r="M48" s="185">
        <f t="shared" si="164"/>
        <v>0</v>
      </c>
      <c r="N48" s="185">
        <f t="shared" si="164"/>
        <v>0</v>
      </c>
      <c r="O48" s="185">
        <f t="shared" si="164"/>
        <v>0</v>
      </c>
      <c r="P48" s="185">
        <f t="shared" si="164"/>
        <v>0</v>
      </c>
      <c r="Q48" s="185">
        <f t="shared" si="164"/>
        <v>0</v>
      </c>
      <c r="R48" s="185">
        <f t="shared" si="164"/>
        <v>0</v>
      </c>
      <c r="S48" s="185">
        <f t="shared" si="164"/>
        <v>0</v>
      </c>
      <c r="T48" s="185">
        <f t="shared" si="164"/>
        <v>0</v>
      </c>
      <c r="U48" s="185">
        <f t="shared" ref="U48:AG48" si="165">SUM(U49)</f>
        <v>0</v>
      </c>
      <c r="V48" s="185">
        <f t="shared" si="165"/>
        <v>0</v>
      </c>
      <c r="W48" s="185">
        <f t="shared" si="165"/>
        <v>0</v>
      </c>
      <c r="X48" s="185">
        <f t="shared" si="165"/>
        <v>0</v>
      </c>
      <c r="Y48" s="185">
        <f t="shared" si="165"/>
        <v>0</v>
      </c>
      <c r="Z48" s="185">
        <f t="shared" si="165"/>
        <v>0</v>
      </c>
      <c r="AA48" s="185">
        <f t="shared" si="165"/>
        <v>0</v>
      </c>
      <c r="AB48" s="185">
        <f t="shared" si="165"/>
        <v>0</v>
      </c>
      <c r="AC48" s="185">
        <f t="shared" si="165"/>
        <v>0</v>
      </c>
      <c r="AD48" s="185">
        <f t="shared" si="165"/>
        <v>0</v>
      </c>
      <c r="AE48" s="185">
        <f t="shared" si="165"/>
        <v>0</v>
      </c>
      <c r="AF48" s="185">
        <f t="shared" si="165"/>
        <v>0</v>
      </c>
      <c r="AG48" s="185">
        <f t="shared" si="165"/>
        <v>0</v>
      </c>
      <c r="AH48" s="189">
        <f t="shared" si="164"/>
        <v>51700</v>
      </c>
      <c r="AI48" s="185">
        <f>SUM(AI49)</f>
        <v>51700</v>
      </c>
    </row>
    <row r="49" spans="1:35" ht="24" x14ac:dyDescent="0.2">
      <c r="A49" s="36"/>
      <c r="B49" s="483" t="s">
        <v>78</v>
      </c>
      <c r="C49" s="484"/>
      <c r="D49" s="277" t="s">
        <v>79</v>
      </c>
      <c r="E49" s="181">
        <v>51700</v>
      </c>
      <c r="F49" s="181">
        <f>E49+G49</f>
        <v>51700</v>
      </c>
      <c r="G49" s="181">
        <f>SUBTOTAL(9,H49:S49)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>
        <f>T49+V49</f>
        <v>0</v>
      </c>
      <c r="V49" s="181">
        <f>SUBTOTAL(9,W49:AG49)</f>
        <v>0</v>
      </c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>
        <f>E49+T49</f>
        <v>51700</v>
      </c>
      <c r="AI49" s="181">
        <f>U49+F49</f>
        <v>51700</v>
      </c>
    </row>
    <row r="50" spans="1:35" s="113" customFormat="1" x14ac:dyDescent="0.2">
      <c r="A50" s="34"/>
      <c r="B50" s="451" t="s">
        <v>80</v>
      </c>
      <c r="C50" s="451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S50" si="166">SUM(G51+G53)</f>
        <v>40075</v>
      </c>
      <c r="H50" s="185">
        <f t="shared" si="166"/>
        <v>0</v>
      </c>
      <c r="I50" s="185">
        <f t="shared" si="166"/>
        <v>40075</v>
      </c>
      <c r="J50" s="185">
        <f t="shared" si="166"/>
        <v>0</v>
      </c>
      <c r="K50" s="185">
        <f t="shared" si="166"/>
        <v>0</v>
      </c>
      <c r="L50" s="185">
        <f t="shared" si="166"/>
        <v>0</v>
      </c>
      <c r="M50" s="185">
        <f t="shared" si="166"/>
        <v>0</v>
      </c>
      <c r="N50" s="185">
        <f t="shared" si="166"/>
        <v>0</v>
      </c>
      <c r="O50" s="185">
        <f t="shared" si="166"/>
        <v>0</v>
      </c>
      <c r="P50" s="185">
        <f t="shared" si="166"/>
        <v>0</v>
      </c>
      <c r="Q50" s="185">
        <f t="shared" ref="Q50:R50" si="167">SUM(Q51+Q53)</f>
        <v>0</v>
      </c>
      <c r="R50" s="185">
        <f t="shared" si="167"/>
        <v>0</v>
      </c>
      <c r="S50" s="185">
        <f t="shared" si="166"/>
        <v>0</v>
      </c>
      <c r="T50" s="185">
        <f>SUM(T51+T53)</f>
        <v>0</v>
      </c>
      <c r="U50" s="185">
        <f>SUM(U51+U53)</f>
        <v>0</v>
      </c>
      <c r="V50" s="185">
        <f t="shared" ref="V50" si="168">SUM(V51+V53)</f>
        <v>0</v>
      </c>
      <c r="W50" s="185">
        <f t="shared" ref="W50" si="169">SUM(W51+W53)</f>
        <v>0</v>
      </c>
      <c r="X50" s="185">
        <f t="shared" ref="X50" si="170">SUM(X51+X53)</f>
        <v>0</v>
      </c>
      <c r="Y50" s="185">
        <f t="shared" ref="Y50" si="171">SUM(Y51+Y53)</f>
        <v>0</v>
      </c>
      <c r="Z50" s="185">
        <f t="shared" ref="Z50" si="172">SUM(Z51+Z53)</f>
        <v>0</v>
      </c>
      <c r="AA50" s="185">
        <f t="shared" ref="AA50" si="173">SUM(AA51+AA53)</f>
        <v>0</v>
      </c>
      <c r="AB50" s="185">
        <f t="shared" ref="AB50" si="174">SUM(AB51+AB53)</f>
        <v>0</v>
      </c>
      <c r="AC50" s="185">
        <f t="shared" ref="AC50" si="175">SUM(AC51+AC53)</f>
        <v>0</v>
      </c>
      <c r="AD50" s="185">
        <f t="shared" ref="AD50" si="176">SUM(AD51+AD53)</f>
        <v>0</v>
      </c>
      <c r="AE50" s="185">
        <f t="shared" ref="AE50:AF50" si="177">SUM(AE51+AE53)</f>
        <v>0</v>
      </c>
      <c r="AF50" s="185">
        <f t="shared" si="177"/>
        <v>0</v>
      </c>
      <c r="AG50" s="185">
        <f t="shared" ref="AG50:AI50" si="178">SUM(AG51+AG53)</f>
        <v>0</v>
      </c>
      <c r="AH50" s="185">
        <f>SUM(AH51+AH53)</f>
        <v>472848</v>
      </c>
      <c r="AI50" s="185">
        <f t="shared" si="178"/>
        <v>276499</v>
      </c>
    </row>
    <row r="51" spans="1:35" s="113" customFormat="1" x14ac:dyDescent="0.2">
      <c r="A51" s="128"/>
      <c r="B51" s="455" t="s">
        <v>275</v>
      </c>
      <c r="C51" s="458"/>
      <c r="D51" s="37" t="s">
        <v>621</v>
      </c>
      <c r="E51" s="181">
        <f>SUM(E52:E52)</f>
        <v>0</v>
      </c>
      <c r="F51" s="181">
        <f>SUM(F52:F52)</f>
        <v>0</v>
      </c>
      <c r="G51" s="181">
        <f t="shared" ref="G51:S51" si="179">SUM(G52:G52)</f>
        <v>0</v>
      </c>
      <c r="H51" s="181">
        <f t="shared" si="179"/>
        <v>0</v>
      </c>
      <c r="I51" s="181">
        <f t="shared" si="179"/>
        <v>0</v>
      </c>
      <c r="J51" s="181">
        <f t="shared" si="179"/>
        <v>0</v>
      </c>
      <c r="K51" s="181">
        <f t="shared" si="179"/>
        <v>0</v>
      </c>
      <c r="L51" s="181">
        <f t="shared" si="179"/>
        <v>0</v>
      </c>
      <c r="M51" s="181">
        <f t="shared" si="179"/>
        <v>0</v>
      </c>
      <c r="N51" s="181">
        <f t="shared" si="179"/>
        <v>0</v>
      </c>
      <c r="O51" s="181">
        <f t="shared" si="179"/>
        <v>0</v>
      </c>
      <c r="P51" s="181">
        <f t="shared" si="179"/>
        <v>0</v>
      </c>
      <c r="Q51" s="181">
        <f t="shared" si="179"/>
        <v>0</v>
      </c>
      <c r="R51" s="181">
        <f t="shared" si="179"/>
        <v>0</v>
      </c>
      <c r="S51" s="181">
        <f t="shared" si="179"/>
        <v>0</v>
      </c>
      <c r="T51" s="181">
        <f>SUM(T52:T52)</f>
        <v>0</v>
      </c>
      <c r="U51" s="181">
        <f>SUM(U52:U52)</f>
        <v>0</v>
      </c>
      <c r="V51" s="181">
        <f t="shared" ref="V51" si="180">SUM(V52:V52)</f>
        <v>0</v>
      </c>
      <c r="W51" s="181">
        <f t="shared" ref="W51" si="181">SUM(W52:W52)</f>
        <v>0</v>
      </c>
      <c r="X51" s="181">
        <f t="shared" ref="X51" si="182">SUM(X52:X52)</f>
        <v>0</v>
      </c>
      <c r="Y51" s="181">
        <f t="shared" ref="Y51" si="183">SUM(Y52:Y52)</f>
        <v>0</v>
      </c>
      <c r="Z51" s="181">
        <f t="shared" ref="Z51" si="184">SUM(Z52:Z52)</f>
        <v>0</v>
      </c>
      <c r="AA51" s="181">
        <f t="shared" ref="AA51" si="185">SUM(AA52:AA52)</f>
        <v>0</v>
      </c>
      <c r="AB51" s="181">
        <f t="shared" ref="AB51" si="186">SUM(AB52:AB52)</f>
        <v>0</v>
      </c>
      <c r="AC51" s="181">
        <f t="shared" ref="AC51" si="187">SUM(AC52:AC52)</f>
        <v>0</v>
      </c>
      <c r="AD51" s="181">
        <f t="shared" ref="AD51" si="188">SUM(AD52:AD52)</f>
        <v>0</v>
      </c>
      <c r="AE51" s="181">
        <f t="shared" ref="AE51" si="189">SUM(AE52:AE52)</f>
        <v>0</v>
      </c>
      <c r="AF51" s="181">
        <f t="shared" ref="AF51:AG51" si="190">SUM(AF52:AF52)</f>
        <v>0</v>
      </c>
      <c r="AG51" s="181">
        <f t="shared" si="190"/>
        <v>0</v>
      </c>
      <c r="AH51" s="181">
        <f>SUM(AH52:AH52)</f>
        <v>236424</v>
      </c>
      <c r="AI51" s="181">
        <f>SUM(AI52:AI52)</f>
        <v>0</v>
      </c>
    </row>
    <row r="52" spans="1:35" s="113" customFormat="1" x14ac:dyDescent="0.2">
      <c r="A52" s="128"/>
      <c r="B52" s="275"/>
      <c r="C52" s="335" t="s">
        <v>619</v>
      </c>
      <c r="D52" s="37" t="s">
        <v>620</v>
      </c>
      <c r="E52" s="181"/>
      <c r="F52" s="181">
        <f>E52+G52</f>
        <v>0</v>
      </c>
      <c r="G52" s="181">
        <f>SUBTOTAL(9,H52:S52)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>
        <f>T52+V52</f>
        <v>0</v>
      </c>
      <c r="V52" s="181">
        <f>SUBTOTAL(9,W52:AG52)</f>
        <v>0</v>
      </c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>
        <f>SUM(AH53:AH53)</f>
        <v>236424</v>
      </c>
      <c r="AI52" s="273">
        <f>U52+F52</f>
        <v>0</v>
      </c>
    </row>
    <row r="53" spans="1:35" x14ac:dyDescent="0.2">
      <c r="A53" s="36"/>
      <c r="B53" s="460" t="s">
        <v>117</v>
      </c>
      <c r="C53" s="460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S53" si="191">SUM(G54:G54)</f>
        <v>40075</v>
      </c>
      <c r="H53" s="181">
        <f t="shared" si="191"/>
        <v>0</v>
      </c>
      <c r="I53" s="181">
        <f t="shared" si="191"/>
        <v>40075</v>
      </c>
      <c r="J53" s="181">
        <f t="shared" si="191"/>
        <v>0</v>
      </c>
      <c r="K53" s="181">
        <f t="shared" si="191"/>
        <v>0</v>
      </c>
      <c r="L53" s="181">
        <f t="shared" si="191"/>
        <v>0</v>
      </c>
      <c r="M53" s="181">
        <f t="shared" si="191"/>
        <v>0</v>
      </c>
      <c r="N53" s="181">
        <f t="shared" si="191"/>
        <v>0</v>
      </c>
      <c r="O53" s="181">
        <f t="shared" si="191"/>
        <v>0</v>
      </c>
      <c r="P53" s="181">
        <f t="shared" si="191"/>
        <v>0</v>
      </c>
      <c r="Q53" s="181">
        <f t="shared" si="191"/>
        <v>0</v>
      </c>
      <c r="R53" s="181">
        <f t="shared" si="191"/>
        <v>0</v>
      </c>
      <c r="S53" s="181">
        <f t="shared" si="191"/>
        <v>0</v>
      </c>
      <c r="T53" s="181">
        <f>SUM(T54:T54)</f>
        <v>0</v>
      </c>
      <c r="U53" s="181">
        <f>SUM(U54:U54)</f>
        <v>0</v>
      </c>
      <c r="V53" s="181">
        <f t="shared" ref="V53" si="192">SUM(V54:V54)</f>
        <v>0</v>
      </c>
      <c r="W53" s="181">
        <f t="shared" ref="W53" si="193">SUM(W54:W54)</f>
        <v>0</v>
      </c>
      <c r="X53" s="181">
        <f t="shared" ref="X53" si="194">SUM(X54:X54)</f>
        <v>0</v>
      </c>
      <c r="Y53" s="181">
        <f t="shared" ref="Y53" si="195">SUM(Y54:Y54)</f>
        <v>0</v>
      </c>
      <c r="Z53" s="181">
        <f t="shared" ref="Z53" si="196">SUM(Z54:Z54)</f>
        <v>0</v>
      </c>
      <c r="AA53" s="181">
        <f t="shared" ref="AA53" si="197">SUM(AA54:AA54)</f>
        <v>0</v>
      </c>
      <c r="AB53" s="181">
        <f t="shared" ref="AB53" si="198">SUM(AB54:AB54)</f>
        <v>0</v>
      </c>
      <c r="AC53" s="181">
        <f t="shared" ref="AC53" si="199">SUM(AC54:AC54)</f>
        <v>0</v>
      </c>
      <c r="AD53" s="181">
        <f t="shared" ref="AD53" si="200">SUM(AD54:AD54)</f>
        <v>0</v>
      </c>
      <c r="AE53" s="181">
        <f t="shared" ref="AE53" si="201">SUM(AE54:AE54)</f>
        <v>0</v>
      </c>
      <c r="AF53" s="181">
        <f t="shared" ref="AF53:AG53" si="202">SUM(AF54:AF54)</f>
        <v>0</v>
      </c>
      <c r="AG53" s="181">
        <f t="shared" si="202"/>
        <v>0</v>
      </c>
      <c r="AH53" s="181">
        <f>SUM(AH54:AH54)</f>
        <v>236424</v>
      </c>
      <c r="AI53" s="181">
        <f>SUM(AI54:AI54)</f>
        <v>276499</v>
      </c>
    </row>
    <row r="54" spans="1:35" ht="24" x14ac:dyDescent="0.2">
      <c r="A54" s="115"/>
      <c r="B54" s="453" t="s">
        <v>118</v>
      </c>
      <c r="C54" s="454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SUBTOTAL(9,H54:S54)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>
        <f>T54+V54</f>
        <v>0</v>
      </c>
      <c r="V54" s="273">
        <f>SUBTOTAL(9,W54:AG54)</f>
        <v>0</v>
      </c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>
        <f>E54+T54</f>
        <v>236424</v>
      </c>
      <c r="AI54" s="273">
        <f>U54+F54</f>
        <v>276499</v>
      </c>
    </row>
    <row r="55" spans="1:35" s="114" customFormat="1" ht="51.75" customHeight="1" x14ac:dyDescent="0.2">
      <c r="A55" s="456" t="s">
        <v>82</v>
      </c>
      <c r="B55" s="457"/>
      <c r="C55" s="457"/>
      <c r="D55" s="51" t="s">
        <v>150</v>
      </c>
      <c r="E55" s="41">
        <f>SUM(E58,E56,)</f>
        <v>2380304</v>
      </c>
      <c r="F55" s="41">
        <f t="shared" ref="F55" si="203">SUM(F58,F56,)</f>
        <v>2380304</v>
      </c>
      <c r="G55" s="41">
        <f t="shared" ref="G55" si="204">SUM(G58,G56,)</f>
        <v>0</v>
      </c>
      <c r="H55" s="41">
        <f t="shared" ref="H55" si="205">SUM(H58,H56,)</f>
        <v>0</v>
      </c>
      <c r="I55" s="41">
        <f t="shared" ref="I55" si="206">SUM(I58,I56,)</f>
        <v>0</v>
      </c>
      <c r="J55" s="41">
        <f t="shared" ref="J55" si="207">SUM(J58,J56,)</f>
        <v>0</v>
      </c>
      <c r="K55" s="41">
        <f t="shared" ref="K55" si="208">SUM(K58,K56,)</f>
        <v>0</v>
      </c>
      <c r="L55" s="41">
        <f t="shared" ref="L55" si="209">SUM(L58,L56,)</f>
        <v>0</v>
      </c>
      <c r="M55" s="41">
        <f t="shared" ref="M55" si="210">SUM(M58,M56,)</f>
        <v>0</v>
      </c>
      <c r="N55" s="41">
        <f t="shared" ref="N55" si="211">SUM(N58,N56,)</f>
        <v>0</v>
      </c>
      <c r="O55" s="41">
        <f t="shared" ref="O55" si="212">SUM(O58,O56,)</f>
        <v>0</v>
      </c>
      <c r="P55" s="41">
        <f t="shared" ref="P55" si="213">SUM(P58,P56,)</f>
        <v>0</v>
      </c>
      <c r="Q55" s="41">
        <f t="shared" ref="Q55:S55" si="214">SUM(Q58,Q56,)</f>
        <v>0</v>
      </c>
      <c r="R55" s="41">
        <f t="shared" ref="R55" si="215">SUM(R58,R56,)</f>
        <v>0</v>
      </c>
      <c r="S55" s="41">
        <f t="shared" si="214"/>
        <v>0</v>
      </c>
      <c r="T55" s="41">
        <f t="shared" ref="T55:AH55" si="216">SUM(T58,T56,)</f>
        <v>0</v>
      </c>
      <c r="U55" s="41">
        <f t="shared" ref="U55" si="217">SUM(U58,U56,)</f>
        <v>0</v>
      </c>
      <c r="V55" s="41">
        <f t="shared" ref="V55" si="218">SUM(V58,V56,)</f>
        <v>0</v>
      </c>
      <c r="W55" s="41">
        <f t="shared" ref="W55" si="219">SUM(W58,W56,)</f>
        <v>0</v>
      </c>
      <c r="X55" s="41">
        <f t="shared" ref="X55" si="220">SUM(X58,X56,)</f>
        <v>0</v>
      </c>
      <c r="Y55" s="41">
        <f t="shared" ref="Y55" si="221">SUM(Y58,Y56,)</f>
        <v>0</v>
      </c>
      <c r="Z55" s="41">
        <f t="shared" ref="Z55" si="222">SUM(Z58,Z56,)</f>
        <v>0</v>
      </c>
      <c r="AA55" s="41">
        <f t="shared" ref="AA55" si="223">SUM(AA58,AA56,)</f>
        <v>0</v>
      </c>
      <c r="AB55" s="41">
        <f t="shared" ref="AB55" si="224">SUM(AB58,AB56,)</f>
        <v>0</v>
      </c>
      <c r="AC55" s="41">
        <f t="shared" ref="AC55" si="225">SUM(AC58,AC56,)</f>
        <v>0</v>
      </c>
      <c r="AD55" s="41">
        <f t="shared" ref="AD55" si="226">SUM(AD58,AD56,)</f>
        <v>0</v>
      </c>
      <c r="AE55" s="41">
        <f t="shared" ref="AE55:AF55" si="227">SUM(AE58,AE56,)</f>
        <v>0</v>
      </c>
      <c r="AF55" s="41">
        <f t="shared" si="227"/>
        <v>0</v>
      </c>
      <c r="AG55" s="41">
        <f t="shared" ref="AG55:AI55" si="228">SUM(AG58,AG56,)</f>
        <v>0</v>
      </c>
      <c r="AH55" s="41">
        <f t="shared" si="216"/>
        <v>2380304</v>
      </c>
      <c r="AI55" s="41">
        <f t="shared" si="228"/>
        <v>2380304</v>
      </c>
    </row>
    <row r="56" spans="1:35" s="113" customFormat="1" x14ac:dyDescent="0.2">
      <c r="A56" s="34"/>
      <c r="B56" s="451" t="s">
        <v>213</v>
      </c>
      <c r="C56" s="451"/>
      <c r="D56" s="35" t="s">
        <v>214</v>
      </c>
      <c r="E56" s="185">
        <f t="shared" ref="E56:AH56" si="229">SUM(E57:E57)</f>
        <v>2000000</v>
      </c>
      <c r="F56" s="185">
        <f t="shared" si="229"/>
        <v>2000000</v>
      </c>
      <c r="G56" s="185">
        <f t="shared" si="229"/>
        <v>0</v>
      </c>
      <c r="H56" s="185">
        <f t="shared" si="229"/>
        <v>0</v>
      </c>
      <c r="I56" s="185">
        <f t="shared" si="229"/>
        <v>0</v>
      </c>
      <c r="J56" s="185">
        <f t="shared" si="229"/>
        <v>0</v>
      </c>
      <c r="K56" s="185">
        <f t="shared" si="229"/>
        <v>0</v>
      </c>
      <c r="L56" s="185">
        <f t="shared" si="229"/>
        <v>0</v>
      </c>
      <c r="M56" s="185">
        <f t="shared" si="229"/>
        <v>0</v>
      </c>
      <c r="N56" s="185">
        <f t="shared" si="229"/>
        <v>0</v>
      </c>
      <c r="O56" s="185">
        <f t="shared" si="229"/>
        <v>0</v>
      </c>
      <c r="P56" s="185">
        <f t="shared" si="229"/>
        <v>0</v>
      </c>
      <c r="Q56" s="185">
        <f t="shared" si="229"/>
        <v>0</v>
      </c>
      <c r="R56" s="185">
        <f t="shared" si="229"/>
        <v>0</v>
      </c>
      <c r="S56" s="185">
        <f t="shared" si="229"/>
        <v>0</v>
      </c>
      <c r="T56" s="185">
        <f t="shared" si="229"/>
        <v>0</v>
      </c>
      <c r="U56" s="185">
        <f t="shared" ref="U56:AG56" si="230">SUM(U57:U57)</f>
        <v>0</v>
      </c>
      <c r="V56" s="185">
        <f t="shared" si="230"/>
        <v>0</v>
      </c>
      <c r="W56" s="185">
        <f t="shared" si="230"/>
        <v>0</v>
      </c>
      <c r="X56" s="185">
        <f t="shared" si="230"/>
        <v>0</v>
      </c>
      <c r="Y56" s="185">
        <f t="shared" si="230"/>
        <v>0</v>
      </c>
      <c r="Z56" s="185">
        <f t="shared" si="230"/>
        <v>0</v>
      </c>
      <c r="AA56" s="185">
        <f t="shared" si="230"/>
        <v>0</v>
      </c>
      <c r="AB56" s="185">
        <f t="shared" si="230"/>
        <v>0</v>
      </c>
      <c r="AC56" s="185">
        <f t="shared" si="230"/>
        <v>0</v>
      </c>
      <c r="AD56" s="185">
        <f t="shared" si="230"/>
        <v>0</v>
      </c>
      <c r="AE56" s="185">
        <f t="shared" si="230"/>
        <v>0</v>
      </c>
      <c r="AF56" s="185">
        <f t="shared" si="230"/>
        <v>0</v>
      </c>
      <c r="AG56" s="185">
        <f t="shared" si="230"/>
        <v>0</v>
      </c>
      <c r="AH56" s="185">
        <f t="shared" si="229"/>
        <v>2000000</v>
      </c>
      <c r="AI56" s="185">
        <f>SUM(AI57:AI57)</f>
        <v>2000000</v>
      </c>
    </row>
    <row r="57" spans="1:35" s="113" customFormat="1" x14ac:dyDescent="0.2">
      <c r="A57" s="34"/>
      <c r="B57" s="460" t="s">
        <v>131</v>
      </c>
      <c r="C57" s="460"/>
      <c r="D57" s="43" t="s">
        <v>132</v>
      </c>
      <c r="E57" s="44">
        <v>2000000</v>
      </c>
      <c r="F57" s="44">
        <f>E57+G57</f>
        <v>2000000</v>
      </c>
      <c r="G57" s="44">
        <f>SUBTOTAL(9,H57:S57)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>
        <f>T57+V57</f>
        <v>0</v>
      </c>
      <c r="V57" s="44">
        <f>SUBTOTAL(9,W57:AG57)</f>
        <v>0</v>
      </c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>
        <f>E57+T57</f>
        <v>2000000</v>
      </c>
      <c r="AI57" s="44">
        <f>U57+F57</f>
        <v>2000000</v>
      </c>
    </row>
    <row r="58" spans="1:35" s="113" customFormat="1" ht="24" x14ac:dyDescent="0.2">
      <c r="A58" s="34"/>
      <c r="B58" s="451" t="s">
        <v>133</v>
      </c>
      <c r="C58" s="451"/>
      <c r="D58" s="35" t="s">
        <v>110</v>
      </c>
      <c r="E58" s="185">
        <f t="shared" ref="E58:T58" si="231">SUM(E59:E61)</f>
        <v>380304</v>
      </c>
      <c r="F58" s="185">
        <f t="shared" ref="F58:S58" si="232">SUM(F59:F61)</f>
        <v>380304</v>
      </c>
      <c r="G58" s="185">
        <f t="shared" si="232"/>
        <v>0</v>
      </c>
      <c r="H58" s="185">
        <f t="shared" si="232"/>
        <v>0</v>
      </c>
      <c r="I58" s="185">
        <f t="shared" si="232"/>
        <v>0</v>
      </c>
      <c r="J58" s="185">
        <f t="shared" si="232"/>
        <v>0</v>
      </c>
      <c r="K58" s="185">
        <f t="shared" si="232"/>
        <v>0</v>
      </c>
      <c r="L58" s="185">
        <f t="shared" si="232"/>
        <v>0</v>
      </c>
      <c r="M58" s="185">
        <f t="shared" si="232"/>
        <v>0</v>
      </c>
      <c r="N58" s="185">
        <f t="shared" si="232"/>
        <v>0</v>
      </c>
      <c r="O58" s="185">
        <f t="shared" si="232"/>
        <v>0</v>
      </c>
      <c r="P58" s="185">
        <f t="shared" si="232"/>
        <v>0</v>
      </c>
      <c r="Q58" s="185">
        <f t="shared" ref="Q58:R58" si="233">SUM(Q59:Q61)</f>
        <v>0</v>
      </c>
      <c r="R58" s="185">
        <f t="shared" si="233"/>
        <v>0</v>
      </c>
      <c r="S58" s="185">
        <f t="shared" si="232"/>
        <v>0</v>
      </c>
      <c r="T58" s="185">
        <f t="shared" si="231"/>
        <v>0</v>
      </c>
      <c r="U58" s="185">
        <f t="shared" ref="U58:AG58" si="234">SUM(U59:U61)</f>
        <v>0</v>
      </c>
      <c r="V58" s="185">
        <f t="shared" si="234"/>
        <v>0</v>
      </c>
      <c r="W58" s="185">
        <f t="shared" si="234"/>
        <v>0</v>
      </c>
      <c r="X58" s="185">
        <f t="shared" si="234"/>
        <v>0</v>
      </c>
      <c r="Y58" s="185">
        <f t="shared" si="234"/>
        <v>0</v>
      </c>
      <c r="Z58" s="185">
        <f t="shared" si="234"/>
        <v>0</v>
      </c>
      <c r="AA58" s="185">
        <f t="shared" si="234"/>
        <v>0</v>
      </c>
      <c r="AB58" s="185">
        <f t="shared" si="234"/>
        <v>0</v>
      </c>
      <c r="AC58" s="185">
        <f t="shared" si="234"/>
        <v>0</v>
      </c>
      <c r="AD58" s="185">
        <f t="shared" si="234"/>
        <v>0</v>
      </c>
      <c r="AE58" s="185">
        <f t="shared" si="234"/>
        <v>0</v>
      </c>
      <c r="AF58" s="185">
        <f t="shared" ref="AF58" si="235">SUM(AF59:AF61)</f>
        <v>0</v>
      </c>
      <c r="AG58" s="185">
        <f t="shared" si="234"/>
        <v>0</v>
      </c>
      <c r="AH58" s="185">
        <f t="shared" ref="AH58" si="236">SUM(AH59:AH61)</f>
        <v>380304</v>
      </c>
      <c r="AI58" s="185">
        <f>SUM(AI59:AI61)</f>
        <v>380304</v>
      </c>
    </row>
    <row r="59" spans="1:35" x14ac:dyDescent="0.2">
      <c r="A59" s="36"/>
      <c r="B59" s="460" t="s">
        <v>134</v>
      </c>
      <c r="C59" s="460"/>
      <c r="D59" s="37" t="s">
        <v>111</v>
      </c>
      <c r="E59" s="181">
        <f>176717-16751</f>
        <v>159966</v>
      </c>
      <c r="F59" s="181">
        <f t="shared" ref="F59:F61" si="237">E59+G59</f>
        <v>159966</v>
      </c>
      <c r="G59" s="181">
        <f t="shared" ref="G59:G61" si="238">SUBTOTAL(9,H59:S59)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>
        <f t="shared" ref="U59:U61" si="239">T59+V59</f>
        <v>0</v>
      </c>
      <c r="V59" s="181">
        <f t="shared" ref="V59:V61" si="240">SUBTOTAL(9,W59:AG59)</f>
        <v>0</v>
      </c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>
        <f>E59+T59</f>
        <v>159966</v>
      </c>
      <c r="AI59" s="181">
        <f>U59+F59</f>
        <v>159966</v>
      </c>
    </row>
    <row r="60" spans="1:35" x14ac:dyDescent="0.2">
      <c r="A60" s="42"/>
      <c r="B60" s="455" t="s">
        <v>135</v>
      </c>
      <c r="C60" s="455"/>
      <c r="D60" s="43" t="s">
        <v>112</v>
      </c>
      <c r="E60" s="44">
        <v>33764</v>
      </c>
      <c r="F60" s="44">
        <f t="shared" si="237"/>
        <v>33764</v>
      </c>
      <c r="G60" s="44">
        <f t="shared" si="238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>
        <f t="shared" si="239"/>
        <v>0</v>
      </c>
      <c r="V60" s="44">
        <f t="shared" si="240"/>
        <v>0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>
        <f>E60+T60</f>
        <v>33764</v>
      </c>
      <c r="AI60" s="44">
        <f>U60+F60</f>
        <v>33764</v>
      </c>
    </row>
    <row r="61" spans="1:35" x14ac:dyDescent="0.2">
      <c r="A61" s="42"/>
      <c r="B61" s="455" t="s">
        <v>136</v>
      </c>
      <c r="C61" s="455"/>
      <c r="D61" s="43" t="s">
        <v>113</v>
      </c>
      <c r="E61" s="44">
        <v>186574</v>
      </c>
      <c r="F61" s="44">
        <f t="shared" si="237"/>
        <v>186574</v>
      </c>
      <c r="G61" s="44">
        <f t="shared" si="238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>
        <f t="shared" si="239"/>
        <v>0</v>
      </c>
      <c r="V61" s="44">
        <f t="shared" si="240"/>
        <v>0</v>
      </c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>
        <f>E61+T61</f>
        <v>186574</v>
      </c>
      <c r="AI61" s="44">
        <f>U61+F61</f>
        <v>186574</v>
      </c>
    </row>
    <row r="62" spans="1:35" ht="51.75" customHeight="1" x14ac:dyDescent="0.2">
      <c r="A62" s="456" t="s">
        <v>531</v>
      </c>
      <c r="B62" s="457"/>
      <c r="C62" s="457"/>
      <c r="D62" s="51" t="s">
        <v>532</v>
      </c>
      <c r="E62" s="188">
        <f>SUM(E63)</f>
        <v>212000</v>
      </c>
      <c r="F62" s="188">
        <f>SUM(F63)</f>
        <v>100469</v>
      </c>
      <c r="G62" s="188">
        <f t="shared" ref="G62:S62" si="241">SUM(G63)</f>
        <v>-111531</v>
      </c>
      <c r="H62" s="188">
        <f t="shared" si="241"/>
        <v>0</v>
      </c>
      <c r="I62" s="188">
        <f t="shared" si="241"/>
        <v>0</v>
      </c>
      <c r="J62" s="188">
        <f t="shared" si="241"/>
        <v>0</v>
      </c>
      <c r="K62" s="188">
        <f t="shared" si="241"/>
        <v>0</v>
      </c>
      <c r="L62" s="188">
        <f t="shared" si="241"/>
        <v>0</v>
      </c>
      <c r="M62" s="188">
        <f t="shared" si="241"/>
        <v>0</v>
      </c>
      <c r="N62" s="188">
        <f t="shared" si="241"/>
        <v>0</v>
      </c>
      <c r="O62" s="188">
        <f t="shared" si="241"/>
        <v>0</v>
      </c>
      <c r="P62" s="188">
        <f t="shared" si="241"/>
        <v>-111531</v>
      </c>
      <c r="Q62" s="188">
        <f t="shared" si="241"/>
        <v>0</v>
      </c>
      <c r="R62" s="188">
        <f t="shared" si="241"/>
        <v>0</v>
      </c>
      <c r="S62" s="188">
        <f t="shared" si="241"/>
        <v>0</v>
      </c>
      <c r="T62" s="188">
        <f>SUM(T63)</f>
        <v>0</v>
      </c>
      <c r="U62" s="188">
        <f>SUM(U63)</f>
        <v>0</v>
      </c>
      <c r="V62" s="188">
        <f t="shared" ref="V62" si="242">SUM(V63)</f>
        <v>0</v>
      </c>
      <c r="W62" s="188">
        <f t="shared" ref="W62" si="243">SUM(W63)</f>
        <v>0</v>
      </c>
      <c r="X62" s="188">
        <f t="shared" ref="X62" si="244">SUM(X63)</f>
        <v>0</v>
      </c>
      <c r="Y62" s="188">
        <f t="shared" ref="Y62" si="245">SUM(Y63)</f>
        <v>0</v>
      </c>
      <c r="Z62" s="188">
        <f t="shared" ref="Z62" si="246">SUM(Z63)</f>
        <v>0</v>
      </c>
      <c r="AA62" s="188">
        <f t="shared" ref="AA62" si="247">SUM(AA63)</f>
        <v>0</v>
      </c>
      <c r="AB62" s="188">
        <f t="shared" ref="AB62" si="248">SUM(AB63)</f>
        <v>0</v>
      </c>
      <c r="AC62" s="188">
        <f t="shared" ref="AC62" si="249">SUM(AC63)</f>
        <v>0</v>
      </c>
      <c r="AD62" s="188">
        <f t="shared" ref="AD62" si="250">SUM(AD63)</f>
        <v>0</v>
      </c>
      <c r="AE62" s="188">
        <f t="shared" ref="AE62" si="251">SUM(AE63)</f>
        <v>0</v>
      </c>
      <c r="AF62" s="188">
        <f t="shared" ref="AF62:AI62" si="252">SUM(AF63)</f>
        <v>0</v>
      </c>
      <c r="AG62" s="188">
        <f t="shared" si="252"/>
        <v>0</v>
      </c>
      <c r="AH62" s="188">
        <f t="shared" ref="AH62" si="253">SUM(AH63)</f>
        <v>212000</v>
      </c>
      <c r="AI62" s="188">
        <f t="shared" si="252"/>
        <v>100469</v>
      </c>
    </row>
    <row r="63" spans="1:35" ht="39" customHeight="1" x14ac:dyDescent="0.2">
      <c r="A63" s="42"/>
      <c r="B63" s="176" t="s">
        <v>533</v>
      </c>
      <c r="C63" s="270"/>
      <c r="D63" s="35" t="s">
        <v>534</v>
      </c>
      <c r="E63" s="279">
        <v>212000</v>
      </c>
      <c r="F63" s="279">
        <f>E63+G63</f>
        <v>100469</v>
      </c>
      <c r="G63" s="279">
        <f>SUBTOTAL(9,H63:S63)</f>
        <v>-111531</v>
      </c>
      <c r="H63" s="279"/>
      <c r="I63" s="279"/>
      <c r="J63" s="279"/>
      <c r="K63" s="279"/>
      <c r="L63" s="279"/>
      <c r="M63" s="279"/>
      <c r="N63" s="279"/>
      <c r="O63" s="279"/>
      <c r="P63" s="279">
        <v>-111531</v>
      </c>
      <c r="Q63" s="279"/>
      <c r="R63" s="279"/>
      <c r="S63" s="279"/>
      <c r="T63" s="279"/>
      <c r="U63" s="279">
        <f>T63+V63</f>
        <v>0</v>
      </c>
      <c r="V63" s="279">
        <f>SUBTOTAL(9,W63:AG63)</f>
        <v>0</v>
      </c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>
        <f>E63+T63</f>
        <v>212000</v>
      </c>
      <c r="AI63" s="279">
        <f>U63+F63</f>
        <v>100469</v>
      </c>
    </row>
    <row r="64" spans="1:35" s="114" customFormat="1" x14ac:dyDescent="0.2">
      <c r="A64" s="456" t="s">
        <v>83</v>
      </c>
      <c r="B64" s="457"/>
      <c r="C64" s="457"/>
      <c r="D64" s="51" t="s">
        <v>84</v>
      </c>
      <c r="E64" s="41">
        <f>SUM(E65)</f>
        <v>19354111</v>
      </c>
      <c r="F64" s="41">
        <f t="shared" ref="F64:S64" si="254">SUM(F65)</f>
        <v>21883575</v>
      </c>
      <c r="G64" s="41">
        <f t="shared" si="254"/>
        <v>2529464</v>
      </c>
      <c r="H64" s="41">
        <f t="shared" si="254"/>
        <v>95940</v>
      </c>
      <c r="I64" s="41">
        <f t="shared" si="254"/>
        <v>1769937</v>
      </c>
      <c r="J64" s="41">
        <f t="shared" si="254"/>
        <v>524855</v>
      </c>
      <c r="K64" s="41">
        <f t="shared" si="254"/>
        <v>-120072</v>
      </c>
      <c r="L64" s="41">
        <f t="shared" si="254"/>
        <v>0</v>
      </c>
      <c r="M64" s="41">
        <f t="shared" si="254"/>
        <v>-94855</v>
      </c>
      <c r="N64" s="41">
        <f t="shared" si="254"/>
        <v>-1134463</v>
      </c>
      <c r="O64" s="41">
        <f t="shared" si="254"/>
        <v>1675226</v>
      </c>
      <c r="P64" s="41">
        <f t="shared" si="254"/>
        <v>-279737</v>
      </c>
      <c r="Q64" s="41">
        <f t="shared" si="254"/>
        <v>-7126</v>
      </c>
      <c r="R64" s="41">
        <f t="shared" si="254"/>
        <v>99759</v>
      </c>
      <c r="S64" s="41">
        <f t="shared" si="254"/>
        <v>0</v>
      </c>
      <c r="T64" s="41">
        <f t="shared" ref="T64:AH64" si="255">SUM(T65)</f>
        <v>0</v>
      </c>
      <c r="U64" s="41">
        <f t="shared" ref="U64:AG64" si="256">SUM(U65)</f>
        <v>0</v>
      </c>
      <c r="V64" s="41">
        <f t="shared" si="256"/>
        <v>0</v>
      </c>
      <c r="W64" s="41">
        <f t="shared" si="256"/>
        <v>0</v>
      </c>
      <c r="X64" s="41">
        <f t="shared" si="256"/>
        <v>0</v>
      </c>
      <c r="Y64" s="41">
        <f t="shared" si="256"/>
        <v>0</v>
      </c>
      <c r="Z64" s="41">
        <f t="shared" si="256"/>
        <v>0</v>
      </c>
      <c r="AA64" s="41">
        <f t="shared" si="256"/>
        <v>0</v>
      </c>
      <c r="AB64" s="41">
        <f t="shared" si="256"/>
        <v>0</v>
      </c>
      <c r="AC64" s="41">
        <f t="shared" si="256"/>
        <v>0</v>
      </c>
      <c r="AD64" s="41">
        <f t="shared" si="256"/>
        <v>0</v>
      </c>
      <c r="AE64" s="41">
        <f t="shared" si="256"/>
        <v>0</v>
      </c>
      <c r="AF64" s="41">
        <f t="shared" si="256"/>
        <v>0</v>
      </c>
      <c r="AG64" s="41">
        <f t="shared" si="256"/>
        <v>0</v>
      </c>
      <c r="AH64" s="41">
        <f t="shared" si="255"/>
        <v>19354111</v>
      </c>
      <c r="AI64" s="41">
        <f>SUM(AI65)</f>
        <v>21883575</v>
      </c>
    </row>
    <row r="65" spans="1:35" s="113" customFormat="1" ht="15.75" customHeight="1" x14ac:dyDescent="0.2">
      <c r="A65" s="34"/>
      <c r="B65" s="451" t="s">
        <v>85</v>
      </c>
      <c r="C65" s="451"/>
      <c r="D65" s="35" t="s">
        <v>231</v>
      </c>
      <c r="E65" s="185">
        <f>SUM(E66:E68)</f>
        <v>19354111</v>
      </c>
      <c r="F65" s="185">
        <f t="shared" ref="F65:S65" si="257">SUM(F66:F68)</f>
        <v>21883575</v>
      </c>
      <c r="G65" s="185">
        <f t="shared" si="257"/>
        <v>2529464</v>
      </c>
      <c r="H65" s="185">
        <f t="shared" si="257"/>
        <v>95940</v>
      </c>
      <c r="I65" s="185">
        <f t="shared" si="257"/>
        <v>1769937</v>
      </c>
      <c r="J65" s="185">
        <f t="shared" si="257"/>
        <v>524855</v>
      </c>
      <c r="K65" s="185">
        <f t="shared" si="257"/>
        <v>-120072</v>
      </c>
      <c r="L65" s="185">
        <f t="shared" si="257"/>
        <v>0</v>
      </c>
      <c r="M65" s="185">
        <f t="shared" si="257"/>
        <v>-94855</v>
      </c>
      <c r="N65" s="185">
        <f t="shared" si="257"/>
        <v>-1134463</v>
      </c>
      <c r="O65" s="185">
        <f t="shared" si="257"/>
        <v>1675226</v>
      </c>
      <c r="P65" s="185">
        <f t="shared" si="257"/>
        <v>-279737</v>
      </c>
      <c r="Q65" s="185">
        <f t="shared" si="257"/>
        <v>-7126</v>
      </c>
      <c r="R65" s="185">
        <f t="shared" si="257"/>
        <v>99759</v>
      </c>
      <c r="S65" s="185">
        <f t="shared" si="257"/>
        <v>0</v>
      </c>
      <c r="T65" s="185">
        <f t="shared" ref="T65" si="258">SUM(T66:T68)</f>
        <v>0</v>
      </c>
      <c r="U65" s="185">
        <f t="shared" ref="U65" si="259">SUM(U66:U68)</f>
        <v>0</v>
      </c>
      <c r="V65" s="185">
        <f t="shared" ref="V65" si="260">SUM(V66:V68)</f>
        <v>0</v>
      </c>
      <c r="W65" s="185">
        <f t="shared" ref="W65" si="261">SUM(W66:W68)</f>
        <v>0</v>
      </c>
      <c r="X65" s="185">
        <f t="shared" ref="X65" si="262">SUM(X66:X68)</f>
        <v>0</v>
      </c>
      <c r="Y65" s="185">
        <f t="shared" ref="Y65" si="263">SUM(Y66:Y68)</f>
        <v>0</v>
      </c>
      <c r="Z65" s="185">
        <f t="shared" ref="Z65" si="264">SUM(Z66:Z68)</f>
        <v>0</v>
      </c>
      <c r="AA65" s="185">
        <f t="shared" ref="AA65" si="265">SUM(AA66:AA68)</f>
        <v>0</v>
      </c>
      <c r="AB65" s="185">
        <f t="shared" ref="AB65" si="266">SUM(AB66:AB68)</f>
        <v>0</v>
      </c>
      <c r="AC65" s="185">
        <f t="shared" ref="AC65" si="267">SUM(AC66:AC68)</f>
        <v>0</v>
      </c>
      <c r="AD65" s="185">
        <f t="shared" ref="AD65" si="268">SUM(AD66:AD68)</f>
        <v>0</v>
      </c>
      <c r="AE65" s="185">
        <f t="shared" ref="AE65" si="269">SUM(AE66:AE68)</f>
        <v>0</v>
      </c>
      <c r="AF65" s="185">
        <f t="shared" ref="AF65" si="270">SUM(AF66:AF68)</f>
        <v>0</v>
      </c>
      <c r="AG65" s="185">
        <f t="shared" ref="AG65" si="271">SUM(AG66:AG68)</f>
        <v>0</v>
      </c>
      <c r="AH65" s="185">
        <f t="shared" ref="AH65" si="272">SUM(AH66:AH68)</f>
        <v>19354111</v>
      </c>
      <c r="AI65" s="185">
        <f t="shared" ref="AI65" si="273">SUM(AI66:AI68)</f>
        <v>21883575</v>
      </c>
    </row>
    <row r="66" spans="1:35" x14ac:dyDescent="0.2">
      <c r="A66" s="42"/>
      <c r="B66" s="455" t="s">
        <v>86</v>
      </c>
      <c r="C66" s="455"/>
      <c r="D66" s="43" t="s">
        <v>643</v>
      </c>
      <c r="E66" s="44">
        <v>12681718</v>
      </c>
      <c r="F66" s="181">
        <f t="shared" ref="F66:F68" si="274">E66+G66</f>
        <v>11158627</v>
      </c>
      <c r="G66" s="181">
        <f t="shared" ref="G66:G68" si="275">SUBTOTAL(9,H66:S66)</f>
        <v>-1523091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>
        <f>1+15361</f>
        <v>15362</v>
      </c>
      <c r="N66" s="181">
        <f>2390+642+1202+600+23399</f>
        <v>28233</v>
      </c>
      <c r="O66" s="181">
        <f>3688+3150-8</f>
        <v>6830</v>
      </c>
      <c r="P66" s="181">
        <f>19689+950-11-1886</f>
        <v>18742</v>
      </c>
      <c r="Q66" s="181">
        <f>6356+30268+2135</f>
        <v>38759</v>
      </c>
      <c r="R66" s="181">
        <f>-5410+10547-35357+262+2234-7053+10489+1013+2640-436+670+12745+5650-529+119+44435-459+2182+20318-772+3731-1067+13708-620+364+2212-1277520+5596-465+6251+871-3879+239+47857-5931+6915+942+236+2175+31-897-1744+73+3437+831+479-963-36571-3694-88736+3694+3</f>
        <v>-1259154</v>
      </c>
      <c r="S66" s="181"/>
      <c r="T66" s="181"/>
      <c r="U66" s="181">
        <f t="shared" ref="U66:U67" si="276">T66+V66</f>
        <v>0</v>
      </c>
      <c r="V66" s="181">
        <f t="shared" ref="V66:V67" si="277">SUBTOTAL(9,W66:AG66)</f>
        <v>0</v>
      </c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>
        <f>E66+T66</f>
        <v>12681718</v>
      </c>
      <c r="AI66" s="181">
        <f>U66+F66</f>
        <v>11158627</v>
      </c>
    </row>
    <row r="67" spans="1:35" ht="48" x14ac:dyDescent="0.2">
      <c r="A67" s="42"/>
      <c r="B67" s="455" t="s">
        <v>120</v>
      </c>
      <c r="C67" s="455"/>
      <c r="D67" s="43" t="s">
        <v>229</v>
      </c>
      <c r="E67" s="44">
        <v>6672393</v>
      </c>
      <c r="F67" s="181">
        <f t="shared" si="274"/>
        <v>9447428</v>
      </c>
      <c r="G67" s="181">
        <f t="shared" si="275"/>
        <v>2775035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>
        <f>-84154+237-26300</f>
        <v>-110217</v>
      </c>
      <c r="N67" s="181">
        <f>91436-128396-1298783+173047</f>
        <v>-1162696</v>
      </c>
      <c r="O67" s="181">
        <f>30291-205+1639816-1506</f>
        <v>1668396</v>
      </c>
      <c r="P67" s="181">
        <f>-263882-37496+1+7157-4259</f>
        <v>-298479</v>
      </c>
      <c r="Q67" s="181">
        <f>22736-68621</f>
        <v>-45885</v>
      </c>
      <c r="R67" s="181">
        <f>13192+10055-1005+23723+35428</f>
        <v>81393</v>
      </c>
      <c r="S67" s="181"/>
      <c r="T67" s="281"/>
      <c r="U67" s="181">
        <f t="shared" si="276"/>
        <v>0</v>
      </c>
      <c r="V67" s="181">
        <f t="shared" si="277"/>
        <v>0</v>
      </c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>
        <f>E67+T67</f>
        <v>6672393</v>
      </c>
      <c r="AI67" s="181">
        <f>U67+F67</f>
        <v>9447428</v>
      </c>
    </row>
    <row r="68" spans="1:35" ht="24" x14ac:dyDescent="0.2">
      <c r="A68" s="42"/>
      <c r="B68" s="455" t="s">
        <v>852</v>
      </c>
      <c r="C68" s="455"/>
      <c r="D68" s="43" t="s">
        <v>853</v>
      </c>
      <c r="E68" s="44"/>
      <c r="F68" s="181">
        <f t="shared" si="274"/>
        <v>1277520</v>
      </c>
      <c r="G68" s="181">
        <f t="shared" si="275"/>
        <v>1277520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>
        <f>1277520</f>
        <v>1277520</v>
      </c>
      <c r="S68" s="181"/>
      <c r="T68" s="281"/>
      <c r="U68" s="181">
        <f t="shared" ref="U68" si="278">T68+V68</f>
        <v>0</v>
      </c>
      <c r="V68" s="181">
        <f t="shared" ref="V68" si="279">SUBTOTAL(9,W68:AG68)</f>
        <v>0</v>
      </c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>
        <f>E68+T68</f>
        <v>0</v>
      </c>
      <c r="AI68" s="181">
        <f>U68+F68</f>
        <v>1277520</v>
      </c>
    </row>
    <row r="69" spans="1:35" s="114" customFormat="1" x14ac:dyDescent="0.2">
      <c r="A69" s="456" t="s">
        <v>87</v>
      </c>
      <c r="B69" s="457"/>
      <c r="C69" s="457"/>
      <c r="D69" s="51" t="s">
        <v>88</v>
      </c>
      <c r="E69" s="41">
        <f>SUM(E70:E71)</f>
        <v>1782576</v>
      </c>
      <c r="F69" s="41">
        <f t="shared" ref="F69" si="280">SUM(F70:F71)</f>
        <v>1986325</v>
      </c>
      <c r="G69" s="41">
        <f t="shared" ref="G69" si="281">SUM(G70:G71)</f>
        <v>203749</v>
      </c>
      <c r="H69" s="41">
        <f t="shared" ref="H69" si="282">SUM(H70:H71)</f>
        <v>11045</v>
      </c>
      <c r="I69" s="41">
        <f t="shared" ref="I69" si="283">SUM(I70:I71)</f>
        <v>183198</v>
      </c>
      <c r="J69" s="41">
        <f t="shared" ref="J69" si="284">SUM(J70:J71)</f>
        <v>17640</v>
      </c>
      <c r="K69" s="41">
        <f t="shared" ref="K69" si="285">SUM(K70:K71)</f>
        <v>-45269</v>
      </c>
      <c r="L69" s="41">
        <f t="shared" ref="L69" si="286">SUM(L70:L71)</f>
        <v>0</v>
      </c>
      <c r="M69" s="41">
        <f t="shared" ref="M69" si="287">SUM(M70:M71)</f>
        <v>7681</v>
      </c>
      <c r="N69" s="41">
        <f t="shared" ref="N69" si="288">SUM(N70:N71)</f>
        <v>-20825</v>
      </c>
      <c r="O69" s="41">
        <f t="shared" ref="O69" si="289">SUM(O70:O71)</f>
        <v>1738</v>
      </c>
      <c r="P69" s="41">
        <f t="shared" ref="P69" si="290">SUM(P70:P71)</f>
        <v>14401</v>
      </c>
      <c r="Q69" s="41">
        <f t="shared" ref="Q69:S69" si="291">SUM(Q70:Q71)</f>
        <v>32196</v>
      </c>
      <c r="R69" s="41">
        <f t="shared" ref="R69" si="292">SUM(R70:R71)</f>
        <v>1944</v>
      </c>
      <c r="S69" s="41">
        <f t="shared" si="291"/>
        <v>0</v>
      </c>
      <c r="T69" s="41">
        <f t="shared" ref="T69:AH69" si="293">SUM(T70:T71)</f>
        <v>-1041776</v>
      </c>
      <c r="U69" s="41">
        <f t="shared" ref="U69" si="294">SUM(U70:U71)</f>
        <v>-1231124</v>
      </c>
      <c r="V69" s="41">
        <f t="shared" ref="V69" si="295">SUM(V70:V71)</f>
        <v>-189348</v>
      </c>
      <c r="W69" s="41">
        <f t="shared" ref="W69" si="296">SUM(W70:W71)</f>
        <v>-11045</v>
      </c>
      <c r="X69" s="41">
        <f t="shared" ref="X69" si="297">SUM(X70:X71)</f>
        <v>-183198</v>
      </c>
      <c r="Y69" s="41">
        <f t="shared" ref="Y69" si="298">SUM(Y70:Y71)</f>
        <v>-17640</v>
      </c>
      <c r="Z69" s="41">
        <f t="shared" ref="Z69" si="299">SUM(Z70:Z71)</f>
        <v>45269</v>
      </c>
      <c r="AA69" s="41">
        <f t="shared" ref="AA69" si="300">SUM(AA70:AA71)</f>
        <v>-7681</v>
      </c>
      <c r="AB69" s="41">
        <f t="shared" ref="AB69" si="301">SUM(AB70:AB71)</f>
        <v>20825</v>
      </c>
      <c r="AC69" s="41">
        <f t="shared" ref="AC69" si="302">SUM(AC70:AC71)</f>
        <v>-1738</v>
      </c>
      <c r="AD69" s="41">
        <f t="shared" ref="AD69" si="303">SUM(AD70:AD71)</f>
        <v>0</v>
      </c>
      <c r="AE69" s="41">
        <f t="shared" ref="AE69:AF69" si="304">SUM(AE70:AE71)</f>
        <v>-32196</v>
      </c>
      <c r="AF69" s="41">
        <f t="shared" si="304"/>
        <v>-1944</v>
      </c>
      <c r="AG69" s="41">
        <f t="shared" ref="AG69:AI69" si="305">SUM(AG70:AG71)</f>
        <v>0</v>
      </c>
      <c r="AH69" s="41">
        <f t="shared" si="293"/>
        <v>740800</v>
      </c>
      <c r="AI69" s="41">
        <f t="shared" si="305"/>
        <v>755201</v>
      </c>
    </row>
    <row r="70" spans="1:35" s="113" customFormat="1" ht="25.5" customHeight="1" x14ac:dyDescent="0.2">
      <c r="A70" s="34"/>
      <c r="B70" s="451" t="s">
        <v>89</v>
      </c>
      <c r="C70" s="451"/>
      <c r="D70" s="35" t="s">
        <v>230</v>
      </c>
      <c r="E70" s="185">
        <v>740800</v>
      </c>
      <c r="F70" s="185">
        <f t="shared" ref="F70:F71" si="306">E70+G70</f>
        <v>755201</v>
      </c>
      <c r="G70" s="185">
        <f t="shared" ref="G70:G71" si="307">SUBTOTAL(9,H70:S70)</f>
        <v>14401</v>
      </c>
      <c r="H70" s="185"/>
      <c r="I70" s="185"/>
      <c r="J70" s="185"/>
      <c r="K70" s="185"/>
      <c r="L70" s="185"/>
      <c r="M70" s="185"/>
      <c r="N70" s="185"/>
      <c r="O70" s="185"/>
      <c r="P70" s="185">
        <v>14401</v>
      </c>
      <c r="Q70" s="185"/>
      <c r="R70" s="185"/>
      <c r="S70" s="185"/>
      <c r="T70" s="185"/>
      <c r="U70" s="185">
        <f>T70+V70</f>
        <v>0</v>
      </c>
      <c r="V70" s="185">
        <f>SUBTOTAL(9,W70:AG70)</f>
        <v>0</v>
      </c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>
        <f>E70+T70</f>
        <v>740800</v>
      </c>
      <c r="AI70" s="185">
        <f>U70+F70</f>
        <v>755201</v>
      </c>
    </row>
    <row r="71" spans="1:35" ht="16.5" customHeight="1" x14ac:dyDescent="0.2">
      <c r="A71" s="52"/>
      <c r="B71" s="270" t="s">
        <v>454</v>
      </c>
      <c r="C71" s="270"/>
      <c r="D71" s="282" t="s">
        <v>476</v>
      </c>
      <c r="E71" s="54">
        <v>1041776</v>
      </c>
      <c r="F71" s="54">
        <f t="shared" si="306"/>
        <v>1231124</v>
      </c>
      <c r="G71" s="54">
        <f t="shared" si="307"/>
        <v>189348</v>
      </c>
      <c r="H71" s="54">
        <f>750+2719+7576</f>
        <v>11045</v>
      </c>
      <c r="I71" s="54">
        <f>101+6450+37949+1+25845+3777+4897+85145+19033</f>
        <v>183198</v>
      </c>
      <c r="J71" s="54">
        <v>17640</v>
      </c>
      <c r="K71" s="54">
        <f>21968-7251-59986</f>
        <v>-45269</v>
      </c>
      <c r="L71" s="54"/>
      <c r="M71" s="54">
        <v>7681</v>
      </c>
      <c r="N71" s="54">
        <v>-20825</v>
      </c>
      <c r="O71" s="54">
        <f>22+486+895+4+64+138+210+1+5+19+45-151</f>
        <v>1738</v>
      </c>
      <c r="P71" s="54"/>
      <c r="Q71" s="54">
        <v>32196</v>
      </c>
      <c r="R71" s="54">
        <f>2000+100-5621+214+3458+650+1143</f>
        <v>1944</v>
      </c>
      <c r="S71" s="54"/>
      <c r="T71" s="54">
        <v>-1041776</v>
      </c>
      <c r="U71" s="181">
        <f t="shared" ref="U71" si="308">T71+V71</f>
        <v>-1231124</v>
      </c>
      <c r="V71" s="181">
        <f t="shared" ref="V71" si="309">SUBTOTAL(9,W71:AG71)</f>
        <v>-189348</v>
      </c>
      <c r="W71" s="54">
        <f>-750-2719-7576</f>
        <v>-11045</v>
      </c>
      <c r="X71" s="54">
        <f>1-1-101-6450-37949-1-25845-3777-4897-85145-19033</f>
        <v>-183198</v>
      </c>
      <c r="Y71" s="54">
        <v>-17640</v>
      </c>
      <c r="Z71" s="54">
        <f>7251-21968+59986</f>
        <v>45269</v>
      </c>
      <c r="AA71" s="54">
        <v>-7681</v>
      </c>
      <c r="AB71" s="54">
        <v>20825</v>
      </c>
      <c r="AC71" s="54">
        <f>-22-486-895-4-64-138-210-1-5-19-45+151</f>
        <v>-1738</v>
      </c>
      <c r="AD71" s="54"/>
      <c r="AE71" s="54">
        <v>-32196</v>
      </c>
      <c r="AF71" s="54">
        <f>-2000-100+5621-214-3458-650-1143</f>
        <v>-1944</v>
      </c>
      <c r="AG71" s="54"/>
      <c r="AH71" s="181">
        <f>E71+T71</f>
        <v>0</v>
      </c>
      <c r="AI71" s="54">
        <f>U71+F71</f>
        <v>0</v>
      </c>
    </row>
    <row r="72" spans="1:35" s="114" customFormat="1" x14ac:dyDescent="0.2">
      <c r="A72" s="456" t="s">
        <v>90</v>
      </c>
      <c r="B72" s="457"/>
      <c r="C72" s="479"/>
      <c r="D72" s="51" t="s">
        <v>288</v>
      </c>
      <c r="E72" s="41">
        <f>SUM(E73,E76,E89)</f>
        <v>1698441</v>
      </c>
      <c r="F72" s="41">
        <f>SUM(F73,F76,F89)</f>
        <v>1728310</v>
      </c>
      <c r="G72" s="41">
        <f t="shared" ref="G72:S72" si="310">SUM(G73,G76,G89)</f>
        <v>29869</v>
      </c>
      <c r="H72" s="41">
        <f t="shared" si="310"/>
        <v>5000</v>
      </c>
      <c r="I72" s="41">
        <f t="shared" si="310"/>
        <v>49487</v>
      </c>
      <c r="J72" s="41">
        <f t="shared" si="310"/>
        <v>-98945</v>
      </c>
      <c r="K72" s="41">
        <f t="shared" si="310"/>
        <v>111</v>
      </c>
      <c r="L72" s="41">
        <f t="shared" si="310"/>
        <v>2875</v>
      </c>
      <c r="M72" s="41">
        <f t="shared" si="310"/>
        <v>99</v>
      </c>
      <c r="N72" s="41">
        <f t="shared" si="310"/>
        <v>15362</v>
      </c>
      <c r="O72" s="41">
        <f t="shared" si="310"/>
        <v>0</v>
      </c>
      <c r="P72" s="41">
        <f t="shared" si="310"/>
        <v>5981</v>
      </c>
      <c r="Q72" s="41">
        <f t="shared" ref="Q72:R72" si="311">SUM(Q73,Q76,Q89)</f>
        <v>14426</v>
      </c>
      <c r="R72" s="41">
        <f t="shared" si="311"/>
        <v>35473</v>
      </c>
      <c r="S72" s="41">
        <f t="shared" si="310"/>
        <v>0</v>
      </c>
      <c r="T72" s="41">
        <f>SUM(T73,T76,T89)</f>
        <v>-5452</v>
      </c>
      <c r="U72" s="41">
        <f>SUM(U73,U76,U89)</f>
        <v>-30263</v>
      </c>
      <c r="V72" s="41">
        <f t="shared" ref="V72" si="312">SUM(V73,V76,V89)</f>
        <v>-24811</v>
      </c>
      <c r="W72" s="41">
        <f t="shared" ref="W72" si="313">SUM(W73,W76,W89)</f>
        <v>0</v>
      </c>
      <c r="X72" s="41">
        <f t="shared" ref="X72" si="314">SUM(X73,X76,X89)</f>
        <v>-23325</v>
      </c>
      <c r="Y72" s="41">
        <f t="shared" ref="Y72" si="315">SUM(Y73,Y76,Y89)</f>
        <v>-1038</v>
      </c>
      <c r="Z72" s="41">
        <f t="shared" ref="Z72" si="316">SUM(Z73,Z76,Z89)</f>
        <v>-111</v>
      </c>
      <c r="AA72" s="41">
        <f t="shared" ref="AA72" si="317">SUM(AA73,AA76,AA89)</f>
        <v>0</v>
      </c>
      <c r="AB72" s="41">
        <f t="shared" ref="AB72" si="318">SUM(AB73,AB76,AB89)</f>
        <v>0</v>
      </c>
      <c r="AC72" s="41">
        <f t="shared" ref="AC72" si="319">SUM(AC73,AC76,AC89)</f>
        <v>0</v>
      </c>
      <c r="AD72" s="41">
        <f t="shared" ref="AD72" si="320">SUM(AD73,AD76,AD89)</f>
        <v>-336</v>
      </c>
      <c r="AE72" s="41">
        <f t="shared" ref="AE72:AF72" si="321">SUM(AE73,AE76,AE89)</f>
        <v>0</v>
      </c>
      <c r="AF72" s="41">
        <f t="shared" si="321"/>
        <v>-1</v>
      </c>
      <c r="AG72" s="41">
        <f t="shared" ref="AG72:AI72" si="322">SUM(AG73,AG76,AG89)</f>
        <v>0</v>
      </c>
      <c r="AH72" s="41">
        <f>SUM(AH73,AH76,AH89)</f>
        <v>1692989</v>
      </c>
      <c r="AI72" s="41">
        <f t="shared" si="322"/>
        <v>1698047</v>
      </c>
    </row>
    <row r="73" spans="1:35" s="113" customFormat="1" ht="24" x14ac:dyDescent="0.2">
      <c r="A73" s="58"/>
      <c r="B73" s="451" t="s">
        <v>91</v>
      </c>
      <c r="C73" s="478"/>
      <c r="D73" s="91" t="s">
        <v>289</v>
      </c>
      <c r="E73" s="185">
        <f t="shared" ref="E73:AH73" si="323">SUM(E74:E75)</f>
        <v>20512</v>
      </c>
      <c r="F73" s="185">
        <f t="shared" ref="F73:S73" si="324">SUM(F74:F75)</f>
        <v>50805</v>
      </c>
      <c r="G73" s="185">
        <f t="shared" si="324"/>
        <v>30293</v>
      </c>
      <c r="H73" s="185">
        <f t="shared" si="324"/>
        <v>5000</v>
      </c>
      <c r="I73" s="185">
        <f t="shared" si="324"/>
        <v>-161</v>
      </c>
      <c r="J73" s="185">
        <f t="shared" si="324"/>
        <v>963</v>
      </c>
      <c r="K73" s="185">
        <f t="shared" si="324"/>
        <v>0</v>
      </c>
      <c r="L73" s="185">
        <f t="shared" si="324"/>
        <v>0</v>
      </c>
      <c r="M73" s="185">
        <f t="shared" si="324"/>
        <v>-1</v>
      </c>
      <c r="N73" s="185">
        <f t="shared" si="324"/>
        <v>13848</v>
      </c>
      <c r="O73" s="185">
        <f t="shared" si="324"/>
        <v>0</v>
      </c>
      <c r="P73" s="185">
        <f t="shared" si="324"/>
        <v>0</v>
      </c>
      <c r="Q73" s="185">
        <f t="shared" ref="Q73:R73" si="325">SUM(Q74:Q75)</f>
        <v>10816</v>
      </c>
      <c r="R73" s="185">
        <f t="shared" si="325"/>
        <v>-172</v>
      </c>
      <c r="S73" s="185">
        <f t="shared" si="324"/>
        <v>0</v>
      </c>
      <c r="T73" s="185">
        <f t="shared" si="323"/>
        <v>0</v>
      </c>
      <c r="U73" s="185">
        <f t="shared" ref="U73:AG73" si="326">SUM(U74:U75)</f>
        <v>0</v>
      </c>
      <c r="V73" s="185">
        <f t="shared" si="326"/>
        <v>0</v>
      </c>
      <c r="W73" s="185">
        <f t="shared" si="326"/>
        <v>0</v>
      </c>
      <c r="X73" s="185">
        <f t="shared" si="326"/>
        <v>0</v>
      </c>
      <c r="Y73" s="185">
        <f t="shared" si="326"/>
        <v>0</v>
      </c>
      <c r="Z73" s="185">
        <f t="shared" si="326"/>
        <v>0</v>
      </c>
      <c r="AA73" s="185">
        <f t="shared" si="326"/>
        <v>0</v>
      </c>
      <c r="AB73" s="185">
        <f t="shared" si="326"/>
        <v>0</v>
      </c>
      <c r="AC73" s="185">
        <f t="shared" si="326"/>
        <v>0</v>
      </c>
      <c r="AD73" s="185">
        <f t="shared" si="326"/>
        <v>0</v>
      </c>
      <c r="AE73" s="185">
        <f t="shared" si="326"/>
        <v>0</v>
      </c>
      <c r="AF73" s="185">
        <f t="shared" ref="AF73" si="327">SUM(AF74:AF75)</f>
        <v>0</v>
      </c>
      <c r="AG73" s="185">
        <f t="shared" si="326"/>
        <v>0</v>
      </c>
      <c r="AH73" s="185">
        <f t="shared" si="323"/>
        <v>20512</v>
      </c>
      <c r="AI73" s="185">
        <f>SUM(AI74:AI75)</f>
        <v>50805</v>
      </c>
    </row>
    <row r="74" spans="1:35" ht="24" x14ac:dyDescent="0.2">
      <c r="A74" s="117"/>
      <c r="B74" s="453" t="s">
        <v>221</v>
      </c>
      <c r="C74" s="454"/>
      <c r="D74" s="278" t="s">
        <v>222</v>
      </c>
      <c r="E74" s="273">
        <v>3932</v>
      </c>
      <c r="F74" s="273">
        <f t="shared" ref="F74:F75" si="328">E74+G74</f>
        <v>22608</v>
      </c>
      <c r="G74" s="273">
        <f t="shared" ref="G74:G75" si="329">SUBTOTAL(9,H74:S74)</f>
        <v>18676</v>
      </c>
      <c r="H74" s="273">
        <v>5000</v>
      </c>
      <c r="I74" s="273"/>
      <c r="J74" s="273"/>
      <c r="K74" s="273"/>
      <c r="L74" s="273"/>
      <c r="M74" s="273"/>
      <c r="N74" s="273">
        <v>13848</v>
      </c>
      <c r="O74" s="273"/>
      <c r="P74" s="273"/>
      <c r="Q74" s="273"/>
      <c r="R74" s="273">
        <v>-172</v>
      </c>
      <c r="S74" s="273"/>
      <c r="T74" s="273"/>
      <c r="U74" s="273">
        <f t="shared" ref="U74:U75" si="330">T74+V74</f>
        <v>0</v>
      </c>
      <c r="V74" s="273">
        <f t="shared" ref="V74:V75" si="331">SUBTOTAL(9,W74:AG74)</f>
        <v>0</v>
      </c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>
        <f>E74+T74</f>
        <v>3932</v>
      </c>
      <c r="AI74" s="273">
        <f>U74+F74</f>
        <v>22608</v>
      </c>
    </row>
    <row r="75" spans="1:35" ht="24" x14ac:dyDescent="0.2">
      <c r="A75" s="167"/>
      <c r="B75" s="453" t="s">
        <v>492</v>
      </c>
      <c r="C75" s="454"/>
      <c r="D75" s="278" t="s">
        <v>644</v>
      </c>
      <c r="E75" s="181">
        <v>16580</v>
      </c>
      <c r="F75" s="181">
        <f t="shared" si="328"/>
        <v>28197</v>
      </c>
      <c r="G75" s="181">
        <f t="shared" si="329"/>
        <v>11617</v>
      </c>
      <c r="H75" s="181"/>
      <c r="I75" s="181">
        <f>6-167</f>
        <v>-161</v>
      </c>
      <c r="J75" s="181">
        <v>963</v>
      </c>
      <c r="K75" s="181"/>
      <c r="L75" s="181"/>
      <c r="M75" s="181">
        <v>-1</v>
      </c>
      <c r="N75" s="181"/>
      <c r="O75" s="181"/>
      <c r="P75" s="181"/>
      <c r="Q75" s="181">
        <v>10816</v>
      </c>
      <c r="R75" s="181"/>
      <c r="S75" s="181"/>
      <c r="T75" s="181"/>
      <c r="U75" s="181">
        <f t="shared" si="330"/>
        <v>0</v>
      </c>
      <c r="V75" s="181">
        <f t="shared" si="331"/>
        <v>0</v>
      </c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>
        <f>E75+T75</f>
        <v>16580</v>
      </c>
      <c r="AI75" s="181">
        <f>U75+F75</f>
        <v>28197</v>
      </c>
    </row>
    <row r="76" spans="1:35" s="113" customFormat="1" ht="26.25" customHeight="1" x14ac:dyDescent="0.2">
      <c r="A76" s="34"/>
      <c r="B76" s="451" t="s">
        <v>92</v>
      </c>
      <c r="C76" s="478"/>
      <c r="D76" s="35" t="s">
        <v>290</v>
      </c>
      <c r="E76" s="185">
        <f>SUM(E77,E80,E82,E85)</f>
        <v>1644025</v>
      </c>
      <c r="F76" s="185">
        <f>SUM(F77,F80,F82,F85)</f>
        <v>1610735</v>
      </c>
      <c r="G76" s="185">
        <f t="shared" ref="G76:S76" si="332">SUM(G77,G80,G82,G85)</f>
        <v>-33290</v>
      </c>
      <c r="H76" s="185">
        <f t="shared" si="332"/>
        <v>0</v>
      </c>
      <c r="I76" s="185">
        <f t="shared" si="332"/>
        <v>30382</v>
      </c>
      <c r="J76" s="185">
        <f t="shared" si="332"/>
        <v>-101726</v>
      </c>
      <c r="K76" s="185">
        <f t="shared" si="332"/>
        <v>0</v>
      </c>
      <c r="L76" s="185">
        <f t="shared" si="332"/>
        <v>2875</v>
      </c>
      <c r="M76" s="185">
        <f t="shared" si="332"/>
        <v>0</v>
      </c>
      <c r="N76" s="185">
        <f t="shared" si="332"/>
        <v>793</v>
      </c>
      <c r="O76" s="185">
        <f t="shared" si="332"/>
        <v>0</v>
      </c>
      <c r="P76" s="185">
        <f t="shared" si="332"/>
        <v>5417</v>
      </c>
      <c r="Q76" s="185">
        <f t="shared" ref="Q76:R76" si="333">SUM(Q77,Q80,Q82,Q85)</f>
        <v>3635</v>
      </c>
      <c r="R76" s="185">
        <f t="shared" si="333"/>
        <v>25334</v>
      </c>
      <c r="S76" s="185">
        <f t="shared" si="332"/>
        <v>0</v>
      </c>
      <c r="T76" s="185">
        <f>SUM(T77,T80,T82,T85)</f>
        <v>0</v>
      </c>
      <c r="U76" s="185">
        <f>SUM(U77,U80,U82,U85)</f>
        <v>-23199</v>
      </c>
      <c r="V76" s="185">
        <f t="shared" ref="V76" si="334">SUM(V77,V80,V82,V85)</f>
        <v>-23199</v>
      </c>
      <c r="W76" s="185">
        <f t="shared" ref="W76" si="335">SUM(W77,W80,W82,W85)</f>
        <v>0</v>
      </c>
      <c r="X76" s="185">
        <f t="shared" ref="X76" si="336">SUM(X77,X80,X82,X85)</f>
        <v>-23199</v>
      </c>
      <c r="Y76" s="185">
        <f t="shared" ref="Y76" si="337">SUM(Y77,Y80,Y82,Y85)</f>
        <v>0</v>
      </c>
      <c r="Z76" s="185">
        <f t="shared" ref="Z76" si="338">SUM(Z77,Z80,Z82,Z85)</f>
        <v>0</v>
      </c>
      <c r="AA76" s="185">
        <f t="shared" ref="AA76" si="339">SUM(AA77,AA80,AA82,AA85)</f>
        <v>0</v>
      </c>
      <c r="AB76" s="185">
        <f t="shared" ref="AB76" si="340">SUM(AB77,AB80,AB82,AB85)</f>
        <v>0</v>
      </c>
      <c r="AC76" s="185">
        <f t="shared" ref="AC76" si="341">SUM(AC77,AC80,AC82,AC85)</f>
        <v>0</v>
      </c>
      <c r="AD76" s="185">
        <f t="shared" ref="AD76" si="342">SUM(AD77,AD80,AD82,AD85)</f>
        <v>0</v>
      </c>
      <c r="AE76" s="185">
        <f t="shared" ref="AE76:AF76" si="343">SUM(AE77,AE80,AE82,AE85)</f>
        <v>0</v>
      </c>
      <c r="AF76" s="185">
        <f t="shared" si="343"/>
        <v>0</v>
      </c>
      <c r="AG76" s="185">
        <f t="shared" ref="AG76:AI76" si="344">SUM(AG77,AG80,AG82,AG85)</f>
        <v>0</v>
      </c>
      <c r="AH76" s="185">
        <f>SUM(AH77,AH80,AH82,AH85)</f>
        <v>1644025</v>
      </c>
      <c r="AI76" s="185">
        <f t="shared" si="344"/>
        <v>1587536</v>
      </c>
    </row>
    <row r="77" spans="1:35" x14ac:dyDescent="0.2">
      <c r="A77" s="36"/>
      <c r="B77" s="455" t="s">
        <v>93</v>
      </c>
      <c r="C77" s="458"/>
      <c r="D77" s="37" t="s">
        <v>94</v>
      </c>
      <c r="E77" s="181">
        <f>SUM(E78:E79)</f>
        <v>154353</v>
      </c>
      <c r="F77" s="181">
        <f>SUM(F78:F79)</f>
        <v>165773</v>
      </c>
      <c r="G77" s="181">
        <f t="shared" ref="G77:S77" si="345">SUM(G78:G79)</f>
        <v>11420</v>
      </c>
      <c r="H77" s="181">
        <f t="shared" si="345"/>
        <v>0</v>
      </c>
      <c r="I77" s="181">
        <f t="shared" si="345"/>
        <v>0</v>
      </c>
      <c r="J77" s="181">
        <f t="shared" si="345"/>
        <v>0</v>
      </c>
      <c r="K77" s="181">
        <f t="shared" si="345"/>
        <v>0</v>
      </c>
      <c r="L77" s="181">
        <f t="shared" si="345"/>
        <v>0</v>
      </c>
      <c r="M77" s="181">
        <f t="shared" si="345"/>
        <v>0</v>
      </c>
      <c r="N77" s="181">
        <f t="shared" si="345"/>
        <v>0</v>
      </c>
      <c r="O77" s="181">
        <f t="shared" si="345"/>
        <v>0</v>
      </c>
      <c r="P77" s="181">
        <f t="shared" si="345"/>
        <v>0</v>
      </c>
      <c r="Q77" s="181">
        <f t="shared" ref="Q77:R77" si="346">SUM(Q78:Q79)</f>
        <v>0</v>
      </c>
      <c r="R77" s="181">
        <f t="shared" si="346"/>
        <v>11420</v>
      </c>
      <c r="S77" s="181">
        <f t="shared" si="345"/>
        <v>0</v>
      </c>
      <c r="T77" s="181">
        <f>SUM(T78:T79)</f>
        <v>0</v>
      </c>
      <c r="U77" s="181">
        <f>SUM(U78:U79)</f>
        <v>0</v>
      </c>
      <c r="V77" s="181">
        <f t="shared" ref="V77" si="347">SUM(V78:V79)</f>
        <v>0</v>
      </c>
      <c r="W77" s="181">
        <f t="shared" ref="W77" si="348">SUM(W78:W79)</f>
        <v>0</v>
      </c>
      <c r="X77" s="181">
        <f t="shared" ref="X77" si="349">SUM(X78:X79)</f>
        <v>0</v>
      </c>
      <c r="Y77" s="181">
        <f t="shared" ref="Y77" si="350">SUM(Y78:Y79)</f>
        <v>0</v>
      </c>
      <c r="Z77" s="181">
        <f t="shared" ref="Z77" si="351">SUM(Z78:Z79)</f>
        <v>0</v>
      </c>
      <c r="AA77" s="181">
        <f t="shared" ref="AA77" si="352">SUM(AA78:AA79)</f>
        <v>0</v>
      </c>
      <c r="AB77" s="181">
        <f t="shared" ref="AB77" si="353">SUM(AB78:AB79)</f>
        <v>0</v>
      </c>
      <c r="AC77" s="181">
        <f t="shared" ref="AC77" si="354">SUM(AC78:AC79)</f>
        <v>0</v>
      </c>
      <c r="AD77" s="181">
        <f t="shared" ref="AD77" si="355">SUM(AD78:AD79)</f>
        <v>0</v>
      </c>
      <c r="AE77" s="181">
        <f t="shared" ref="AE77:AF77" si="356">SUM(AE78:AE79)</f>
        <v>0</v>
      </c>
      <c r="AF77" s="181">
        <f t="shared" si="356"/>
        <v>0</v>
      </c>
      <c r="AG77" s="181">
        <f t="shared" ref="AG77:AI77" si="357">SUM(AG78:AG79)</f>
        <v>0</v>
      </c>
      <c r="AH77" s="181">
        <f>SUM(AH78:AH79)</f>
        <v>154353</v>
      </c>
      <c r="AI77" s="181">
        <f t="shared" si="357"/>
        <v>165773</v>
      </c>
    </row>
    <row r="78" spans="1:35" x14ac:dyDescent="0.2">
      <c r="A78" s="38"/>
      <c r="B78" s="486" t="s">
        <v>95</v>
      </c>
      <c r="C78" s="487"/>
      <c r="D78" s="40" t="s">
        <v>172</v>
      </c>
      <c r="E78" s="182">
        <v>13515</v>
      </c>
      <c r="F78" s="182">
        <f t="shared" ref="F78:F79" si="358">E78+G78</f>
        <v>13515</v>
      </c>
      <c r="G78" s="182">
        <f t="shared" ref="G78:G79" si="359">SUBTOTAL(9,H78:S78)</f>
        <v>0</v>
      </c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274"/>
      <c r="U78" s="182">
        <f t="shared" ref="U78:U79" si="360">T78+V78</f>
        <v>0</v>
      </c>
      <c r="V78" s="182">
        <f t="shared" ref="V78:V79" si="361">SUBTOTAL(9,W78:AG78)</f>
        <v>0</v>
      </c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274">
        <f>E78+T78</f>
        <v>13515</v>
      </c>
      <c r="AI78" s="182">
        <f>U78+F78</f>
        <v>13515</v>
      </c>
    </row>
    <row r="79" spans="1:35" x14ac:dyDescent="0.2">
      <c r="A79" s="39"/>
      <c r="B79" s="453" t="s">
        <v>96</v>
      </c>
      <c r="C79" s="454"/>
      <c r="D79" s="40" t="s">
        <v>173</v>
      </c>
      <c r="E79" s="182">
        <v>140838</v>
      </c>
      <c r="F79" s="184">
        <f t="shared" si="358"/>
        <v>152258</v>
      </c>
      <c r="G79" s="184">
        <f t="shared" si="359"/>
        <v>11420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>
        <f>11420</f>
        <v>11420</v>
      </c>
      <c r="S79" s="184"/>
      <c r="T79" s="184"/>
      <c r="U79" s="184">
        <f t="shared" si="360"/>
        <v>0</v>
      </c>
      <c r="V79" s="184">
        <f t="shared" si="361"/>
        <v>0</v>
      </c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>
        <f>E79+T79</f>
        <v>140838</v>
      </c>
      <c r="AI79" s="184">
        <f>U79+F79</f>
        <v>152258</v>
      </c>
    </row>
    <row r="80" spans="1:35" ht="24" x14ac:dyDescent="0.2">
      <c r="A80" s="42"/>
      <c r="B80" s="455" t="s">
        <v>97</v>
      </c>
      <c r="C80" s="458"/>
      <c r="D80" s="43" t="s">
        <v>98</v>
      </c>
      <c r="E80" s="44">
        <f t="shared" ref="E80:AH80" si="362">SUM(E81:E81)</f>
        <v>135117</v>
      </c>
      <c r="F80" s="44">
        <f t="shared" si="362"/>
        <v>135468</v>
      </c>
      <c r="G80" s="44">
        <f t="shared" si="362"/>
        <v>351</v>
      </c>
      <c r="H80" s="44">
        <f t="shared" si="362"/>
        <v>0</v>
      </c>
      <c r="I80" s="44">
        <f t="shared" si="362"/>
        <v>-4839</v>
      </c>
      <c r="J80" s="44">
        <f t="shared" si="362"/>
        <v>0</v>
      </c>
      <c r="K80" s="44">
        <f t="shared" si="362"/>
        <v>0</v>
      </c>
      <c r="L80" s="44">
        <f t="shared" si="362"/>
        <v>0</v>
      </c>
      <c r="M80" s="44">
        <f t="shared" si="362"/>
        <v>0</v>
      </c>
      <c r="N80" s="44">
        <f t="shared" si="362"/>
        <v>0</v>
      </c>
      <c r="O80" s="44">
        <f t="shared" si="362"/>
        <v>0</v>
      </c>
      <c r="P80" s="44">
        <f t="shared" si="362"/>
        <v>5190</v>
      </c>
      <c r="Q80" s="44">
        <f t="shared" si="362"/>
        <v>0</v>
      </c>
      <c r="R80" s="44">
        <f t="shared" si="362"/>
        <v>0</v>
      </c>
      <c r="S80" s="44">
        <f t="shared" si="362"/>
        <v>0</v>
      </c>
      <c r="T80" s="44">
        <f t="shared" si="362"/>
        <v>0</v>
      </c>
      <c r="U80" s="44">
        <f t="shared" ref="U80:AG80" si="363">SUM(U81:U81)</f>
        <v>0</v>
      </c>
      <c r="V80" s="44">
        <f t="shared" si="363"/>
        <v>0</v>
      </c>
      <c r="W80" s="44">
        <f t="shared" si="363"/>
        <v>0</v>
      </c>
      <c r="X80" s="44">
        <f t="shared" si="363"/>
        <v>0</v>
      </c>
      <c r="Y80" s="44">
        <f t="shared" si="363"/>
        <v>0</v>
      </c>
      <c r="Z80" s="44">
        <f t="shared" si="363"/>
        <v>0</v>
      </c>
      <c r="AA80" s="44">
        <f t="shared" si="363"/>
        <v>0</v>
      </c>
      <c r="AB80" s="44">
        <f t="shared" si="363"/>
        <v>0</v>
      </c>
      <c r="AC80" s="44">
        <f t="shared" si="363"/>
        <v>0</v>
      </c>
      <c r="AD80" s="44">
        <f t="shared" si="363"/>
        <v>0</v>
      </c>
      <c r="AE80" s="44">
        <f t="shared" si="363"/>
        <v>0</v>
      </c>
      <c r="AF80" s="44">
        <f t="shared" si="363"/>
        <v>0</v>
      </c>
      <c r="AG80" s="44">
        <f t="shared" si="363"/>
        <v>0</v>
      </c>
      <c r="AH80" s="44">
        <f t="shared" si="362"/>
        <v>135117</v>
      </c>
      <c r="AI80" s="44">
        <f>SUM(AI81:AI81)</f>
        <v>135468</v>
      </c>
    </row>
    <row r="81" spans="1:35" ht="24" x14ac:dyDescent="0.2">
      <c r="A81" s="46"/>
      <c r="B81" s="489" t="s">
        <v>99</v>
      </c>
      <c r="C81" s="490"/>
      <c r="D81" s="56" t="s">
        <v>174</v>
      </c>
      <c r="E81" s="182">
        <v>135117</v>
      </c>
      <c r="F81" s="184">
        <f>E81+G81</f>
        <v>135468</v>
      </c>
      <c r="G81" s="184">
        <f>SUBTOTAL(9,H81:S81)</f>
        <v>351</v>
      </c>
      <c r="H81" s="184"/>
      <c r="I81" s="184">
        <v>-4839</v>
      </c>
      <c r="J81" s="184"/>
      <c r="K81" s="184"/>
      <c r="L81" s="184"/>
      <c r="M81" s="184"/>
      <c r="N81" s="184"/>
      <c r="O81" s="184"/>
      <c r="P81" s="184">
        <f>4225+965</f>
        <v>5190</v>
      </c>
      <c r="Q81" s="184"/>
      <c r="R81" s="184"/>
      <c r="S81" s="184"/>
      <c r="T81" s="184"/>
      <c r="U81" s="184">
        <f>T81+V81</f>
        <v>0</v>
      </c>
      <c r="V81" s="184">
        <f>SUBTOTAL(9,W81:AG81)</f>
        <v>0</v>
      </c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>
        <f>E81+T81</f>
        <v>135117</v>
      </c>
      <c r="AI81" s="184">
        <f>U81+F81</f>
        <v>135468</v>
      </c>
    </row>
    <row r="82" spans="1:35" x14ac:dyDescent="0.2">
      <c r="A82" s="42"/>
      <c r="B82" s="455" t="s">
        <v>100</v>
      </c>
      <c r="C82" s="458"/>
      <c r="D82" s="43" t="s">
        <v>176</v>
      </c>
      <c r="E82" s="44">
        <f t="shared" ref="E82:AH82" si="364">SUM(E83:E84)</f>
        <v>291693</v>
      </c>
      <c r="F82" s="44">
        <f t="shared" ref="F82:S82" si="365">SUM(F83:F84)</f>
        <v>305026</v>
      </c>
      <c r="G82" s="44">
        <f t="shared" si="365"/>
        <v>13333</v>
      </c>
      <c r="H82" s="44">
        <f t="shared" si="365"/>
        <v>0</v>
      </c>
      <c r="I82" s="44">
        <f t="shared" si="365"/>
        <v>-632</v>
      </c>
      <c r="J82" s="44">
        <f t="shared" si="365"/>
        <v>0</v>
      </c>
      <c r="K82" s="44">
        <f t="shared" si="365"/>
        <v>0</v>
      </c>
      <c r="L82" s="44">
        <f t="shared" si="365"/>
        <v>0</v>
      </c>
      <c r="M82" s="44">
        <f t="shared" si="365"/>
        <v>0</v>
      </c>
      <c r="N82" s="44">
        <f t="shared" si="365"/>
        <v>0</v>
      </c>
      <c r="O82" s="44">
        <f t="shared" si="365"/>
        <v>0</v>
      </c>
      <c r="P82" s="44">
        <f t="shared" si="365"/>
        <v>6029</v>
      </c>
      <c r="Q82" s="44">
        <f t="shared" ref="Q82:R82" si="366">SUM(Q83:Q84)</f>
        <v>3729</v>
      </c>
      <c r="R82" s="44">
        <f t="shared" si="366"/>
        <v>4207</v>
      </c>
      <c r="S82" s="44">
        <f t="shared" si="365"/>
        <v>0</v>
      </c>
      <c r="T82" s="44">
        <f t="shared" si="364"/>
        <v>0</v>
      </c>
      <c r="U82" s="44">
        <f t="shared" ref="U82:AG82" si="367">SUM(U83:U84)</f>
        <v>0</v>
      </c>
      <c r="V82" s="44">
        <f t="shared" si="367"/>
        <v>0</v>
      </c>
      <c r="W82" s="44">
        <f t="shared" si="367"/>
        <v>0</v>
      </c>
      <c r="X82" s="44">
        <f t="shared" si="367"/>
        <v>0</v>
      </c>
      <c r="Y82" s="44">
        <f t="shared" si="367"/>
        <v>0</v>
      </c>
      <c r="Z82" s="44">
        <f t="shared" si="367"/>
        <v>0</v>
      </c>
      <c r="AA82" s="44">
        <f t="shared" si="367"/>
        <v>0</v>
      </c>
      <c r="AB82" s="44">
        <f t="shared" si="367"/>
        <v>0</v>
      </c>
      <c r="AC82" s="44">
        <f t="shared" si="367"/>
        <v>0</v>
      </c>
      <c r="AD82" s="44">
        <f t="shared" si="367"/>
        <v>0</v>
      </c>
      <c r="AE82" s="44">
        <f t="shared" si="367"/>
        <v>0</v>
      </c>
      <c r="AF82" s="44">
        <f t="shared" ref="AF82" si="368">SUM(AF83:AF84)</f>
        <v>0</v>
      </c>
      <c r="AG82" s="44">
        <f t="shared" si="367"/>
        <v>0</v>
      </c>
      <c r="AH82" s="44">
        <f t="shared" si="364"/>
        <v>291693</v>
      </c>
      <c r="AI82" s="44">
        <f>SUM(AI83:AI84)</f>
        <v>305026</v>
      </c>
    </row>
    <row r="83" spans="1:35" x14ac:dyDescent="0.2">
      <c r="A83" s="38"/>
      <c r="B83" s="486" t="s">
        <v>101</v>
      </c>
      <c r="C83" s="487"/>
      <c r="D83" s="272" t="s">
        <v>144</v>
      </c>
      <c r="E83" s="182">
        <v>288692</v>
      </c>
      <c r="F83" s="182">
        <f t="shared" ref="F83:F84" si="369">E83+G83</f>
        <v>302025</v>
      </c>
      <c r="G83" s="182">
        <f t="shared" ref="G83:G84" si="370">SUBTOTAL(9,H83:S83)</f>
        <v>13333</v>
      </c>
      <c r="H83" s="182"/>
      <c r="I83" s="182">
        <f>-936+120+184-1+1</f>
        <v>-632</v>
      </c>
      <c r="J83" s="182"/>
      <c r="K83" s="182"/>
      <c r="L83" s="182"/>
      <c r="M83" s="182"/>
      <c r="N83" s="182"/>
      <c r="O83" s="182"/>
      <c r="P83" s="182">
        <f>29+6000</f>
        <v>6029</v>
      </c>
      <c r="Q83" s="182">
        <f>-2040+4388+4168-2787</f>
        <v>3729</v>
      </c>
      <c r="R83" s="182">
        <f>182+420+300+2000+1305</f>
        <v>4207</v>
      </c>
      <c r="S83" s="182"/>
      <c r="T83" s="182"/>
      <c r="U83" s="182">
        <f t="shared" ref="U83:U84" si="371">T83+V83</f>
        <v>0</v>
      </c>
      <c r="V83" s="182">
        <f t="shared" ref="V83:V84" si="372">SUBTOTAL(9,W83:AG83)</f>
        <v>0</v>
      </c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>
        <f>E83+T83</f>
        <v>288692</v>
      </c>
      <c r="AI83" s="182">
        <f>U83+F83</f>
        <v>302025</v>
      </c>
    </row>
    <row r="84" spans="1:35" x14ac:dyDescent="0.2">
      <c r="A84" s="55"/>
      <c r="B84" s="452" t="s">
        <v>102</v>
      </c>
      <c r="C84" s="488"/>
      <c r="D84" s="56" t="s">
        <v>175</v>
      </c>
      <c r="E84" s="182">
        <v>3001</v>
      </c>
      <c r="F84" s="182">
        <f t="shared" si="369"/>
        <v>3001</v>
      </c>
      <c r="G84" s="182">
        <f t="shared" si="370"/>
        <v>0</v>
      </c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>
        <f t="shared" si="371"/>
        <v>0</v>
      </c>
      <c r="V84" s="182">
        <f t="shared" si="372"/>
        <v>0</v>
      </c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>
        <f>E84+T84</f>
        <v>3001</v>
      </c>
      <c r="AI84" s="182">
        <f>U84+F84</f>
        <v>3001</v>
      </c>
    </row>
    <row r="85" spans="1:35" ht="24" x14ac:dyDescent="0.2">
      <c r="A85" s="42"/>
      <c r="B85" s="455" t="s">
        <v>103</v>
      </c>
      <c r="C85" s="458"/>
      <c r="D85" s="43" t="s">
        <v>528</v>
      </c>
      <c r="E85" s="44">
        <f t="shared" ref="E85:AH85" si="373">SUM(E86:E88)</f>
        <v>1062862</v>
      </c>
      <c r="F85" s="44">
        <f t="shared" ref="F85:S85" si="374">SUM(F86:F88)</f>
        <v>1004468</v>
      </c>
      <c r="G85" s="44">
        <f t="shared" si="374"/>
        <v>-58394</v>
      </c>
      <c r="H85" s="44">
        <f t="shared" si="374"/>
        <v>0</v>
      </c>
      <c r="I85" s="44">
        <f t="shared" si="374"/>
        <v>35853</v>
      </c>
      <c r="J85" s="44">
        <f t="shared" si="374"/>
        <v>-101726</v>
      </c>
      <c r="K85" s="44">
        <f t="shared" si="374"/>
        <v>0</v>
      </c>
      <c r="L85" s="44">
        <f t="shared" si="374"/>
        <v>2875</v>
      </c>
      <c r="M85" s="44">
        <f t="shared" si="374"/>
        <v>0</v>
      </c>
      <c r="N85" s="44">
        <f t="shared" si="374"/>
        <v>793</v>
      </c>
      <c r="O85" s="44">
        <f t="shared" si="374"/>
        <v>0</v>
      </c>
      <c r="P85" s="44">
        <f t="shared" si="374"/>
        <v>-5802</v>
      </c>
      <c r="Q85" s="44">
        <f t="shared" ref="Q85:R85" si="375">SUM(Q86:Q88)</f>
        <v>-94</v>
      </c>
      <c r="R85" s="44">
        <f t="shared" si="375"/>
        <v>9707</v>
      </c>
      <c r="S85" s="44">
        <f t="shared" si="374"/>
        <v>0</v>
      </c>
      <c r="T85" s="44">
        <f t="shared" si="373"/>
        <v>0</v>
      </c>
      <c r="U85" s="44">
        <f t="shared" ref="U85:AG85" si="376">SUM(U86:U88)</f>
        <v>-23199</v>
      </c>
      <c r="V85" s="44">
        <f t="shared" si="376"/>
        <v>-23199</v>
      </c>
      <c r="W85" s="44">
        <f t="shared" si="376"/>
        <v>0</v>
      </c>
      <c r="X85" s="44">
        <f t="shared" si="376"/>
        <v>-23199</v>
      </c>
      <c r="Y85" s="44">
        <f t="shared" si="376"/>
        <v>0</v>
      </c>
      <c r="Z85" s="44">
        <f t="shared" si="376"/>
        <v>0</v>
      </c>
      <c r="AA85" s="44">
        <f t="shared" si="376"/>
        <v>0</v>
      </c>
      <c r="AB85" s="44">
        <f t="shared" si="376"/>
        <v>0</v>
      </c>
      <c r="AC85" s="44">
        <f t="shared" si="376"/>
        <v>0</v>
      </c>
      <c r="AD85" s="44">
        <f t="shared" si="376"/>
        <v>0</v>
      </c>
      <c r="AE85" s="44">
        <f t="shared" si="376"/>
        <v>0</v>
      </c>
      <c r="AF85" s="44">
        <f t="shared" ref="AF85" si="377">SUM(AF86:AF88)</f>
        <v>0</v>
      </c>
      <c r="AG85" s="44">
        <f t="shared" si="376"/>
        <v>0</v>
      </c>
      <c r="AH85" s="44">
        <f t="shared" si="373"/>
        <v>1062862</v>
      </c>
      <c r="AI85" s="44">
        <f>SUM(AI86:AI88)</f>
        <v>981269</v>
      </c>
    </row>
    <row r="86" spans="1:35" ht="22.5" customHeight="1" x14ac:dyDescent="0.2">
      <c r="A86" s="38"/>
      <c r="B86" s="486" t="s">
        <v>104</v>
      </c>
      <c r="C86" s="487"/>
      <c r="D86" s="40" t="s">
        <v>177</v>
      </c>
      <c r="E86" s="182">
        <v>502190</v>
      </c>
      <c r="F86" s="182">
        <f t="shared" ref="F86:F88" si="378">E86+G86</f>
        <v>493713</v>
      </c>
      <c r="G86" s="182">
        <f t="shared" ref="G86:G88" si="379">SUBTOTAL(9,H86:S86)</f>
        <v>-8477</v>
      </c>
      <c r="H86" s="182"/>
      <c r="I86" s="182"/>
      <c r="J86" s="182"/>
      <c r="K86" s="182"/>
      <c r="L86" s="182"/>
      <c r="M86" s="182"/>
      <c r="N86" s="182"/>
      <c r="O86" s="182"/>
      <c r="P86" s="182">
        <f>-8477</f>
        <v>-8477</v>
      </c>
      <c r="Q86" s="182"/>
      <c r="R86" s="182"/>
      <c r="S86" s="182"/>
      <c r="T86" s="182"/>
      <c r="U86" s="182">
        <f t="shared" ref="U86:U88" si="380">T86+V86</f>
        <v>0</v>
      </c>
      <c r="V86" s="182">
        <f t="shared" ref="V86:V88" si="381">SUBTOTAL(9,W86:AG86)</f>
        <v>0</v>
      </c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>
        <f>E86+T86</f>
        <v>502190</v>
      </c>
      <c r="AI86" s="182">
        <f>U86+F86</f>
        <v>493713</v>
      </c>
    </row>
    <row r="87" spans="1:35" x14ac:dyDescent="0.2">
      <c r="A87" s="55"/>
      <c r="B87" s="452" t="s">
        <v>105</v>
      </c>
      <c r="C87" s="488"/>
      <c r="D87" s="40" t="s">
        <v>194</v>
      </c>
      <c r="E87" s="182">
        <v>23285</v>
      </c>
      <c r="F87" s="182">
        <f t="shared" si="378"/>
        <v>23816</v>
      </c>
      <c r="G87" s="182">
        <f t="shared" si="379"/>
        <v>531</v>
      </c>
      <c r="H87" s="182"/>
      <c r="I87" s="182"/>
      <c r="J87" s="182"/>
      <c r="K87" s="182"/>
      <c r="L87" s="182"/>
      <c r="M87" s="182"/>
      <c r="N87" s="182"/>
      <c r="O87" s="182"/>
      <c r="P87" s="182"/>
      <c r="Q87" s="182">
        <v>531</v>
      </c>
      <c r="R87" s="182"/>
      <c r="S87" s="182"/>
      <c r="T87" s="182"/>
      <c r="U87" s="182">
        <f t="shared" si="380"/>
        <v>0</v>
      </c>
      <c r="V87" s="182">
        <f t="shared" si="381"/>
        <v>0</v>
      </c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>
        <f>E87+T87</f>
        <v>23285</v>
      </c>
      <c r="AI87" s="182">
        <f>U87+F87</f>
        <v>23816</v>
      </c>
    </row>
    <row r="88" spans="1:35" x14ac:dyDescent="0.2">
      <c r="A88" s="39"/>
      <c r="B88" s="453" t="s">
        <v>106</v>
      </c>
      <c r="C88" s="454"/>
      <c r="D88" s="40" t="s">
        <v>178</v>
      </c>
      <c r="E88" s="182">
        <v>537387</v>
      </c>
      <c r="F88" s="273">
        <f t="shared" si="378"/>
        <v>486939</v>
      </c>
      <c r="G88" s="273">
        <f t="shared" si="379"/>
        <v>-50448</v>
      </c>
      <c r="H88" s="273"/>
      <c r="I88" s="273">
        <f>12654+23199</f>
        <v>35853</v>
      </c>
      <c r="J88" s="273">
        <v>-101726</v>
      </c>
      <c r="K88" s="273"/>
      <c r="L88" s="273">
        <v>2875</v>
      </c>
      <c r="M88" s="273"/>
      <c r="N88" s="273">
        <v>793</v>
      </c>
      <c r="O88" s="273"/>
      <c r="P88" s="273">
        <f>-162+894+1495+448</f>
        <v>2675</v>
      </c>
      <c r="Q88" s="273">
        <f>-7972+2500+3750-3502+4599</f>
        <v>-625</v>
      </c>
      <c r="R88" s="273">
        <f>-4721+4740+9688</f>
        <v>9707</v>
      </c>
      <c r="S88" s="273"/>
      <c r="T88" s="273"/>
      <c r="U88" s="273">
        <f t="shared" si="380"/>
        <v>-23199</v>
      </c>
      <c r="V88" s="273">
        <f t="shared" si="381"/>
        <v>-23199</v>
      </c>
      <c r="W88" s="273"/>
      <c r="X88" s="273">
        <v>-23199</v>
      </c>
      <c r="Y88" s="273"/>
      <c r="Z88" s="273"/>
      <c r="AA88" s="273"/>
      <c r="AB88" s="273"/>
      <c r="AC88" s="273"/>
      <c r="AD88" s="273"/>
      <c r="AE88" s="273"/>
      <c r="AF88" s="273"/>
      <c r="AG88" s="273"/>
      <c r="AH88" s="273">
        <f>E88+T88</f>
        <v>537387</v>
      </c>
      <c r="AI88" s="273">
        <f>U88+F88</f>
        <v>463740</v>
      </c>
    </row>
    <row r="89" spans="1:35" ht="39.75" customHeight="1" x14ac:dyDescent="0.2">
      <c r="A89" s="42"/>
      <c r="B89" s="451" t="s">
        <v>235</v>
      </c>
      <c r="C89" s="478"/>
      <c r="D89" s="284" t="s">
        <v>291</v>
      </c>
      <c r="E89" s="185">
        <f t="shared" ref="E89" si="382">SUM(E90,E92)</f>
        <v>33904</v>
      </c>
      <c r="F89" s="280">
        <f>SUM(F90,F92)</f>
        <v>66770</v>
      </c>
      <c r="G89" s="280">
        <f t="shared" ref="G89:S89" si="383">SUM(G90,G92)</f>
        <v>32866</v>
      </c>
      <c r="H89" s="280">
        <f t="shared" si="383"/>
        <v>0</v>
      </c>
      <c r="I89" s="280">
        <f t="shared" si="383"/>
        <v>19266</v>
      </c>
      <c r="J89" s="280">
        <f t="shared" si="383"/>
        <v>1818</v>
      </c>
      <c r="K89" s="280">
        <f t="shared" si="383"/>
        <v>111</v>
      </c>
      <c r="L89" s="280">
        <f t="shared" si="383"/>
        <v>0</v>
      </c>
      <c r="M89" s="280">
        <f t="shared" si="383"/>
        <v>100</v>
      </c>
      <c r="N89" s="280">
        <f t="shared" si="383"/>
        <v>721</v>
      </c>
      <c r="O89" s="280">
        <f t="shared" si="383"/>
        <v>0</v>
      </c>
      <c r="P89" s="280">
        <f t="shared" si="383"/>
        <v>564</v>
      </c>
      <c r="Q89" s="280">
        <f t="shared" ref="Q89:R89" si="384">SUM(Q90,Q92)</f>
        <v>-25</v>
      </c>
      <c r="R89" s="280">
        <f t="shared" si="384"/>
        <v>10311</v>
      </c>
      <c r="S89" s="280">
        <f t="shared" si="383"/>
        <v>0</v>
      </c>
      <c r="T89" s="280">
        <f>SUM(T90,T92)</f>
        <v>-5452</v>
      </c>
      <c r="U89" s="280">
        <f>SUM(U90,U92)</f>
        <v>-7064</v>
      </c>
      <c r="V89" s="280">
        <f t="shared" ref="V89" si="385">SUM(V90,V92)</f>
        <v>-1612</v>
      </c>
      <c r="W89" s="280">
        <f t="shared" ref="W89" si="386">SUM(W90,W92)</f>
        <v>0</v>
      </c>
      <c r="X89" s="280">
        <f t="shared" ref="X89" si="387">SUM(X90,X92)</f>
        <v>-126</v>
      </c>
      <c r="Y89" s="280">
        <f t="shared" ref="Y89" si="388">SUM(Y90,Y92)</f>
        <v>-1038</v>
      </c>
      <c r="Z89" s="280">
        <f t="shared" ref="Z89" si="389">SUM(Z90,Z92)</f>
        <v>-111</v>
      </c>
      <c r="AA89" s="280">
        <f t="shared" ref="AA89" si="390">SUM(AA90,AA92)</f>
        <v>0</v>
      </c>
      <c r="AB89" s="280">
        <f t="shared" ref="AB89" si="391">SUM(AB90,AB92)</f>
        <v>0</v>
      </c>
      <c r="AC89" s="280">
        <f t="shared" ref="AC89" si="392">SUM(AC90,AC92)</f>
        <v>0</v>
      </c>
      <c r="AD89" s="280">
        <f t="shared" ref="AD89" si="393">SUM(AD90,AD92)</f>
        <v>-336</v>
      </c>
      <c r="AE89" s="280">
        <f t="shared" ref="AE89:AF89" si="394">SUM(AE90,AE92)</f>
        <v>0</v>
      </c>
      <c r="AF89" s="280">
        <f t="shared" si="394"/>
        <v>-1</v>
      </c>
      <c r="AG89" s="280">
        <f t="shared" ref="AG89:AI89" si="395">SUM(AG90,AG92)</f>
        <v>0</v>
      </c>
      <c r="AH89" s="280">
        <f>SUM(AH90,AH92)</f>
        <v>28452</v>
      </c>
      <c r="AI89" s="280">
        <f t="shared" si="395"/>
        <v>59706</v>
      </c>
    </row>
    <row r="90" spans="1:35" s="113" customFormat="1" ht="24" x14ac:dyDescent="0.2">
      <c r="A90" s="34"/>
      <c r="B90" s="455" t="s">
        <v>107</v>
      </c>
      <c r="C90" s="458"/>
      <c r="D90" s="43" t="s">
        <v>529</v>
      </c>
      <c r="E90" s="187">
        <f t="shared" ref="E90:T90" si="396">SUM(E91:E91)</f>
        <v>800</v>
      </c>
      <c r="F90" s="187">
        <f t="shared" si="396"/>
        <v>20741</v>
      </c>
      <c r="G90" s="187">
        <f t="shared" si="396"/>
        <v>19941</v>
      </c>
      <c r="H90" s="187">
        <f t="shared" si="396"/>
        <v>0</v>
      </c>
      <c r="I90" s="187">
        <f t="shared" si="396"/>
        <v>19033</v>
      </c>
      <c r="J90" s="187">
        <f t="shared" si="396"/>
        <v>0</v>
      </c>
      <c r="K90" s="187">
        <f t="shared" si="396"/>
        <v>0</v>
      </c>
      <c r="L90" s="187">
        <f t="shared" si="396"/>
        <v>0</v>
      </c>
      <c r="M90" s="187">
        <f t="shared" si="396"/>
        <v>0</v>
      </c>
      <c r="N90" s="187">
        <f t="shared" si="396"/>
        <v>0</v>
      </c>
      <c r="O90" s="187">
        <f t="shared" si="396"/>
        <v>0</v>
      </c>
      <c r="P90" s="187">
        <f t="shared" si="396"/>
        <v>0</v>
      </c>
      <c r="Q90" s="187">
        <f t="shared" si="396"/>
        <v>0</v>
      </c>
      <c r="R90" s="187">
        <f t="shared" si="396"/>
        <v>908</v>
      </c>
      <c r="S90" s="187">
        <f t="shared" si="396"/>
        <v>0</v>
      </c>
      <c r="T90" s="187">
        <f t="shared" si="396"/>
        <v>0</v>
      </c>
      <c r="U90" s="187">
        <f t="shared" ref="U90:AI90" si="397">SUM(U91:U91)</f>
        <v>0</v>
      </c>
      <c r="V90" s="187">
        <f t="shared" si="397"/>
        <v>0</v>
      </c>
      <c r="W90" s="187">
        <f t="shared" si="397"/>
        <v>0</v>
      </c>
      <c r="X90" s="187">
        <f t="shared" si="397"/>
        <v>0</v>
      </c>
      <c r="Y90" s="187">
        <f t="shared" si="397"/>
        <v>0</v>
      </c>
      <c r="Z90" s="187">
        <f t="shared" si="397"/>
        <v>0</v>
      </c>
      <c r="AA90" s="187">
        <f t="shared" si="397"/>
        <v>0</v>
      </c>
      <c r="AB90" s="187">
        <f t="shared" si="397"/>
        <v>0</v>
      </c>
      <c r="AC90" s="187">
        <f t="shared" si="397"/>
        <v>0</v>
      </c>
      <c r="AD90" s="187">
        <f t="shared" si="397"/>
        <v>0</v>
      </c>
      <c r="AE90" s="187">
        <f t="shared" si="397"/>
        <v>0</v>
      </c>
      <c r="AF90" s="187">
        <f t="shared" si="397"/>
        <v>0</v>
      </c>
      <c r="AG90" s="187">
        <f t="shared" si="397"/>
        <v>0</v>
      </c>
      <c r="AH90" s="187">
        <f t="shared" si="397"/>
        <v>800</v>
      </c>
      <c r="AI90" s="187">
        <f t="shared" si="397"/>
        <v>20741</v>
      </c>
    </row>
    <row r="91" spans="1:35" ht="24" x14ac:dyDescent="0.2">
      <c r="A91" s="39"/>
      <c r="B91" s="461" t="s">
        <v>202</v>
      </c>
      <c r="C91" s="509"/>
      <c r="D91" s="40" t="s">
        <v>530</v>
      </c>
      <c r="E91" s="183">
        <v>800</v>
      </c>
      <c r="F91" s="184">
        <f t="shared" ref="F91:F92" si="398">E91+G91</f>
        <v>20741</v>
      </c>
      <c r="G91" s="184">
        <f t="shared" ref="G91:G92" si="399">SUBTOTAL(9,H91:S91)</f>
        <v>19941</v>
      </c>
      <c r="H91" s="184"/>
      <c r="I91" s="184">
        <v>19033</v>
      </c>
      <c r="J91" s="184"/>
      <c r="K91" s="184"/>
      <c r="L91" s="184"/>
      <c r="M91" s="184"/>
      <c r="N91" s="184"/>
      <c r="O91" s="184"/>
      <c r="P91" s="184"/>
      <c r="Q91" s="184"/>
      <c r="R91" s="184">
        <v>908</v>
      </c>
      <c r="S91" s="184"/>
      <c r="T91" s="184"/>
      <c r="U91" s="184">
        <f>T91+V91</f>
        <v>0</v>
      </c>
      <c r="V91" s="44">
        <f>SUBTOTAL(9,W91:AG91)</f>
        <v>0</v>
      </c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>
        <f>E91+T91</f>
        <v>800</v>
      </c>
      <c r="AI91" s="184">
        <f>U91+F91</f>
        <v>20741</v>
      </c>
    </row>
    <row r="92" spans="1:35" s="113" customFormat="1" x14ac:dyDescent="0.2">
      <c r="A92" s="59"/>
      <c r="B92" s="466" t="s">
        <v>233</v>
      </c>
      <c r="C92" s="467"/>
      <c r="D92" s="43" t="s">
        <v>234</v>
      </c>
      <c r="E92" s="187">
        <v>33104</v>
      </c>
      <c r="F92" s="187">
        <f t="shared" si="398"/>
        <v>46029</v>
      </c>
      <c r="G92" s="187">
        <f t="shared" si="399"/>
        <v>12925</v>
      </c>
      <c r="H92" s="187"/>
      <c r="I92" s="187">
        <f>13+13+94+113</f>
        <v>233</v>
      </c>
      <c r="J92" s="187">
        <v>1818</v>
      </c>
      <c r="K92" s="187">
        <v>111</v>
      </c>
      <c r="L92" s="187"/>
      <c r="M92" s="187">
        <v>100</v>
      </c>
      <c r="N92" s="187">
        <f>507+214</f>
        <v>721</v>
      </c>
      <c r="O92" s="187"/>
      <c r="P92" s="187">
        <f>272+50+50+54+14+64+60</f>
        <v>564</v>
      </c>
      <c r="Q92" s="187">
        <v>-25</v>
      </c>
      <c r="R92" s="187">
        <f>1+28+5000+1550+2000+100+74+650</f>
        <v>9403</v>
      </c>
      <c r="S92" s="187"/>
      <c r="T92" s="187">
        <v>-5452</v>
      </c>
      <c r="U92" s="44">
        <f>T92+V92</f>
        <v>-7064</v>
      </c>
      <c r="V92" s="44">
        <f>SUBTOTAL(9,W92:AG92)</f>
        <v>-1612</v>
      </c>
      <c r="W92" s="187"/>
      <c r="X92" s="187">
        <f>-13-113</f>
        <v>-126</v>
      </c>
      <c r="Y92" s="187">
        <v>-1038</v>
      </c>
      <c r="Z92" s="187">
        <v>-111</v>
      </c>
      <c r="AA92" s="187"/>
      <c r="AB92" s="187"/>
      <c r="AC92" s="187"/>
      <c r="AD92" s="187">
        <f>-272-50-14</f>
        <v>-336</v>
      </c>
      <c r="AE92" s="187"/>
      <c r="AF92" s="187">
        <v>-1</v>
      </c>
      <c r="AG92" s="187"/>
      <c r="AH92" s="187">
        <f>E92+T92</f>
        <v>27652</v>
      </c>
      <c r="AI92" s="187">
        <f>U92+F92</f>
        <v>38965</v>
      </c>
    </row>
    <row r="93" spans="1:35" s="113" customFormat="1" ht="15" customHeight="1" x14ac:dyDescent="0.2">
      <c r="A93" s="177"/>
      <c r="B93" s="178"/>
      <c r="C93" s="179"/>
      <c r="D93" s="5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</row>
    <row r="94" spans="1:35" s="118" customFormat="1" ht="26.25" customHeight="1" x14ac:dyDescent="0.2">
      <c r="A94" s="504" t="s">
        <v>122</v>
      </c>
      <c r="B94" s="505"/>
      <c r="C94" s="505"/>
      <c r="D94" s="506"/>
      <c r="E94" s="190">
        <f t="shared" ref="E94:AI94" si="400">SUM(E10,E15,E26,E32,E35,E44,E55,E47,E62,E64,E69,E72,)</f>
        <v>89562788</v>
      </c>
      <c r="F94" s="190">
        <f t="shared" si="400"/>
        <v>93677066</v>
      </c>
      <c r="G94" s="190">
        <f t="shared" si="400"/>
        <v>4114278</v>
      </c>
      <c r="H94" s="190">
        <f t="shared" si="400"/>
        <v>111985</v>
      </c>
      <c r="I94" s="190">
        <f t="shared" si="400"/>
        <v>2279121</v>
      </c>
      <c r="J94" s="190">
        <f t="shared" si="400"/>
        <v>443550</v>
      </c>
      <c r="K94" s="190">
        <f t="shared" si="400"/>
        <v>493998</v>
      </c>
      <c r="L94" s="190">
        <f t="shared" si="400"/>
        <v>2875</v>
      </c>
      <c r="M94" s="190">
        <f t="shared" si="400"/>
        <v>-87075</v>
      </c>
      <c r="N94" s="190">
        <f t="shared" si="400"/>
        <v>-612926</v>
      </c>
      <c r="O94" s="190">
        <f t="shared" si="400"/>
        <v>1676964</v>
      </c>
      <c r="P94" s="190">
        <f t="shared" si="400"/>
        <v>-370886</v>
      </c>
      <c r="Q94" s="190">
        <f t="shared" ref="Q94:R94" si="401">SUM(Q10,Q15,Q26,Q32,Q35,Q44,Q55,Q47,Q62,Q64,Q69,Q72,)</f>
        <v>39496</v>
      </c>
      <c r="R94" s="190">
        <f t="shared" si="401"/>
        <v>137176</v>
      </c>
      <c r="S94" s="190">
        <f t="shared" si="400"/>
        <v>0</v>
      </c>
      <c r="T94" s="190">
        <f t="shared" si="400"/>
        <v>-1047228</v>
      </c>
      <c r="U94" s="190">
        <f t="shared" si="400"/>
        <v>-1261387</v>
      </c>
      <c r="V94" s="190">
        <f t="shared" si="400"/>
        <v>-214159</v>
      </c>
      <c r="W94" s="190">
        <f t="shared" si="400"/>
        <v>-11045</v>
      </c>
      <c r="X94" s="190">
        <f t="shared" si="400"/>
        <v>-206523</v>
      </c>
      <c r="Y94" s="190">
        <f t="shared" si="400"/>
        <v>-18678</v>
      </c>
      <c r="Z94" s="190">
        <f t="shared" si="400"/>
        <v>45158</v>
      </c>
      <c r="AA94" s="190">
        <f t="shared" si="400"/>
        <v>-7681</v>
      </c>
      <c r="AB94" s="190">
        <f t="shared" si="400"/>
        <v>20825</v>
      </c>
      <c r="AC94" s="190">
        <f t="shared" si="400"/>
        <v>-1738</v>
      </c>
      <c r="AD94" s="190">
        <f t="shared" si="400"/>
        <v>-336</v>
      </c>
      <c r="AE94" s="190">
        <f t="shared" si="400"/>
        <v>-32196</v>
      </c>
      <c r="AF94" s="190">
        <f t="shared" ref="AF94" si="402">SUM(AF10,AF15,AF26,AF32,AF35,AF44,AF55,AF47,AF62,AF64,AF69,AF72,)</f>
        <v>-1945</v>
      </c>
      <c r="AG94" s="190">
        <f t="shared" si="400"/>
        <v>0</v>
      </c>
      <c r="AH94" s="190">
        <f t="shared" si="400"/>
        <v>88751984</v>
      </c>
      <c r="AI94" s="190">
        <f t="shared" si="400"/>
        <v>92415679</v>
      </c>
    </row>
    <row r="95" spans="1:35" ht="18" customHeight="1" x14ac:dyDescent="0.2">
      <c r="A95" s="42"/>
      <c r="B95" s="61"/>
      <c r="C95" s="62"/>
      <c r="D95" s="40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35" x14ac:dyDescent="0.2">
      <c r="A96" s="59"/>
      <c r="B96" s="510" t="s">
        <v>576</v>
      </c>
      <c r="C96" s="511"/>
      <c r="D96" s="35" t="s">
        <v>179</v>
      </c>
      <c r="E96" s="185">
        <f>SUM(E97:E125)</f>
        <v>10618037</v>
      </c>
      <c r="F96" s="185">
        <f t="shared" ref="F96:AI96" si="403">SUM(F97:F125)</f>
        <v>13029650</v>
      </c>
      <c r="G96" s="185">
        <f t="shared" si="403"/>
        <v>2411613</v>
      </c>
      <c r="H96" s="185">
        <f t="shared" si="403"/>
        <v>10847</v>
      </c>
      <c r="I96" s="185">
        <f>SUM(I97:I125)</f>
        <v>2400766</v>
      </c>
      <c r="J96" s="185">
        <f t="shared" si="403"/>
        <v>0</v>
      </c>
      <c r="K96" s="185">
        <f t="shared" si="403"/>
        <v>0</v>
      </c>
      <c r="L96" s="185">
        <f t="shared" si="403"/>
        <v>0</v>
      </c>
      <c r="M96" s="185">
        <f t="shared" si="403"/>
        <v>0</v>
      </c>
      <c r="N96" s="185">
        <f t="shared" si="403"/>
        <v>0</v>
      </c>
      <c r="O96" s="185">
        <f t="shared" si="403"/>
        <v>0</v>
      </c>
      <c r="P96" s="185">
        <f t="shared" si="403"/>
        <v>0</v>
      </c>
      <c r="Q96" s="185">
        <f t="shared" ref="Q96:R96" si="404">SUM(Q97:Q125)</f>
        <v>0</v>
      </c>
      <c r="R96" s="185">
        <f t="shared" si="404"/>
        <v>0</v>
      </c>
      <c r="S96" s="185">
        <f t="shared" si="403"/>
        <v>0</v>
      </c>
      <c r="T96" s="185">
        <f t="shared" si="403"/>
        <v>0</v>
      </c>
      <c r="U96" s="185">
        <f t="shared" si="403"/>
        <v>0</v>
      </c>
      <c r="V96" s="185">
        <f t="shared" si="403"/>
        <v>0</v>
      </c>
      <c r="W96" s="185">
        <f t="shared" si="403"/>
        <v>0</v>
      </c>
      <c r="X96" s="185">
        <f t="shared" si="403"/>
        <v>0</v>
      </c>
      <c r="Y96" s="185">
        <f t="shared" si="403"/>
        <v>0</v>
      </c>
      <c r="Z96" s="185">
        <f t="shared" si="403"/>
        <v>0</v>
      </c>
      <c r="AA96" s="185">
        <f t="shared" si="403"/>
        <v>0</v>
      </c>
      <c r="AB96" s="185">
        <f t="shared" si="403"/>
        <v>0</v>
      </c>
      <c r="AC96" s="185">
        <f t="shared" si="403"/>
        <v>0</v>
      </c>
      <c r="AD96" s="185">
        <f t="shared" si="403"/>
        <v>0</v>
      </c>
      <c r="AE96" s="185">
        <f t="shared" si="403"/>
        <v>0</v>
      </c>
      <c r="AF96" s="185">
        <f t="shared" ref="AF96" si="405">SUM(AF97:AF125)</f>
        <v>0</v>
      </c>
      <c r="AG96" s="185">
        <f t="shared" si="403"/>
        <v>0</v>
      </c>
      <c r="AH96" s="185">
        <f t="shared" si="403"/>
        <v>10618037</v>
      </c>
      <c r="AI96" s="185">
        <f t="shared" si="403"/>
        <v>13029650</v>
      </c>
    </row>
    <row r="97" spans="1:35" outlineLevel="1" x14ac:dyDescent="0.2">
      <c r="A97" s="49"/>
      <c r="B97" s="63"/>
      <c r="C97" s="64"/>
      <c r="D97" s="253" t="s">
        <v>180</v>
      </c>
      <c r="E97" s="44">
        <f>11230654-1596300</f>
        <v>9634354</v>
      </c>
      <c r="F97" s="44">
        <f t="shared" ref="F97:F121" si="406">E97+G97</f>
        <v>11324126</v>
      </c>
      <c r="G97" s="44">
        <f t="shared" ref="G97:G121" si="407">SUBTOTAL(9,H97:S97)</f>
        <v>1689772</v>
      </c>
      <c r="H97" s="44">
        <f>-1-53</f>
        <v>-54</v>
      </c>
      <c r="I97" s="44">
        <f>1689958-132</f>
        <v>1689826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>
        <f t="shared" ref="U97:U121" si="408">T97+V97</f>
        <v>0</v>
      </c>
      <c r="V97" s="44">
        <f t="shared" ref="V97:V121" si="409">SUBTOTAL(9,W97:AG97)</f>
        <v>0</v>
      </c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>
        <f t="shared" ref="AH97:AH124" si="410">E97+T97</f>
        <v>9634354</v>
      </c>
      <c r="AI97" s="44">
        <f t="shared" ref="AI97:AI124" si="411">U97+F97</f>
        <v>11324126</v>
      </c>
    </row>
    <row r="98" spans="1:35" outlineLevel="1" x14ac:dyDescent="0.2">
      <c r="A98" s="49"/>
      <c r="B98" s="63"/>
      <c r="C98" s="64"/>
      <c r="D98" s="43" t="s">
        <v>580</v>
      </c>
      <c r="E98" s="44">
        <v>22972</v>
      </c>
      <c r="F98" s="44">
        <f t="shared" si="406"/>
        <v>90087</v>
      </c>
      <c r="G98" s="44">
        <f t="shared" si="407"/>
        <v>67115</v>
      </c>
      <c r="H98" s="44"/>
      <c r="I98" s="44">
        <f>250+4839+2498+2+48981+10545</f>
        <v>67115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>
        <f t="shared" si="408"/>
        <v>0</v>
      </c>
      <c r="V98" s="44">
        <f t="shared" si="409"/>
        <v>0</v>
      </c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>
        <f t="shared" si="410"/>
        <v>22972</v>
      </c>
      <c r="AI98" s="44">
        <f t="shared" si="411"/>
        <v>90087</v>
      </c>
    </row>
    <row r="99" spans="1:35" outlineLevel="1" x14ac:dyDescent="0.2">
      <c r="A99" s="49"/>
      <c r="B99" s="63"/>
      <c r="C99" s="64"/>
      <c r="D99" s="253" t="s">
        <v>612</v>
      </c>
      <c r="E99" s="44">
        <v>51900</v>
      </c>
      <c r="F99" s="44">
        <f t="shared" si="406"/>
        <v>137059</v>
      </c>
      <c r="G99" s="44">
        <f t="shared" si="407"/>
        <v>85159</v>
      </c>
      <c r="H99" s="44"/>
      <c r="I99" s="44">
        <f>1604-822+5337+11002+2063+3608+8429-3957+361+450+6078+822+100+5401+5456+737+166+832+2778+81+76+12+40+160+565+526+408+1551+1135+2020+25242+1+1004-1+1894</f>
        <v>85159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>
        <f t="shared" si="408"/>
        <v>0</v>
      </c>
      <c r="V99" s="44">
        <f t="shared" si="409"/>
        <v>0</v>
      </c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>
        <f t="shared" si="410"/>
        <v>51900</v>
      </c>
      <c r="AI99" s="44">
        <f t="shared" si="411"/>
        <v>137059</v>
      </c>
    </row>
    <row r="100" spans="1:35" outlineLevel="1" x14ac:dyDescent="0.2">
      <c r="A100" s="49"/>
      <c r="B100" s="63"/>
      <c r="C100" s="64"/>
      <c r="D100" s="40" t="s">
        <v>613</v>
      </c>
      <c r="E100" s="44">
        <v>318154</v>
      </c>
      <c r="F100" s="44">
        <f t="shared" si="406"/>
        <v>535664</v>
      </c>
      <c r="G100" s="44">
        <f t="shared" si="407"/>
        <v>217510</v>
      </c>
      <c r="H100" s="44">
        <f>-27</f>
        <v>-27</v>
      </c>
      <c r="I100" s="44">
        <f>-12169+101-70701-5500-31906+296295+40495+1165-243</f>
        <v>217537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>
        <f t="shared" si="408"/>
        <v>0</v>
      </c>
      <c r="V100" s="44">
        <f t="shared" si="409"/>
        <v>0</v>
      </c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>
        <f t="shared" si="410"/>
        <v>318154</v>
      </c>
      <c r="AI100" s="44">
        <f t="shared" si="411"/>
        <v>535664</v>
      </c>
    </row>
    <row r="101" spans="1:35" outlineLevel="1" x14ac:dyDescent="0.2">
      <c r="A101" s="49"/>
      <c r="B101" s="63"/>
      <c r="C101" s="64"/>
      <c r="D101" s="253" t="s">
        <v>614</v>
      </c>
      <c r="E101" s="44">
        <v>56982</v>
      </c>
      <c r="F101" s="44">
        <f t="shared" si="406"/>
        <v>110793</v>
      </c>
      <c r="G101" s="44">
        <f t="shared" si="407"/>
        <v>53811</v>
      </c>
      <c r="H101" s="44">
        <v>10874</v>
      </c>
      <c r="I101" s="44">
        <f>2352+5760-1+1+3+750+44+312+2+26197+3683+203+1462+2169</f>
        <v>42937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>
        <f t="shared" si="408"/>
        <v>0</v>
      </c>
      <c r="V101" s="44">
        <f t="shared" si="409"/>
        <v>0</v>
      </c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>
        <f t="shared" si="410"/>
        <v>56982</v>
      </c>
      <c r="AI101" s="44">
        <f t="shared" si="411"/>
        <v>110793</v>
      </c>
    </row>
    <row r="102" spans="1:35" outlineLevel="1" x14ac:dyDescent="0.2">
      <c r="A102" s="49"/>
      <c r="B102" s="63"/>
      <c r="C102" s="64"/>
      <c r="D102" s="253" t="s">
        <v>81</v>
      </c>
      <c r="E102" s="44">
        <v>5559</v>
      </c>
      <c r="F102" s="44">
        <f t="shared" si="406"/>
        <v>5559</v>
      </c>
      <c r="G102" s="44">
        <f t="shared" si="407"/>
        <v>0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>
        <f t="shared" si="408"/>
        <v>0</v>
      </c>
      <c r="V102" s="44">
        <f t="shared" si="409"/>
        <v>0</v>
      </c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>
        <f t="shared" si="410"/>
        <v>5559</v>
      </c>
      <c r="AI102" s="44">
        <f t="shared" si="411"/>
        <v>5559</v>
      </c>
    </row>
    <row r="103" spans="1:35" outlineLevel="1" x14ac:dyDescent="0.2">
      <c r="A103" s="49"/>
      <c r="B103" s="63"/>
      <c r="C103" s="64"/>
      <c r="D103" s="253" t="s">
        <v>127</v>
      </c>
      <c r="E103" s="44">
        <v>41531</v>
      </c>
      <c r="F103" s="44">
        <f t="shared" si="406"/>
        <v>125966</v>
      </c>
      <c r="G103" s="44">
        <f t="shared" si="407"/>
        <v>84435</v>
      </c>
      <c r="H103" s="44"/>
      <c r="I103" s="44">
        <f>84722-287</f>
        <v>84435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>
        <f t="shared" si="408"/>
        <v>0</v>
      </c>
      <c r="V103" s="44">
        <f t="shared" si="409"/>
        <v>0</v>
      </c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>
        <f t="shared" si="410"/>
        <v>41531</v>
      </c>
      <c r="AI103" s="44">
        <f t="shared" si="411"/>
        <v>125966</v>
      </c>
    </row>
    <row r="104" spans="1:35" outlineLevel="1" x14ac:dyDescent="0.2">
      <c r="A104" s="49"/>
      <c r="B104" s="63"/>
      <c r="C104" s="64"/>
      <c r="D104" s="253" t="s">
        <v>570</v>
      </c>
      <c r="E104" s="44">
        <v>20343</v>
      </c>
      <c r="F104" s="44">
        <f t="shared" si="406"/>
        <v>52436</v>
      </c>
      <c r="G104" s="44">
        <f t="shared" si="407"/>
        <v>32093</v>
      </c>
      <c r="H104" s="44"/>
      <c r="I104" s="44">
        <f>31806+287</f>
        <v>32093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>
        <f t="shared" si="408"/>
        <v>0</v>
      </c>
      <c r="V104" s="44">
        <f t="shared" si="409"/>
        <v>0</v>
      </c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>
        <f t="shared" si="410"/>
        <v>20343</v>
      </c>
      <c r="AI104" s="44">
        <f t="shared" si="411"/>
        <v>52436</v>
      </c>
    </row>
    <row r="105" spans="1:35" ht="36" outlineLevel="1" x14ac:dyDescent="0.2">
      <c r="A105" s="49"/>
      <c r="B105" s="63"/>
      <c r="C105" s="64"/>
      <c r="D105" s="253" t="s">
        <v>615</v>
      </c>
      <c r="E105" s="44"/>
      <c r="F105" s="44">
        <f t="shared" si="406"/>
        <v>2973</v>
      </c>
      <c r="G105" s="44">
        <f t="shared" si="407"/>
        <v>2973</v>
      </c>
      <c r="H105" s="44"/>
      <c r="I105" s="44">
        <f>612+2361</f>
        <v>2973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>
        <f t="shared" si="408"/>
        <v>0</v>
      </c>
      <c r="V105" s="44">
        <f t="shared" si="409"/>
        <v>0</v>
      </c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>
        <f t="shared" si="410"/>
        <v>0</v>
      </c>
      <c r="AI105" s="44">
        <f t="shared" si="411"/>
        <v>2973</v>
      </c>
    </row>
    <row r="106" spans="1:35" ht="36" outlineLevel="1" x14ac:dyDescent="0.2">
      <c r="A106" s="49"/>
      <c r="B106" s="63"/>
      <c r="C106" s="64"/>
      <c r="D106" s="253" t="s">
        <v>616</v>
      </c>
      <c r="E106" s="44"/>
      <c r="F106" s="44">
        <f t="shared" si="406"/>
        <v>0</v>
      </c>
      <c r="G106" s="44">
        <f t="shared" si="407"/>
        <v>0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>
        <f t="shared" si="408"/>
        <v>0</v>
      </c>
      <c r="V106" s="44">
        <f t="shared" si="409"/>
        <v>0</v>
      </c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>
        <f t="shared" si="410"/>
        <v>0</v>
      </c>
      <c r="AI106" s="44">
        <f t="shared" si="411"/>
        <v>0</v>
      </c>
    </row>
    <row r="107" spans="1:35" ht="24" outlineLevel="1" x14ac:dyDescent="0.2">
      <c r="A107" s="49"/>
      <c r="B107" s="63"/>
      <c r="C107" s="64"/>
      <c r="D107" s="253" t="s">
        <v>571</v>
      </c>
      <c r="E107" s="44">
        <v>662</v>
      </c>
      <c r="F107" s="44">
        <f t="shared" si="406"/>
        <v>17241</v>
      </c>
      <c r="G107" s="44">
        <f t="shared" si="407"/>
        <v>16579</v>
      </c>
      <c r="H107" s="44"/>
      <c r="I107" s="44">
        <v>16579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>
        <f t="shared" si="408"/>
        <v>0</v>
      </c>
      <c r="V107" s="44">
        <f t="shared" si="409"/>
        <v>0</v>
      </c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>
        <f t="shared" si="410"/>
        <v>662</v>
      </c>
      <c r="AI107" s="44">
        <f t="shared" si="411"/>
        <v>17241</v>
      </c>
    </row>
    <row r="108" spans="1:35" outlineLevel="1" x14ac:dyDescent="0.2">
      <c r="A108" s="49"/>
      <c r="B108" s="63"/>
      <c r="C108" s="64"/>
      <c r="D108" s="253" t="s">
        <v>535</v>
      </c>
      <c r="E108" s="44"/>
      <c r="F108" s="44">
        <f t="shared" si="406"/>
        <v>565</v>
      </c>
      <c r="G108" s="44">
        <f t="shared" si="407"/>
        <v>565</v>
      </c>
      <c r="H108" s="44"/>
      <c r="I108" s="44">
        <f>3+562</f>
        <v>565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>
        <f t="shared" si="408"/>
        <v>0</v>
      </c>
      <c r="V108" s="44">
        <f t="shared" si="409"/>
        <v>0</v>
      </c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>
        <f t="shared" si="410"/>
        <v>0</v>
      </c>
      <c r="AI108" s="44">
        <f t="shared" si="411"/>
        <v>565</v>
      </c>
    </row>
    <row r="109" spans="1:35" outlineLevel="1" x14ac:dyDescent="0.2">
      <c r="A109" s="49"/>
      <c r="B109" s="63"/>
      <c r="C109" s="64"/>
      <c r="D109" s="253" t="s">
        <v>700</v>
      </c>
      <c r="E109" s="44">
        <v>0</v>
      </c>
      <c r="F109" s="44">
        <f t="shared" si="406"/>
        <v>1321</v>
      </c>
      <c r="G109" s="44">
        <f t="shared" si="407"/>
        <v>1321</v>
      </c>
      <c r="H109" s="44">
        <v>53</v>
      </c>
      <c r="I109" s="44">
        <v>1268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>
        <f t="shared" si="408"/>
        <v>0</v>
      </c>
      <c r="V109" s="44">
        <f t="shared" si="409"/>
        <v>0</v>
      </c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>
        <f t="shared" si="410"/>
        <v>0</v>
      </c>
      <c r="AI109" s="44">
        <f t="shared" si="411"/>
        <v>1321</v>
      </c>
    </row>
    <row r="110" spans="1:35" outlineLevel="1" x14ac:dyDescent="0.2">
      <c r="A110" s="49"/>
      <c r="B110" s="63"/>
      <c r="C110" s="64"/>
      <c r="D110" s="253" t="s">
        <v>760</v>
      </c>
      <c r="E110" s="44"/>
      <c r="F110" s="44">
        <f t="shared" ref="F110" si="412">E110+G110</f>
        <v>44</v>
      </c>
      <c r="G110" s="44">
        <f t="shared" ref="G110" si="413">SUBTOTAL(9,H110:S110)</f>
        <v>44</v>
      </c>
      <c r="H110" s="44"/>
      <c r="I110" s="44">
        <v>44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>
        <f t="shared" ref="U110" si="414">T110+V110</f>
        <v>0</v>
      </c>
      <c r="V110" s="44">
        <f t="shared" ref="V110" si="415">SUBTOTAL(9,W110:AG110)</f>
        <v>0</v>
      </c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>
        <f t="shared" si="410"/>
        <v>0</v>
      </c>
      <c r="AI110" s="44">
        <f t="shared" si="411"/>
        <v>44</v>
      </c>
    </row>
    <row r="111" spans="1:35" outlineLevel="1" x14ac:dyDescent="0.2">
      <c r="A111" s="49"/>
      <c r="B111" s="63"/>
      <c r="C111" s="64"/>
      <c r="D111" s="253" t="s">
        <v>147</v>
      </c>
      <c r="E111" s="44">
        <v>0</v>
      </c>
      <c r="F111" s="44">
        <f t="shared" si="406"/>
        <v>62722</v>
      </c>
      <c r="G111" s="44">
        <f t="shared" si="407"/>
        <v>62722</v>
      </c>
      <c r="H111" s="44"/>
      <c r="I111" s="44">
        <f>13483+49239</f>
        <v>62722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>
        <f t="shared" si="408"/>
        <v>0</v>
      </c>
      <c r="V111" s="44">
        <f t="shared" si="409"/>
        <v>0</v>
      </c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>
        <f t="shared" si="410"/>
        <v>0</v>
      </c>
      <c r="AI111" s="44">
        <f t="shared" si="411"/>
        <v>62722</v>
      </c>
    </row>
    <row r="112" spans="1:35" outlineLevel="1" x14ac:dyDescent="0.2">
      <c r="A112" s="49"/>
      <c r="B112" s="63"/>
      <c r="C112" s="64"/>
      <c r="D112" s="253" t="s">
        <v>617</v>
      </c>
      <c r="E112" s="44">
        <v>0</v>
      </c>
      <c r="F112" s="44">
        <f t="shared" si="406"/>
        <v>160</v>
      </c>
      <c r="G112" s="44">
        <f t="shared" si="407"/>
        <v>160</v>
      </c>
      <c r="H112" s="44"/>
      <c r="I112" s="44">
        <f>153+7</f>
        <v>160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>
        <f t="shared" si="408"/>
        <v>0</v>
      </c>
      <c r="V112" s="44">
        <f t="shared" si="409"/>
        <v>0</v>
      </c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>
        <f t="shared" si="410"/>
        <v>0</v>
      </c>
      <c r="AI112" s="44">
        <f t="shared" si="411"/>
        <v>160</v>
      </c>
    </row>
    <row r="113" spans="1:35" ht="24" outlineLevel="1" x14ac:dyDescent="0.2">
      <c r="A113" s="49"/>
      <c r="B113" s="63"/>
      <c r="C113" s="64"/>
      <c r="D113" s="253" t="s">
        <v>285</v>
      </c>
      <c r="E113" s="44">
        <v>0</v>
      </c>
      <c r="F113" s="44">
        <f t="shared" si="406"/>
        <v>4882</v>
      </c>
      <c r="G113" s="44">
        <f t="shared" si="407"/>
        <v>4882</v>
      </c>
      <c r="H113" s="44"/>
      <c r="I113" s="44">
        <f>599+4283</f>
        <v>4882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>
        <f t="shared" si="408"/>
        <v>0</v>
      </c>
      <c r="V113" s="44">
        <f t="shared" si="409"/>
        <v>0</v>
      </c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>
        <f t="shared" si="410"/>
        <v>0</v>
      </c>
      <c r="AI113" s="44">
        <f t="shared" si="411"/>
        <v>4882</v>
      </c>
    </row>
    <row r="114" spans="1:35" outlineLevel="1" x14ac:dyDescent="0.2">
      <c r="A114" s="49"/>
      <c r="B114" s="63"/>
      <c r="C114" s="64"/>
      <c r="D114" s="253" t="s">
        <v>618</v>
      </c>
      <c r="E114" s="44">
        <v>0</v>
      </c>
      <c r="F114" s="44">
        <f t="shared" si="406"/>
        <v>5685</v>
      </c>
      <c r="G114" s="44">
        <f t="shared" si="407"/>
        <v>5685</v>
      </c>
      <c r="H114" s="44"/>
      <c r="I114" s="44">
        <f>4682+1003</f>
        <v>5685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>
        <f t="shared" si="408"/>
        <v>0</v>
      </c>
      <c r="V114" s="44">
        <f t="shared" si="409"/>
        <v>0</v>
      </c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>
        <f t="shared" si="410"/>
        <v>0</v>
      </c>
      <c r="AI114" s="44">
        <f t="shared" si="411"/>
        <v>5685</v>
      </c>
    </row>
    <row r="115" spans="1:35" ht="24" outlineLevel="1" x14ac:dyDescent="0.2">
      <c r="A115" s="49"/>
      <c r="B115" s="63"/>
      <c r="C115" s="64"/>
      <c r="D115" s="253" t="s">
        <v>652</v>
      </c>
      <c r="E115" s="44">
        <v>2205</v>
      </c>
      <c r="F115" s="44">
        <f t="shared" si="406"/>
        <v>5401</v>
      </c>
      <c r="G115" s="44">
        <f t="shared" si="407"/>
        <v>3196</v>
      </c>
      <c r="H115" s="44"/>
      <c r="I115" s="44">
        <v>3196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>
        <f t="shared" si="408"/>
        <v>0</v>
      </c>
      <c r="V115" s="44">
        <f t="shared" si="409"/>
        <v>0</v>
      </c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>
        <f t="shared" si="410"/>
        <v>2205</v>
      </c>
      <c r="AI115" s="44">
        <f t="shared" si="411"/>
        <v>5401</v>
      </c>
    </row>
    <row r="116" spans="1:35" outlineLevel="1" x14ac:dyDescent="0.2">
      <c r="A116" s="49"/>
      <c r="B116" s="63"/>
      <c r="C116" s="64"/>
      <c r="D116" s="253" t="s">
        <v>759</v>
      </c>
      <c r="E116" s="44"/>
      <c r="F116" s="44">
        <f t="shared" ref="F116" si="416">E116+G116</f>
        <v>36</v>
      </c>
      <c r="G116" s="44">
        <f t="shared" ref="G116" si="417">SUBTOTAL(9,H116:S116)</f>
        <v>36</v>
      </c>
      <c r="H116" s="44"/>
      <c r="I116" s="44">
        <v>36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>
        <f t="shared" ref="U116" si="418">T116+V116</f>
        <v>0</v>
      </c>
      <c r="V116" s="44">
        <f t="shared" ref="V116" si="419">SUBTOTAL(9,W116:AG116)</f>
        <v>0</v>
      </c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>
        <f t="shared" si="410"/>
        <v>0</v>
      </c>
      <c r="AI116" s="44">
        <f t="shared" si="411"/>
        <v>36</v>
      </c>
    </row>
    <row r="117" spans="1:35" outlineLevel="1" x14ac:dyDescent="0.2">
      <c r="A117" s="49"/>
      <c r="B117" s="63"/>
      <c r="C117" s="64"/>
      <c r="D117" s="50" t="s">
        <v>54</v>
      </c>
      <c r="E117" s="44">
        <v>779</v>
      </c>
      <c r="F117" s="44">
        <f t="shared" si="406"/>
        <v>779</v>
      </c>
      <c r="G117" s="44">
        <f t="shared" si="407"/>
        <v>0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>
        <f t="shared" si="408"/>
        <v>0</v>
      </c>
      <c r="V117" s="44">
        <f t="shared" si="409"/>
        <v>0</v>
      </c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>
        <f t="shared" si="410"/>
        <v>779</v>
      </c>
      <c r="AI117" s="44">
        <f t="shared" si="411"/>
        <v>779</v>
      </c>
    </row>
    <row r="118" spans="1:35" ht="24" outlineLevel="1" x14ac:dyDescent="0.2">
      <c r="A118" s="49"/>
      <c r="B118" s="63"/>
      <c r="C118" s="64"/>
      <c r="D118" s="50" t="s">
        <v>79</v>
      </c>
      <c r="E118" s="44">
        <v>153972</v>
      </c>
      <c r="F118" s="44">
        <f t="shared" si="406"/>
        <v>160830</v>
      </c>
      <c r="G118" s="44">
        <f t="shared" si="407"/>
        <v>6858</v>
      </c>
      <c r="H118" s="44"/>
      <c r="I118" s="44">
        <f>6726+132</f>
        <v>6858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>
        <f t="shared" si="408"/>
        <v>0</v>
      </c>
      <c r="V118" s="44">
        <f t="shared" si="409"/>
        <v>0</v>
      </c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>
        <f t="shared" si="410"/>
        <v>153972</v>
      </c>
      <c r="AI118" s="44">
        <f t="shared" si="411"/>
        <v>160830</v>
      </c>
    </row>
    <row r="119" spans="1:35" outlineLevel="1" x14ac:dyDescent="0.2">
      <c r="A119" s="49"/>
      <c r="B119" s="63"/>
      <c r="C119" s="64"/>
      <c r="D119" s="50" t="s">
        <v>169</v>
      </c>
      <c r="E119" s="44">
        <v>12930</v>
      </c>
      <c r="F119" s="44">
        <f t="shared" si="406"/>
        <v>14599</v>
      </c>
      <c r="G119" s="44">
        <f t="shared" si="407"/>
        <v>1669</v>
      </c>
      <c r="H119" s="44"/>
      <c r="I119" s="44">
        <v>1669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>
        <f t="shared" si="408"/>
        <v>0</v>
      </c>
      <c r="V119" s="44">
        <f t="shared" si="409"/>
        <v>0</v>
      </c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>
        <f t="shared" si="410"/>
        <v>12930</v>
      </c>
      <c r="AI119" s="44">
        <f t="shared" si="411"/>
        <v>14599</v>
      </c>
    </row>
    <row r="120" spans="1:35" outlineLevel="1" x14ac:dyDescent="0.2">
      <c r="A120" s="49"/>
      <c r="B120" s="63"/>
      <c r="C120" s="64"/>
      <c r="D120" s="50" t="s">
        <v>121</v>
      </c>
      <c r="E120" s="44">
        <f>64932+209383+21379</f>
        <v>295694</v>
      </c>
      <c r="F120" s="44">
        <f t="shared" si="406"/>
        <v>328771</v>
      </c>
      <c r="G120" s="44">
        <f t="shared" si="407"/>
        <v>33077</v>
      </c>
      <c r="H120" s="44"/>
      <c r="I120" s="44">
        <v>33077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>
        <f t="shared" si="408"/>
        <v>0</v>
      </c>
      <c r="V120" s="44">
        <f t="shared" si="409"/>
        <v>0</v>
      </c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>
        <f t="shared" si="410"/>
        <v>295694</v>
      </c>
      <c r="AI120" s="44">
        <f t="shared" si="411"/>
        <v>328771</v>
      </c>
    </row>
    <row r="121" spans="1:35" ht="24" outlineLevel="1" x14ac:dyDescent="0.2">
      <c r="A121" s="49"/>
      <c r="B121" s="63"/>
      <c r="C121" s="64"/>
      <c r="D121" s="50" t="s">
        <v>143</v>
      </c>
      <c r="E121" s="44">
        <v>0</v>
      </c>
      <c r="F121" s="44">
        <f t="shared" si="406"/>
        <v>0</v>
      </c>
      <c r="G121" s="44">
        <f t="shared" si="407"/>
        <v>0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>
        <f t="shared" si="408"/>
        <v>0</v>
      </c>
      <c r="V121" s="44">
        <f t="shared" si="409"/>
        <v>0</v>
      </c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>
        <f t="shared" si="410"/>
        <v>0</v>
      </c>
      <c r="AI121" s="44">
        <f t="shared" si="411"/>
        <v>0</v>
      </c>
    </row>
    <row r="122" spans="1:35" outlineLevel="1" x14ac:dyDescent="0.2">
      <c r="A122" s="49"/>
      <c r="B122" s="63"/>
      <c r="C122" s="64"/>
      <c r="D122" s="50" t="s">
        <v>749</v>
      </c>
      <c r="E122" s="44"/>
      <c r="F122" s="44">
        <f t="shared" ref="F122" si="420">E122+G122</f>
        <v>4000</v>
      </c>
      <c r="G122" s="44">
        <f t="shared" ref="G122" si="421">SUBTOTAL(9,H122:S122)</f>
        <v>4000</v>
      </c>
      <c r="H122" s="44"/>
      <c r="I122" s="44">
        <v>4000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>
        <f t="shared" ref="U122" si="422">T122+V122</f>
        <v>0</v>
      </c>
      <c r="V122" s="44">
        <f t="shared" ref="V122" si="423">SUBTOTAL(9,W122:AG122)</f>
        <v>0</v>
      </c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>
        <f t="shared" si="410"/>
        <v>0</v>
      </c>
      <c r="AI122" s="44">
        <f t="shared" si="411"/>
        <v>4000</v>
      </c>
    </row>
    <row r="123" spans="1:35" ht="24" outlineLevel="1" x14ac:dyDescent="0.2">
      <c r="A123" s="42"/>
      <c r="B123" s="61"/>
      <c r="C123" s="62"/>
      <c r="D123" s="43" t="s">
        <v>737</v>
      </c>
      <c r="E123" s="44"/>
      <c r="F123" s="44">
        <f t="shared" ref="F123" si="424">E123+G123</f>
        <v>1</v>
      </c>
      <c r="G123" s="44">
        <f t="shared" ref="G123" si="425">SUBTOTAL(9,H123:S123)</f>
        <v>1</v>
      </c>
      <c r="H123" s="44">
        <v>1</v>
      </c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>
        <f t="shared" ref="U123" si="426">T123+V123</f>
        <v>0</v>
      </c>
      <c r="V123" s="44">
        <f t="shared" ref="V123" si="427">SUBTOTAL(9,W123:AG123)</f>
        <v>0</v>
      </c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>
        <f t="shared" si="410"/>
        <v>0</v>
      </c>
      <c r="AI123" s="44">
        <f t="shared" si="411"/>
        <v>1</v>
      </c>
    </row>
    <row r="124" spans="1:35" outlineLevel="1" x14ac:dyDescent="0.2">
      <c r="A124" s="42"/>
      <c r="B124" s="61"/>
      <c r="C124" s="62"/>
      <c r="D124" s="43" t="s">
        <v>756</v>
      </c>
      <c r="E124" s="44"/>
      <c r="F124" s="44">
        <f t="shared" ref="F124" si="428">E124+G124</f>
        <v>37950</v>
      </c>
      <c r="G124" s="44">
        <f t="shared" ref="G124" si="429">SUBTOTAL(9,H124:S124)</f>
        <v>37950</v>
      </c>
      <c r="H124" s="44"/>
      <c r="I124" s="44">
        <f>37949+1</f>
        <v>37950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>
        <f t="shared" ref="U124" si="430">T124+V124</f>
        <v>0</v>
      </c>
      <c r="V124" s="44">
        <f t="shared" ref="V124" si="431">SUBTOTAL(9,W124:AG124)</f>
        <v>0</v>
      </c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>
        <f t="shared" si="410"/>
        <v>0</v>
      </c>
      <c r="AI124" s="44">
        <f t="shared" si="411"/>
        <v>37950</v>
      </c>
    </row>
    <row r="125" spans="1:35" x14ac:dyDescent="0.2">
      <c r="A125" s="42"/>
      <c r="B125" s="61"/>
      <c r="C125" s="62"/>
      <c r="D125" s="47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</row>
    <row r="126" spans="1:35" s="113" customFormat="1" x14ac:dyDescent="0.2">
      <c r="A126" s="34"/>
      <c r="B126" s="507" t="s">
        <v>286</v>
      </c>
      <c r="C126" s="508"/>
      <c r="D126" s="35" t="s">
        <v>129</v>
      </c>
      <c r="E126" s="185">
        <f>SUM(E127)</f>
        <v>9550131</v>
      </c>
      <c r="F126" s="185">
        <f t="shared" ref="F126:G126" si="432">SUM(F127)</f>
        <v>8290935</v>
      </c>
      <c r="G126" s="185">
        <f t="shared" si="432"/>
        <v>-1259196</v>
      </c>
      <c r="H126" s="185">
        <f t="shared" ref="H126" si="433">SUM(H127)</f>
        <v>0</v>
      </c>
      <c r="I126" s="185">
        <f t="shared" ref="I126" si="434">SUM(I127)</f>
        <v>2168809</v>
      </c>
      <c r="J126" s="185">
        <f t="shared" ref="J126" si="435">SUM(J127)</f>
        <v>119138</v>
      </c>
      <c r="K126" s="185">
        <f t="shared" ref="K126" si="436">SUM(K127)</f>
        <v>103995</v>
      </c>
      <c r="L126" s="185">
        <f t="shared" ref="L126" si="437">SUM(L127)</f>
        <v>0</v>
      </c>
      <c r="M126" s="185">
        <f t="shared" ref="M126" si="438">SUM(M127)</f>
        <v>-411292</v>
      </c>
      <c r="N126" s="185">
        <f t="shared" ref="N126" si="439">SUM(N127)</f>
        <v>-5286434</v>
      </c>
      <c r="O126" s="185">
        <f t="shared" ref="O126" si="440">SUM(O127)</f>
        <v>1856995</v>
      </c>
      <c r="P126" s="185">
        <f t="shared" ref="P126" si="441">SUM(P127)</f>
        <v>189593</v>
      </c>
      <c r="Q126" s="185">
        <f t="shared" ref="Q126:S126" si="442">SUM(Q127)</f>
        <v>0</v>
      </c>
      <c r="R126" s="185">
        <f t="shared" si="442"/>
        <v>0</v>
      </c>
      <c r="S126" s="185">
        <f t="shared" si="442"/>
        <v>0</v>
      </c>
      <c r="T126" s="185">
        <f t="shared" ref="T126" si="443">SUM(T127)</f>
        <v>0</v>
      </c>
      <c r="U126" s="185">
        <f t="shared" ref="U126" si="444">SUM(U127)</f>
        <v>0</v>
      </c>
      <c r="V126" s="185">
        <f t="shared" ref="V126" si="445">SUM(V127)</f>
        <v>0</v>
      </c>
      <c r="W126" s="185">
        <f t="shared" ref="W126" si="446">SUM(W127)</f>
        <v>0</v>
      </c>
      <c r="X126" s="185">
        <f t="shared" ref="X126" si="447">SUM(X127)</f>
        <v>0</v>
      </c>
      <c r="Y126" s="185">
        <f t="shared" ref="Y126" si="448">SUM(Y127)</f>
        <v>0</v>
      </c>
      <c r="Z126" s="185">
        <f t="shared" ref="Z126" si="449">SUM(Z127)</f>
        <v>0</v>
      </c>
      <c r="AA126" s="185">
        <f t="shared" ref="AA126" si="450">SUM(AA127)</f>
        <v>0</v>
      </c>
      <c r="AB126" s="185">
        <f t="shared" ref="AB126" si="451">SUM(AB127)</f>
        <v>0</v>
      </c>
      <c r="AC126" s="185">
        <f t="shared" ref="AC126" si="452">SUM(AC127)</f>
        <v>0</v>
      </c>
      <c r="AD126" s="185">
        <f t="shared" ref="AD126" si="453">SUM(AD127)</f>
        <v>0</v>
      </c>
      <c r="AE126" s="185">
        <f t="shared" ref="AE126" si="454">SUM(AE127)</f>
        <v>0</v>
      </c>
      <c r="AF126" s="185">
        <f t="shared" ref="AF126:AG126" si="455">SUM(AF127)</f>
        <v>0</v>
      </c>
      <c r="AG126" s="185">
        <f t="shared" si="455"/>
        <v>0</v>
      </c>
      <c r="AH126" s="185">
        <f t="shared" ref="AH126" si="456">SUM(AH127)</f>
        <v>9550131</v>
      </c>
      <c r="AI126" s="185">
        <f t="shared" ref="AI126" si="457">SUM(AI127)</f>
        <v>8290935</v>
      </c>
    </row>
    <row r="127" spans="1:35" s="113" customFormat="1" x14ac:dyDescent="0.2">
      <c r="A127" s="34"/>
      <c r="B127" s="111"/>
      <c r="C127" s="111"/>
      <c r="D127" s="35" t="s">
        <v>232</v>
      </c>
      <c r="E127" s="185">
        <f>SUM(E128,E138)</f>
        <v>9550131</v>
      </c>
      <c r="F127" s="185">
        <f t="shared" ref="F127:AI127" si="458">SUM(F128,F138)</f>
        <v>8290935</v>
      </c>
      <c r="G127" s="185">
        <f t="shared" si="458"/>
        <v>-1259196</v>
      </c>
      <c r="H127" s="185">
        <f t="shared" si="458"/>
        <v>0</v>
      </c>
      <c r="I127" s="185">
        <f t="shared" si="458"/>
        <v>2168809</v>
      </c>
      <c r="J127" s="185">
        <f t="shared" si="458"/>
        <v>119138</v>
      </c>
      <c r="K127" s="185">
        <f t="shared" si="458"/>
        <v>103995</v>
      </c>
      <c r="L127" s="185">
        <f t="shared" si="458"/>
        <v>0</v>
      </c>
      <c r="M127" s="185">
        <f t="shared" si="458"/>
        <v>-411292</v>
      </c>
      <c r="N127" s="185">
        <f t="shared" si="458"/>
        <v>-5286434</v>
      </c>
      <c r="O127" s="185">
        <f t="shared" si="458"/>
        <v>1856995</v>
      </c>
      <c r="P127" s="185">
        <f t="shared" si="458"/>
        <v>189593</v>
      </c>
      <c r="Q127" s="185">
        <f t="shared" ref="Q127:R127" si="459">SUM(Q128,Q138)</f>
        <v>0</v>
      </c>
      <c r="R127" s="185">
        <f t="shared" si="459"/>
        <v>0</v>
      </c>
      <c r="S127" s="185">
        <f t="shared" si="458"/>
        <v>0</v>
      </c>
      <c r="T127" s="185">
        <f t="shared" si="458"/>
        <v>0</v>
      </c>
      <c r="U127" s="185">
        <f t="shared" si="458"/>
        <v>0</v>
      </c>
      <c r="V127" s="185">
        <f t="shared" si="458"/>
        <v>0</v>
      </c>
      <c r="W127" s="185">
        <f t="shared" si="458"/>
        <v>0</v>
      </c>
      <c r="X127" s="185">
        <f t="shared" si="458"/>
        <v>0</v>
      </c>
      <c r="Y127" s="185">
        <f t="shared" si="458"/>
        <v>0</v>
      </c>
      <c r="Z127" s="185">
        <f t="shared" si="458"/>
        <v>0</v>
      </c>
      <c r="AA127" s="185">
        <f t="shared" si="458"/>
        <v>0</v>
      </c>
      <c r="AB127" s="185">
        <f t="shared" si="458"/>
        <v>0</v>
      </c>
      <c r="AC127" s="185">
        <f t="shared" si="458"/>
        <v>0</v>
      </c>
      <c r="AD127" s="185">
        <f t="shared" si="458"/>
        <v>0</v>
      </c>
      <c r="AE127" s="185">
        <f t="shared" si="458"/>
        <v>0</v>
      </c>
      <c r="AF127" s="185">
        <f t="shared" ref="AF127" si="460">SUM(AF128,AF138)</f>
        <v>0</v>
      </c>
      <c r="AG127" s="185">
        <f t="shared" si="458"/>
        <v>0</v>
      </c>
      <c r="AH127" s="185">
        <f t="shared" si="458"/>
        <v>9550131</v>
      </c>
      <c r="AI127" s="185">
        <f t="shared" si="458"/>
        <v>8290935</v>
      </c>
    </row>
    <row r="128" spans="1:35" s="113" customFormat="1" x14ac:dyDescent="0.2">
      <c r="A128" s="34"/>
      <c r="B128" s="362"/>
      <c r="C128" s="362" t="s">
        <v>795</v>
      </c>
      <c r="D128" s="35" t="s">
        <v>796</v>
      </c>
      <c r="E128" s="185">
        <f>SUM(E129:E137)</f>
        <v>1764442</v>
      </c>
      <c r="F128" s="185">
        <f t="shared" ref="F128:AI128" si="461">SUM(F129:F137)</f>
        <v>2016194</v>
      </c>
      <c r="G128" s="185">
        <f t="shared" si="461"/>
        <v>251752</v>
      </c>
      <c r="H128" s="185">
        <f t="shared" si="461"/>
        <v>0</v>
      </c>
      <c r="I128" s="185">
        <f t="shared" si="461"/>
        <v>693397</v>
      </c>
      <c r="J128" s="185">
        <f t="shared" si="461"/>
        <v>119138</v>
      </c>
      <c r="K128" s="185">
        <f t="shared" si="461"/>
        <v>103995</v>
      </c>
      <c r="L128" s="185">
        <f t="shared" si="461"/>
        <v>0</v>
      </c>
      <c r="M128" s="185">
        <f t="shared" si="461"/>
        <v>-243384</v>
      </c>
      <c r="N128" s="185">
        <f t="shared" si="461"/>
        <v>-872103</v>
      </c>
      <c r="O128" s="185">
        <f t="shared" si="461"/>
        <v>261116</v>
      </c>
      <c r="P128" s="185">
        <f t="shared" si="461"/>
        <v>189593</v>
      </c>
      <c r="Q128" s="185">
        <f t="shared" ref="Q128:R128" si="462">SUM(Q129:Q137)</f>
        <v>0</v>
      </c>
      <c r="R128" s="185">
        <f t="shared" si="462"/>
        <v>0</v>
      </c>
      <c r="S128" s="185">
        <f t="shared" si="461"/>
        <v>0</v>
      </c>
      <c r="T128" s="185">
        <f t="shared" si="461"/>
        <v>0</v>
      </c>
      <c r="U128" s="185">
        <f t="shared" si="461"/>
        <v>0</v>
      </c>
      <c r="V128" s="185">
        <f t="shared" si="461"/>
        <v>0</v>
      </c>
      <c r="W128" s="185">
        <f t="shared" si="461"/>
        <v>0</v>
      </c>
      <c r="X128" s="185">
        <f t="shared" si="461"/>
        <v>0</v>
      </c>
      <c r="Y128" s="185">
        <f t="shared" si="461"/>
        <v>0</v>
      </c>
      <c r="Z128" s="185">
        <f t="shared" si="461"/>
        <v>0</v>
      </c>
      <c r="AA128" s="185">
        <f t="shared" si="461"/>
        <v>0</v>
      </c>
      <c r="AB128" s="185">
        <f t="shared" si="461"/>
        <v>0</v>
      </c>
      <c r="AC128" s="185">
        <f t="shared" si="461"/>
        <v>0</v>
      </c>
      <c r="AD128" s="185">
        <f t="shared" si="461"/>
        <v>0</v>
      </c>
      <c r="AE128" s="185">
        <f t="shared" si="461"/>
        <v>0</v>
      </c>
      <c r="AF128" s="185">
        <f t="shared" ref="AF128" si="463">SUM(AF129:AF137)</f>
        <v>0</v>
      </c>
      <c r="AG128" s="185">
        <f t="shared" si="461"/>
        <v>0</v>
      </c>
      <c r="AH128" s="185">
        <f t="shared" si="461"/>
        <v>1764442</v>
      </c>
      <c r="AI128" s="185">
        <f t="shared" si="461"/>
        <v>2016194</v>
      </c>
    </row>
    <row r="129" spans="1:35" s="113" customFormat="1" x14ac:dyDescent="0.2">
      <c r="A129" s="364"/>
      <c r="B129" s="365"/>
      <c r="C129" s="365"/>
      <c r="D129" s="363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</row>
    <row r="130" spans="1:35" ht="28.5" customHeight="1" x14ac:dyDescent="0.2">
      <c r="A130" s="55"/>
      <c r="B130" s="452"/>
      <c r="C130" s="488"/>
      <c r="D130" s="40" t="s">
        <v>807</v>
      </c>
      <c r="E130" s="186">
        <v>780270</v>
      </c>
      <c r="F130" s="186">
        <f>E130+G130</f>
        <v>332555</v>
      </c>
      <c r="G130" s="186">
        <f>SUBTOTAL(9,H130:S130)</f>
        <v>-447715</v>
      </c>
      <c r="H130" s="186"/>
      <c r="I130" s="186"/>
      <c r="J130" s="186"/>
      <c r="K130" s="186">
        <f>-164154-282993-568</f>
        <v>-447715</v>
      </c>
      <c r="L130" s="186"/>
      <c r="M130" s="186"/>
      <c r="N130" s="186"/>
      <c r="O130" s="186"/>
      <c r="P130" s="186"/>
      <c r="Q130" s="186"/>
      <c r="R130" s="186"/>
      <c r="S130" s="186"/>
      <c r="T130" s="186"/>
      <c r="U130" s="186">
        <f>T130+V130</f>
        <v>0</v>
      </c>
      <c r="V130" s="186">
        <f>SUBTOTAL(9,W130:AG130)</f>
        <v>0</v>
      </c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>
        <f t="shared" ref="AH130:AH136" si="464">E130+T130</f>
        <v>780270</v>
      </c>
      <c r="AI130" s="186">
        <f t="shared" ref="AI130:AI136" si="465">U130+F130</f>
        <v>332555</v>
      </c>
    </row>
    <row r="131" spans="1:35" ht="36" x14ac:dyDescent="0.2">
      <c r="A131" s="55"/>
      <c r="B131" s="381"/>
      <c r="C131" s="382"/>
      <c r="D131" s="40" t="s">
        <v>806</v>
      </c>
      <c r="E131" s="186"/>
      <c r="F131" s="186">
        <f>E131+G131</f>
        <v>0</v>
      </c>
      <c r="G131" s="186">
        <f>SUBTOTAL(9,H131:S131)</f>
        <v>0</v>
      </c>
      <c r="H131" s="186"/>
      <c r="I131" s="186"/>
      <c r="J131" s="186"/>
      <c r="K131" s="186">
        <v>282993</v>
      </c>
      <c r="L131" s="186"/>
      <c r="M131" s="186"/>
      <c r="N131" s="186">
        <v>-282993</v>
      </c>
      <c r="O131" s="186"/>
      <c r="P131" s="186"/>
      <c r="Q131" s="186"/>
      <c r="R131" s="186"/>
      <c r="S131" s="186"/>
      <c r="T131" s="186"/>
      <c r="U131" s="186">
        <f>T131+V131</f>
        <v>0</v>
      </c>
      <c r="V131" s="186">
        <f>SUBTOTAL(9,W131:AG131)</f>
        <v>0</v>
      </c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>
        <f t="shared" si="464"/>
        <v>0</v>
      </c>
      <c r="AI131" s="186">
        <f t="shared" si="465"/>
        <v>0</v>
      </c>
    </row>
    <row r="132" spans="1:35" ht="27" customHeight="1" x14ac:dyDescent="0.2">
      <c r="A132" s="55"/>
      <c r="B132" s="452"/>
      <c r="C132" s="488"/>
      <c r="D132" s="40" t="s">
        <v>648</v>
      </c>
      <c r="E132" s="186">
        <v>450058</v>
      </c>
      <c r="F132" s="186">
        <f>E132+G132</f>
        <v>450058</v>
      </c>
      <c r="G132" s="186">
        <f>SUBTOTAL(9,H132:S132)</f>
        <v>0</v>
      </c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>
        <f>T132+V132</f>
        <v>0</v>
      </c>
      <c r="V132" s="186">
        <f>SUBTOTAL(9,W132:AG132)</f>
        <v>0</v>
      </c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>
        <f t="shared" si="464"/>
        <v>450058</v>
      </c>
      <c r="AI132" s="186">
        <f t="shared" si="465"/>
        <v>450058</v>
      </c>
    </row>
    <row r="133" spans="1:35" ht="41.25" customHeight="1" x14ac:dyDescent="0.2">
      <c r="A133" s="55"/>
      <c r="B133" s="165"/>
      <c r="C133" s="166"/>
      <c r="D133" s="254" t="s">
        <v>649</v>
      </c>
      <c r="E133" s="186">
        <v>534114</v>
      </c>
      <c r="F133" s="186">
        <f>E133+G133</f>
        <v>598403</v>
      </c>
      <c r="G133" s="186">
        <f>SUBTOTAL(9,H133:S133)</f>
        <v>64289</v>
      </c>
      <c r="H133" s="186"/>
      <c r="I133" s="186"/>
      <c r="J133" s="186"/>
      <c r="K133" s="186">
        <f>56800+7489</f>
        <v>64289</v>
      </c>
      <c r="L133" s="186"/>
      <c r="M133" s="186"/>
      <c r="N133" s="186">
        <v>-261116</v>
      </c>
      <c r="O133" s="186">
        <v>261116</v>
      </c>
      <c r="P133" s="186"/>
      <c r="Q133" s="186"/>
      <c r="R133" s="186"/>
      <c r="S133" s="186"/>
      <c r="T133" s="186"/>
      <c r="U133" s="186">
        <f>T133+V133</f>
        <v>0</v>
      </c>
      <c r="V133" s="186">
        <f>SUBTOTAL(9,W133:AG133)</f>
        <v>0</v>
      </c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>
        <f t="shared" si="464"/>
        <v>534114</v>
      </c>
      <c r="AI133" s="186">
        <f t="shared" si="465"/>
        <v>598403</v>
      </c>
    </row>
    <row r="134" spans="1:35" ht="37.5" customHeight="1" x14ac:dyDescent="0.2">
      <c r="A134" s="55"/>
      <c r="B134" s="342"/>
      <c r="C134" s="343"/>
      <c r="D134" s="254" t="s">
        <v>765</v>
      </c>
      <c r="E134" s="186"/>
      <c r="F134" s="186">
        <f>E134+G134</f>
        <v>179607</v>
      </c>
      <c r="G134" s="186">
        <f>SUBTOTAL(9,H134:S134)</f>
        <v>179607</v>
      </c>
      <c r="H134" s="186"/>
      <c r="I134" s="186">
        <v>693397</v>
      </c>
      <c r="J134" s="186"/>
      <c r="K134" s="186"/>
      <c r="L134" s="186"/>
      <c r="M134" s="186">
        <v>-247812</v>
      </c>
      <c r="N134" s="186"/>
      <c r="O134" s="186"/>
      <c r="P134" s="186">
        <v>-265978</v>
      </c>
      <c r="Q134" s="186"/>
      <c r="R134" s="186"/>
      <c r="S134" s="186"/>
      <c r="T134" s="186"/>
      <c r="U134" s="186">
        <f t="shared" ref="U134" si="466">T134+V134</f>
        <v>0</v>
      </c>
      <c r="V134" s="186">
        <f t="shared" ref="V134" si="467">SUBTOTAL(9,W134:AG134)</f>
        <v>0</v>
      </c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>
        <f t="shared" si="464"/>
        <v>0</v>
      </c>
      <c r="AI134" s="186">
        <f t="shared" si="465"/>
        <v>179607</v>
      </c>
    </row>
    <row r="135" spans="1:35" ht="31.5" customHeight="1" x14ac:dyDescent="0.2">
      <c r="A135" s="55"/>
      <c r="B135" s="360"/>
      <c r="C135" s="361"/>
      <c r="D135" s="56" t="s">
        <v>794</v>
      </c>
      <c r="E135" s="186"/>
      <c r="F135" s="186">
        <f t="shared" ref="F135:F136" si="468">E135+G135</f>
        <v>0</v>
      </c>
      <c r="G135" s="186">
        <f t="shared" ref="G135:G136" si="469">SUBTOTAL(9,H135:S135)</f>
        <v>0</v>
      </c>
      <c r="H135" s="186"/>
      <c r="I135" s="186"/>
      <c r="J135" s="186">
        <v>119138</v>
      </c>
      <c r="K135" s="186">
        <v>204428</v>
      </c>
      <c r="L135" s="186"/>
      <c r="M135" s="186">
        <v>4428</v>
      </c>
      <c r="N135" s="186">
        <v>-327994</v>
      </c>
      <c r="O135" s="186"/>
      <c r="P135" s="186"/>
      <c r="Q135" s="186"/>
      <c r="R135" s="186"/>
      <c r="S135" s="186"/>
      <c r="T135" s="186"/>
      <c r="U135" s="186">
        <f t="shared" ref="U135" si="470">T135+V135</f>
        <v>0</v>
      </c>
      <c r="V135" s="186">
        <f t="shared" ref="V135" si="471">SUBTOTAL(9,W135:AG135)</f>
        <v>0</v>
      </c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>
        <f t="shared" si="464"/>
        <v>0</v>
      </c>
      <c r="AI135" s="186">
        <f t="shared" si="465"/>
        <v>0</v>
      </c>
    </row>
    <row r="136" spans="1:35" ht="31.5" customHeight="1" x14ac:dyDescent="0.2">
      <c r="A136" s="55"/>
      <c r="B136" s="396"/>
      <c r="C136" s="397"/>
      <c r="D136" s="398" t="s">
        <v>836</v>
      </c>
      <c r="E136" s="186"/>
      <c r="F136" s="186">
        <f t="shared" si="468"/>
        <v>455571</v>
      </c>
      <c r="G136" s="186">
        <f t="shared" si="469"/>
        <v>455571</v>
      </c>
      <c r="H136" s="186"/>
      <c r="I136" s="186"/>
      <c r="J136" s="186"/>
      <c r="K136" s="186"/>
      <c r="L136" s="186"/>
      <c r="M136" s="186"/>
      <c r="N136" s="186"/>
      <c r="O136" s="186"/>
      <c r="P136" s="186">
        <f>91083+364488</f>
        <v>455571</v>
      </c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4"/>
      <c r="AE136" s="184"/>
      <c r="AF136" s="184"/>
      <c r="AG136" s="184"/>
      <c r="AH136" s="186">
        <f t="shared" si="464"/>
        <v>0</v>
      </c>
      <c r="AI136" s="186">
        <f t="shared" si="465"/>
        <v>455571</v>
      </c>
    </row>
    <row r="137" spans="1:35" ht="12.75" customHeight="1" x14ac:dyDescent="0.2">
      <c r="A137" s="46"/>
      <c r="B137" s="366"/>
      <c r="C137" s="366"/>
      <c r="D137" s="367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</row>
    <row r="138" spans="1:35" s="113" customFormat="1" x14ac:dyDescent="0.2">
      <c r="A138" s="59"/>
      <c r="B138" s="65"/>
      <c r="C138" s="283" t="s">
        <v>284</v>
      </c>
      <c r="D138" s="60" t="s">
        <v>236</v>
      </c>
      <c r="E138" s="185">
        <f>SUM(E139:E147)</f>
        <v>7785689</v>
      </c>
      <c r="F138" s="185">
        <f t="shared" ref="F138:AI138" si="472">SUM(F139:F147)</f>
        <v>6274741</v>
      </c>
      <c r="G138" s="185">
        <f t="shared" si="472"/>
        <v>-1510948</v>
      </c>
      <c r="H138" s="185">
        <f t="shared" si="472"/>
        <v>0</v>
      </c>
      <c r="I138" s="185">
        <f t="shared" si="472"/>
        <v>1475412</v>
      </c>
      <c r="J138" s="185">
        <f t="shared" si="472"/>
        <v>0</v>
      </c>
      <c r="K138" s="185">
        <f t="shared" si="472"/>
        <v>0</v>
      </c>
      <c r="L138" s="185">
        <f t="shared" si="472"/>
        <v>0</v>
      </c>
      <c r="M138" s="185">
        <f t="shared" si="472"/>
        <v>-167908</v>
      </c>
      <c r="N138" s="185">
        <f t="shared" si="472"/>
        <v>-4414331</v>
      </c>
      <c r="O138" s="185">
        <f>SUM(O139:O147)</f>
        <v>1595879</v>
      </c>
      <c r="P138" s="185">
        <f t="shared" si="472"/>
        <v>0</v>
      </c>
      <c r="Q138" s="185">
        <f t="shared" ref="Q138:R138" si="473">SUM(Q139:Q147)</f>
        <v>0</v>
      </c>
      <c r="R138" s="185">
        <f t="shared" si="473"/>
        <v>0</v>
      </c>
      <c r="S138" s="185">
        <f t="shared" si="472"/>
        <v>0</v>
      </c>
      <c r="T138" s="185">
        <f t="shared" si="472"/>
        <v>0</v>
      </c>
      <c r="U138" s="185">
        <f t="shared" si="472"/>
        <v>0</v>
      </c>
      <c r="V138" s="185">
        <f t="shared" si="472"/>
        <v>0</v>
      </c>
      <c r="W138" s="185">
        <f t="shared" si="472"/>
        <v>0</v>
      </c>
      <c r="X138" s="185">
        <f t="shared" si="472"/>
        <v>0</v>
      </c>
      <c r="Y138" s="185">
        <f t="shared" si="472"/>
        <v>0</v>
      </c>
      <c r="Z138" s="185">
        <f t="shared" si="472"/>
        <v>0</v>
      </c>
      <c r="AA138" s="185">
        <f t="shared" si="472"/>
        <v>0</v>
      </c>
      <c r="AB138" s="185">
        <f t="shared" si="472"/>
        <v>0</v>
      </c>
      <c r="AC138" s="185">
        <f t="shared" si="472"/>
        <v>0</v>
      </c>
      <c r="AD138" s="185">
        <f t="shared" si="472"/>
        <v>0</v>
      </c>
      <c r="AE138" s="185">
        <f t="shared" si="472"/>
        <v>0</v>
      </c>
      <c r="AF138" s="185">
        <f t="shared" ref="AF138" si="474">SUM(AF139:AF147)</f>
        <v>0</v>
      </c>
      <c r="AG138" s="185">
        <f t="shared" si="472"/>
        <v>0</v>
      </c>
      <c r="AH138" s="185">
        <f t="shared" si="472"/>
        <v>7785689</v>
      </c>
      <c r="AI138" s="185">
        <f t="shared" si="472"/>
        <v>6274741</v>
      </c>
    </row>
    <row r="139" spans="1:35" ht="11.25" customHeight="1" x14ac:dyDescent="0.2">
      <c r="A139" s="55"/>
      <c r="B139" s="452"/>
      <c r="C139" s="488"/>
      <c r="D139" s="40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</row>
    <row r="140" spans="1:35" ht="24" x14ac:dyDescent="0.2">
      <c r="A140" s="55"/>
      <c r="B140" s="268"/>
      <c r="C140" s="269"/>
      <c r="D140" s="40" t="s">
        <v>564</v>
      </c>
      <c r="E140" s="186">
        <v>762516</v>
      </c>
      <c r="F140" s="186">
        <f t="shared" ref="F140:F143" si="475">E140+G140</f>
        <v>777024</v>
      </c>
      <c r="G140" s="186">
        <f t="shared" ref="G140:G143" si="476">SUBTOTAL(9,H140:S140)</f>
        <v>14508</v>
      </c>
      <c r="H140" s="186"/>
      <c r="I140" s="186"/>
      <c r="J140" s="186"/>
      <c r="K140" s="186"/>
      <c r="L140" s="186"/>
      <c r="M140" s="186">
        <v>14508</v>
      </c>
      <c r="N140" s="186"/>
      <c r="O140" s="186"/>
      <c r="P140" s="186"/>
      <c r="Q140" s="186"/>
      <c r="R140" s="186"/>
      <c r="S140" s="186"/>
      <c r="T140" s="186"/>
      <c r="U140" s="186">
        <f t="shared" ref="U140:U143" si="477">T140+V140</f>
        <v>0</v>
      </c>
      <c r="V140" s="186">
        <f t="shared" ref="V140:V143" si="478">SUBTOTAL(9,W140:AG140)</f>
        <v>0</v>
      </c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>
        <f t="shared" ref="AH140:AH146" si="479">E140+T140</f>
        <v>762516</v>
      </c>
      <c r="AI140" s="186">
        <f t="shared" ref="AI140:AI146" si="480">U140+F140</f>
        <v>777024</v>
      </c>
    </row>
    <row r="141" spans="1:35" x14ac:dyDescent="0.2">
      <c r="A141" s="55"/>
      <c r="B141" s="268"/>
      <c r="C141" s="269"/>
      <c r="D141" s="40" t="s">
        <v>490</v>
      </c>
      <c r="E141" s="186">
        <v>4924140</v>
      </c>
      <c r="F141" s="186">
        <f t="shared" si="475"/>
        <v>3775324</v>
      </c>
      <c r="G141" s="186">
        <f t="shared" si="476"/>
        <v>-1148816</v>
      </c>
      <c r="H141" s="186"/>
      <c r="I141" s="186"/>
      <c r="J141" s="186"/>
      <c r="K141" s="186"/>
      <c r="L141" s="186"/>
      <c r="M141" s="186"/>
      <c r="N141" s="186">
        <f>-1215479+1215479-1148816</f>
        <v>-1148816</v>
      </c>
      <c r="O141" s="186"/>
      <c r="P141" s="186"/>
      <c r="Q141" s="186"/>
      <c r="R141" s="186"/>
      <c r="S141" s="186"/>
      <c r="T141" s="186"/>
      <c r="U141" s="186">
        <f t="shared" si="477"/>
        <v>0</v>
      </c>
      <c r="V141" s="186">
        <f t="shared" si="478"/>
        <v>0</v>
      </c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>
        <f t="shared" si="479"/>
        <v>4924140</v>
      </c>
      <c r="AI141" s="186">
        <f t="shared" si="480"/>
        <v>3775324</v>
      </c>
    </row>
    <row r="142" spans="1:35" x14ac:dyDescent="0.2">
      <c r="A142" s="55"/>
      <c r="B142" s="255"/>
      <c r="C142" s="256"/>
      <c r="D142" s="40" t="s">
        <v>510</v>
      </c>
      <c r="E142" s="186">
        <v>1596300</v>
      </c>
      <c r="F142" s="186">
        <f t="shared" si="475"/>
        <v>0</v>
      </c>
      <c r="G142" s="186">
        <f t="shared" si="476"/>
        <v>-1596300</v>
      </c>
      <c r="H142" s="186"/>
      <c r="I142" s="186"/>
      <c r="J142" s="186"/>
      <c r="K142" s="186"/>
      <c r="L142" s="186"/>
      <c r="M142" s="186"/>
      <c r="N142" s="186">
        <v>-1596300</v>
      </c>
      <c r="O142" s="186"/>
      <c r="P142" s="186"/>
      <c r="Q142" s="186"/>
      <c r="R142" s="186"/>
      <c r="S142" s="186"/>
      <c r="T142" s="186"/>
      <c r="U142" s="186">
        <f t="shared" si="477"/>
        <v>0</v>
      </c>
      <c r="V142" s="186">
        <f t="shared" si="478"/>
        <v>0</v>
      </c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>
        <f t="shared" si="479"/>
        <v>1596300</v>
      </c>
      <c r="AI142" s="186">
        <f t="shared" si="480"/>
        <v>0</v>
      </c>
    </row>
    <row r="143" spans="1:35" ht="36" x14ac:dyDescent="0.2">
      <c r="A143" s="55"/>
      <c r="B143" s="265"/>
      <c r="C143" s="266"/>
      <c r="D143" s="254" t="s">
        <v>704</v>
      </c>
      <c r="E143" s="186">
        <v>502733</v>
      </c>
      <c r="F143" s="186">
        <f t="shared" si="475"/>
        <v>0</v>
      </c>
      <c r="G143" s="186">
        <f t="shared" si="476"/>
        <v>-502733</v>
      </c>
      <c r="H143" s="186"/>
      <c r="I143" s="186"/>
      <c r="J143" s="186"/>
      <c r="K143" s="186"/>
      <c r="L143" s="186"/>
      <c r="M143" s="186"/>
      <c r="N143" s="186">
        <f>-10268-492465</f>
        <v>-502733</v>
      </c>
      <c r="O143" s="186"/>
      <c r="P143" s="186"/>
      <c r="Q143" s="186"/>
      <c r="R143" s="186"/>
      <c r="S143" s="186"/>
      <c r="T143" s="186"/>
      <c r="U143" s="186">
        <f t="shared" si="477"/>
        <v>0</v>
      </c>
      <c r="V143" s="186">
        <f t="shared" si="478"/>
        <v>0</v>
      </c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>
        <f t="shared" si="479"/>
        <v>502733</v>
      </c>
      <c r="AI143" s="186">
        <f t="shared" si="480"/>
        <v>0</v>
      </c>
    </row>
    <row r="144" spans="1:35" ht="24.75" customHeight="1" x14ac:dyDescent="0.2">
      <c r="A144" s="55"/>
      <c r="B144" s="350"/>
      <c r="C144" s="351"/>
      <c r="D144" s="254" t="s">
        <v>781</v>
      </c>
      <c r="E144" s="186"/>
      <c r="F144" s="186">
        <f t="shared" ref="F144" si="481">E144+G144</f>
        <v>158225</v>
      </c>
      <c r="G144" s="186">
        <f t="shared" ref="G144" si="482">SUBTOTAL(9,H144:S144)</f>
        <v>158225</v>
      </c>
      <c r="H144" s="186"/>
      <c r="I144" s="186">
        <v>83621</v>
      </c>
      <c r="J144" s="186"/>
      <c r="K144" s="186"/>
      <c r="L144" s="186"/>
      <c r="M144" s="186"/>
      <c r="N144" s="186">
        <f>74604-31711</f>
        <v>42893</v>
      </c>
      <c r="O144" s="186">
        <v>31711</v>
      </c>
      <c r="P144" s="186"/>
      <c r="Q144" s="186"/>
      <c r="R144" s="186"/>
      <c r="S144" s="186"/>
      <c r="T144" s="186"/>
      <c r="U144" s="186">
        <f t="shared" ref="U144" si="483">T144+V144</f>
        <v>0</v>
      </c>
      <c r="V144" s="186">
        <f t="shared" ref="V144" si="484">SUBTOTAL(9,W144:AG144)</f>
        <v>0</v>
      </c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>
        <f t="shared" si="479"/>
        <v>0</v>
      </c>
      <c r="AI144" s="186">
        <f t="shared" si="480"/>
        <v>158225</v>
      </c>
    </row>
    <row r="145" spans="1:35" ht="29.25" customHeight="1" x14ac:dyDescent="0.2">
      <c r="A145" s="55"/>
      <c r="B145" s="452"/>
      <c r="C145" s="488"/>
      <c r="D145" s="40" t="s">
        <v>777</v>
      </c>
      <c r="E145" s="186"/>
      <c r="F145" s="186">
        <f t="shared" ref="F145:F146" si="485">E145+G145</f>
        <v>1209375</v>
      </c>
      <c r="G145" s="186">
        <f t="shared" ref="G145:G146" si="486">SUBTOTAL(9,H145:S145)</f>
        <v>1209375</v>
      </c>
      <c r="H145" s="186"/>
      <c r="I145" s="186">
        <v>1391791</v>
      </c>
      <c r="J145" s="186"/>
      <c r="K145" s="186"/>
      <c r="L145" s="186"/>
      <c r="M145" s="186">
        <v>-182416</v>
      </c>
      <c r="N145" s="186">
        <v>-1209375</v>
      </c>
      <c r="O145" s="186">
        <f>1209375</f>
        <v>1209375</v>
      </c>
      <c r="P145" s="186"/>
      <c r="Q145" s="186"/>
      <c r="R145" s="186"/>
      <c r="S145" s="186"/>
      <c r="T145" s="186"/>
      <c r="U145" s="186">
        <f t="shared" ref="U145:U146" si="487">T145+V145</f>
        <v>0</v>
      </c>
      <c r="V145" s="186">
        <f t="shared" ref="V145:V146" si="488">SUBTOTAL(9,W145:AG145)</f>
        <v>0</v>
      </c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>
        <f t="shared" si="479"/>
        <v>0</v>
      </c>
      <c r="AI145" s="186">
        <f t="shared" si="480"/>
        <v>1209375</v>
      </c>
    </row>
    <row r="146" spans="1:35" ht="18" customHeight="1" x14ac:dyDescent="0.2">
      <c r="A146" s="46"/>
      <c r="B146" s="366"/>
      <c r="C146" s="393"/>
      <c r="D146" s="47" t="s">
        <v>834</v>
      </c>
      <c r="E146" s="184"/>
      <c r="F146" s="186">
        <f t="shared" si="485"/>
        <v>354793</v>
      </c>
      <c r="G146" s="186">
        <f t="shared" si="486"/>
        <v>354793</v>
      </c>
      <c r="H146" s="184"/>
      <c r="I146" s="184"/>
      <c r="J146" s="184"/>
      <c r="K146" s="184"/>
      <c r="L146" s="184"/>
      <c r="M146" s="184"/>
      <c r="N146" s="184"/>
      <c r="O146" s="184">
        <v>354793</v>
      </c>
      <c r="P146" s="184"/>
      <c r="Q146" s="184"/>
      <c r="R146" s="184"/>
      <c r="S146" s="184"/>
      <c r="T146" s="184"/>
      <c r="U146" s="186">
        <f t="shared" si="487"/>
        <v>0</v>
      </c>
      <c r="V146" s="186">
        <f t="shared" si="488"/>
        <v>0</v>
      </c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6">
        <f t="shared" si="479"/>
        <v>0</v>
      </c>
      <c r="AI146" s="186">
        <f t="shared" si="480"/>
        <v>354793</v>
      </c>
    </row>
    <row r="147" spans="1:35" ht="11.25" customHeight="1" x14ac:dyDescent="0.2">
      <c r="A147" s="66"/>
      <c r="B147" s="67"/>
      <c r="C147" s="68"/>
      <c r="D147" s="50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</row>
    <row r="148" spans="1:35" x14ac:dyDescent="0.2">
      <c r="A148" s="501" t="s">
        <v>157</v>
      </c>
      <c r="B148" s="502"/>
      <c r="C148" s="502"/>
      <c r="D148" s="503"/>
      <c r="E148" s="145">
        <f t="shared" ref="E148:AI148" si="489">SUM(E150,E154)</f>
        <v>538</v>
      </c>
      <c r="F148" s="145">
        <f t="shared" si="489"/>
        <v>569</v>
      </c>
      <c r="G148" s="145">
        <f t="shared" si="489"/>
        <v>31</v>
      </c>
      <c r="H148" s="145">
        <f t="shared" si="489"/>
        <v>0</v>
      </c>
      <c r="I148" s="145">
        <f t="shared" si="489"/>
        <v>31</v>
      </c>
      <c r="J148" s="145">
        <f t="shared" si="489"/>
        <v>0</v>
      </c>
      <c r="K148" s="145">
        <f t="shared" si="489"/>
        <v>0</v>
      </c>
      <c r="L148" s="145">
        <f t="shared" si="489"/>
        <v>0</v>
      </c>
      <c r="M148" s="145">
        <f t="shared" si="489"/>
        <v>0</v>
      </c>
      <c r="N148" s="145">
        <f t="shared" si="489"/>
        <v>0</v>
      </c>
      <c r="O148" s="145">
        <f t="shared" si="489"/>
        <v>0</v>
      </c>
      <c r="P148" s="145">
        <f t="shared" si="489"/>
        <v>0</v>
      </c>
      <c r="Q148" s="145">
        <f t="shared" ref="Q148:R148" si="490">SUM(Q150,Q154)</f>
        <v>0</v>
      </c>
      <c r="R148" s="145">
        <f t="shared" si="490"/>
        <v>0</v>
      </c>
      <c r="S148" s="145">
        <f t="shared" si="489"/>
        <v>0</v>
      </c>
      <c r="T148" s="145">
        <f t="shared" si="489"/>
        <v>0</v>
      </c>
      <c r="U148" s="145">
        <f t="shared" si="489"/>
        <v>0</v>
      </c>
      <c r="V148" s="145">
        <f t="shared" si="489"/>
        <v>0</v>
      </c>
      <c r="W148" s="145">
        <f t="shared" si="489"/>
        <v>0</v>
      </c>
      <c r="X148" s="145">
        <f t="shared" si="489"/>
        <v>0</v>
      </c>
      <c r="Y148" s="145">
        <f t="shared" si="489"/>
        <v>0</v>
      </c>
      <c r="Z148" s="145">
        <f t="shared" si="489"/>
        <v>0</v>
      </c>
      <c r="AA148" s="145">
        <f t="shared" si="489"/>
        <v>0</v>
      </c>
      <c r="AB148" s="145">
        <f t="shared" si="489"/>
        <v>0</v>
      </c>
      <c r="AC148" s="145">
        <f t="shared" si="489"/>
        <v>0</v>
      </c>
      <c r="AD148" s="145">
        <f t="shared" si="489"/>
        <v>0</v>
      </c>
      <c r="AE148" s="145">
        <f t="shared" si="489"/>
        <v>0</v>
      </c>
      <c r="AF148" s="145">
        <f t="shared" ref="AF148" si="491">SUM(AF150,AF154)</f>
        <v>0</v>
      </c>
      <c r="AG148" s="145">
        <f t="shared" si="489"/>
        <v>0</v>
      </c>
      <c r="AH148" s="145">
        <f t="shared" si="489"/>
        <v>538</v>
      </c>
      <c r="AI148" s="145">
        <f t="shared" si="489"/>
        <v>569</v>
      </c>
    </row>
    <row r="149" spans="1:35" ht="11.25" customHeight="1" x14ac:dyDescent="0.2">
      <c r="A149" s="66"/>
      <c r="B149" s="67"/>
      <c r="C149" s="68"/>
      <c r="D149" s="50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</row>
    <row r="150" spans="1:35" x14ac:dyDescent="0.2">
      <c r="A150" s="492" t="s">
        <v>108</v>
      </c>
      <c r="B150" s="493"/>
      <c r="C150" s="494"/>
      <c r="D150" s="77" t="s">
        <v>158</v>
      </c>
      <c r="E150" s="78">
        <f>SUM(E151:E152)</f>
        <v>0</v>
      </c>
      <c r="F150" s="78">
        <f>SUM(F151:F152)</f>
        <v>0</v>
      </c>
      <c r="G150" s="78">
        <f t="shared" ref="G150:S150" si="492">SUM(G151:G152)</f>
        <v>0</v>
      </c>
      <c r="H150" s="78">
        <f t="shared" si="492"/>
        <v>0</v>
      </c>
      <c r="I150" s="78">
        <f t="shared" si="492"/>
        <v>0</v>
      </c>
      <c r="J150" s="78">
        <f t="shared" si="492"/>
        <v>0</v>
      </c>
      <c r="K150" s="78">
        <f t="shared" si="492"/>
        <v>0</v>
      </c>
      <c r="L150" s="78">
        <f t="shared" si="492"/>
        <v>0</v>
      </c>
      <c r="M150" s="78">
        <f t="shared" si="492"/>
        <v>0</v>
      </c>
      <c r="N150" s="78">
        <f t="shared" si="492"/>
        <v>0</v>
      </c>
      <c r="O150" s="78">
        <f t="shared" si="492"/>
        <v>0</v>
      </c>
      <c r="P150" s="78">
        <f t="shared" si="492"/>
        <v>0</v>
      </c>
      <c r="Q150" s="78">
        <f t="shared" ref="Q150:R150" si="493">SUM(Q151:Q152)</f>
        <v>0</v>
      </c>
      <c r="R150" s="78">
        <f t="shared" si="493"/>
        <v>0</v>
      </c>
      <c r="S150" s="78">
        <f t="shared" si="492"/>
        <v>0</v>
      </c>
      <c r="T150" s="78">
        <f>SUM(T151:T152)</f>
        <v>0</v>
      </c>
      <c r="U150" s="78">
        <f>SUM(U151:U152)</f>
        <v>0</v>
      </c>
      <c r="V150" s="78">
        <f t="shared" ref="V150" si="494">SUM(V151:V152)</f>
        <v>0</v>
      </c>
      <c r="W150" s="78">
        <f t="shared" ref="W150" si="495">SUM(W151:W152)</f>
        <v>0</v>
      </c>
      <c r="X150" s="78">
        <f t="shared" ref="X150" si="496">SUM(X151:X152)</f>
        <v>0</v>
      </c>
      <c r="Y150" s="78">
        <f t="shared" ref="Y150" si="497">SUM(Y151:Y152)</f>
        <v>0</v>
      </c>
      <c r="Z150" s="78">
        <f t="shared" ref="Z150" si="498">SUM(Z151:Z152)</f>
        <v>0</v>
      </c>
      <c r="AA150" s="78">
        <f t="shared" ref="AA150" si="499">SUM(AA151:AA152)</f>
        <v>0</v>
      </c>
      <c r="AB150" s="78">
        <f t="shared" ref="AB150" si="500">SUM(AB151:AB152)</f>
        <v>0</v>
      </c>
      <c r="AC150" s="78">
        <f t="shared" ref="AC150" si="501">SUM(AC151:AC152)</f>
        <v>0</v>
      </c>
      <c r="AD150" s="78">
        <f t="shared" ref="AD150" si="502">SUM(AD151:AD152)</f>
        <v>0</v>
      </c>
      <c r="AE150" s="78">
        <f t="shared" ref="AE150:AF150" si="503">SUM(AE151:AE152)</f>
        <v>0</v>
      </c>
      <c r="AF150" s="78">
        <f t="shared" si="503"/>
        <v>0</v>
      </c>
      <c r="AG150" s="78">
        <f t="shared" ref="AG150:AI150" si="504">SUM(AG151:AG152)</f>
        <v>0</v>
      </c>
      <c r="AH150" s="78">
        <f>SUM(AH151:AH152)</f>
        <v>0</v>
      </c>
      <c r="AI150" s="78">
        <f t="shared" si="504"/>
        <v>0</v>
      </c>
    </row>
    <row r="151" spans="1:35" s="113" customFormat="1" x14ac:dyDescent="0.2">
      <c r="A151" s="59"/>
      <c r="B151" s="466" t="s">
        <v>145</v>
      </c>
      <c r="C151" s="467"/>
      <c r="D151" s="50" t="s">
        <v>146</v>
      </c>
      <c r="E151" s="44"/>
      <c r="F151" s="44">
        <f t="shared" ref="F151:F152" si="505">E151+G151</f>
        <v>0</v>
      </c>
      <c r="G151" s="44">
        <f t="shared" ref="G151:G152" si="506">SUBTOTAL(9,H151:S151)</f>
        <v>0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>
        <f t="shared" ref="U151:U152" si="507">T151+V151</f>
        <v>0</v>
      </c>
      <c r="V151" s="44">
        <f t="shared" ref="V151:V152" si="508">SUBTOTAL(9,W151:AG151)</f>
        <v>0</v>
      </c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>
        <f>E151+T151</f>
        <v>0</v>
      </c>
      <c r="AI151" s="44">
        <f>U151+F151</f>
        <v>0</v>
      </c>
    </row>
    <row r="152" spans="1:35" s="113" customFormat="1" ht="24" x14ac:dyDescent="0.2">
      <c r="A152" s="59"/>
      <c r="B152" s="455" t="s">
        <v>109</v>
      </c>
      <c r="C152" s="458"/>
      <c r="D152" s="50" t="s">
        <v>163</v>
      </c>
      <c r="E152" s="44"/>
      <c r="F152" s="44">
        <f t="shared" si="505"/>
        <v>0</v>
      </c>
      <c r="G152" s="44">
        <f t="shared" si="506"/>
        <v>0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>
        <f t="shared" si="507"/>
        <v>0</v>
      </c>
      <c r="V152" s="44">
        <f t="shared" si="508"/>
        <v>0</v>
      </c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>
        <f>E152+T152</f>
        <v>0</v>
      </c>
      <c r="AI152" s="44">
        <f>U152+F152</f>
        <v>0</v>
      </c>
    </row>
    <row r="153" spans="1:35" ht="11.25" customHeight="1" x14ac:dyDescent="0.2">
      <c r="A153" s="66"/>
      <c r="B153" s="67"/>
      <c r="C153" s="64"/>
      <c r="D153" s="50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</row>
    <row r="154" spans="1:35" ht="24" x14ac:dyDescent="0.2">
      <c r="A154" s="66"/>
      <c r="B154" s="67"/>
      <c r="C154" s="195" t="s">
        <v>576</v>
      </c>
      <c r="D154" s="60" t="s">
        <v>159</v>
      </c>
      <c r="E154" s="191">
        <f t="shared" ref="E154:AH154" si="509">SUM(E155)</f>
        <v>538</v>
      </c>
      <c r="F154" s="191">
        <f t="shared" si="509"/>
        <v>569</v>
      </c>
      <c r="G154" s="191">
        <f t="shared" si="509"/>
        <v>31</v>
      </c>
      <c r="H154" s="191">
        <f t="shared" si="509"/>
        <v>0</v>
      </c>
      <c r="I154" s="191">
        <f t="shared" si="509"/>
        <v>31</v>
      </c>
      <c r="J154" s="191">
        <f t="shared" si="509"/>
        <v>0</v>
      </c>
      <c r="K154" s="191">
        <f t="shared" si="509"/>
        <v>0</v>
      </c>
      <c r="L154" s="191">
        <f t="shared" si="509"/>
        <v>0</v>
      </c>
      <c r="M154" s="191">
        <f t="shared" si="509"/>
        <v>0</v>
      </c>
      <c r="N154" s="191">
        <f t="shared" si="509"/>
        <v>0</v>
      </c>
      <c r="O154" s="191">
        <f t="shared" si="509"/>
        <v>0</v>
      </c>
      <c r="P154" s="191">
        <f t="shared" si="509"/>
        <v>0</v>
      </c>
      <c r="Q154" s="191">
        <f t="shared" si="509"/>
        <v>0</v>
      </c>
      <c r="R154" s="191">
        <f t="shared" si="509"/>
        <v>0</v>
      </c>
      <c r="S154" s="191">
        <f t="shared" si="509"/>
        <v>0</v>
      </c>
      <c r="T154" s="191">
        <f t="shared" si="509"/>
        <v>0</v>
      </c>
      <c r="U154" s="191">
        <f t="shared" ref="U154:AG154" si="510">SUM(U155)</f>
        <v>0</v>
      </c>
      <c r="V154" s="191">
        <f t="shared" si="510"/>
        <v>0</v>
      </c>
      <c r="W154" s="191">
        <f t="shared" si="510"/>
        <v>0</v>
      </c>
      <c r="X154" s="191">
        <f t="shared" si="510"/>
        <v>0</v>
      </c>
      <c r="Y154" s="191">
        <f t="shared" si="510"/>
        <v>0</v>
      </c>
      <c r="Z154" s="191">
        <f t="shared" si="510"/>
        <v>0</v>
      </c>
      <c r="AA154" s="191">
        <f t="shared" si="510"/>
        <v>0</v>
      </c>
      <c r="AB154" s="191">
        <f t="shared" si="510"/>
        <v>0</v>
      </c>
      <c r="AC154" s="191">
        <f t="shared" si="510"/>
        <v>0</v>
      </c>
      <c r="AD154" s="191">
        <f t="shared" si="510"/>
        <v>0</v>
      </c>
      <c r="AE154" s="191">
        <f t="shared" si="510"/>
        <v>0</v>
      </c>
      <c r="AF154" s="191">
        <f t="shared" si="510"/>
        <v>0</v>
      </c>
      <c r="AG154" s="191">
        <f t="shared" si="510"/>
        <v>0</v>
      </c>
      <c r="AH154" s="191">
        <f t="shared" si="509"/>
        <v>538</v>
      </c>
      <c r="AI154" s="191">
        <f>SUM(AI155)</f>
        <v>569</v>
      </c>
    </row>
    <row r="155" spans="1:35" x14ac:dyDescent="0.2">
      <c r="A155" s="66"/>
      <c r="B155" s="67"/>
      <c r="C155" s="68"/>
      <c r="D155" s="50" t="s">
        <v>160</v>
      </c>
      <c r="E155" s="54">
        <f t="shared" ref="E155:F155" si="511">SUM(E156:E157)</f>
        <v>538</v>
      </c>
      <c r="F155" s="54">
        <f t="shared" si="511"/>
        <v>569</v>
      </c>
      <c r="G155" s="54">
        <f t="shared" ref="G155:S155" si="512">SUM(G156:G157)</f>
        <v>31</v>
      </c>
      <c r="H155" s="54">
        <f t="shared" si="512"/>
        <v>0</v>
      </c>
      <c r="I155" s="54">
        <f t="shared" si="512"/>
        <v>31</v>
      </c>
      <c r="J155" s="54">
        <f t="shared" si="512"/>
        <v>0</v>
      </c>
      <c r="K155" s="54">
        <f t="shared" si="512"/>
        <v>0</v>
      </c>
      <c r="L155" s="54">
        <f t="shared" si="512"/>
        <v>0</v>
      </c>
      <c r="M155" s="54">
        <f t="shared" si="512"/>
        <v>0</v>
      </c>
      <c r="N155" s="54">
        <f t="shared" si="512"/>
        <v>0</v>
      </c>
      <c r="O155" s="54">
        <f t="shared" si="512"/>
        <v>0</v>
      </c>
      <c r="P155" s="54">
        <f t="shared" si="512"/>
        <v>0</v>
      </c>
      <c r="Q155" s="54">
        <f t="shared" ref="Q155:R155" si="513">SUM(Q156:Q157)</f>
        <v>0</v>
      </c>
      <c r="R155" s="54">
        <f t="shared" si="513"/>
        <v>0</v>
      </c>
      <c r="S155" s="54">
        <f t="shared" si="512"/>
        <v>0</v>
      </c>
      <c r="T155" s="54">
        <f t="shared" ref="T155" si="514">SUM(T156:T157)</f>
        <v>0</v>
      </c>
      <c r="U155" s="54">
        <f t="shared" ref="U155:AG155" si="515">SUM(U156:U157)</f>
        <v>0</v>
      </c>
      <c r="V155" s="54">
        <f t="shared" si="515"/>
        <v>0</v>
      </c>
      <c r="W155" s="54">
        <f t="shared" si="515"/>
        <v>0</v>
      </c>
      <c r="X155" s="54">
        <f t="shared" si="515"/>
        <v>0</v>
      </c>
      <c r="Y155" s="54">
        <f t="shared" si="515"/>
        <v>0</v>
      </c>
      <c r="Z155" s="54">
        <f t="shared" si="515"/>
        <v>0</v>
      </c>
      <c r="AA155" s="54">
        <f t="shared" si="515"/>
        <v>0</v>
      </c>
      <c r="AB155" s="54">
        <f t="shared" si="515"/>
        <v>0</v>
      </c>
      <c r="AC155" s="54">
        <f t="shared" si="515"/>
        <v>0</v>
      </c>
      <c r="AD155" s="54">
        <f t="shared" si="515"/>
        <v>0</v>
      </c>
      <c r="AE155" s="54">
        <f t="shared" si="515"/>
        <v>0</v>
      </c>
      <c r="AF155" s="54">
        <f t="shared" ref="AF155" si="516">SUM(AF156:AF157)</f>
        <v>0</v>
      </c>
      <c r="AG155" s="54">
        <f t="shared" si="515"/>
        <v>0</v>
      </c>
      <c r="AH155" s="54">
        <f t="shared" ref="AH155" si="517">SUM(AH156:AH157)</f>
        <v>538</v>
      </c>
      <c r="AI155" s="54">
        <f>SUM(AI156:AI157)</f>
        <v>569</v>
      </c>
    </row>
    <row r="156" spans="1:35" ht="24" x14ac:dyDescent="0.2">
      <c r="A156" s="49"/>
      <c r="B156" s="63"/>
      <c r="C156" s="64"/>
      <c r="D156" s="252" t="s">
        <v>161</v>
      </c>
      <c r="E156" s="44">
        <v>538</v>
      </c>
      <c r="F156" s="44">
        <f t="shared" ref="F156:F157" si="518">E156+G156</f>
        <v>538</v>
      </c>
      <c r="G156" s="44">
        <f t="shared" ref="G156:G157" si="519">SUBTOTAL(9,H156:S156)</f>
        <v>0</v>
      </c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>
        <f t="shared" ref="U156:U157" si="520">T156+V156</f>
        <v>0</v>
      </c>
      <c r="V156" s="44">
        <f t="shared" ref="V156:V157" si="521">SUBTOTAL(9,W156:AG156)</f>
        <v>0</v>
      </c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>
        <f>E156+T156</f>
        <v>538</v>
      </c>
      <c r="AI156" s="44">
        <f>U156+F156</f>
        <v>538</v>
      </c>
    </row>
    <row r="157" spans="1:35" ht="24" x14ac:dyDescent="0.2">
      <c r="A157" s="66"/>
      <c r="B157" s="67"/>
      <c r="C157" s="68"/>
      <c r="D157" s="252" t="s">
        <v>162</v>
      </c>
      <c r="E157" s="54"/>
      <c r="F157" s="54">
        <f t="shared" si="518"/>
        <v>31</v>
      </c>
      <c r="G157" s="54">
        <f t="shared" si="519"/>
        <v>31</v>
      </c>
      <c r="H157" s="54"/>
      <c r="I157" s="54">
        <f>30+1</f>
        <v>31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>
        <f t="shared" si="520"/>
        <v>0</v>
      </c>
      <c r="V157" s="54">
        <f t="shared" si="521"/>
        <v>0</v>
      </c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>
        <f>E157+T157</f>
        <v>0</v>
      </c>
      <c r="AI157" s="54">
        <f>U157+F157</f>
        <v>31</v>
      </c>
    </row>
    <row r="158" spans="1:35" hidden="1" x14ac:dyDescent="0.2">
      <c r="A158" s="66"/>
      <c r="B158" s="67"/>
      <c r="C158" s="68"/>
      <c r="D158" s="50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</row>
    <row r="159" spans="1:35" ht="15.75" customHeight="1" x14ac:dyDescent="0.2">
      <c r="A159" s="49"/>
      <c r="B159" s="63"/>
      <c r="C159" s="64"/>
      <c r="D159" s="50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</row>
    <row r="160" spans="1:35" s="113" customFormat="1" ht="24.75" customHeight="1" thickBot="1" x14ac:dyDescent="0.25">
      <c r="A160" s="495" t="s">
        <v>126</v>
      </c>
      <c r="B160" s="496"/>
      <c r="C160" s="496"/>
      <c r="D160" s="497"/>
      <c r="E160" s="69">
        <f t="shared" ref="E160:AI160" si="522">SUM(E150,E94)</f>
        <v>89562788</v>
      </c>
      <c r="F160" s="69">
        <f t="shared" si="522"/>
        <v>93677066</v>
      </c>
      <c r="G160" s="69">
        <f t="shared" si="522"/>
        <v>4114278</v>
      </c>
      <c r="H160" s="69">
        <f t="shared" si="522"/>
        <v>111985</v>
      </c>
      <c r="I160" s="69">
        <f t="shared" si="522"/>
        <v>2279121</v>
      </c>
      <c r="J160" s="69">
        <f t="shared" si="522"/>
        <v>443550</v>
      </c>
      <c r="K160" s="69">
        <f t="shared" si="522"/>
        <v>493998</v>
      </c>
      <c r="L160" s="69">
        <f t="shared" si="522"/>
        <v>2875</v>
      </c>
      <c r="M160" s="69">
        <f t="shared" si="522"/>
        <v>-87075</v>
      </c>
      <c r="N160" s="69">
        <f t="shared" si="522"/>
        <v>-612926</v>
      </c>
      <c r="O160" s="69">
        <f t="shared" si="522"/>
        <v>1676964</v>
      </c>
      <c r="P160" s="69">
        <f t="shared" si="522"/>
        <v>-370886</v>
      </c>
      <c r="Q160" s="69">
        <f t="shared" ref="Q160:R160" si="523">SUM(Q150,Q94)</f>
        <v>39496</v>
      </c>
      <c r="R160" s="69">
        <f t="shared" si="523"/>
        <v>137176</v>
      </c>
      <c r="S160" s="69">
        <f t="shared" si="522"/>
        <v>0</v>
      </c>
      <c r="T160" s="69">
        <f t="shared" si="522"/>
        <v>-1047228</v>
      </c>
      <c r="U160" s="69">
        <f t="shared" si="522"/>
        <v>-1261387</v>
      </c>
      <c r="V160" s="69">
        <f t="shared" si="522"/>
        <v>-214159</v>
      </c>
      <c r="W160" s="69">
        <f t="shared" si="522"/>
        <v>-11045</v>
      </c>
      <c r="X160" s="69">
        <f t="shared" si="522"/>
        <v>-206523</v>
      </c>
      <c r="Y160" s="69">
        <f t="shared" si="522"/>
        <v>-18678</v>
      </c>
      <c r="Z160" s="69">
        <f t="shared" si="522"/>
        <v>45158</v>
      </c>
      <c r="AA160" s="69">
        <f t="shared" si="522"/>
        <v>-7681</v>
      </c>
      <c r="AB160" s="69">
        <f t="shared" si="522"/>
        <v>20825</v>
      </c>
      <c r="AC160" s="69">
        <f t="shared" si="522"/>
        <v>-1738</v>
      </c>
      <c r="AD160" s="69">
        <f t="shared" si="522"/>
        <v>-336</v>
      </c>
      <c r="AE160" s="69">
        <f t="shared" si="522"/>
        <v>-32196</v>
      </c>
      <c r="AF160" s="69">
        <f t="shared" ref="AF160" si="524">SUM(AF150,AF94)</f>
        <v>-1945</v>
      </c>
      <c r="AG160" s="69">
        <f t="shared" si="522"/>
        <v>0</v>
      </c>
      <c r="AH160" s="69">
        <f t="shared" si="522"/>
        <v>88751984</v>
      </c>
      <c r="AI160" s="69">
        <f t="shared" si="522"/>
        <v>92415679</v>
      </c>
    </row>
    <row r="161" spans="1:36" s="113" customFormat="1" ht="12.75" thickBot="1" x14ac:dyDescent="0.25">
      <c r="A161" s="498" t="s">
        <v>115</v>
      </c>
      <c r="B161" s="499"/>
      <c r="C161" s="499"/>
      <c r="D161" s="500"/>
      <c r="E161" s="69">
        <f t="shared" ref="E161:AI161" si="525">SUM(E8,E148)</f>
        <v>109731494</v>
      </c>
      <c r="F161" s="143">
        <f t="shared" si="525"/>
        <v>114998220</v>
      </c>
      <c r="G161" s="143">
        <f t="shared" si="525"/>
        <v>5266726</v>
      </c>
      <c r="H161" s="143">
        <f t="shared" si="525"/>
        <v>122832</v>
      </c>
      <c r="I161" s="143">
        <f t="shared" si="525"/>
        <v>6848727</v>
      </c>
      <c r="J161" s="143">
        <f t="shared" si="525"/>
        <v>562688</v>
      </c>
      <c r="K161" s="143">
        <f t="shared" si="525"/>
        <v>597993</v>
      </c>
      <c r="L161" s="143">
        <f t="shared" si="525"/>
        <v>2875</v>
      </c>
      <c r="M161" s="143">
        <f t="shared" si="525"/>
        <v>-498367</v>
      </c>
      <c r="N161" s="143">
        <f t="shared" si="525"/>
        <v>-5899360</v>
      </c>
      <c r="O161" s="143">
        <f t="shared" si="525"/>
        <v>3533959</v>
      </c>
      <c r="P161" s="143">
        <f t="shared" si="525"/>
        <v>-181293</v>
      </c>
      <c r="Q161" s="143">
        <f t="shared" ref="Q161:R161" si="526">SUM(Q8,Q148)</f>
        <v>39496</v>
      </c>
      <c r="R161" s="143">
        <f t="shared" si="526"/>
        <v>137176</v>
      </c>
      <c r="S161" s="143">
        <f t="shared" si="525"/>
        <v>0</v>
      </c>
      <c r="T161" s="143">
        <f t="shared" si="525"/>
        <v>-1047228</v>
      </c>
      <c r="U161" s="143">
        <f t="shared" si="525"/>
        <v>-1261387</v>
      </c>
      <c r="V161" s="143">
        <f t="shared" si="525"/>
        <v>-214159</v>
      </c>
      <c r="W161" s="143">
        <f t="shared" si="525"/>
        <v>-11045</v>
      </c>
      <c r="X161" s="143">
        <f t="shared" si="525"/>
        <v>-206523</v>
      </c>
      <c r="Y161" s="143">
        <f t="shared" si="525"/>
        <v>-18678</v>
      </c>
      <c r="Z161" s="143">
        <f t="shared" si="525"/>
        <v>45158</v>
      </c>
      <c r="AA161" s="143">
        <f t="shared" si="525"/>
        <v>-7681</v>
      </c>
      <c r="AB161" s="143">
        <f t="shared" si="525"/>
        <v>20825</v>
      </c>
      <c r="AC161" s="143">
        <f t="shared" si="525"/>
        <v>-1738</v>
      </c>
      <c r="AD161" s="143">
        <f t="shared" si="525"/>
        <v>-336</v>
      </c>
      <c r="AE161" s="143">
        <f t="shared" si="525"/>
        <v>-32196</v>
      </c>
      <c r="AF161" s="143">
        <f t="shared" ref="AF161" si="527">SUM(AF8,AF148)</f>
        <v>-1945</v>
      </c>
      <c r="AG161" s="143">
        <f t="shared" si="525"/>
        <v>0</v>
      </c>
      <c r="AH161" s="143">
        <f t="shared" si="525"/>
        <v>108920690</v>
      </c>
      <c r="AI161" s="143">
        <f t="shared" si="525"/>
        <v>113736833</v>
      </c>
    </row>
    <row r="163" spans="1:36" hidden="1" x14ac:dyDescent="0.2">
      <c r="AH163" s="171">
        <f>E161-AH161</f>
        <v>810804</v>
      </c>
    </row>
    <row r="164" spans="1:36" hidden="1" x14ac:dyDescent="0.2">
      <c r="A164" s="491"/>
      <c r="B164" s="491"/>
      <c r="C164" s="491"/>
      <c r="D164" s="491"/>
      <c r="E164" s="491"/>
      <c r="F164" s="491"/>
      <c r="G164" s="491"/>
      <c r="H164" s="491"/>
      <c r="I164" s="491"/>
      <c r="J164" s="491"/>
      <c r="K164" s="491"/>
      <c r="L164" s="491"/>
      <c r="M164" s="491"/>
      <c r="N164" s="491"/>
      <c r="O164" s="491"/>
      <c r="P164" s="491"/>
      <c r="Q164" s="491"/>
      <c r="R164" s="491"/>
      <c r="S164" s="491"/>
      <c r="T164" s="491"/>
      <c r="U164" s="491"/>
      <c r="V164" s="491"/>
      <c r="W164" s="491"/>
      <c r="X164" s="491"/>
      <c r="Y164" s="491"/>
      <c r="Z164" s="491"/>
      <c r="AA164" s="491"/>
      <c r="AB164" s="491"/>
      <c r="AC164" s="491"/>
      <c r="AD164" s="491"/>
      <c r="AE164" s="491"/>
      <c r="AF164" s="491"/>
      <c r="AG164" s="491"/>
      <c r="AH164" s="491"/>
    </row>
    <row r="165" spans="1:36" hidden="1" x14ac:dyDescent="0.2">
      <c r="A165" s="491"/>
      <c r="B165" s="491"/>
      <c r="C165" s="491"/>
      <c r="D165" s="491"/>
      <c r="E165" s="491"/>
      <c r="F165" s="491"/>
      <c r="G165" s="491"/>
      <c r="H165" s="491"/>
      <c r="I165" s="491"/>
      <c r="J165" s="491"/>
      <c r="K165" s="491"/>
      <c r="L165" s="491"/>
      <c r="M165" s="491"/>
      <c r="N165" s="491"/>
      <c r="O165" s="491"/>
      <c r="P165" s="491"/>
      <c r="Q165" s="491"/>
      <c r="R165" s="491"/>
      <c r="S165" s="491"/>
      <c r="T165" s="491"/>
      <c r="U165" s="491"/>
      <c r="V165" s="491"/>
      <c r="W165" s="491"/>
      <c r="X165" s="491"/>
      <c r="Y165" s="491"/>
      <c r="Z165" s="491"/>
      <c r="AA165" s="491"/>
      <c r="AB165" s="491"/>
      <c r="AC165" s="491"/>
      <c r="AD165" s="491"/>
      <c r="AE165" s="491"/>
      <c r="AF165" s="491"/>
      <c r="AG165" s="491"/>
      <c r="AH165" s="491"/>
    </row>
    <row r="166" spans="1:36" hidden="1" x14ac:dyDescent="0.2"/>
    <row r="167" spans="1:36" x14ac:dyDescent="0.2">
      <c r="AH167" s="171"/>
      <c r="AJ167" s="291"/>
    </row>
    <row r="168" spans="1:36" x14ac:dyDescent="0.2">
      <c r="AH168" s="171"/>
    </row>
  </sheetData>
  <sheetProtection algorithmName="SHA-512" hashValue="NvPEohPelzkYcXZ4e+EyZwdyYzLnniW6n4pFnTy37PW9SMXS1pLQx1vANsG7+wGeYPaUsoRss1HgCw9AFufgWw==" saltValue="BOA8KMKu7N9COJf8PI3Mhw==" spinCount="100000" sheet="1" objects="1" scenarios="1" formatCells="0" formatColumns="0" formatRows="0" insertHyperlinks="0"/>
  <autoFilter ref="A7:AI161">
    <filterColumn colId="0" showButton="0"/>
    <filterColumn colId="1" showButton="0"/>
  </autoFilter>
  <mergeCells count="98">
    <mergeCell ref="B88:C88"/>
    <mergeCell ref="B132:C132"/>
    <mergeCell ref="B89:C89"/>
    <mergeCell ref="B90:C90"/>
    <mergeCell ref="B91:C91"/>
    <mergeCell ref="B96:C96"/>
    <mergeCell ref="B145:C145"/>
    <mergeCell ref="A148:D148"/>
    <mergeCell ref="B139:C139"/>
    <mergeCell ref="B130:C130"/>
    <mergeCell ref="B92:C92"/>
    <mergeCell ref="A94:D94"/>
    <mergeCell ref="B126:C126"/>
    <mergeCell ref="A165:AH165"/>
    <mergeCell ref="A150:C150"/>
    <mergeCell ref="B151:C151"/>
    <mergeCell ref="B152:C152"/>
    <mergeCell ref="A160:D160"/>
    <mergeCell ref="A161:D161"/>
    <mergeCell ref="A164:AH164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A4:AI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76:C76"/>
    <mergeCell ref="B77:C77"/>
    <mergeCell ref="B74:C74"/>
    <mergeCell ref="B66:C66"/>
    <mergeCell ref="B67:C67"/>
    <mergeCell ref="A69:C69"/>
    <mergeCell ref="B70:C70"/>
    <mergeCell ref="B75:C75"/>
    <mergeCell ref="A72:C72"/>
    <mergeCell ref="B73:C73"/>
    <mergeCell ref="B68:C68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55:C55"/>
    <mergeCell ref="B42:C42"/>
    <mergeCell ref="B51:C51"/>
    <mergeCell ref="B46:C46"/>
    <mergeCell ref="B58:C58"/>
    <mergeCell ref="B39:C39"/>
    <mergeCell ref="B40:C40"/>
    <mergeCell ref="B41:C41"/>
    <mergeCell ref="B54:C54"/>
    <mergeCell ref="B34:C34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31.oktobra saistošajiem noteikumiem Nr.46
(protokols Nr.14, 28.punkts)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512" t="s">
        <v>1</v>
      </c>
      <c r="C2" s="512"/>
      <c r="D2" s="513" t="s">
        <v>3</v>
      </c>
      <c r="E2" s="513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572</v>
      </c>
      <c r="B4" s="152">
        <f>Ienemumi!AI94</f>
        <v>92415679</v>
      </c>
      <c r="C4" s="153" t="s">
        <v>465</v>
      </c>
      <c r="D4" s="345">
        <f>Ienemumi!AH150</f>
        <v>0</v>
      </c>
      <c r="E4" s="346" t="s">
        <v>465</v>
      </c>
    </row>
    <row r="5" spans="1:5" ht="17.25" x14ac:dyDescent="0.3">
      <c r="A5" s="151" t="s">
        <v>573</v>
      </c>
      <c r="B5" s="157">
        <f>Izdevumi!E269-D5</f>
        <v>104837544</v>
      </c>
      <c r="C5" s="153" t="s">
        <v>465</v>
      </c>
      <c r="D5" s="152">
        <f>Izdevumi!BC326</f>
        <v>569</v>
      </c>
      <c r="E5" s="153" t="s">
        <v>465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463</v>
      </c>
      <c r="B7" s="152">
        <f>B4-B5</f>
        <v>-12421865</v>
      </c>
      <c r="C7" s="153" t="s">
        <v>465</v>
      </c>
      <c r="D7" s="152">
        <f>D4-D5</f>
        <v>-569</v>
      </c>
      <c r="E7" s="153" t="s">
        <v>465</v>
      </c>
    </row>
    <row r="8" spans="1:5" ht="17.25" x14ac:dyDescent="0.3">
      <c r="A8" s="151" t="s">
        <v>464</v>
      </c>
      <c r="B8" s="152">
        <f>B9-B10+B11-B12-B13</f>
        <v>12421865</v>
      </c>
      <c r="C8" s="153" t="s">
        <v>465</v>
      </c>
      <c r="D8" s="152">
        <f>D9-D10+D11-D12-D13</f>
        <v>569</v>
      </c>
      <c r="E8" s="153" t="s">
        <v>465</v>
      </c>
    </row>
    <row r="9" spans="1:5" x14ac:dyDescent="0.25">
      <c r="A9" s="148" t="s">
        <v>466</v>
      </c>
      <c r="B9" s="154">
        <f>Ienemumi!AI96</f>
        <v>13029650</v>
      </c>
      <c r="C9" s="155" t="s">
        <v>465</v>
      </c>
      <c r="D9" s="154">
        <f>Ienemumi!AI154</f>
        <v>569</v>
      </c>
      <c r="E9" s="155" t="s">
        <v>465</v>
      </c>
    </row>
    <row r="10" spans="1:5" x14ac:dyDescent="0.25">
      <c r="A10" s="148" t="s">
        <v>467</v>
      </c>
      <c r="B10" s="154">
        <f>Izdevumi!E270</f>
        <v>3052781</v>
      </c>
      <c r="C10" s="155" t="s">
        <v>465</v>
      </c>
      <c r="D10" s="174">
        <v>0</v>
      </c>
      <c r="E10" s="175" t="s">
        <v>465</v>
      </c>
    </row>
    <row r="11" spans="1:5" x14ac:dyDescent="0.25">
      <c r="A11" s="148" t="s">
        <v>468</v>
      </c>
      <c r="B11" s="154">
        <f>Ienemumi!AI126</f>
        <v>8290935</v>
      </c>
      <c r="C11" s="155" t="s">
        <v>465</v>
      </c>
      <c r="D11" s="154"/>
    </row>
    <row r="12" spans="1:5" x14ac:dyDescent="0.25">
      <c r="A12" s="148" t="s">
        <v>469</v>
      </c>
      <c r="B12" s="154">
        <f>Izdevumi!E300</f>
        <v>5283045</v>
      </c>
      <c r="C12" s="155" t="s">
        <v>465</v>
      </c>
      <c r="D12" s="154"/>
    </row>
    <row r="13" spans="1:5" x14ac:dyDescent="0.25">
      <c r="A13" s="148" t="s">
        <v>470</v>
      </c>
      <c r="B13" s="173">
        <f>Izdevumi!E320+Izdevumi!E323</f>
        <v>562894</v>
      </c>
      <c r="C13" s="155" t="s">
        <v>465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2019-11-04T07:59:55Z</cp:lastPrinted>
  <dcterms:created xsi:type="dcterms:W3CDTF">2006-10-31T12:58:11Z</dcterms:created>
  <dcterms:modified xsi:type="dcterms:W3CDTF">2019-11-04T08:00:19Z</dcterms:modified>
</cp:coreProperties>
</file>